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ttps://d.docs.live.net/b8681a47640f4b21/Desktop/FINAL PROJECT- GYMMY/4.2/"/>
    </mc:Choice>
  </mc:AlternateContent>
  <xr:revisionPtr revIDLastSave="2" documentId="8_{6EEC319F-ACFA-4787-93F9-5C5AD80B6309}" xr6:coauthVersionLast="47" xr6:coauthVersionMax="47" xr10:uidLastSave="{34A5A5A5-E841-49C2-B48D-A41EE61E0D76}"/>
  <bookViews>
    <workbookView xWindow="28680" yWindow="-120" windowWidth="29040" windowHeight="15720" xr2:uid="{F0B10847-02D5-4A4F-B198-570D6CABA031}"/>
  </bookViews>
  <sheets>
    <sheet name="savedrec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T1282" i="1" l="1"/>
  <c r="BF1282" i="1"/>
  <c r="BT1281" i="1"/>
  <c r="BF1281" i="1"/>
  <c r="BT1280" i="1"/>
  <c r="BT1279" i="1"/>
  <c r="BF1279" i="1"/>
  <c r="BT1278" i="1"/>
  <c r="BF1278" i="1"/>
  <c r="BT1277" i="1"/>
  <c r="BF1277" i="1"/>
  <c r="BT1276" i="1"/>
  <c r="BF1276" i="1"/>
  <c r="BT1275" i="1"/>
  <c r="BF1275" i="1"/>
  <c r="BT1274" i="1"/>
  <c r="BF1274" i="1"/>
  <c r="BT1273" i="1"/>
  <c r="BF1273" i="1"/>
  <c r="BT1272" i="1"/>
  <c r="BF1272" i="1"/>
  <c r="BT1271" i="1"/>
  <c r="BF1271" i="1"/>
  <c r="BT1270" i="1"/>
  <c r="BF1270" i="1"/>
  <c r="BT1269" i="1"/>
  <c r="BF1269" i="1"/>
  <c r="BT1268" i="1"/>
  <c r="BF1268" i="1"/>
  <c r="BT1267" i="1"/>
  <c r="BF1267" i="1"/>
  <c r="BT1266" i="1"/>
  <c r="BF1266" i="1"/>
  <c r="BT1265" i="1"/>
  <c r="BF1265" i="1"/>
  <c r="BT1264" i="1"/>
  <c r="BF1264" i="1"/>
  <c r="BT1263" i="1"/>
  <c r="BF1263" i="1"/>
  <c r="BT1262" i="1"/>
  <c r="BF1262" i="1"/>
  <c r="BT1261" i="1"/>
  <c r="BF1261" i="1"/>
  <c r="BT1260" i="1"/>
  <c r="BT1259" i="1"/>
  <c r="BF1259" i="1"/>
  <c r="BT1258" i="1"/>
  <c r="BF1258" i="1"/>
  <c r="BT1257" i="1"/>
  <c r="BF1257" i="1"/>
  <c r="BT1256" i="1"/>
  <c r="BF1256" i="1"/>
  <c r="BT1255" i="1"/>
  <c r="BF1255" i="1"/>
  <c r="BT1254" i="1"/>
  <c r="BF1254" i="1"/>
  <c r="BT1253" i="1"/>
  <c r="BF1253" i="1"/>
  <c r="BT1252" i="1"/>
  <c r="BF1252" i="1"/>
  <c r="BT1251" i="1"/>
  <c r="BF1251" i="1"/>
  <c r="BT1250" i="1"/>
  <c r="BF1250" i="1"/>
  <c r="BT1249" i="1"/>
  <c r="BF1249" i="1"/>
  <c r="BT1248" i="1"/>
  <c r="BT1247" i="1"/>
  <c r="BF1247" i="1"/>
  <c r="BT1246" i="1"/>
  <c r="BF1246" i="1"/>
  <c r="BT1245" i="1"/>
  <c r="BF1245" i="1"/>
  <c r="BT1244" i="1"/>
  <c r="BF1244" i="1"/>
  <c r="BT1243" i="1"/>
  <c r="BT1242" i="1"/>
  <c r="BF1242" i="1"/>
  <c r="BT1241" i="1"/>
  <c r="BT1240" i="1"/>
  <c r="BF1240" i="1"/>
  <c r="BT1239" i="1"/>
  <c r="BF1239" i="1"/>
  <c r="BT1238" i="1"/>
  <c r="BF1238" i="1"/>
  <c r="BT1237" i="1"/>
  <c r="BF1237" i="1"/>
  <c r="BT1236" i="1"/>
  <c r="BF1236" i="1"/>
  <c r="BT1235" i="1"/>
  <c r="BF1235" i="1"/>
  <c r="BT1234" i="1"/>
  <c r="BF1234" i="1"/>
  <c r="BT1233" i="1"/>
  <c r="BF1233" i="1"/>
  <c r="BT1232" i="1"/>
  <c r="BF1232" i="1"/>
  <c r="BT1231" i="1"/>
  <c r="BF1231" i="1"/>
  <c r="BT1230" i="1"/>
  <c r="BF1230" i="1"/>
  <c r="BT1229" i="1"/>
  <c r="BF1229" i="1"/>
  <c r="BT1228" i="1"/>
  <c r="BF1228" i="1"/>
  <c r="BT1227" i="1"/>
  <c r="BF1227" i="1"/>
  <c r="BT1226" i="1"/>
  <c r="BF1226" i="1"/>
  <c r="BT1225" i="1"/>
  <c r="BF1225" i="1"/>
  <c r="BT1224" i="1"/>
  <c r="BF1224" i="1"/>
  <c r="BT1223" i="1"/>
  <c r="BF1223" i="1"/>
  <c r="BT1222" i="1"/>
  <c r="BF1222" i="1"/>
  <c r="BT1221" i="1"/>
  <c r="BF1221" i="1"/>
  <c r="BT1220" i="1"/>
  <c r="BF1220" i="1"/>
  <c r="BT1219" i="1"/>
  <c r="BF1219" i="1"/>
  <c r="BT1218" i="1"/>
  <c r="BF1218" i="1"/>
  <c r="BT1217" i="1"/>
  <c r="BF1217" i="1"/>
  <c r="BT1216" i="1"/>
  <c r="BF1216" i="1"/>
  <c r="BT1215" i="1"/>
  <c r="BF1215" i="1"/>
  <c r="BT1214" i="1"/>
  <c r="BF1214" i="1"/>
  <c r="BT1213" i="1"/>
  <c r="BF1213" i="1"/>
  <c r="BT1212" i="1"/>
  <c r="BF1212" i="1"/>
  <c r="BT1211" i="1"/>
  <c r="BF1211" i="1"/>
  <c r="BT1210" i="1"/>
  <c r="BF1210" i="1"/>
  <c r="BT1209" i="1"/>
  <c r="BF1209" i="1"/>
  <c r="BT1208" i="1"/>
  <c r="BF1208" i="1"/>
  <c r="BT1207" i="1"/>
  <c r="BF1207" i="1"/>
  <c r="BT1206" i="1"/>
  <c r="BF1206" i="1"/>
  <c r="BT1205" i="1"/>
  <c r="BT1204" i="1"/>
  <c r="BF1204" i="1"/>
  <c r="BT1203" i="1"/>
  <c r="BF1203" i="1"/>
  <c r="BT1202" i="1"/>
  <c r="BF1202" i="1"/>
  <c r="BT1201" i="1"/>
  <c r="BF1201" i="1"/>
  <c r="BT1200" i="1"/>
  <c r="BT1199" i="1"/>
  <c r="BF1199" i="1"/>
  <c r="BT1198" i="1"/>
  <c r="BF1198" i="1"/>
  <c r="BT1197" i="1"/>
  <c r="BF1197" i="1"/>
  <c r="BT1196" i="1"/>
  <c r="BT1195" i="1"/>
  <c r="BF1195" i="1"/>
  <c r="BT1194" i="1"/>
  <c r="BF1194" i="1"/>
  <c r="BT1193" i="1"/>
  <c r="BF1193" i="1"/>
  <c r="BT1192" i="1"/>
  <c r="BF1192" i="1"/>
  <c r="BT1191" i="1"/>
  <c r="BT1190" i="1"/>
  <c r="BF1190" i="1"/>
  <c r="BT1189" i="1"/>
  <c r="BF1189" i="1"/>
  <c r="BT1188" i="1"/>
  <c r="BF1188" i="1"/>
  <c r="BT1187" i="1"/>
  <c r="BF1187" i="1"/>
  <c r="BT1186" i="1"/>
  <c r="BF1186" i="1"/>
  <c r="BT1185" i="1"/>
  <c r="BF1185" i="1"/>
  <c r="BT1184" i="1"/>
  <c r="BF1184" i="1"/>
  <c r="BT1183" i="1"/>
  <c r="BF1183" i="1"/>
  <c r="BT1182" i="1"/>
  <c r="BF1182" i="1"/>
  <c r="BT1181" i="1"/>
  <c r="BF1181" i="1"/>
  <c r="BT1180" i="1"/>
  <c r="BF1180" i="1"/>
  <c r="BT1179" i="1"/>
  <c r="BT1178" i="1"/>
  <c r="BF1178" i="1"/>
  <c r="BT1177" i="1"/>
  <c r="BF1177" i="1"/>
  <c r="BT1176" i="1"/>
  <c r="BT1175" i="1"/>
  <c r="BF1175" i="1"/>
  <c r="BT1174" i="1"/>
  <c r="BF1174" i="1"/>
  <c r="BT1173" i="1"/>
  <c r="BF1173" i="1"/>
  <c r="BT1172" i="1"/>
  <c r="BF1172" i="1"/>
  <c r="BT1171" i="1"/>
  <c r="BF1171" i="1"/>
  <c r="BT1170" i="1"/>
  <c r="BF1170" i="1"/>
  <c r="BT1169" i="1"/>
  <c r="BF1169" i="1"/>
  <c r="BT1168" i="1"/>
  <c r="BF1168" i="1"/>
  <c r="BT1167" i="1"/>
  <c r="BF1167" i="1"/>
  <c r="BT1166" i="1"/>
  <c r="BF1166" i="1"/>
  <c r="BT1165" i="1"/>
  <c r="BF1165" i="1"/>
  <c r="BT1164" i="1"/>
  <c r="BF1164" i="1"/>
  <c r="BT1163" i="1"/>
  <c r="BF1163" i="1"/>
  <c r="BT1162" i="1"/>
  <c r="BF1162" i="1"/>
  <c r="BT1161" i="1"/>
  <c r="BF1161" i="1"/>
  <c r="BT1160" i="1"/>
  <c r="BF1160" i="1"/>
  <c r="BT1159" i="1"/>
  <c r="BF1159" i="1"/>
  <c r="BT1158" i="1"/>
  <c r="BF1158" i="1"/>
  <c r="BT1157" i="1"/>
  <c r="BF1157" i="1"/>
  <c r="BT1156" i="1"/>
  <c r="BF1156" i="1"/>
  <c r="BT1155" i="1"/>
  <c r="BF1155" i="1"/>
  <c r="BT1154" i="1"/>
  <c r="BF1154" i="1"/>
  <c r="BT1153" i="1"/>
  <c r="BF1153" i="1"/>
  <c r="BT1152" i="1"/>
  <c r="BF1152" i="1"/>
  <c r="BT1151" i="1"/>
  <c r="BF1151" i="1"/>
  <c r="BT1150" i="1"/>
  <c r="BF1150" i="1"/>
  <c r="BT1149" i="1"/>
  <c r="BF1149" i="1"/>
  <c r="BT1148" i="1"/>
  <c r="BT1147" i="1"/>
  <c r="BF1147" i="1"/>
  <c r="BT1146" i="1"/>
  <c r="BF1146" i="1"/>
  <c r="BT1145" i="1"/>
  <c r="BF1145" i="1"/>
  <c r="BT1144" i="1"/>
  <c r="BF1144" i="1"/>
  <c r="BT1143" i="1"/>
  <c r="BF1143" i="1"/>
  <c r="BT1142" i="1"/>
  <c r="BF1142" i="1"/>
  <c r="BT1141" i="1"/>
  <c r="BF1141" i="1"/>
  <c r="BT1140" i="1"/>
  <c r="BF1140" i="1"/>
  <c r="BT1139" i="1"/>
  <c r="BF1139" i="1"/>
  <c r="BT1138" i="1"/>
  <c r="BF1138" i="1"/>
  <c r="BT1137" i="1"/>
  <c r="BF1137" i="1"/>
  <c r="BT1136" i="1"/>
  <c r="BF1136" i="1"/>
  <c r="BT1135" i="1"/>
  <c r="BF1135" i="1"/>
  <c r="BT1134" i="1"/>
  <c r="BF1134" i="1"/>
  <c r="BT1133" i="1"/>
  <c r="BT1132" i="1"/>
  <c r="BF1132" i="1"/>
  <c r="BT1131" i="1"/>
  <c r="BF1131" i="1"/>
  <c r="BT1130" i="1"/>
  <c r="BF1130" i="1"/>
  <c r="BT1129" i="1"/>
  <c r="BF1129" i="1"/>
  <c r="BT1128" i="1"/>
  <c r="BF1128" i="1"/>
  <c r="BT1127" i="1"/>
  <c r="BF1127" i="1"/>
  <c r="BT1126" i="1"/>
  <c r="BF1126" i="1"/>
  <c r="BT1125" i="1"/>
  <c r="BF1125" i="1"/>
  <c r="BT1124" i="1"/>
  <c r="BF1124" i="1"/>
  <c r="BT1123" i="1"/>
  <c r="BF1123" i="1"/>
  <c r="BT1122" i="1"/>
  <c r="BF1122" i="1"/>
  <c r="BT1121" i="1"/>
  <c r="BF1121" i="1"/>
  <c r="BT1120" i="1"/>
  <c r="BF1120" i="1"/>
  <c r="BT1119" i="1"/>
  <c r="BF1119" i="1"/>
  <c r="BT1118" i="1"/>
  <c r="BF1118" i="1"/>
  <c r="BT1117" i="1"/>
  <c r="BF1117" i="1"/>
  <c r="BT1116" i="1"/>
  <c r="BF1116" i="1"/>
  <c r="BT1115" i="1"/>
  <c r="BF1115" i="1"/>
  <c r="BT1114" i="1"/>
  <c r="BF1114" i="1"/>
  <c r="BT1113" i="1"/>
  <c r="BF1113" i="1"/>
  <c r="BT1112" i="1"/>
  <c r="BF1112" i="1"/>
  <c r="BT1111" i="1"/>
  <c r="BF1111" i="1"/>
  <c r="BT1110" i="1"/>
  <c r="BF1110" i="1"/>
  <c r="BT1109" i="1"/>
  <c r="BF1109" i="1"/>
  <c r="BT1108" i="1"/>
  <c r="BF1108" i="1"/>
  <c r="BT1107" i="1"/>
  <c r="BF1107" i="1"/>
  <c r="BT1106" i="1"/>
  <c r="BF1106" i="1"/>
  <c r="BT1105" i="1"/>
  <c r="BF1105" i="1"/>
  <c r="BT1104" i="1"/>
  <c r="BF1104" i="1"/>
  <c r="BT1103" i="1"/>
  <c r="BF1103" i="1"/>
  <c r="BT1102" i="1"/>
  <c r="BF1102" i="1"/>
  <c r="BT1101" i="1"/>
  <c r="BF1101" i="1"/>
  <c r="BT1100" i="1"/>
  <c r="BF1100" i="1"/>
  <c r="BT1099" i="1"/>
  <c r="BF1099" i="1"/>
  <c r="BT1098" i="1"/>
  <c r="BF1098" i="1"/>
  <c r="BT1097" i="1"/>
  <c r="BF1097" i="1"/>
  <c r="BT1096" i="1"/>
  <c r="BF1096" i="1"/>
  <c r="BT1095" i="1"/>
  <c r="BT1094" i="1"/>
  <c r="BF1094" i="1"/>
  <c r="BT1093" i="1"/>
  <c r="BF1093" i="1"/>
  <c r="BT1092" i="1"/>
  <c r="BF1092" i="1"/>
  <c r="BT1091" i="1"/>
  <c r="BF1091" i="1"/>
  <c r="BT1090" i="1"/>
  <c r="BF1090" i="1"/>
  <c r="BT1089" i="1"/>
  <c r="BF1089" i="1"/>
  <c r="BT1088" i="1"/>
  <c r="BF1088" i="1"/>
  <c r="BT1087" i="1"/>
  <c r="BF1087" i="1"/>
  <c r="BT1086" i="1"/>
  <c r="BF1086" i="1"/>
  <c r="BT1085" i="1"/>
  <c r="BF1085" i="1"/>
  <c r="BT1084" i="1"/>
  <c r="BF1084" i="1"/>
  <c r="BT1083" i="1"/>
  <c r="BF1083" i="1"/>
  <c r="BT1082" i="1"/>
  <c r="BF1082" i="1"/>
  <c r="BT1081" i="1"/>
  <c r="BF1081" i="1"/>
  <c r="BT1080" i="1"/>
  <c r="BF1080" i="1"/>
  <c r="BT1079" i="1"/>
  <c r="BF1079" i="1"/>
  <c r="BT1078" i="1"/>
  <c r="BF1078" i="1"/>
  <c r="BT1077" i="1"/>
  <c r="BF1077" i="1"/>
  <c r="BT1076" i="1"/>
  <c r="BF1076" i="1"/>
  <c r="BT1075" i="1"/>
  <c r="BF1075" i="1"/>
  <c r="BT1074" i="1"/>
  <c r="BF1074" i="1"/>
  <c r="BT1073" i="1"/>
  <c r="BT1072" i="1"/>
  <c r="BF1072" i="1"/>
  <c r="BT1071" i="1"/>
  <c r="BF1071" i="1"/>
  <c r="BT1070" i="1"/>
  <c r="BF1070" i="1"/>
  <c r="BT1069" i="1"/>
  <c r="BF1069" i="1"/>
  <c r="BT1068" i="1"/>
  <c r="BF1068" i="1"/>
  <c r="BT1067" i="1"/>
  <c r="BF1067" i="1"/>
  <c r="BT1066" i="1"/>
  <c r="BF1066" i="1"/>
  <c r="BT1065" i="1"/>
  <c r="BF1065" i="1"/>
  <c r="BT1064" i="1"/>
  <c r="BF1064" i="1"/>
  <c r="BT1063" i="1"/>
  <c r="BF1063" i="1"/>
  <c r="BT1062" i="1"/>
  <c r="BF1062" i="1"/>
  <c r="BT1061" i="1"/>
  <c r="BF1061" i="1"/>
  <c r="BT1060" i="1"/>
  <c r="BF1060" i="1"/>
  <c r="BT1059" i="1"/>
  <c r="BF1059" i="1"/>
  <c r="BT1058" i="1"/>
  <c r="BF1058" i="1"/>
  <c r="BT1057" i="1"/>
  <c r="BF1057" i="1"/>
  <c r="BT1056" i="1"/>
  <c r="BF1056" i="1"/>
  <c r="BT1055" i="1"/>
  <c r="BF1055" i="1"/>
  <c r="BT1054" i="1"/>
  <c r="BF1054" i="1"/>
  <c r="BT1053" i="1"/>
  <c r="BF1053" i="1"/>
  <c r="BT1052" i="1"/>
  <c r="BF1052" i="1"/>
  <c r="BT1051" i="1"/>
  <c r="BF1051" i="1"/>
  <c r="BT1050" i="1"/>
  <c r="BF1050" i="1"/>
  <c r="BT1049" i="1"/>
  <c r="BF1049" i="1"/>
  <c r="BT1048" i="1"/>
  <c r="BF1048" i="1"/>
  <c r="BT1047" i="1"/>
  <c r="BF1047" i="1"/>
  <c r="BT1046" i="1"/>
  <c r="BF1046" i="1"/>
  <c r="BT1045" i="1"/>
  <c r="BF1045" i="1"/>
  <c r="BT1044" i="1"/>
  <c r="BF1044" i="1"/>
  <c r="BT1043" i="1"/>
  <c r="BF1043" i="1"/>
  <c r="BT1042" i="1"/>
  <c r="BF1042" i="1"/>
  <c r="BT1041" i="1"/>
  <c r="BF1041" i="1"/>
  <c r="BT1040" i="1"/>
  <c r="BF1040" i="1"/>
  <c r="BT1039" i="1"/>
  <c r="BF1039" i="1"/>
  <c r="BT1038" i="1"/>
  <c r="BF1038" i="1"/>
  <c r="BT1037" i="1"/>
  <c r="BF1037" i="1"/>
  <c r="BT1036" i="1"/>
  <c r="BF1036" i="1"/>
  <c r="BT1035" i="1"/>
  <c r="BF1035" i="1"/>
  <c r="BT1034" i="1"/>
  <c r="BF1034" i="1"/>
  <c r="BT1033" i="1"/>
  <c r="BF1033" i="1"/>
  <c r="BT1032" i="1"/>
  <c r="BF1032" i="1"/>
  <c r="BT1031" i="1"/>
  <c r="BF1031" i="1"/>
  <c r="BT1030" i="1"/>
  <c r="BF1030" i="1"/>
  <c r="BT1029" i="1"/>
  <c r="BF1029" i="1"/>
  <c r="BT1028" i="1"/>
  <c r="BF1028" i="1"/>
  <c r="BT1027" i="1"/>
  <c r="BF1027" i="1"/>
  <c r="BT1026" i="1"/>
  <c r="BF1026" i="1"/>
  <c r="BT1025" i="1"/>
  <c r="BF1025" i="1"/>
  <c r="BT1024" i="1"/>
  <c r="BF1024" i="1"/>
  <c r="BT1023" i="1"/>
  <c r="BF1023" i="1"/>
  <c r="BT1022" i="1"/>
  <c r="BF1022" i="1"/>
  <c r="BT1021" i="1"/>
  <c r="BF1021" i="1"/>
  <c r="BT1020" i="1"/>
  <c r="BF1020" i="1"/>
  <c r="BT1019" i="1"/>
  <c r="BF1019" i="1"/>
  <c r="BT1018" i="1"/>
  <c r="BF1018" i="1"/>
  <c r="BT1017" i="1"/>
  <c r="BF1017" i="1"/>
  <c r="BT1016" i="1"/>
  <c r="BF1016" i="1"/>
  <c r="BT1015" i="1"/>
  <c r="BF1015" i="1"/>
  <c r="BT1014" i="1"/>
  <c r="BF1014" i="1"/>
  <c r="BT1013" i="1"/>
  <c r="BF1013" i="1"/>
  <c r="BT1012" i="1"/>
  <c r="BF1012" i="1"/>
  <c r="BT1011" i="1"/>
  <c r="BF1011" i="1"/>
  <c r="BT1010" i="1"/>
  <c r="BF1010" i="1"/>
  <c r="BT1009" i="1"/>
  <c r="BF1009" i="1"/>
  <c r="BT1008" i="1"/>
  <c r="BF1008" i="1"/>
  <c r="BT1007" i="1"/>
  <c r="BF1007" i="1"/>
  <c r="BT1006" i="1"/>
  <c r="BF1006" i="1"/>
  <c r="BT1005" i="1"/>
  <c r="BF1005" i="1"/>
  <c r="BT1004" i="1"/>
  <c r="BF1004" i="1"/>
  <c r="BT1003" i="1"/>
  <c r="BF1003" i="1"/>
  <c r="BT1002" i="1"/>
  <c r="BF1002" i="1"/>
  <c r="BF2" i="1"/>
  <c r="BT2" i="1"/>
  <c r="BF3" i="1"/>
  <c r="BT3" i="1"/>
  <c r="BF4" i="1"/>
  <c r="BT4" i="1"/>
  <c r="BF5" i="1"/>
  <c r="BT5" i="1"/>
  <c r="BT6" i="1"/>
  <c r="BF7" i="1"/>
  <c r="BT7" i="1"/>
  <c r="BF8" i="1"/>
  <c r="BT8" i="1"/>
  <c r="BF9" i="1"/>
  <c r="BT9" i="1"/>
  <c r="BF10" i="1"/>
  <c r="BT10" i="1"/>
  <c r="BF11" i="1"/>
  <c r="BT11" i="1"/>
  <c r="BF12" i="1"/>
  <c r="BT12" i="1"/>
  <c r="BF13" i="1"/>
  <c r="BT13" i="1"/>
  <c r="BF14" i="1"/>
  <c r="BT14" i="1"/>
  <c r="BF15" i="1"/>
  <c r="BT15" i="1"/>
  <c r="BF16" i="1"/>
  <c r="BT16" i="1"/>
  <c r="BF17" i="1"/>
  <c r="BT17" i="1"/>
  <c r="BF18" i="1"/>
  <c r="BT18" i="1"/>
  <c r="BF19" i="1"/>
  <c r="BT19" i="1"/>
  <c r="BF20" i="1"/>
  <c r="BT20" i="1"/>
  <c r="BF21" i="1"/>
  <c r="BT21" i="1"/>
  <c r="BF22" i="1"/>
  <c r="BT22" i="1"/>
  <c r="BF23" i="1"/>
  <c r="BT23" i="1"/>
  <c r="BF24" i="1"/>
  <c r="BT24" i="1"/>
  <c r="BF25" i="1"/>
  <c r="BT25" i="1"/>
  <c r="BF26" i="1"/>
  <c r="BT26" i="1"/>
  <c r="BF27" i="1"/>
  <c r="BT27" i="1"/>
  <c r="BF28" i="1"/>
  <c r="BT28" i="1"/>
  <c r="BF29" i="1"/>
  <c r="BT29" i="1"/>
  <c r="BF30" i="1"/>
  <c r="BT30" i="1"/>
  <c r="BF31" i="1"/>
  <c r="BT31" i="1"/>
  <c r="BF32" i="1"/>
  <c r="BT32" i="1"/>
  <c r="BF33" i="1"/>
  <c r="BT33" i="1"/>
  <c r="BF34" i="1"/>
  <c r="BT34" i="1"/>
  <c r="BF35" i="1"/>
  <c r="BT35" i="1"/>
  <c r="BF36" i="1"/>
  <c r="BT36" i="1"/>
  <c r="BF37" i="1"/>
  <c r="BT37" i="1"/>
  <c r="BF38" i="1"/>
  <c r="BT38" i="1"/>
  <c r="BF39" i="1"/>
  <c r="BT39" i="1"/>
  <c r="BF40" i="1"/>
  <c r="BT40" i="1"/>
  <c r="BF41" i="1"/>
  <c r="BT41" i="1"/>
  <c r="BF42" i="1"/>
  <c r="BT42" i="1"/>
  <c r="BF43" i="1"/>
  <c r="BT43" i="1"/>
  <c r="BF44" i="1"/>
  <c r="BT44" i="1"/>
  <c r="BF45" i="1"/>
  <c r="BT45" i="1"/>
  <c r="BF46" i="1"/>
  <c r="BT46" i="1"/>
  <c r="BF47" i="1"/>
  <c r="BT47" i="1"/>
  <c r="BF48" i="1"/>
  <c r="BT48" i="1"/>
  <c r="BF49" i="1"/>
  <c r="BT49" i="1"/>
  <c r="BF50" i="1"/>
  <c r="BT50" i="1"/>
  <c r="BF51" i="1"/>
  <c r="BT51" i="1"/>
  <c r="BF52" i="1"/>
  <c r="BT52" i="1"/>
  <c r="BF53" i="1"/>
  <c r="BT53" i="1"/>
  <c r="BF54" i="1"/>
  <c r="BT54" i="1"/>
  <c r="BT55" i="1"/>
  <c r="BF56" i="1"/>
  <c r="BT56" i="1"/>
  <c r="BF57" i="1"/>
  <c r="BT57" i="1"/>
  <c r="BF58" i="1"/>
  <c r="BT58" i="1"/>
  <c r="BF59" i="1"/>
  <c r="BT59" i="1"/>
  <c r="BF60" i="1"/>
  <c r="BT60" i="1"/>
  <c r="BF61" i="1"/>
  <c r="BT61" i="1"/>
  <c r="BF62" i="1"/>
  <c r="BT62" i="1"/>
  <c r="BT63" i="1"/>
  <c r="BF64" i="1"/>
  <c r="BT64" i="1"/>
  <c r="BF65" i="1"/>
  <c r="BT65" i="1"/>
  <c r="BF66" i="1"/>
  <c r="BT66" i="1"/>
  <c r="BT67" i="1"/>
  <c r="BF68" i="1"/>
  <c r="BT68" i="1"/>
  <c r="BF69" i="1"/>
  <c r="BT69" i="1"/>
  <c r="BF70" i="1"/>
  <c r="BT70" i="1"/>
  <c r="BF71" i="1"/>
  <c r="BT71" i="1"/>
  <c r="BF72" i="1"/>
  <c r="BT72" i="1"/>
  <c r="BF73" i="1"/>
  <c r="BT73" i="1"/>
  <c r="BF74" i="1"/>
  <c r="BT74" i="1"/>
  <c r="BF75" i="1"/>
  <c r="BT75" i="1"/>
  <c r="BF76" i="1"/>
  <c r="BT76" i="1"/>
  <c r="BF77" i="1"/>
  <c r="BT77" i="1"/>
  <c r="BF78" i="1"/>
  <c r="BT78" i="1"/>
  <c r="BF79" i="1"/>
  <c r="BT79" i="1"/>
  <c r="BT80" i="1"/>
  <c r="BF81" i="1"/>
  <c r="BT81" i="1"/>
  <c r="BF82" i="1"/>
  <c r="BT82" i="1"/>
  <c r="BF83" i="1"/>
  <c r="BT83" i="1"/>
  <c r="BF84" i="1"/>
  <c r="BT84" i="1"/>
  <c r="BF85" i="1"/>
  <c r="BT85" i="1"/>
  <c r="BF86" i="1"/>
  <c r="BT86" i="1"/>
  <c r="BF87" i="1"/>
  <c r="BT87" i="1"/>
  <c r="BF88" i="1"/>
  <c r="BT88" i="1"/>
  <c r="BF89" i="1"/>
  <c r="BT89" i="1"/>
  <c r="BF90" i="1"/>
  <c r="BT90" i="1"/>
  <c r="BF91" i="1"/>
  <c r="BT91" i="1"/>
  <c r="BF92" i="1"/>
  <c r="BT92" i="1"/>
  <c r="BF93" i="1"/>
  <c r="BT93" i="1"/>
  <c r="BF94" i="1"/>
  <c r="BT94" i="1"/>
  <c r="BF95" i="1"/>
  <c r="BT95" i="1"/>
  <c r="BF96" i="1"/>
  <c r="BT96" i="1"/>
  <c r="BF97" i="1"/>
  <c r="BT97" i="1"/>
  <c r="BF98" i="1"/>
  <c r="BT98" i="1"/>
  <c r="BF99" i="1"/>
  <c r="BT99" i="1"/>
  <c r="BF100" i="1"/>
  <c r="BT100" i="1"/>
  <c r="BF101" i="1"/>
  <c r="BT101" i="1"/>
  <c r="BF102" i="1"/>
  <c r="BT102" i="1"/>
  <c r="BF103" i="1"/>
  <c r="BT103" i="1"/>
  <c r="BF104" i="1"/>
  <c r="BT104" i="1"/>
  <c r="BF105" i="1"/>
  <c r="BT105" i="1"/>
  <c r="BF106" i="1"/>
  <c r="BT106" i="1"/>
  <c r="BF107" i="1"/>
  <c r="BT107" i="1"/>
  <c r="BF108" i="1"/>
  <c r="BT108" i="1"/>
  <c r="BF109" i="1"/>
  <c r="BT109" i="1"/>
  <c r="BF110" i="1"/>
  <c r="BT110" i="1"/>
  <c r="BF111" i="1"/>
  <c r="BT111" i="1"/>
  <c r="BF112" i="1"/>
  <c r="BT112" i="1"/>
  <c r="BF113" i="1"/>
  <c r="BT113" i="1"/>
  <c r="BF114" i="1"/>
  <c r="BT114" i="1"/>
  <c r="BF115" i="1"/>
  <c r="BT115" i="1"/>
  <c r="BF116" i="1"/>
  <c r="BT116" i="1"/>
  <c r="BF117" i="1"/>
  <c r="BT117" i="1"/>
  <c r="BF118" i="1"/>
  <c r="BT118" i="1"/>
  <c r="BF119" i="1"/>
  <c r="BT119" i="1"/>
  <c r="BF120" i="1"/>
  <c r="BT120" i="1"/>
  <c r="BF121" i="1"/>
  <c r="BT121" i="1"/>
  <c r="BF122" i="1"/>
  <c r="BT122" i="1"/>
  <c r="BF123" i="1"/>
  <c r="BT123" i="1"/>
  <c r="BF124" i="1"/>
  <c r="BT124" i="1"/>
  <c r="BF125" i="1"/>
  <c r="BT125" i="1"/>
  <c r="BF126" i="1"/>
  <c r="BT126" i="1"/>
  <c r="BF127" i="1"/>
  <c r="BT127" i="1"/>
  <c r="BF128" i="1"/>
  <c r="BT128" i="1"/>
  <c r="BF129" i="1"/>
  <c r="BT129" i="1"/>
  <c r="BF130" i="1"/>
  <c r="BT130" i="1"/>
  <c r="BF131" i="1"/>
  <c r="BT131" i="1"/>
  <c r="BF132" i="1"/>
  <c r="BT132" i="1"/>
  <c r="BF133" i="1"/>
  <c r="BT133" i="1"/>
  <c r="BF134" i="1"/>
  <c r="BT134" i="1"/>
  <c r="BF135" i="1"/>
  <c r="BT135" i="1"/>
  <c r="BF136" i="1"/>
  <c r="BT136" i="1"/>
  <c r="BF137" i="1"/>
  <c r="BT137" i="1"/>
  <c r="BF138" i="1"/>
  <c r="BT138" i="1"/>
  <c r="BF139" i="1"/>
  <c r="BT139" i="1"/>
  <c r="BF140" i="1"/>
  <c r="BT140" i="1"/>
  <c r="BF141" i="1"/>
  <c r="BT141" i="1"/>
  <c r="BF142" i="1"/>
  <c r="BT142" i="1"/>
  <c r="BF143" i="1"/>
  <c r="BT143" i="1"/>
  <c r="BF144" i="1"/>
  <c r="BT144" i="1"/>
  <c r="BF145" i="1"/>
  <c r="BT145" i="1"/>
  <c r="BF146" i="1"/>
  <c r="BT146" i="1"/>
  <c r="BF147" i="1"/>
  <c r="BT147" i="1"/>
  <c r="BF148" i="1"/>
  <c r="BT148" i="1"/>
  <c r="BF149" i="1"/>
  <c r="BT149" i="1"/>
  <c r="BF150" i="1"/>
  <c r="BT150" i="1"/>
  <c r="BF151" i="1"/>
  <c r="BT151" i="1"/>
  <c r="BF152" i="1"/>
  <c r="BT152" i="1"/>
  <c r="BF153" i="1"/>
  <c r="BT153" i="1"/>
  <c r="BF154" i="1"/>
  <c r="BT154" i="1"/>
  <c r="BF155" i="1"/>
  <c r="BT155" i="1"/>
  <c r="BF156" i="1"/>
  <c r="BT156" i="1"/>
  <c r="BF157" i="1"/>
  <c r="BT157" i="1"/>
  <c r="BF158" i="1"/>
  <c r="BT158" i="1"/>
  <c r="BF159" i="1"/>
  <c r="BT159" i="1"/>
  <c r="BF160" i="1"/>
  <c r="BT160" i="1"/>
  <c r="BF161" i="1"/>
  <c r="BT161" i="1"/>
  <c r="BF162" i="1"/>
  <c r="BT162" i="1"/>
  <c r="BF163" i="1"/>
  <c r="BT163" i="1"/>
  <c r="BF164" i="1"/>
  <c r="BT164" i="1"/>
  <c r="BF165" i="1"/>
  <c r="BT165" i="1"/>
  <c r="BF166" i="1"/>
  <c r="BT166" i="1"/>
  <c r="BF167" i="1"/>
  <c r="BT167" i="1"/>
  <c r="BF168" i="1"/>
  <c r="BT168" i="1"/>
  <c r="BF169" i="1"/>
  <c r="BT169" i="1"/>
  <c r="BF170" i="1"/>
  <c r="BT170" i="1"/>
  <c r="BT171" i="1"/>
  <c r="BF172" i="1"/>
  <c r="BT172" i="1"/>
  <c r="BF173" i="1"/>
  <c r="BT173" i="1"/>
  <c r="BF174" i="1"/>
  <c r="BT174" i="1"/>
  <c r="BF175" i="1"/>
  <c r="BT175" i="1"/>
  <c r="BF176" i="1"/>
  <c r="BT176" i="1"/>
  <c r="BF177" i="1"/>
  <c r="BT177" i="1"/>
  <c r="BF178" i="1"/>
  <c r="BT178" i="1"/>
  <c r="BF179" i="1"/>
  <c r="BT179" i="1"/>
  <c r="BF180" i="1"/>
  <c r="BT180" i="1"/>
  <c r="BF181" i="1"/>
  <c r="BT181" i="1"/>
  <c r="BF182" i="1"/>
  <c r="BT182" i="1"/>
  <c r="BF183" i="1"/>
  <c r="BT183" i="1"/>
  <c r="BF184" i="1"/>
  <c r="BT184" i="1"/>
  <c r="BF185" i="1"/>
  <c r="BT185" i="1"/>
  <c r="BF186" i="1"/>
  <c r="BT186" i="1"/>
  <c r="BF187" i="1"/>
  <c r="BT187" i="1"/>
  <c r="BF188" i="1"/>
  <c r="BT188" i="1"/>
  <c r="BF189" i="1"/>
  <c r="BT189" i="1"/>
  <c r="BF190" i="1"/>
  <c r="BT190" i="1"/>
  <c r="BF191" i="1"/>
  <c r="BT191" i="1"/>
  <c r="BF192" i="1"/>
  <c r="BT192" i="1"/>
  <c r="BF193" i="1"/>
  <c r="BT193" i="1"/>
  <c r="BF194" i="1"/>
  <c r="BT194" i="1"/>
  <c r="BF195" i="1"/>
  <c r="BT195" i="1"/>
  <c r="BF196" i="1"/>
  <c r="BT196" i="1"/>
  <c r="BF197" i="1"/>
  <c r="BT197" i="1"/>
  <c r="BF198" i="1"/>
  <c r="BT198" i="1"/>
  <c r="BF199" i="1"/>
  <c r="BT199" i="1"/>
  <c r="BF200" i="1"/>
  <c r="BT200" i="1"/>
  <c r="BF201" i="1"/>
  <c r="BT201" i="1"/>
  <c r="BF202" i="1"/>
  <c r="BT202" i="1"/>
  <c r="BF203" i="1"/>
  <c r="BT203" i="1"/>
  <c r="BF204" i="1"/>
  <c r="BT204" i="1"/>
  <c r="BF205" i="1"/>
  <c r="BT205" i="1"/>
  <c r="BF206" i="1"/>
  <c r="BT206" i="1"/>
  <c r="BF207" i="1"/>
  <c r="BT207" i="1"/>
  <c r="BF208" i="1"/>
  <c r="BT208" i="1"/>
  <c r="BF209" i="1"/>
  <c r="BT209" i="1"/>
  <c r="BF210" i="1"/>
  <c r="BT210" i="1"/>
  <c r="BF211" i="1"/>
  <c r="BT211" i="1"/>
  <c r="BF212" i="1"/>
  <c r="BT212" i="1"/>
  <c r="BF213" i="1"/>
  <c r="BT213" i="1"/>
  <c r="BF214" i="1"/>
  <c r="BT214" i="1"/>
  <c r="BF215" i="1"/>
  <c r="BT215" i="1"/>
  <c r="BF216" i="1"/>
  <c r="BT216" i="1"/>
  <c r="BF217" i="1"/>
  <c r="BT217" i="1"/>
  <c r="BF218" i="1"/>
  <c r="BT218" i="1"/>
  <c r="BF219" i="1"/>
  <c r="BT219" i="1"/>
  <c r="BF220" i="1"/>
  <c r="BT220" i="1"/>
  <c r="BF221" i="1"/>
  <c r="BT221" i="1"/>
  <c r="BF222" i="1"/>
  <c r="BT222" i="1"/>
  <c r="BF223" i="1"/>
  <c r="BT223" i="1"/>
  <c r="BF224" i="1"/>
  <c r="BT224" i="1"/>
  <c r="BF225" i="1"/>
  <c r="BT225" i="1"/>
  <c r="BF226" i="1"/>
  <c r="BT226" i="1"/>
  <c r="BF227" i="1"/>
  <c r="BT227" i="1"/>
  <c r="BF228" i="1"/>
  <c r="BT228" i="1"/>
  <c r="BF229" i="1"/>
  <c r="BT229" i="1"/>
  <c r="BF230" i="1"/>
  <c r="BT230" i="1"/>
  <c r="BF231" i="1"/>
  <c r="BT231" i="1"/>
  <c r="BF232" i="1"/>
  <c r="BT232" i="1"/>
  <c r="BF233" i="1"/>
  <c r="BT233" i="1"/>
  <c r="BF234" i="1"/>
  <c r="BT234" i="1"/>
  <c r="BF235" i="1"/>
  <c r="BT235" i="1"/>
  <c r="BF236" i="1"/>
  <c r="BT236" i="1"/>
  <c r="BF237" i="1"/>
  <c r="BT237" i="1"/>
  <c r="BF238" i="1"/>
  <c r="BT238" i="1"/>
  <c r="BF239" i="1"/>
  <c r="BT239" i="1"/>
  <c r="BF240" i="1"/>
  <c r="BT240" i="1"/>
  <c r="BF241" i="1"/>
  <c r="BT241" i="1"/>
  <c r="BF242" i="1"/>
  <c r="BT242" i="1"/>
  <c r="BF243" i="1"/>
  <c r="BT243" i="1"/>
  <c r="BF244" i="1"/>
  <c r="BT244" i="1"/>
  <c r="BF245" i="1"/>
  <c r="BT245" i="1"/>
  <c r="BF246" i="1"/>
  <c r="BT246" i="1"/>
  <c r="BF247" i="1"/>
  <c r="BT247" i="1"/>
  <c r="BF248" i="1"/>
  <c r="BT248" i="1"/>
  <c r="BF249" i="1"/>
  <c r="BT249" i="1"/>
  <c r="BF250" i="1"/>
  <c r="BT250" i="1"/>
  <c r="BF251" i="1"/>
  <c r="BT251" i="1"/>
  <c r="BF252" i="1"/>
  <c r="BT252" i="1"/>
  <c r="BF253" i="1"/>
  <c r="BT253" i="1"/>
  <c r="BF254" i="1"/>
  <c r="BT254" i="1"/>
  <c r="BF255" i="1"/>
  <c r="BT255" i="1"/>
  <c r="BF256" i="1"/>
  <c r="BT256" i="1"/>
  <c r="BF257" i="1"/>
  <c r="BT257" i="1"/>
  <c r="BF258" i="1"/>
  <c r="BT258" i="1"/>
  <c r="BF259" i="1"/>
  <c r="BT259" i="1"/>
  <c r="BF260" i="1"/>
  <c r="BT260" i="1"/>
  <c r="BF261" i="1"/>
  <c r="BT261" i="1"/>
  <c r="BF262" i="1"/>
  <c r="BT262" i="1"/>
  <c r="BF263" i="1"/>
  <c r="BT263" i="1"/>
  <c r="BF264" i="1"/>
  <c r="BT264" i="1"/>
  <c r="BF265" i="1"/>
  <c r="BT265" i="1"/>
  <c r="BF266" i="1"/>
  <c r="BT266" i="1"/>
  <c r="BF267" i="1"/>
  <c r="BT267" i="1"/>
  <c r="BF268" i="1"/>
  <c r="BT268" i="1"/>
  <c r="BF269" i="1"/>
  <c r="BT269" i="1"/>
  <c r="BF270" i="1"/>
  <c r="BT270" i="1"/>
  <c r="BF271" i="1"/>
  <c r="BT271" i="1"/>
  <c r="BF272" i="1"/>
  <c r="BT272" i="1"/>
  <c r="BF273" i="1"/>
  <c r="BT273" i="1"/>
  <c r="BT274" i="1"/>
  <c r="BF275" i="1"/>
  <c r="BT275" i="1"/>
  <c r="BF276" i="1"/>
  <c r="BT276" i="1"/>
  <c r="BF277" i="1"/>
  <c r="BT277" i="1"/>
  <c r="BF278" i="1"/>
  <c r="BT278" i="1"/>
  <c r="BF279" i="1"/>
  <c r="BT279" i="1"/>
  <c r="BF280" i="1"/>
  <c r="BT280" i="1"/>
  <c r="BF281" i="1"/>
  <c r="BT281" i="1"/>
  <c r="BF282" i="1"/>
  <c r="BT282" i="1"/>
  <c r="BF283" i="1"/>
  <c r="BT283" i="1"/>
  <c r="BF284" i="1"/>
  <c r="BT284" i="1"/>
  <c r="BF285" i="1"/>
  <c r="BT285" i="1"/>
  <c r="BF286" i="1"/>
  <c r="BT286" i="1"/>
  <c r="BF287" i="1"/>
  <c r="BT287" i="1"/>
  <c r="BF288" i="1"/>
  <c r="BT288" i="1"/>
  <c r="BF289" i="1"/>
  <c r="BT289" i="1"/>
  <c r="BF290" i="1"/>
  <c r="BT290" i="1"/>
  <c r="BF291" i="1"/>
  <c r="BT291" i="1"/>
  <c r="BF292" i="1"/>
  <c r="BT292" i="1"/>
  <c r="BF293" i="1"/>
  <c r="BT293" i="1"/>
  <c r="BF294" i="1"/>
  <c r="BT294" i="1"/>
  <c r="BF295" i="1"/>
  <c r="BT295" i="1"/>
  <c r="BF296" i="1"/>
  <c r="BT296" i="1"/>
  <c r="BF297" i="1"/>
  <c r="BT297" i="1"/>
  <c r="BF298" i="1"/>
  <c r="BT298" i="1"/>
  <c r="BF299" i="1"/>
  <c r="BT299" i="1"/>
  <c r="BF300" i="1"/>
  <c r="BT300" i="1"/>
  <c r="BF301" i="1"/>
  <c r="BT301" i="1"/>
  <c r="BF302" i="1"/>
  <c r="BT302" i="1"/>
  <c r="BF303" i="1"/>
  <c r="BT303" i="1"/>
  <c r="BF304" i="1"/>
  <c r="BT304" i="1"/>
  <c r="BF305" i="1"/>
  <c r="BT305" i="1"/>
  <c r="BF306" i="1"/>
  <c r="BT306" i="1"/>
  <c r="BF307" i="1"/>
  <c r="BT307" i="1"/>
  <c r="BF308" i="1"/>
  <c r="BT308" i="1"/>
  <c r="BF309" i="1"/>
  <c r="BT309" i="1"/>
  <c r="BF310" i="1"/>
  <c r="BT310" i="1"/>
  <c r="BF311" i="1"/>
  <c r="BT311" i="1"/>
  <c r="BF312" i="1"/>
  <c r="BT312" i="1"/>
  <c r="BF313" i="1"/>
  <c r="BT313" i="1"/>
  <c r="BF314" i="1"/>
  <c r="BT314" i="1"/>
  <c r="BF315" i="1"/>
  <c r="BT315" i="1"/>
  <c r="BF316" i="1"/>
  <c r="BT316" i="1"/>
  <c r="BF317" i="1"/>
  <c r="BT317" i="1"/>
  <c r="BF318" i="1"/>
  <c r="BT318" i="1"/>
  <c r="BF319" i="1"/>
  <c r="BT319" i="1"/>
  <c r="BF320" i="1"/>
  <c r="BT320" i="1"/>
  <c r="BF321" i="1"/>
  <c r="BT321" i="1"/>
  <c r="BF322" i="1"/>
  <c r="BT322" i="1"/>
  <c r="BF323" i="1"/>
  <c r="BT323" i="1"/>
  <c r="BF324" i="1"/>
  <c r="BT324" i="1"/>
  <c r="BF325" i="1"/>
  <c r="BT325" i="1"/>
  <c r="BF326" i="1"/>
  <c r="BT326" i="1"/>
  <c r="BF327" i="1"/>
  <c r="BT327" i="1"/>
  <c r="BF328" i="1"/>
  <c r="BT328" i="1"/>
  <c r="BF329" i="1"/>
  <c r="BT329" i="1"/>
  <c r="BF330" i="1"/>
  <c r="BT330" i="1"/>
  <c r="BF331" i="1"/>
  <c r="BT331" i="1"/>
  <c r="BF332" i="1"/>
  <c r="BT332" i="1"/>
  <c r="BF333" i="1"/>
  <c r="BT333" i="1"/>
  <c r="BF334" i="1"/>
  <c r="BT334" i="1"/>
  <c r="BF335" i="1"/>
  <c r="BT335" i="1"/>
  <c r="BF336" i="1"/>
  <c r="BT336" i="1"/>
  <c r="BF337" i="1"/>
  <c r="BT337" i="1"/>
  <c r="BF338" i="1"/>
  <c r="BT338" i="1"/>
  <c r="BF339" i="1"/>
  <c r="BT339" i="1"/>
  <c r="BF340" i="1"/>
  <c r="BT340" i="1"/>
  <c r="BF341" i="1"/>
  <c r="BT341" i="1"/>
  <c r="BF342" i="1"/>
  <c r="BT342" i="1"/>
  <c r="BF343" i="1"/>
  <c r="BT343" i="1"/>
  <c r="BF344" i="1"/>
  <c r="BT344" i="1"/>
  <c r="BF345" i="1"/>
  <c r="BT345" i="1"/>
  <c r="BF346" i="1"/>
  <c r="BT346" i="1"/>
  <c r="BF347" i="1"/>
  <c r="BT347" i="1"/>
  <c r="BF348" i="1"/>
  <c r="BT348" i="1"/>
  <c r="BF349" i="1"/>
  <c r="BT349" i="1"/>
  <c r="BF350" i="1"/>
  <c r="BT350" i="1"/>
  <c r="BF351" i="1"/>
  <c r="BT351" i="1"/>
  <c r="BF352" i="1"/>
  <c r="BT352" i="1"/>
  <c r="BF353" i="1"/>
  <c r="BT353" i="1"/>
  <c r="BF354" i="1"/>
  <c r="BT354" i="1"/>
  <c r="BF355" i="1"/>
  <c r="BT355" i="1"/>
  <c r="BF356" i="1"/>
  <c r="BT356" i="1"/>
  <c r="BF357" i="1"/>
  <c r="BT357" i="1"/>
  <c r="BF358" i="1"/>
  <c r="BT358" i="1"/>
  <c r="BF359" i="1"/>
  <c r="BT359" i="1"/>
  <c r="BF360" i="1"/>
  <c r="BT360" i="1"/>
  <c r="BF361" i="1"/>
  <c r="BT361" i="1"/>
  <c r="BF362" i="1"/>
  <c r="BT362" i="1"/>
  <c r="BF363" i="1"/>
  <c r="BT363" i="1"/>
  <c r="BF364" i="1"/>
  <c r="BT364" i="1"/>
  <c r="BF365" i="1"/>
  <c r="BT365" i="1"/>
  <c r="BF366" i="1"/>
  <c r="BT366" i="1"/>
  <c r="BF367" i="1"/>
  <c r="BT367" i="1"/>
  <c r="BF368" i="1"/>
  <c r="BT368" i="1"/>
  <c r="BF369" i="1"/>
  <c r="BT369" i="1"/>
  <c r="BF370" i="1"/>
  <c r="BT370" i="1"/>
  <c r="BF371" i="1"/>
  <c r="BT371" i="1"/>
  <c r="BF372" i="1"/>
  <c r="BT372" i="1"/>
  <c r="BF373" i="1"/>
  <c r="BT373" i="1"/>
  <c r="BF374" i="1"/>
  <c r="BT374" i="1"/>
  <c r="BF375" i="1"/>
  <c r="BT375" i="1"/>
  <c r="BF376" i="1"/>
  <c r="BT376" i="1"/>
  <c r="BF377" i="1"/>
  <c r="BT377" i="1"/>
  <c r="BF378" i="1"/>
  <c r="BT378" i="1"/>
  <c r="BF379" i="1"/>
  <c r="BT379" i="1"/>
  <c r="BF380" i="1"/>
  <c r="BT380" i="1"/>
  <c r="BF381" i="1"/>
  <c r="BT381" i="1"/>
  <c r="BF382" i="1"/>
  <c r="BT382" i="1"/>
  <c r="BF383" i="1"/>
  <c r="BT383" i="1"/>
  <c r="BF384" i="1"/>
  <c r="BT384" i="1"/>
  <c r="BF385" i="1"/>
  <c r="BT385" i="1"/>
  <c r="BF386" i="1"/>
  <c r="BT386" i="1"/>
  <c r="BF387" i="1"/>
  <c r="BT387" i="1"/>
  <c r="BF388" i="1"/>
  <c r="BT388" i="1"/>
  <c r="BF389" i="1"/>
  <c r="BT389" i="1"/>
  <c r="BF390" i="1"/>
  <c r="BT390" i="1"/>
  <c r="BF391" i="1"/>
  <c r="BT391" i="1"/>
  <c r="BF392" i="1"/>
  <c r="BT392" i="1"/>
  <c r="BF393" i="1"/>
  <c r="BT393" i="1"/>
  <c r="BF394" i="1"/>
  <c r="BT394" i="1"/>
  <c r="BF395" i="1"/>
  <c r="BT395" i="1"/>
  <c r="BF396" i="1"/>
  <c r="BT396" i="1"/>
  <c r="BF397" i="1"/>
  <c r="BT397" i="1"/>
  <c r="BF398" i="1"/>
  <c r="BT398" i="1"/>
  <c r="BF399" i="1"/>
  <c r="BT399" i="1"/>
  <c r="BF400" i="1"/>
  <c r="BT400" i="1"/>
  <c r="BF401" i="1"/>
  <c r="BT401" i="1"/>
  <c r="BF402" i="1"/>
  <c r="BT402" i="1"/>
  <c r="BF403" i="1"/>
  <c r="BT403" i="1"/>
  <c r="BF404" i="1"/>
  <c r="BT404" i="1"/>
  <c r="BF405" i="1"/>
  <c r="BT405" i="1"/>
  <c r="BF406" i="1"/>
  <c r="BT406" i="1"/>
  <c r="BF407" i="1"/>
  <c r="BT407" i="1"/>
  <c r="BF408" i="1"/>
  <c r="BT408" i="1"/>
  <c r="BF409" i="1"/>
  <c r="BT409" i="1"/>
  <c r="BF410" i="1"/>
  <c r="BT410" i="1"/>
  <c r="BF411" i="1"/>
  <c r="BT411" i="1"/>
  <c r="BF412" i="1"/>
  <c r="BT412" i="1"/>
  <c r="BF413" i="1"/>
  <c r="BT413" i="1"/>
  <c r="BF414" i="1"/>
  <c r="BT414" i="1"/>
  <c r="BF415" i="1"/>
  <c r="BT415" i="1"/>
  <c r="BF416" i="1"/>
  <c r="BT416" i="1"/>
  <c r="BF417" i="1"/>
  <c r="BT417" i="1"/>
  <c r="BF418" i="1"/>
  <c r="BT418" i="1"/>
  <c r="BF419" i="1"/>
  <c r="BT419" i="1"/>
  <c r="BF420" i="1"/>
  <c r="BT420" i="1"/>
  <c r="BF421" i="1"/>
  <c r="BT421" i="1"/>
  <c r="BF422" i="1"/>
  <c r="BT422" i="1"/>
  <c r="BF423" i="1"/>
  <c r="BT423" i="1"/>
  <c r="BF424" i="1"/>
  <c r="BT424" i="1"/>
  <c r="BF425" i="1"/>
  <c r="BT425" i="1"/>
  <c r="BF426" i="1"/>
  <c r="BT426" i="1"/>
  <c r="BF427" i="1"/>
  <c r="BT427" i="1"/>
  <c r="BF428" i="1"/>
  <c r="BT428" i="1"/>
  <c r="BF429" i="1"/>
  <c r="BT429" i="1"/>
  <c r="BF430" i="1"/>
  <c r="BT430" i="1"/>
  <c r="BF431" i="1"/>
  <c r="BT431" i="1"/>
  <c r="BF432" i="1"/>
  <c r="BT432" i="1"/>
  <c r="BF433" i="1"/>
  <c r="BT433" i="1"/>
  <c r="BF434" i="1"/>
  <c r="BT434" i="1"/>
  <c r="BF435" i="1"/>
  <c r="BT435" i="1"/>
  <c r="BF436" i="1"/>
  <c r="BT436" i="1"/>
  <c r="BF437" i="1"/>
  <c r="BT437" i="1"/>
  <c r="BF438" i="1"/>
  <c r="BT438" i="1"/>
  <c r="BF439" i="1"/>
  <c r="BT439" i="1"/>
  <c r="BF440" i="1"/>
  <c r="BT440" i="1"/>
  <c r="BF441" i="1"/>
  <c r="BT441" i="1"/>
  <c r="BF442" i="1"/>
  <c r="BT442" i="1"/>
  <c r="BF443" i="1"/>
  <c r="BT443" i="1"/>
  <c r="BF444" i="1"/>
  <c r="BT444" i="1"/>
  <c r="BF445" i="1"/>
  <c r="BT445" i="1"/>
  <c r="BF446" i="1"/>
  <c r="BT446" i="1"/>
  <c r="BF447" i="1"/>
  <c r="BT447" i="1"/>
  <c r="BF448" i="1"/>
  <c r="BT448" i="1"/>
  <c r="BF449" i="1"/>
  <c r="BT449" i="1"/>
  <c r="BF450" i="1"/>
  <c r="BT450" i="1"/>
  <c r="BF451" i="1"/>
  <c r="BT451" i="1"/>
  <c r="BF452" i="1"/>
  <c r="BT452" i="1"/>
  <c r="BF453" i="1"/>
  <c r="BT453" i="1"/>
  <c r="BF454" i="1"/>
  <c r="BT454" i="1"/>
  <c r="BF455" i="1"/>
  <c r="BT455" i="1"/>
  <c r="BF456" i="1"/>
  <c r="BT456" i="1"/>
  <c r="BF457" i="1"/>
  <c r="BT457" i="1"/>
  <c r="BF458" i="1"/>
  <c r="BT458" i="1"/>
  <c r="BF459" i="1"/>
  <c r="BT459" i="1"/>
  <c r="BF460" i="1"/>
  <c r="BT460" i="1"/>
  <c r="BF461" i="1"/>
  <c r="BT461" i="1"/>
  <c r="BF462" i="1"/>
  <c r="BT462" i="1"/>
  <c r="BF463" i="1"/>
  <c r="BT463" i="1"/>
  <c r="BF464" i="1"/>
  <c r="BT464" i="1"/>
  <c r="BF465" i="1"/>
  <c r="BT465" i="1"/>
  <c r="BF466" i="1"/>
  <c r="BT466" i="1"/>
  <c r="BF467" i="1"/>
  <c r="BT467" i="1"/>
  <c r="BF468" i="1"/>
  <c r="BT468" i="1"/>
  <c r="BF469" i="1"/>
  <c r="BT469" i="1"/>
  <c r="BF470" i="1"/>
  <c r="BT470" i="1"/>
  <c r="BF471" i="1"/>
  <c r="BT471" i="1"/>
  <c r="BF472" i="1"/>
  <c r="BT472" i="1"/>
  <c r="BF473" i="1"/>
  <c r="BT473" i="1"/>
  <c r="BF474" i="1"/>
  <c r="BT474" i="1"/>
  <c r="BF475" i="1"/>
  <c r="BT475" i="1"/>
  <c r="BF476" i="1"/>
  <c r="BT476" i="1"/>
  <c r="BF477" i="1"/>
  <c r="BT477" i="1"/>
  <c r="BF478" i="1"/>
  <c r="BT478" i="1"/>
  <c r="BF479" i="1"/>
  <c r="BT479" i="1"/>
  <c r="BF480" i="1"/>
  <c r="BT480" i="1"/>
  <c r="BF481" i="1"/>
  <c r="BT481" i="1"/>
  <c r="BF482" i="1"/>
  <c r="BT482" i="1"/>
  <c r="BF483" i="1"/>
  <c r="BT483" i="1"/>
  <c r="BF484" i="1"/>
  <c r="BT484" i="1"/>
  <c r="BF485" i="1"/>
  <c r="BT485" i="1"/>
  <c r="BF486" i="1"/>
  <c r="BT486" i="1"/>
  <c r="BF487" i="1"/>
  <c r="BT487" i="1"/>
  <c r="BF488" i="1"/>
  <c r="BT488" i="1"/>
  <c r="BF489" i="1"/>
  <c r="BT489" i="1"/>
  <c r="BF490" i="1"/>
  <c r="BT490" i="1"/>
  <c r="BF491" i="1"/>
  <c r="BT491" i="1"/>
  <c r="BF492" i="1"/>
  <c r="BT492" i="1"/>
  <c r="BF493" i="1"/>
  <c r="BT493" i="1"/>
  <c r="BF494" i="1"/>
  <c r="BT494" i="1"/>
  <c r="BF495" i="1"/>
  <c r="BT495" i="1"/>
  <c r="BF496" i="1"/>
  <c r="BT496" i="1"/>
  <c r="BF497" i="1"/>
  <c r="BT497" i="1"/>
  <c r="BF498" i="1"/>
  <c r="BT498" i="1"/>
  <c r="BF499" i="1"/>
  <c r="BT499" i="1"/>
  <c r="BF500" i="1"/>
  <c r="BT500" i="1"/>
  <c r="BF501" i="1"/>
  <c r="BT501" i="1"/>
  <c r="BF502" i="1"/>
  <c r="BT502" i="1"/>
  <c r="BF503" i="1"/>
  <c r="BT503" i="1"/>
  <c r="BF504" i="1"/>
  <c r="BT504" i="1"/>
  <c r="BF505" i="1"/>
  <c r="BT505" i="1"/>
  <c r="BF506" i="1"/>
  <c r="BT506" i="1"/>
  <c r="BF507" i="1"/>
  <c r="BT507" i="1"/>
  <c r="BF508" i="1"/>
  <c r="BT508" i="1"/>
  <c r="BF509" i="1"/>
  <c r="BT509" i="1"/>
  <c r="BF510" i="1"/>
  <c r="BT510" i="1"/>
  <c r="BF511" i="1"/>
  <c r="BT511" i="1"/>
  <c r="BF512" i="1"/>
  <c r="BT512" i="1"/>
  <c r="BF513" i="1"/>
  <c r="BT513" i="1"/>
  <c r="BF514" i="1"/>
  <c r="BT514" i="1"/>
  <c r="BF515" i="1"/>
  <c r="BT515" i="1"/>
  <c r="BF516" i="1"/>
  <c r="BT516" i="1"/>
  <c r="BF517" i="1"/>
  <c r="BT517" i="1"/>
  <c r="BF518" i="1"/>
  <c r="BT518" i="1"/>
  <c r="BF519" i="1"/>
  <c r="BT519" i="1"/>
  <c r="BF520" i="1"/>
  <c r="BT520" i="1"/>
  <c r="BF521" i="1"/>
  <c r="BT521" i="1"/>
  <c r="BF522" i="1"/>
  <c r="BT522" i="1"/>
  <c r="BF523" i="1"/>
  <c r="BT523" i="1"/>
  <c r="BF524" i="1"/>
  <c r="BT524" i="1"/>
  <c r="BF525" i="1"/>
  <c r="BT525" i="1"/>
  <c r="BF526" i="1"/>
  <c r="BT526" i="1"/>
  <c r="BF527" i="1"/>
  <c r="BT527" i="1"/>
  <c r="BF528" i="1"/>
  <c r="BT528" i="1"/>
  <c r="BF529" i="1"/>
  <c r="BT529" i="1"/>
  <c r="BF530" i="1"/>
  <c r="BT530" i="1"/>
  <c r="BF531" i="1"/>
  <c r="BT531" i="1"/>
  <c r="BF532" i="1"/>
  <c r="BT532" i="1"/>
  <c r="BF533" i="1"/>
  <c r="BT533" i="1"/>
  <c r="BF534" i="1"/>
  <c r="BT534" i="1"/>
  <c r="BF535" i="1"/>
  <c r="BT535" i="1"/>
  <c r="BF536" i="1"/>
  <c r="BT536" i="1"/>
  <c r="BF537" i="1"/>
  <c r="BT537" i="1"/>
  <c r="BF538" i="1"/>
  <c r="BT538" i="1"/>
  <c r="BF539" i="1"/>
  <c r="BT539" i="1"/>
  <c r="BF540" i="1"/>
  <c r="BT540" i="1"/>
  <c r="BF541" i="1"/>
  <c r="BT541" i="1"/>
  <c r="BF542" i="1"/>
  <c r="BT542" i="1"/>
  <c r="BF543" i="1"/>
  <c r="BT543" i="1"/>
  <c r="BF544" i="1"/>
  <c r="BT544" i="1"/>
  <c r="BF545" i="1"/>
  <c r="BT545" i="1"/>
  <c r="BF546" i="1"/>
  <c r="BT546" i="1"/>
  <c r="BF547" i="1"/>
  <c r="BT547" i="1"/>
  <c r="BF548" i="1"/>
  <c r="BT548" i="1"/>
  <c r="BF549" i="1"/>
  <c r="BT549" i="1"/>
  <c r="BF550" i="1"/>
  <c r="BT550" i="1"/>
  <c r="BF551" i="1"/>
  <c r="BT551" i="1"/>
  <c r="BF552" i="1"/>
  <c r="BT552" i="1"/>
  <c r="BF553" i="1"/>
  <c r="BT553" i="1"/>
  <c r="BF554" i="1"/>
  <c r="BT554" i="1"/>
  <c r="BF555" i="1"/>
  <c r="BT555" i="1"/>
  <c r="BF556" i="1"/>
  <c r="BT556" i="1"/>
  <c r="BF557" i="1"/>
  <c r="BT557" i="1"/>
  <c r="BF558" i="1"/>
  <c r="BT558" i="1"/>
  <c r="BF559" i="1"/>
  <c r="BT559" i="1"/>
  <c r="BF560" i="1"/>
  <c r="BT560" i="1"/>
  <c r="BF561" i="1"/>
  <c r="BT561" i="1"/>
  <c r="BF562" i="1"/>
  <c r="BT562" i="1"/>
  <c r="BF563" i="1"/>
  <c r="BT563" i="1"/>
  <c r="BF564" i="1"/>
  <c r="BT564" i="1"/>
  <c r="BF565" i="1"/>
  <c r="BT565" i="1"/>
  <c r="BF566" i="1"/>
  <c r="BT566" i="1"/>
  <c r="BF567" i="1"/>
  <c r="BT567" i="1"/>
  <c r="BF568" i="1"/>
  <c r="BT568" i="1"/>
  <c r="BF569" i="1"/>
  <c r="BT569" i="1"/>
  <c r="BF570" i="1"/>
  <c r="BT570" i="1"/>
  <c r="BF571" i="1"/>
  <c r="BT571" i="1"/>
  <c r="BF572" i="1"/>
  <c r="BT572" i="1"/>
  <c r="BF573" i="1"/>
  <c r="BT573" i="1"/>
  <c r="BF574" i="1"/>
  <c r="BT574" i="1"/>
  <c r="BF575" i="1"/>
  <c r="BT575" i="1"/>
  <c r="BF576" i="1"/>
  <c r="BT576" i="1"/>
  <c r="BF577" i="1"/>
  <c r="BT577" i="1"/>
  <c r="BF578" i="1"/>
  <c r="BT578" i="1"/>
  <c r="BF579" i="1"/>
  <c r="BT579" i="1"/>
  <c r="BF580" i="1"/>
  <c r="BT580" i="1"/>
  <c r="BF581" i="1"/>
  <c r="BT581" i="1"/>
  <c r="BF582" i="1"/>
  <c r="BT582" i="1"/>
  <c r="BF583" i="1"/>
  <c r="BT583" i="1"/>
  <c r="BF584" i="1"/>
  <c r="BT584" i="1"/>
  <c r="BF585" i="1"/>
  <c r="BT585" i="1"/>
  <c r="BF586" i="1"/>
  <c r="BT586" i="1"/>
  <c r="BF587" i="1"/>
  <c r="BT587" i="1"/>
  <c r="BF588" i="1"/>
  <c r="BT588" i="1"/>
  <c r="BF589" i="1"/>
  <c r="BT589" i="1"/>
  <c r="BF590" i="1"/>
  <c r="BT590" i="1"/>
  <c r="BF591" i="1"/>
  <c r="BT591" i="1"/>
  <c r="BF592" i="1"/>
  <c r="BT592" i="1"/>
  <c r="BF593" i="1"/>
  <c r="BT593" i="1"/>
  <c r="BF594" i="1"/>
  <c r="BT594" i="1"/>
  <c r="BF595" i="1"/>
  <c r="BT595" i="1"/>
  <c r="BF596" i="1"/>
  <c r="BT596" i="1"/>
  <c r="BF597" i="1"/>
  <c r="BT597" i="1"/>
  <c r="BF598" i="1"/>
  <c r="BT598" i="1"/>
  <c r="BF599" i="1"/>
  <c r="BT599" i="1"/>
  <c r="BF600" i="1"/>
  <c r="BT600" i="1"/>
  <c r="BF601" i="1"/>
  <c r="BT601" i="1"/>
  <c r="BF602" i="1"/>
  <c r="BT602" i="1"/>
  <c r="BF603" i="1"/>
  <c r="BT603" i="1"/>
  <c r="BF604" i="1"/>
  <c r="BT604" i="1"/>
  <c r="BF605" i="1"/>
  <c r="BT605" i="1"/>
  <c r="BF606" i="1"/>
  <c r="BT606" i="1"/>
  <c r="BF607" i="1"/>
  <c r="BT607" i="1"/>
  <c r="BF608" i="1"/>
  <c r="BT608" i="1"/>
  <c r="BF609" i="1"/>
  <c r="BT609" i="1"/>
  <c r="BF610" i="1"/>
  <c r="BT610" i="1"/>
  <c r="BF611" i="1"/>
  <c r="BT611" i="1"/>
  <c r="BF612" i="1"/>
  <c r="BT612" i="1"/>
  <c r="BF613" i="1"/>
  <c r="BT613" i="1"/>
  <c r="BF614" i="1"/>
  <c r="BT614" i="1"/>
  <c r="BF615" i="1"/>
  <c r="BT615" i="1"/>
  <c r="BF616" i="1"/>
  <c r="BT616" i="1"/>
  <c r="BF617" i="1"/>
  <c r="BT617" i="1"/>
  <c r="BF618" i="1"/>
  <c r="BT618" i="1"/>
  <c r="BF619" i="1"/>
  <c r="BT619" i="1"/>
  <c r="BF620" i="1"/>
  <c r="BT620" i="1"/>
  <c r="BF621" i="1"/>
  <c r="BT621" i="1"/>
  <c r="BF622" i="1"/>
  <c r="BT622" i="1"/>
  <c r="BF623" i="1"/>
  <c r="BT623" i="1"/>
  <c r="BF624" i="1"/>
  <c r="BT624" i="1"/>
  <c r="BF625" i="1"/>
  <c r="BT625" i="1"/>
  <c r="BF626" i="1"/>
  <c r="BT626" i="1"/>
  <c r="BF627" i="1"/>
  <c r="BT627" i="1"/>
  <c r="BF628" i="1"/>
  <c r="BT628" i="1"/>
  <c r="BF629" i="1"/>
  <c r="BT629" i="1"/>
  <c r="BF630" i="1"/>
  <c r="BT630" i="1"/>
  <c r="BF631" i="1"/>
  <c r="BT631" i="1"/>
  <c r="BF632" i="1"/>
  <c r="BT632" i="1"/>
  <c r="BF633" i="1"/>
  <c r="BT633" i="1"/>
  <c r="BF634" i="1"/>
  <c r="BT634" i="1"/>
  <c r="BF635" i="1"/>
  <c r="BT635" i="1"/>
  <c r="BF636" i="1"/>
  <c r="BT636" i="1"/>
  <c r="BF637" i="1"/>
  <c r="BT637" i="1"/>
  <c r="BF638" i="1"/>
  <c r="BT638" i="1"/>
  <c r="BF639" i="1"/>
  <c r="BT639" i="1"/>
  <c r="BF640" i="1"/>
  <c r="BT640" i="1"/>
  <c r="BF641" i="1"/>
  <c r="BT641" i="1"/>
  <c r="BF642" i="1"/>
  <c r="BT642" i="1"/>
  <c r="BF643" i="1"/>
  <c r="BT643" i="1"/>
  <c r="BF644" i="1"/>
  <c r="BT644" i="1"/>
  <c r="BF645" i="1"/>
  <c r="BT645" i="1"/>
  <c r="BF646" i="1"/>
  <c r="BT646" i="1"/>
  <c r="BF647" i="1"/>
  <c r="BT647" i="1"/>
  <c r="BF648" i="1"/>
  <c r="BT648" i="1"/>
  <c r="BF649" i="1"/>
  <c r="BT649" i="1"/>
  <c r="BF650" i="1"/>
  <c r="BT650" i="1"/>
  <c r="BF651" i="1"/>
  <c r="BT651" i="1"/>
  <c r="BF652" i="1"/>
  <c r="BT652" i="1"/>
  <c r="BF653" i="1"/>
  <c r="BT653" i="1"/>
  <c r="BF654" i="1"/>
  <c r="BT654" i="1"/>
  <c r="BF655" i="1"/>
  <c r="BT655" i="1"/>
  <c r="BF656" i="1"/>
  <c r="BT656" i="1"/>
  <c r="BF657" i="1"/>
  <c r="BT657" i="1"/>
  <c r="BF658" i="1"/>
  <c r="BT658" i="1"/>
  <c r="BF659" i="1"/>
  <c r="BT659" i="1"/>
  <c r="BF660" i="1"/>
  <c r="BT660" i="1"/>
  <c r="BF661" i="1"/>
  <c r="BT661" i="1"/>
  <c r="BF662" i="1"/>
  <c r="BT662" i="1"/>
  <c r="BF663" i="1"/>
  <c r="BT663" i="1"/>
  <c r="BF664" i="1"/>
  <c r="BT664" i="1"/>
  <c r="BF665" i="1"/>
  <c r="BT665" i="1"/>
  <c r="BF666" i="1"/>
  <c r="BT666" i="1"/>
  <c r="BF667" i="1"/>
  <c r="BT667" i="1"/>
  <c r="BF668" i="1"/>
  <c r="BT668" i="1"/>
  <c r="BF669" i="1"/>
  <c r="BT669" i="1"/>
  <c r="BF670" i="1"/>
  <c r="BT670" i="1"/>
  <c r="BF671" i="1"/>
  <c r="BT671" i="1"/>
  <c r="BF672" i="1"/>
  <c r="BT672" i="1"/>
  <c r="BF673" i="1"/>
  <c r="BT673" i="1"/>
  <c r="BF674" i="1"/>
  <c r="BT674" i="1"/>
  <c r="BF675" i="1"/>
  <c r="BT675" i="1"/>
  <c r="BF676" i="1"/>
  <c r="BT676" i="1"/>
  <c r="BF677" i="1"/>
  <c r="BT677" i="1"/>
  <c r="BF678" i="1"/>
  <c r="BT678" i="1"/>
  <c r="BF679" i="1"/>
  <c r="BT679" i="1"/>
  <c r="BF680" i="1"/>
  <c r="BT680" i="1"/>
  <c r="BF681" i="1"/>
  <c r="BT681" i="1"/>
  <c r="BF682" i="1"/>
  <c r="BT682" i="1"/>
  <c r="BF683" i="1"/>
  <c r="BT683" i="1"/>
  <c r="BF684" i="1"/>
  <c r="BT684" i="1"/>
  <c r="BF685" i="1"/>
  <c r="BT685" i="1"/>
  <c r="BF686" i="1"/>
  <c r="BT686" i="1"/>
  <c r="BF687" i="1"/>
  <c r="BT687" i="1"/>
  <c r="BF688" i="1"/>
  <c r="BT688" i="1"/>
  <c r="BF689" i="1"/>
  <c r="BT689" i="1"/>
  <c r="BF690" i="1"/>
  <c r="BT690" i="1"/>
  <c r="BF691" i="1"/>
  <c r="BT691" i="1"/>
  <c r="BF692" i="1"/>
  <c r="BT692" i="1"/>
  <c r="BF693" i="1"/>
  <c r="BT693" i="1"/>
  <c r="BF694" i="1"/>
  <c r="BT694" i="1"/>
  <c r="BF695" i="1"/>
  <c r="BT695" i="1"/>
  <c r="BF696" i="1"/>
  <c r="BT696" i="1"/>
  <c r="BF697" i="1"/>
  <c r="BT697" i="1"/>
  <c r="BF698" i="1"/>
  <c r="BT698" i="1"/>
  <c r="BF699" i="1"/>
  <c r="BT699" i="1"/>
  <c r="BF700" i="1"/>
  <c r="BT700" i="1"/>
  <c r="BF701" i="1"/>
  <c r="BT701" i="1"/>
  <c r="BF702" i="1"/>
  <c r="BT702" i="1"/>
  <c r="BF703" i="1"/>
  <c r="BT703" i="1"/>
  <c r="BF704" i="1"/>
  <c r="BT704" i="1"/>
  <c r="BF705" i="1"/>
  <c r="BT705" i="1"/>
  <c r="BF706" i="1"/>
  <c r="BT706" i="1"/>
  <c r="BF707" i="1"/>
  <c r="BT707" i="1"/>
  <c r="BF708" i="1"/>
  <c r="BT708" i="1"/>
  <c r="BF709" i="1"/>
  <c r="BT709" i="1"/>
  <c r="BF710" i="1"/>
  <c r="BT710" i="1"/>
  <c r="BF711" i="1"/>
  <c r="BT711" i="1"/>
  <c r="BF712" i="1"/>
  <c r="BT712" i="1"/>
  <c r="BF713" i="1"/>
  <c r="BT713" i="1"/>
  <c r="BF714" i="1"/>
  <c r="BT714" i="1"/>
  <c r="BF715" i="1"/>
  <c r="BT715" i="1"/>
  <c r="BF716" i="1"/>
  <c r="BT716" i="1"/>
  <c r="BF717" i="1"/>
  <c r="BT717" i="1"/>
  <c r="BF718" i="1"/>
  <c r="BT718" i="1"/>
  <c r="BT719" i="1"/>
  <c r="BF720" i="1"/>
  <c r="BT720" i="1"/>
  <c r="BF721" i="1"/>
  <c r="BT721" i="1"/>
  <c r="BF722" i="1"/>
  <c r="BT722" i="1"/>
  <c r="BF723" i="1"/>
  <c r="BT723" i="1"/>
  <c r="BF724" i="1"/>
  <c r="BT724" i="1"/>
  <c r="BF725" i="1"/>
  <c r="BT725" i="1"/>
  <c r="BF726" i="1"/>
  <c r="BT726" i="1"/>
  <c r="BF727" i="1"/>
  <c r="BT727" i="1"/>
  <c r="BF728" i="1"/>
  <c r="BT728" i="1"/>
  <c r="BF729" i="1"/>
  <c r="BT729" i="1"/>
  <c r="BF730" i="1"/>
  <c r="BT730" i="1"/>
  <c r="BF731" i="1"/>
  <c r="BT731" i="1"/>
  <c r="BF732" i="1"/>
  <c r="BT732" i="1"/>
  <c r="BF733" i="1"/>
  <c r="BT733" i="1"/>
  <c r="BF734" i="1"/>
  <c r="BT734" i="1"/>
  <c r="BF735" i="1"/>
  <c r="BT735" i="1"/>
  <c r="BF736" i="1"/>
  <c r="BT736" i="1"/>
  <c r="BF737" i="1"/>
  <c r="BT737" i="1"/>
  <c r="BF738" i="1"/>
  <c r="BT738" i="1"/>
  <c r="BF739" i="1"/>
  <c r="BT739" i="1"/>
  <c r="BF740" i="1"/>
  <c r="BT740" i="1"/>
  <c r="BF741" i="1"/>
  <c r="BT741" i="1"/>
  <c r="BF742" i="1"/>
  <c r="BT742" i="1"/>
  <c r="BF743" i="1"/>
  <c r="BT743" i="1"/>
  <c r="BF744" i="1"/>
  <c r="BT744" i="1"/>
  <c r="BF745" i="1"/>
  <c r="BT745" i="1"/>
  <c r="BF746" i="1"/>
  <c r="BT746" i="1"/>
  <c r="BF747" i="1"/>
  <c r="BT747" i="1"/>
  <c r="BF748" i="1"/>
  <c r="BT748" i="1"/>
  <c r="BF749" i="1"/>
  <c r="BT749" i="1"/>
  <c r="BF750" i="1"/>
  <c r="BT750" i="1"/>
  <c r="BF751" i="1"/>
  <c r="BT751" i="1"/>
  <c r="BF752" i="1"/>
  <c r="BT752" i="1"/>
  <c r="BF753" i="1"/>
  <c r="BT753" i="1"/>
  <c r="BF754" i="1"/>
  <c r="BT754" i="1"/>
  <c r="BF755" i="1"/>
  <c r="BT755" i="1"/>
  <c r="BF756" i="1"/>
  <c r="BT756" i="1"/>
  <c r="BF757" i="1"/>
  <c r="BT757" i="1"/>
  <c r="BF758" i="1"/>
  <c r="BT758" i="1"/>
  <c r="BF759" i="1"/>
  <c r="BT759" i="1"/>
  <c r="BF760" i="1"/>
  <c r="BT760" i="1"/>
  <c r="BF761" i="1"/>
  <c r="BT761" i="1"/>
  <c r="BF762" i="1"/>
  <c r="BT762" i="1"/>
  <c r="BF763" i="1"/>
  <c r="BT763" i="1"/>
  <c r="BF764" i="1"/>
  <c r="BT764" i="1"/>
  <c r="BF765" i="1"/>
  <c r="BT765" i="1"/>
  <c r="BF766" i="1"/>
  <c r="BT766" i="1"/>
  <c r="BF767" i="1"/>
  <c r="BT767" i="1"/>
  <c r="BF768" i="1"/>
  <c r="BT768" i="1"/>
  <c r="BF769" i="1"/>
  <c r="BT769" i="1"/>
  <c r="BF770" i="1"/>
  <c r="BT770" i="1"/>
  <c r="BF771" i="1"/>
  <c r="BT771" i="1"/>
  <c r="BF772" i="1"/>
  <c r="BT772" i="1"/>
  <c r="BF773" i="1"/>
  <c r="BT773" i="1"/>
  <c r="BF774" i="1"/>
  <c r="BT774" i="1"/>
  <c r="BF775" i="1"/>
  <c r="BT775" i="1"/>
  <c r="BF776" i="1"/>
  <c r="BT776" i="1"/>
  <c r="BF777" i="1"/>
  <c r="BT777" i="1"/>
  <c r="BF778" i="1"/>
  <c r="BT778" i="1"/>
  <c r="BF779" i="1"/>
  <c r="BT779" i="1"/>
  <c r="BF780" i="1"/>
  <c r="BT780" i="1"/>
  <c r="BF781" i="1"/>
  <c r="BT781" i="1"/>
  <c r="BF782" i="1"/>
  <c r="BT782" i="1"/>
  <c r="BF783" i="1"/>
  <c r="BT783" i="1"/>
  <c r="BF784" i="1"/>
  <c r="BT784" i="1"/>
  <c r="BF785" i="1"/>
  <c r="BT785" i="1"/>
  <c r="BF786" i="1"/>
  <c r="BT786" i="1"/>
  <c r="BF787" i="1"/>
  <c r="BT787" i="1"/>
  <c r="BF788" i="1"/>
  <c r="BT788" i="1"/>
  <c r="BF789" i="1"/>
  <c r="BT789" i="1"/>
  <c r="BF790" i="1"/>
  <c r="BT790" i="1"/>
  <c r="BF791" i="1"/>
  <c r="BT791" i="1"/>
  <c r="BF792" i="1"/>
  <c r="BT792" i="1"/>
  <c r="BF793" i="1"/>
  <c r="BT793" i="1"/>
  <c r="BF794" i="1"/>
  <c r="BT794" i="1"/>
  <c r="BF795" i="1"/>
  <c r="BT795" i="1"/>
  <c r="BF796" i="1"/>
  <c r="BT796" i="1"/>
  <c r="BF797" i="1"/>
  <c r="BT797" i="1"/>
  <c r="BF798" i="1"/>
  <c r="BT798" i="1"/>
  <c r="BF799" i="1"/>
  <c r="BT799" i="1"/>
  <c r="BF800" i="1"/>
  <c r="BT800" i="1"/>
  <c r="BF801" i="1"/>
  <c r="BT801" i="1"/>
  <c r="BF802" i="1"/>
  <c r="BT802" i="1"/>
  <c r="BF803" i="1"/>
  <c r="BT803" i="1"/>
  <c r="BF804" i="1"/>
  <c r="BT804" i="1"/>
  <c r="BF805" i="1"/>
  <c r="BT805" i="1"/>
  <c r="BF806" i="1"/>
  <c r="BT806" i="1"/>
  <c r="BF807" i="1"/>
  <c r="BT807" i="1"/>
  <c r="BF808" i="1"/>
  <c r="BT808" i="1"/>
  <c r="BF809" i="1"/>
  <c r="BT809" i="1"/>
  <c r="BF810" i="1"/>
  <c r="BT810" i="1"/>
  <c r="BF811" i="1"/>
  <c r="BT811" i="1"/>
  <c r="BF812" i="1"/>
  <c r="BT812" i="1"/>
  <c r="BF813" i="1"/>
  <c r="BT813" i="1"/>
  <c r="BF814" i="1"/>
  <c r="BT814" i="1"/>
  <c r="BF815" i="1"/>
  <c r="BT815" i="1"/>
  <c r="BF816" i="1"/>
  <c r="BT816" i="1"/>
  <c r="BF817" i="1"/>
  <c r="BT817" i="1"/>
  <c r="BF818" i="1"/>
  <c r="BT818" i="1"/>
  <c r="BF819" i="1"/>
  <c r="BT819" i="1"/>
  <c r="BF820" i="1"/>
  <c r="BT820" i="1"/>
  <c r="BF821" i="1"/>
  <c r="BT821" i="1"/>
  <c r="BF822" i="1"/>
  <c r="BT822" i="1"/>
  <c r="BF823" i="1"/>
  <c r="BT823" i="1"/>
  <c r="BF824" i="1"/>
  <c r="BT824" i="1"/>
  <c r="BF825" i="1"/>
  <c r="BT825" i="1"/>
  <c r="BF826" i="1"/>
  <c r="BT826" i="1"/>
  <c r="BF827" i="1"/>
  <c r="BT827" i="1"/>
  <c r="BF828" i="1"/>
  <c r="BT828" i="1"/>
  <c r="BF829" i="1"/>
  <c r="BT829" i="1"/>
  <c r="BF830" i="1"/>
  <c r="BT830" i="1"/>
  <c r="BF831" i="1"/>
  <c r="BT831" i="1"/>
  <c r="BF832" i="1"/>
  <c r="BT832" i="1"/>
  <c r="BF833" i="1"/>
  <c r="BT833" i="1"/>
  <c r="BF834" i="1"/>
  <c r="BT834" i="1"/>
  <c r="BF835" i="1"/>
  <c r="BT835" i="1"/>
  <c r="BF836" i="1"/>
  <c r="BT836" i="1"/>
  <c r="BF837" i="1"/>
  <c r="BT837" i="1"/>
  <c r="BF838" i="1"/>
  <c r="BT838" i="1"/>
  <c r="BF839" i="1"/>
  <c r="BT839" i="1"/>
  <c r="BT840" i="1"/>
  <c r="BF841" i="1"/>
  <c r="BT841" i="1"/>
  <c r="BF842" i="1"/>
  <c r="BT842" i="1"/>
  <c r="BF843" i="1"/>
  <c r="BT843" i="1"/>
  <c r="BF844" i="1"/>
  <c r="BT844" i="1"/>
  <c r="BF845" i="1"/>
  <c r="BT845" i="1"/>
  <c r="BF846" i="1"/>
  <c r="BT846" i="1"/>
  <c r="BF847" i="1"/>
  <c r="BT847" i="1"/>
  <c r="BF848" i="1"/>
  <c r="BT848" i="1"/>
  <c r="BF849" i="1"/>
  <c r="BT849" i="1"/>
  <c r="BF850" i="1"/>
  <c r="BT850" i="1"/>
  <c r="BF851" i="1"/>
  <c r="BT851" i="1"/>
  <c r="BF852" i="1"/>
  <c r="BT852" i="1"/>
  <c r="BF853" i="1"/>
  <c r="BT853" i="1"/>
  <c r="BF854" i="1"/>
  <c r="BT854" i="1"/>
  <c r="BF855" i="1"/>
  <c r="BT855" i="1"/>
  <c r="BF856" i="1"/>
  <c r="BT856" i="1"/>
  <c r="BF857" i="1"/>
  <c r="BT857" i="1"/>
  <c r="BF858" i="1"/>
  <c r="BT858" i="1"/>
  <c r="BF859" i="1"/>
  <c r="BT859" i="1"/>
  <c r="BF860" i="1"/>
  <c r="BT860" i="1"/>
  <c r="BF861" i="1"/>
  <c r="BT861" i="1"/>
  <c r="BF862" i="1"/>
  <c r="BT862" i="1"/>
  <c r="BF863" i="1"/>
  <c r="BT863" i="1"/>
  <c r="BF864" i="1"/>
  <c r="BT864" i="1"/>
  <c r="BF865" i="1"/>
  <c r="BT865" i="1"/>
  <c r="BF866" i="1"/>
  <c r="BT866" i="1"/>
  <c r="BF867" i="1"/>
  <c r="BT867" i="1"/>
  <c r="BF868" i="1"/>
  <c r="BT868" i="1"/>
  <c r="BF869" i="1"/>
  <c r="BT869" i="1"/>
  <c r="BF870" i="1"/>
  <c r="BT870" i="1"/>
  <c r="BF871" i="1"/>
  <c r="BT871" i="1"/>
  <c r="BF872" i="1"/>
  <c r="BT872" i="1"/>
  <c r="BF873" i="1"/>
  <c r="BT873" i="1"/>
  <c r="BF874" i="1"/>
  <c r="BT874" i="1"/>
  <c r="BF875" i="1"/>
  <c r="BT875" i="1"/>
  <c r="BF876" i="1"/>
  <c r="BT876" i="1"/>
  <c r="BF877" i="1"/>
  <c r="BT877" i="1"/>
  <c r="BF878" i="1"/>
  <c r="BT878" i="1"/>
  <c r="BF879" i="1"/>
  <c r="BT879" i="1"/>
  <c r="BF880" i="1"/>
  <c r="BT880" i="1"/>
  <c r="BF881" i="1"/>
  <c r="BT881" i="1"/>
  <c r="BF882" i="1"/>
  <c r="BT882" i="1"/>
  <c r="BF883" i="1"/>
  <c r="BT883" i="1"/>
  <c r="BF884" i="1"/>
  <c r="BT884" i="1"/>
  <c r="BF885" i="1"/>
  <c r="BT885" i="1"/>
  <c r="BF886" i="1"/>
  <c r="BT886" i="1"/>
  <c r="BF887" i="1"/>
  <c r="BT887" i="1"/>
  <c r="BF888" i="1"/>
  <c r="BT888" i="1"/>
  <c r="BF889" i="1"/>
  <c r="BT889" i="1"/>
  <c r="BF890" i="1"/>
  <c r="BT890" i="1"/>
  <c r="BF891" i="1"/>
  <c r="BT891" i="1"/>
  <c r="BF892" i="1"/>
  <c r="BT892" i="1"/>
  <c r="BF893" i="1"/>
  <c r="BT893" i="1"/>
  <c r="BF894" i="1"/>
  <c r="BT894" i="1"/>
  <c r="BF895" i="1"/>
  <c r="BT895" i="1"/>
  <c r="BF896" i="1"/>
  <c r="BT896" i="1"/>
  <c r="BF897" i="1"/>
  <c r="BT897" i="1"/>
  <c r="BF898" i="1"/>
  <c r="BT898" i="1"/>
  <c r="BF899" i="1"/>
  <c r="BT899" i="1"/>
  <c r="BF900" i="1"/>
  <c r="BT900" i="1"/>
  <c r="BF901" i="1"/>
  <c r="BT901" i="1"/>
  <c r="BF902" i="1"/>
  <c r="BT902" i="1"/>
  <c r="BF903" i="1"/>
  <c r="BT903" i="1"/>
  <c r="BF904" i="1"/>
  <c r="BT904" i="1"/>
  <c r="BF905" i="1"/>
  <c r="BT905" i="1"/>
  <c r="BF906" i="1"/>
  <c r="BT906" i="1"/>
  <c r="BF907" i="1"/>
  <c r="BT907" i="1"/>
  <c r="BF908" i="1"/>
  <c r="BT908" i="1"/>
  <c r="BF909" i="1"/>
  <c r="BT909" i="1"/>
  <c r="BF910" i="1"/>
  <c r="BT910" i="1"/>
  <c r="BF911" i="1"/>
  <c r="BT911" i="1"/>
  <c r="BF912" i="1"/>
  <c r="BT912" i="1"/>
  <c r="BF913" i="1"/>
  <c r="BT913" i="1"/>
  <c r="BF914" i="1"/>
  <c r="BT914" i="1"/>
  <c r="BF915" i="1"/>
  <c r="BT915" i="1"/>
  <c r="BF916" i="1"/>
  <c r="BT916" i="1"/>
  <c r="BF917" i="1"/>
  <c r="BT917" i="1"/>
  <c r="BF918" i="1"/>
  <c r="BT918" i="1"/>
  <c r="BF919" i="1"/>
  <c r="BT919" i="1"/>
  <c r="BF920" i="1"/>
  <c r="BT920" i="1"/>
  <c r="BF921" i="1"/>
  <c r="BT921" i="1"/>
  <c r="BF922" i="1"/>
  <c r="BT922" i="1"/>
  <c r="BF923" i="1"/>
  <c r="BT923" i="1"/>
  <c r="BF924" i="1"/>
  <c r="BT924" i="1"/>
  <c r="BF925" i="1"/>
  <c r="BT925" i="1"/>
  <c r="BF926" i="1"/>
  <c r="BT926" i="1"/>
  <c r="BF927" i="1"/>
  <c r="BT927" i="1"/>
  <c r="BF928" i="1"/>
  <c r="BT928" i="1"/>
  <c r="BF929" i="1"/>
  <c r="BT929" i="1"/>
  <c r="BF930" i="1"/>
  <c r="BT930" i="1"/>
  <c r="BF931" i="1"/>
  <c r="BT931" i="1"/>
  <c r="BF932" i="1"/>
  <c r="BT932" i="1"/>
  <c r="BF933" i="1"/>
  <c r="BT933" i="1"/>
  <c r="BF934" i="1"/>
  <c r="BT934" i="1"/>
  <c r="BF935" i="1"/>
  <c r="BT935" i="1"/>
  <c r="BF936" i="1"/>
  <c r="BT936" i="1"/>
  <c r="BF937" i="1"/>
  <c r="BT937" i="1"/>
  <c r="BF938" i="1"/>
  <c r="BT938" i="1"/>
  <c r="BF939" i="1"/>
  <c r="BT939" i="1"/>
  <c r="BF940" i="1"/>
  <c r="BT940" i="1"/>
  <c r="BT941" i="1"/>
  <c r="BT942" i="1"/>
  <c r="BF943" i="1"/>
  <c r="BT943" i="1"/>
  <c r="BF944" i="1"/>
  <c r="BT944" i="1"/>
  <c r="BF945" i="1"/>
  <c r="BT945" i="1"/>
  <c r="BF946" i="1"/>
  <c r="BT946" i="1"/>
  <c r="BF947" i="1"/>
  <c r="BT947" i="1"/>
  <c r="BF948" i="1"/>
  <c r="BT948" i="1"/>
  <c r="BF949" i="1"/>
  <c r="BT949" i="1"/>
  <c r="BF950" i="1"/>
  <c r="BT950" i="1"/>
  <c r="BF951" i="1"/>
  <c r="BT951" i="1"/>
  <c r="BF952" i="1"/>
  <c r="BT952" i="1"/>
  <c r="BF953" i="1"/>
  <c r="BT953" i="1"/>
  <c r="BF954" i="1"/>
  <c r="BT954" i="1"/>
  <c r="BF955" i="1"/>
  <c r="BT955" i="1"/>
  <c r="BF956" i="1"/>
  <c r="BT956" i="1"/>
  <c r="BF957" i="1"/>
  <c r="BT957" i="1"/>
  <c r="BF958" i="1"/>
  <c r="BT958" i="1"/>
  <c r="BF959" i="1"/>
  <c r="BT959" i="1"/>
  <c r="BF960" i="1"/>
  <c r="BT960" i="1"/>
  <c r="BF961" i="1"/>
  <c r="BT961" i="1"/>
  <c r="BF962" i="1"/>
  <c r="BT962" i="1"/>
  <c r="BF963" i="1"/>
  <c r="BT963" i="1"/>
  <c r="BF964" i="1"/>
  <c r="BT964" i="1"/>
  <c r="BF965" i="1"/>
  <c r="BT965" i="1"/>
  <c r="BF966" i="1"/>
  <c r="BT966" i="1"/>
  <c r="BF967" i="1"/>
  <c r="BT967" i="1"/>
  <c r="BF968" i="1"/>
  <c r="BT968" i="1"/>
  <c r="BF969" i="1"/>
  <c r="BT969" i="1"/>
  <c r="BF970" i="1"/>
  <c r="BT970" i="1"/>
  <c r="BF971" i="1"/>
  <c r="BT971" i="1"/>
  <c r="BF972" i="1"/>
  <c r="BT972" i="1"/>
  <c r="BF973" i="1"/>
  <c r="BT973" i="1"/>
  <c r="BF974" i="1"/>
  <c r="BT974" i="1"/>
  <c r="BF975" i="1"/>
  <c r="BT975" i="1"/>
  <c r="BF976" i="1"/>
  <c r="BT976" i="1"/>
  <c r="BF977" i="1"/>
  <c r="BT977" i="1"/>
  <c r="BF978" i="1"/>
  <c r="BT978" i="1"/>
  <c r="BF979" i="1"/>
  <c r="BT979" i="1"/>
  <c r="BF980" i="1"/>
  <c r="BT980" i="1"/>
  <c r="BF981" i="1"/>
  <c r="BT981" i="1"/>
  <c r="BF982" i="1"/>
  <c r="BT982" i="1"/>
  <c r="BF983" i="1"/>
  <c r="BT983" i="1"/>
  <c r="BF984" i="1"/>
  <c r="BT984" i="1"/>
  <c r="BF985" i="1"/>
  <c r="BT985" i="1"/>
  <c r="BF986" i="1"/>
  <c r="BT986" i="1"/>
  <c r="BF987" i="1"/>
  <c r="BT987" i="1"/>
  <c r="BF988" i="1"/>
  <c r="BT988" i="1"/>
  <c r="BF989" i="1"/>
  <c r="BT989" i="1"/>
  <c r="BF990" i="1"/>
  <c r="BT990" i="1"/>
  <c r="BF991" i="1"/>
  <c r="BT991" i="1"/>
  <c r="BT992" i="1"/>
  <c r="BF993" i="1"/>
  <c r="BT993" i="1"/>
  <c r="BF994" i="1"/>
  <c r="BT994" i="1"/>
  <c r="BF995" i="1"/>
  <c r="BT995" i="1"/>
  <c r="BF996" i="1"/>
  <c r="BT996" i="1"/>
  <c r="BF997" i="1"/>
  <c r="BT997" i="1"/>
  <c r="BF998" i="1"/>
  <c r="BT998" i="1"/>
  <c r="BF999" i="1"/>
  <c r="BT999" i="1"/>
  <c r="BF1000" i="1"/>
  <c r="BT1000" i="1"/>
  <c r="BF1001" i="1"/>
  <c r="BT1001" i="1"/>
</calcChain>
</file>

<file path=xl/sharedStrings.xml><?xml version="1.0" encoding="utf-8"?>
<sst xmlns="http://schemas.openxmlformats.org/spreadsheetml/2006/main" count="75918" uniqueCount="23669">
  <si>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</si>
  <si>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</si>
  <si>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</si>
  <si>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</si>
  <si>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</si>
  <si>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</si>
  <si>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</si>
  <si>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</si>
  <si>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</si>
  <si>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</si>
  <si>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</si>
  <si>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</si>
  <si>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</si>
  <si>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</si>
  <si>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</si>
  <si>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</si>
  <si>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</si>
  <si>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</si>
  <si>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</si>
  <si>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</si>
  <si>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</si>
  <si>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</si>
  <si>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</si>
  <si>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</si>
  <si>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</si>
  <si>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</si>
  <si>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</si>
  <si>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</si>
  <si>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</si>
  <si>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</si>
  <si>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</si>
  <si>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</si>
  <si>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</si>
  <si>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</si>
  <si>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</si>
  <si>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</si>
  <si>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</si>
  <si>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</si>
  <si>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</si>
  <si>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</si>
  <si>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</si>
  <si>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</si>
  <si>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</si>
  <si>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</si>
  <si>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</si>
  <si>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</si>
  <si>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</si>
  <si>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</si>
  <si>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</si>
  <si>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</si>
  <si>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</si>
  <si>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</si>
  <si>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</si>
  <si>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</si>
  <si>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</si>
  <si>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</si>
  <si>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</si>
  <si>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</si>
  <si>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</si>
  <si>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</si>
  <si>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</si>
  <si>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</si>
  <si>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</si>
  <si>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</si>
  <si>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</si>
  <si>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</si>
  <si>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</si>
  <si>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</si>
  <si>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</si>
  <si>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</si>
  <si>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</si>
  <si>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</si>
  <si>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</si>
  <si>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Aguiar, LT; Nadeau, S; Martins, JC; Teixeira-Salmela, LF; Britto, RR; Faria, CDC</t>
  </si>
  <si>
    <t/>
  </si>
  <si>
    <t>Aguiar, Larissa Tavares; Nadeau, Sylvie; Martins, Julia Caetano; Teixeira-Salmela, Luci Fuscaldi; Britto, Raquel Rodrigues; Faria, Christina Danielli Coelho de Morais</t>
  </si>
  <si>
    <t>Efficacy of interventions aimed at improving physical activity in individuals with stroke: a systematic review</t>
  </si>
  <si>
    <t>DISABILITY AND REHABILITATION</t>
  </si>
  <si>
    <t>English</t>
  </si>
  <si>
    <t>Review</t>
  </si>
  <si>
    <t>Stroke; physical activity; randomized controlled trial; systematic review; healths; Systematic review registration; PROSPERO 2016; CRD42016037750</t>
  </si>
  <si>
    <t>AEROBIC EXERCISE; ISCHEMIC-STROKE; GLOBAL BURDEN; LIFE-STYLE; REHABILITATION; PEOPLE; RESISTANCE; BEHAVIORS; STATEMENT; SURVIVORS</t>
  </si>
  <si>
    <t>Purpose: To identify interventions employed to increase post-stroke physical activity, evaluate their efficacy, and identify the gaps in literature. Materials and methods: Randomized controlled trials published until March 2018 were searched in MEDLINE, PEDro, EMBASE, LILACS, and SCIELO databases. The quality of each study and overall quality of evidence were assessed using the PEDro and the GRADE scales. Results: Eighteen studies were included (good PEDro and very low GRADE-scores). In seven, the experimental groups showed significant increases in physical activity (aerobics, resistance, and home-based training; counseling, aerobics, resistance, and home-based training; electrical stimulation during walking; functional-task training; robot-assisted arm therapy; accelerometer-based feedback, and physical activity encouragement). In seven, there were no significant between-group differences (physical activity plan; stretching, use of toe-spreaders, standard treatment; counseling; circuit video-game; functional-task; counseling and cognitive training). The combined experimental and control groups showed significant declines in physical activity in one study (aerobic training or stretching) and increases in three others (aerobic, resistance or sham resistance training; stroke-with advice or only stroke-counseling; aerobic training, educational sessions, standard treatment, and coaching, or mobilization and standard treatment). A meta-analysis could not be performed, due to heterogeneity. Conclusions: Some interventions improved physical activity after stroke. However, the interpretability is limited.</t>
  </si>
  <si>
    <t>[Aguiar, Larissa Tavares; Martins, Julia Caetano; Teixeira-Salmela, Luci Fuscaldi; Britto, Raquel Rodrigues; Faria, Christina Danielli Coelho de Morais] Univ Fed Minas Gerais, Dept Phys Therapy, Ave Antonio Carlos 6627,Campus Pampulha, BR-31270910 Belo Horizonte, MG, Brazil; [Aguiar, Larissa Tavares; Nadeau, Sylvie] Univ Montreal UdeM, Ecole Readaptat, Montreal, PQ, Canada</t>
  </si>
  <si>
    <t>Universidade Federal de Minas Gerais; Universite de Montreal</t>
  </si>
  <si>
    <t>Faria, CDC (corresponding author), Univ Fed Minas Gerais, Dept Phys Therapy, Ave Antonio Carlos 6627,Campus Pampulha, BR-31270910 Belo Horizonte, MG, Brazil.</t>
  </si>
  <si>
    <t>cdcmf@ufmg.br</t>
  </si>
  <si>
    <t>Britto, Raquel/G-1026-2012; Faria, Christina/D-2464-2017; Tavares Aguiar, Larissa/MTC-6718-2025; Martins, Júlia/AAN-1507-2020; Nadeau, Sylvie/K-3647-2016</t>
  </si>
  <si>
    <t>Faria, Christina/0000-0001-9784-9729; Nadeau, Sylvie/0000-0001-9551-604X; Tavares Aguiar, Larissa/0000-0002-6503-774X</t>
  </si>
  <si>
    <t>CAPES (Coordenacao de Aperfeicoamento de Pessoal de Nivel Superior), Belo Horizonte, Brazil; FAPEMIG (Fundacao de Amparoa Pesquisa do Estado de Minas Gerais), Belo Horizonte, Brazil; CNPq (Conselho Nacional de Desenvolvimento Cientifico e Tecnologico), Belo Horizonte, Brazil; PRPq/UFMG (Proreitoria de Pesquisa da Universidade Federal de Minas Gerais), Belo Horizonte, Brazil</t>
  </si>
  <si>
    <t>CAPES (Coordenacao de Aperfeicoamento de Pessoal de Nivel Superior), Belo Horizonte, Brazil(Coordenacao de Aperfeicoamento de Pessoal de Nivel Superior (CAPES)); FAPEMIG (Fundacao de Amparoa Pesquisa do Estado de Minas Gerais), Belo Horizonte, Brazil(Fundacao de Amparo a Pesquisa do Estado de Minas Gerais (FAPEMIG)); CNPq (Conselho Nacional de Desenvolvimento Cientifico e Tecnologico), Belo Horizonte, Brazil(Conselho Nacional de Desenvolvimento Cientifico e Tecnologico (CNPQ)Fundacao de Apoio a Pesquisa do Distrito Federal (FAPDF)); PRPq/UFMG (Proreitoria de Pesquisa da Universidade Federal de Minas Gerais), Belo Horizonte, Brazil</t>
  </si>
  <si>
    <t>Financial support for this research was provided by CAPES (Coordenacao de Aperfeicoamento de Pessoal de Nivel Superior), FAPEMIG (Fundacao de Amparoa Pesquisa do Estado de Minas Gerais), CNPq (Conselho Nacional de Desenvolvimento Cientifico e Tecnologico) and PRPq/UFMG (Proreitoria de Pesquisa da Universidade Federal de Minas Gerais), Belo Horizonte, Brazil.</t>
  </si>
  <si>
    <t>TAYLOR &amp; FRANCIS LTD</t>
  </si>
  <si>
    <t>ABINGDON</t>
  </si>
  <si>
    <t>2-4 PARK SQUARE, MILTON PARK, ABINGDON OR14 4RN, OXON, ENGLAND</t>
  </si>
  <si>
    <t>0963-8288</t>
  </si>
  <si>
    <t>1464-5165</t>
  </si>
  <si>
    <t>DISABIL REHABIL</t>
  </si>
  <si>
    <t>Disabil. Rehabil.</t>
  </si>
  <si>
    <t>MAR 26</t>
  </si>
  <si>
    <t>10.1080/09638288.2018.1511755</t>
  </si>
  <si>
    <t>Rehabilitation</t>
  </si>
  <si>
    <t>Science Citation Index Expanded (SCI-EXPANDED); Social Science Citation Index (SSCI)</t>
  </si>
  <si>
    <t>KY8MT</t>
  </si>
  <si>
    <t>Green Submitted</t>
  </si>
  <si>
    <t>2025-06-18</t>
  </si>
  <si>
    <t>WOS:000522831300002</t>
  </si>
  <si>
    <t>Bacanoiu, MV; Mititelu, RR; Danoiu, M; Olaru, G; Buga, AM</t>
  </si>
  <si>
    <t>Bacanoiu, Manuela Violeta; Mititelu, Radu Razvan; Danoiu, Mircea; Olaru, Gabriela; Buga, Ana Maria</t>
  </si>
  <si>
    <t>Functional Recovery in Parkinson's Disease: Current State and Future Perspective</t>
  </si>
  <si>
    <t>JOURNAL OF CLINICAL MEDICINE</t>
  </si>
  <si>
    <t>Parkinson’ s disease; rehabilitation; physical exercises</t>
  </si>
  <si>
    <t>QUALITY-OF-LIFE; OSCILLATORY ACTIVITY; NONMOTOR SYMPTOMS; PHYSICAL-ACTIVITY; GAIT; BALANCE; FALLS; REHABILITATION; INDIVIDUALS; RELIABILITY</t>
  </si>
  <si>
    <t>Parkinson's disease (PD) is one of the most frequent neurodegenerative disorders, affecting not only the motor function but also limiting the autonomy of affected people. In the last decade, the physical exercises of different intensities carried out by kinetic therapeutic activities, by robotic technologies or with the participation of sensory cues, have become increasingly appreciated in the management of Parkinson's disease impairments. The aim of this paper was to evaluate the impact of physical exercises with and without physical devices on the motor and cognitive variables of PD patients. In order to achieve our objectives, we performed a systematic review of available original articles based on the impact of kinetic therapeutic activity. Through the search strategy, we selected original papers that were laboriously processed using characteristics related to physical therapy, or the tools used in physiological and psychological rehabilitation strategies for PD patients. In this study, we presented the most current intervention techniques in the rehabilitation programs of patients with Parkinson's disease, namely the use of assisted devices, virtual imagery or the performing of physical therapies that have the capacity to improve walking deficits, tremor and bradykinesia, to reduce freezing episodes of gait and postural instability, or to improve motor and cognitive functions.</t>
  </si>
  <si>
    <t>[Bacanoiu, Manuela Violeta; Danoiu, Mircea; Olaru, Gabriela] Univ Craiova, Dept Phys Therapy &amp; Sports Med, Craiova 200207, Romania; [Bacanoiu, Manuela Violeta] Cty Clin Emergency Hosp Craiova, Dept Lab Med, Craiova 200642, Romania; [Mititelu, Radu Razvan; Buga, Ana Maria] Univ Med &amp; Pharm Craiova, Dept Biochem, Craiova 200349, Romania</t>
  </si>
  <si>
    <t>University of Craiova; University of Medicine &amp; Pharmacy of Craiova</t>
  </si>
  <si>
    <t>Bacanoiu, MV (corresponding author), Univ Craiova, Dept Phys Therapy &amp; Sports Med, Craiova 200207, Romania.;Bacanoiu, MV (corresponding author), Cty Clin Emergency Hosp Craiova, Dept Lab Med, Craiova 200642, Romania.;Buga, AM (corresponding author), Univ Med &amp; Pharm Craiova, Dept Biochem, Craiova 200349, Romania.</t>
  </si>
  <si>
    <t>manuelabacanoiu07@gmail.com; razvanmititelu@rocketmail.com; mirceadanoiu22@gmail.com; olarugabriela246@yahoo.com; ana.buga@umfcv.ro</t>
  </si>
  <si>
    <t>Buga, Ana/ABA-8108-2021; Olaru, Gabriela/KIE-8807-2024; Danoiu, Mircea/MGU-1498-2025; Mititelu, Radu-Razvan/AAD-4468-2020; Bacanoiu, Manuela-Violeta/AAD-3991-2020</t>
  </si>
  <si>
    <t>Mititelu, Radu-Razvan/0000-0003-2998-689X; Bacanoiu, Manuela-Violeta/0000-0002-5899-5851</t>
  </si>
  <si>
    <t>MDPI</t>
  </si>
  <si>
    <t>BASEL</t>
  </si>
  <si>
    <t>ST ALBAN-ANLAGE 66, CH-4052 BASEL, SWITZERLAND</t>
  </si>
  <si>
    <t>2077-0383</t>
  </si>
  <si>
    <t>J CLIN MED</t>
  </si>
  <si>
    <t>J. Clin. Med.</t>
  </si>
  <si>
    <t>NOV</t>
  </si>
  <si>
    <t>10.3390/jcm9113413</t>
  </si>
  <si>
    <t>Medicine, General &amp; Internal</t>
  </si>
  <si>
    <t>General &amp; Internal Medicine</t>
  </si>
  <si>
    <t>OX1SZ</t>
  </si>
  <si>
    <t>gold, Green Published</t>
  </si>
  <si>
    <t>WOS:000593354700001</t>
  </si>
  <si>
    <t>Alanazi, SFS; Almutairi, RO; Alshibani, RM; Daghriri, RIA; Alshammari, MM; Alotaibi, AAM; Alharbi, SA; Alanazi, TR; Alharbi, YMB; Alqahtani, SMM; Alghurab, AM; Alkhutaymi, DE</t>
  </si>
  <si>
    <t>Alanazi, Sami Fahad Saleh; Almutairi, Rasmi Obaid; Alshibani, Reef Mohammed; Daghriri, Rahma Ibrahim Abdullah; Alshammari, Mohammed Matar; Alotaibi, Ahmed Awedh Muslih; Alharbi, Sami Abdullah; Alanazi, Thamer Rifadah; Alharbi, Yousef Mubarak Badia; Alqahtani, Saeed Mohammed Muhy; Alghurab, Adel Mohammed; Alkhutaymi, Dhuha Essa</t>
  </si>
  <si>
    <t>Brain Stroke: Physical Therapy and Rehabilitation Techniques-An Updated Review</t>
  </si>
  <si>
    <t>EGYPTIAN JOURNAL OF CHEMISTRY</t>
  </si>
  <si>
    <t>Stroke rehabilitation; physical therapy; motor recovery; gait training; spasticity management; robotics; virtual reality; task-specific training.</t>
  </si>
  <si>
    <t>BODY-WEIGHT SUPPORT; UPPER-EXTREMITY; MULTIDISCIPLINARY REHABILITATION; MOTOR RECOVERY; UPPER-LIMB; POSTSTROKE; TREADMILL; GAIT; STRENGTH; WALKING</t>
  </si>
  <si>
    <t>Background: Stroke, or cerebrovascular accident (CVA), is a leading cause of mortality and long-term disability worldwide, significantly impacting physical, emotional, and socioeconomic well-being. It is categorized into ischemic (80% of cases) and hemorrhagic strokes, with modifiable risk factors such as hypertension, smoking, and physical inactivity playing a critical role in prevention. Post-stroke rehabilitation aims to optimize functional recovery, promote independence, and enhance quality of life through tailored physical therapy interventions. Aim: This review aims to provide an updated overview of physical therapy and rehabilitation techniques for stroke recovery, emphasizing evidence-based interventions across acute, sub-acute, and chronic phases. It also explores emerging technologies and their role in enhancing rehabilitation outcomes. Methods: The review synthesizes findings from recent studies and clinical trials on stroke rehabilitation, focusing on physical therapy interventions such as task-specific training, gait training, sensory recovery, spasticity management, and strength training. It also examines the integration of advanced technologies like virtual reality (VR), robotics, and exoskeletons in rehabilitation programs. Results: Physical therapy interventions, including repetitive task practice, early mobilization, and task-specific training, significantly improving motor function, balance, and quality of life in stroke survivors. Emerging technologies like VR and robot-assisted gait training (RAGT) show promise in enhancing recovery outcomes. Strengthening exercises, sensory interventions, and spasticity management strategies further contribute to functional improvement. However, the efficacy of some interventions, such as sensory recovery techniques, requires further validation through large-scale trials. Conclusion: Stroke rehabilitation is a multifaceted process that requires a holistic, patient-centered approach. Physical therapy, combined with emerging technologies, plays a pivotal role in optimizing recovery. Future research should focus on refining protocols, addressing limitations, and exploring innovative interventions to improve outcomes for stroke survivors.</t>
  </si>
  <si>
    <t>[Alanazi, Sami Fahad Saleh; Almutairi, Rasmi Obaid; Alshibani, Reef Mohammed; Daghriri, Rahma Ibrahim Abdullah; Alshammari, Mohammed Matar; Alotaibi, Ahmed Awedh Muslih; Alharbi, Sami Abdullah; Alanazi, Thamer Rifadah; Alharbi, Yousef Mubarak Badia; Alqahtani, Saeed Mohammed Muhy; Alghurab, Adel Mohammed] Minist Def, Prince Sultan Mil Med City PSMM, Riyadh, Saudi Arabia; [Alkhutaymi, Dhuha Essa] Minist Def, Al Kharj Mil Hosp AKMICH, Riyadh, Saudi Arabia; [Alkhutaymi, Dhuha Essa] Minist Def, Hlth Serv Ctr &amp; Sch, Riyadh, Saudi Arabia</t>
  </si>
  <si>
    <t>Alanazi, SFS (corresponding author), Minist Def, Prince Sultan Mil Med City PSMM, Riyadh, Saudi Arabia.</t>
  </si>
  <si>
    <t>Pt.samifahad@gmail.com</t>
  </si>
  <si>
    <t>Alqahtani, Saeed/GQH-4548-2022</t>
  </si>
  <si>
    <t>National Information &amp; Documentation Centre-NIDOC</t>
  </si>
  <si>
    <t>CAIRO</t>
  </si>
  <si>
    <t>NIDOC DOKKI, CAIRO, 00000, EGYPT</t>
  </si>
  <si>
    <t>0449-2285</t>
  </si>
  <si>
    <t>2357-0245</t>
  </si>
  <si>
    <t>EGYPT J CHEM</t>
  </si>
  <si>
    <t>Egypt. J. Chem.</t>
  </si>
  <si>
    <t>DEC</t>
  </si>
  <si>
    <t>SI</t>
  </si>
  <si>
    <t>10.21608/ejchem.2025.344348.10982</t>
  </si>
  <si>
    <t>Chemistry, Multidisciplinary</t>
  </si>
  <si>
    <t>Emerging Sources Citation Index (ESCI)</t>
  </si>
  <si>
    <t>Chemistry</t>
  </si>
  <si>
    <t>1BE9U</t>
  </si>
  <si>
    <t>WOS:001460874400020</t>
  </si>
  <si>
    <t>Guatibonza, A; Solaque, L; Velasco, A; Peñuela, L</t>
  </si>
  <si>
    <t>Guatibonza, Andres; Solaque, Leonardo; Velasco, Alexandra; Penuela, Lina</t>
  </si>
  <si>
    <t>Assistive Robotics for Upper Limb Physical Rehabilitation: A Systematic Review and Future Prospects</t>
  </si>
  <si>
    <t>CHINESE JOURNAL OF MECHANICAL ENGINEERING</t>
  </si>
  <si>
    <t>Upper limb; Rehabilitation; Assistive robotics; Human-machine interaction; Robotic systems; Virtual reality; Rehabilitation monitoring</t>
  </si>
  <si>
    <t>MUSCULOSKELETAL DISORDERS; EXOSKELETON ROBOT; IMPEDANCE CONTROL; ADAPTIVE-CONTROL; CONTROL STRATEGY; DESIGN; THERAPY; STROKE; MANAGEMENT; RECOVERY</t>
  </si>
  <si>
    <t>Physical assistive robotics are oriented to support and improve functional capacities of people. In physical rehabilitation, robots are indeed useful for functional recovery of affected limb. However, there are still open questions related to technological aspects. This work presents a systematic review of upper limb rehabilitation robotics in order to analyze and establish technological challenges and future directions in this area. A bibliometric analysis was performed for the systematic literature review. Literature from the last six years, conducted between August 2020 and May 2021, was reviewed. The methodology for the literature search and a bibliometric analysis of the metadata are presented. After a preliminary search resulted in 820 articles, a total of 66 articles were included. A concurrency network and bibliographic analysis were provided. And an analysis of occurrences, taxonomy, and rehabilitation robotics reported in the literature is presented. This review aims to provide to the scientific community an overview of the state of the art in assistive robotics for upper limb physical rehabilitation. The literature analysis allows access to a gap of unexplored options to define the technological prospects applied to upper limb physical rehabilitation robotics.</t>
  </si>
  <si>
    <t>[Guatibonza, Andres; Solaque, Leonardo; Velasco, Alexandra; Penuela, Lina] Mil Nueva Granada Univ, Dept Engn Mechatron Engn, Bogota 1101111, Colombia</t>
  </si>
  <si>
    <t>Universidad Militar Nueva Granada</t>
  </si>
  <si>
    <t>Guatibonza, A (corresponding author), Mil Nueva Granada Univ, Dept Engn Mechatron Engn, Bogota 1101111, Colombia.</t>
  </si>
  <si>
    <t>est.andres.guatibo@unimilitar.edu.co</t>
  </si>
  <si>
    <t>Artunduaga, Andres/AAV-9783-2020</t>
  </si>
  <si>
    <t>No Statement Available</t>
  </si>
  <si>
    <t>SPRINGER</t>
  </si>
  <si>
    <t>NEW YORK</t>
  </si>
  <si>
    <t>ONE NEW YORK PLAZA, SUITE 4600, NEW YORK, NY, UNITED STATES</t>
  </si>
  <si>
    <t>1000-9345</t>
  </si>
  <si>
    <t>2192-8258</t>
  </si>
  <si>
    <t>CHIN J MECH ENG-EN</t>
  </si>
  <si>
    <t>Chin. J. Mech. Eng.</t>
  </si>
  <si>
    <t>JUL 21</t>
  </si>
  <si>
    <t>10.1186/s10033-024-01056-y</t>
  </si>
  <si>
    <t>Engineering, Mechanical</t>
  </si>
  <si>
    <t>Science Citation Index Expanded (SCI-EXPANDED)</t>
  </si>
  <si>
    <t>Engineering</t>
  </si>
  <si>
    <t>ZC5H2</t>
  </si>
  <si>
    <t>gold</t>
  </si>
  <si>
    <t>WOS:001273099300001</t>
  </si>
  <si>
    <t>Da Rocha, PA; McClelland, J; Morris, ME</t>
  </si>
  <si>
    <t>Da Rocha, P. Alves; McClelland, J.; Morris, M. E.</t>
  </si>
  <si>
    <t>Complementary physical therapies for movement disorders in Parkinson's disease: a systematic review</t>
  </si>
  <si>
    <t>EUROPEAN JOURNAL OF PHYSICAL AND REHABILITATION MEDICINE</t>
  </si>
  <si>
    <t>Parkinson disease; Rehabilitation; Exercise therapy; Complementary therapies</t>
  </si>
  <si>
    <t>RANDOMIZED CONTROLLED-TRIAL; QUALITY-OF-LIFE; TAI-CHI; VIRTUAL-REALITY; METHODOLOGICAL QUALITY; STROKE REHABILITATION; POSTURAL STABILITY; IMPROVES BALANCE; GAIT PARAMETERS; OLDER-ADULTS</t>
  </si>
  <si>
    <t>Background. The growth and popularity of complementary physical therapies for Parkinson's disease (PD) attempt to fill the gap left by conventional exercises, which does not always directly target wellbeing, enjoyment and social participation. Aim. To evaluate the effects of complementary physical therapies on motor performance, quality of life and falls in people living with PD. Design. Systematic review with meta-analysis. Population. Outpatients adults diagnosed with idiopathic PD, male or female, modified Hoehn and Yahr scale I-IV, any duration of PD, any duration of physical treatment or exercise. Methods. Randomized controlled trials, non-randomized controlled trials and case series studies were identified by systematic searching of health and rehabilitation electronic databases. A standardized form was used to extract key data from studies by two independent researchers. Results. 1210 participants from 20 randomized controlled trials, two non-randomized controlled trials and 13 case series studies were included. Most studies had moderately strong methodological quality. Dancing, water exercises and robotic gait training were an effective adjunct to medical management for some people living with PD. Virtual reality training, mental practice, aerobic training, boxing and Nordic walking training had a small amount of evidence supporting their use in PD. Conclusion. On balance, alternative physical therapies are worthy of consideration when selecting treatment options for people with this common chronic disease. Clinical Rehabilitation Impact. Complementary physical therapies such as dancing, hydrotherapy and robotic gait training appear to afford therapeutic benefits, increasing mobility and quality of life, in some people living with PD.</t>
  </si>
  <si>
    <t>[Da Rocha, P. Alves; Morris, M. E.] La Trobe Univ, Sch Allied Hlth, Coll Sci Hlth &amp; Engn, Dept Physiotherapy, Bundoora, Vic 3086, Australia; [Da Rocha, P. Alves] Minist Educ Brazil, CAPES Fdn, Brasilia, DF, Brazil; [McClelland, J.] La Trobe Univ, Dept Rehabil Nutr &amp; Sport, Coll Sci Hlth &amp; Engn, Bundoora, Vic, Australia</t>
  </si>
  <si>
    <t>La Trobe University; Coordenacao de Aperfeicoamento de Pessoal de Nivel Superior (CAPES); La Trobe University</t>
  </si>
  <si>
    <t>Da Rocha, PA (corresponding author), La Trobe Univ, Sch Allied Hlth, Coll Sci Hlth &amp; Engn, Dept Physiotherapy, Bundoora, Vic 3086, Australia.</t>
  </si>
  <si>
    <t>prialves_fisio@yahoo.com.br</t>
  </si>
  <si>
    <t>McClelland, Jodie/0000-0002-9317-7571; Morris, Meg/0000-0002-0114-4175</t>
  </si>
  <si>
    <t>La Trobe University; Department of Physiotherapy, School of Allied Health; CAPES Foundation, Ministry of Education of Brazil</t>
  </si>
  <si>
    <t>La Trobe University; Department of Physiotherapy, School of Allied Health; CAPES Foundation, Ministry of Education of Brazil(Coordenacao de Aperfeicoamento de Pessoal de Nivel Superior (CAPES))</t>
  </si>
  <si>
    <t>The authors thank Cameron Ventura and La Trobe University for the support, especially the Department of Physiotherapy, School of Allied Health. Also, the first author would like to thank CAPES Foundation, Ministry of Education of Brazil for the scholarship.</t>
  </si>
  <si>
    <t>EDIZIONI MINERVA MEDICA</t>
  </si>
  <si>
    <t>TURIN</t>
  </si>
  <si>
    <t>CORSO BRAMANTE 83-85 INT JOURNALS DEPT., 10126 TURIN, ITALY</t>
  </si>
  <si>
    <t>1973-9087</t>
  </si>
  <si>
    <t>1973-9095</t>
  </si>
  <si>
    <t>EUR J PHYS REHAB MED</t>
  </si>
  <si>
    <t>Eur. J. Phys. Rehabil. Med.</t>
  </si>
  <si>
    <t>DC9RU</t>
  </si>
  <si>
    <t>WOS:000369559500004</t>
  </si>
  <si>
    <t>Selph, SS; Skelly, AC; Wasson, N; Dettori, JR; Brodt, ED; Ensrud, E; Elliot, D; Dissinger, KM; McDonagh, M</t>
  </si>
  <si>
    <t>Selph, Shelley S.; Skelly, Andrea C.; Wasson, Ngoc; Dettori, Joseph R.; Brodt, Erika D.; Ensrud, Erik; Elliot, Diane; Dissinger, Kristin M.; McDonagh, Marian</t>
  </si>
  <si>
    <t>Physical Activity and the Health of Wheelchair Users: A Systematic Review in Multiple Sclerosis, Cerebral Palsy, and Spinal Cord Injury</t>
  </si>
  <si>
    <t>ARCHIVES OF PHYSICAL MEDICINE AND REHABILITATION</t>
  </si>
  <si>
    <t>Activities of daily living; Cerebral palsy; Exercise; Mental health; Multiple sclerosis; Physical fitness; Rehabilitation; Spinal cord injuries; Wheelchairs</t>
  </si>
  <si>
    <t>QUALITY-OF-LIFE; GROSS MOTOR FUNCTION; FUNCTIONAL ELECTRICAL-STIMULATION; RANDOMIZED CONTROLLED-TRIAL; WHOLE-BODY VIBRATION; HORSE RIDING SIMULATOR; ACTIVITY-BASED THERAPY; MUSCLE STRENGTH; RESISTANCE EXERCISE; PILATES EXERCISE</t>
  </si>
  <si>
    <t>Objective: To understand the benefits and harms of physical activity in people who may require a wheelchair with a focus on people with multiple sclerosis (MS), cerebral palsy (CP), and spinal cord injury (SCI). Data Sources: Searches were conducted in MEDLINE, Cumulative Index to Nursing and Allied Health, PsycINFO, Cochrane CENTRAL, and Embase (January 2008 through November 2020). Study Selection: Randomized controlled trials, nonrandomized trials, and cohort studies of observed physical activity (at least 10 sessions on 10 days) in participants with MS, CP, and SCI. Data Extraction: We conducted dual data abstraction, quality assessment, and strength of evidence. Measures of physical functioning are reported individually where sufficient data exist and grouped as function where data are scant. Data Synthesis: No studies provided evidence for prevention of cardiovascular conditions, development of diabetes, or obesity. Among 168 included studies, 44% enrolled participants with MS (38% CP, 18% SCI). Studies in MS found walking ability may be improved with treadmill training and multimodal exercises; function may be improved with treadmill, balance exercises, and motion gaming; balance is likely improved with balance exercises and may be improved with aquatic exercises, robot-assisted gait training (RAGT), motion gaming, and multimodal exercises; activities of daily living (ADL), female sexual function, and spasticity may be improved with aquatic therapy; sleep may be improved with aerobic exercises and aerobic fitness with multimodal exercises. In CP, balance may be improved with hippotherapy and motion gaming; function may be improved with cycling, treadmill, and hippotherapy. In SCI, ADL may be improved with RAGT. Conclusions: Depending on population and type of exercise, physical activity was associated with improvements in walking, function, balance, depression, sleep, ADL, spasticity, female sexual function, and aerobic capacity. Few harms of physical activity were reported in studies. Future studies are needed to address evidence gaps and to confirm findings. Archives of Physical Medicine and Rehabilitation 2021;102:2464-81 (c) 2021 The Authors. Published by Elsevier Inc. on behalf of The American Congress of Rehabilitation Medicine. This is an open access article under the CC BY-NC-ND license (http://creativecommons.org/licenses/by-nc-nd/4.0/)</t>
  </si>
  <si>
    <t>[Selph, Shelley S.; Wasson, Ngoc; McDonagh, Marian] Oregon Hlth &amp; Sci Univ, Pacific Northwest Evidence Based Practice Ctr, Dept Med Informat &amp; Clin Epidemiol, Portland, OR 97239 USA; [Skelly, Andrea C.; Brodt, Erika D.] Aggregate Analyt Inc, Fircrest, WA USA; [Dettori, Joseph R.] Spectrum Res Inc, Tacoma, WA USA; [Ensrud, Erik; Elliot, Diane; Dissinger, Kristin M.] Oregon Hlth &amp; Sci Univ, Dept Med, Portland, OR 97239 USA</t>
  </si>
  <si>
    <t>Oregon Health &amp; Science University; Oregon Health &amp; Science University</t>
  </si>
  <si>
    <t>Selph, SS (corresponding author), Oregon Hlth &amp; Sci Univ, 3181 Southwest Sam Jackson Pk Rd,Mail Code BICC, Portland, OR 97239 USA.</t>
  </si>
  <si>
    <t>selphs@ohsu.edu</t>
  </si>
  <si>
    <t>Selph, Shelley/JUV-2982-2023</t>
  </si>
  <si>
    <t>AHRQ [HHSA290201500009I]; AHRQ, US Department of Health and Human Services in a National Institutes of Health (NIH) Office of Disease Prevention [HHSA 290-201500009-I]</t>
  </si>
  <si>
    <t>AHRQ(United States Department of Health &amp; Human ServicesAgency for Healthcare Research &amp; Quality); AHRQ, US Department of Health and Human Services in a National Institutes of Health (NIH) Office of Disease Prevention</t>
  </si>
  <si>
    <t>Supported by the AHRQ (contract no. HHSA290201500009I). Role of the funding source: This project was funded under contract no. HHSA 290-201500009-I from the AHRQ, US Department of Health and Human Services in a National Institutes of Health (NIH) Office of Disease Prevention through an interagency agreement. A representative from AHRQ served as a Contracting Officer's Technical Representative and provided assistance during the conduct of the full evidence report and comments on draft versions of the report. AHRQ did not directly participate in the literature search, determination of study eligibility criteria, data analysis, or interpretation. The draft report was presented at a virtual NIH Office of Disease Prevention Pathways to Prevention workshop (December 1-3, 2020). Experts in the field, AHRQ and NIH partners, and the public reviewed earlier drafts of the full technical report. The investigators are solely responsible for the contents of this article.</t>
  </si>
  <si>
    <t>W B SAUNDERS CO-ELSEVIER INC</t>
  </si>
  <si>
    <t>PHILADELPHIA</t>
  </si>
  <si>
    <t>1600 JOHN F KENNEDY BOULEVARD, STE 1800, PHILADELPHIA, PA 19103-2899 USA</t>
  </si>
  <si>
    <t>0003-9993</t>
  </si>
  <si>
    <t>1532-821X</t>
  </si>
  <si>
    <t>ARCH PHYS MED REHAB</t>
  </si>
  <si>
    <t>Arch. Phys. Med. Rehabil.</t>
  </si>
  <si>
    <t>+</t>
  </si>
  <si>
    <t>10.1016/j.apmr.2021.10.002</t>
  </si>
  <si>
    <t>DEC 2021</t>
  </si>
  <si>
    <t>Rehabilitation; Sport Sciences</t>
  </si>
  <si>
    <t>XJ1SP</t>
  </si>
  <si>
    <t>hybrid, Green Published</t>
  </si>
  <si>
    <t>WOS:000726577100020</t>
  </si>
  <si>
    <t>van den Heuvel, RJF; Lexis, MAS; Gelderblom, GJ; Jansens, RML; de Witte, LP</t>
  </si>
  <si>
    <t>van den Heuvel, Renee J. F.; Lexis, Monique A. S.; Gelderblom, Gert Jan; Jansens, Rianne M. L.; de Witte, Luc P.</t>
  </si>
  <si>
    <t>Robots and ICT to support play in children with severe physical disabilities: a systematic review</t>
  </si>
  <si>
    <t>DISABILITY AND REHABILITATION-ASSISTIVE TECHNOLOGY</t>
  </si>
  <si>
    <t>ICF-CY; pediatric rehabilitation; special education</t>
  </si>
  <si>
    <t>UPPER EXTREMITY FUNCTION; CEREBRAL-PALSY; VIRTUAL-REALITY; MOTOR FUNCTION; REHABILITATION; ENVIRONMENT; EXERCISE; THERAPY; IMPROVE; BALANCE</t>
  </si>
  <si>
    <t>Purpose: Play is an essential part of children's lives. Children with physical disabilities experience difficulties in play, especially those with severe physical disabilities. With the progress of innovative technology, the possibilities to support play are increasing. The purpose of this literature study is to gain insight into the aims, control options and commercial availability of information and communication technology (ICT) and robots to support play (especially play for the sake of play) in children with severe physical disabilities. Methods: A systematic literature search in the databases PubMed, CINAHL, IEEE and ERIC was carried out. Titles and abstracts were assessed independently by three reviewers. In addition, studies were selected using Google Scholar, conference proceedings and reference lists. Results: Three main groups of technology for play could be distinguished: robots (n = 8), virtual reality systems (n = 15) and computer systems (n = 4). Besides, ICT and robots developed for specific therapy or educational goals using play-like activities, five of the in total 27 technologies in this study described the aim of play for play's sake''. Conclusions: Many ICT systems and robots to support play in children with physical disabilities were found. Numerous technologies use play-like activities to achieve therapeutic or educational goals. Robots especially are used for `` play for play's sake''. IMPLICATIONS FOR REHABILITATION This study gives insight into the aims, control options and commercial availability for application of robots and ICT to support play in children with severe physical disabilities. This overview can be used in both the fields of rehabilitation and special education to search for new innovative intervention options and it can stimulate them to use these innovative play materials. Especially robots may have great potential in supporting play for play's sake''.</t>
  </si>
  <si>
    <t>[van den Heuvel, Renee J. F.; Lexis, Monique A. S.; Gelderblom, Gert Jan; Jansens, Rianne M. L.; de Witte, Luc P.] Zuyd Univ Appl Sci, Res Ctr Technol Care, Henri Dunantstr 2, NL-6419 PB Heerlen, Netherlands; [van den Heuvel, Renee J. F.; de Witte, Luc P.] Maastricht Univ, CAPRHI Sch Publ Hlth &amp; Primary Care, Fac Hlth Med &amp; Life Sci, Dept Hlth Serv Res, Maastricht, Netherlands</t>
  </si>
  <si>
    <t>Maastricht University</t>
  </si>
  <si>
    <t>van den Heuvel, RJF (corresponding author), Zuyd Univ Appl Sci, Res Ctr Technol Care, Henri Dunantstr 2, NL-6419 PB Heerlen, Netherlands.</t>
  </si>
  <si>
    <t>renee.vandenheuvel@zuyd.nl</t>
  </si>
  <si>
    <t>De+Witte, Luc/AAI-3518-2020</t>
  </si>
  <si>
    <t>de Witte, Luc/0000-0002-3013-2640</t>
  </si>
  <si>
    <t>TAYLOR &amp; FRANCIS INC</t>
  </si>
  <si>
    <t>530 WALNUT STREET, STE 850, PHILADELPHIA, PA 19106 USA</t>
  </si>
  <si>
    <t>1748-3107</t>
  </si>
  <si>
    <t>1748-3115</t>
  </si>
  <si>
    <t>DISABIL REHABIL-ASSI</t>
  </si>
  <si>
    <t>Disabil. Rehabil.-Assist. Technol.</t>
  </si>
  <si>
    <t>10.3109/17483107.2015.1079268</t>
  </si>
  <si>
    <t>EA2VS</t>
  </si>
  <si>
    <t>WOS:000386454400002</t>
  </si>
  <si>
    <t>Gonzalez, A; Garcia, L; Kilby, J; McNair, P</t>
  </si>
  <si>
    <t>Gonzalez, Alberto; Garcia, Lorenzo; Kilby, Jeff; McNair, Peter</t>
  </si>
  <si>
    <t>Robotic devices for paediatric rehabilitation: a review of design features</t>
  </si>
  <si>
    <t>BIOMEDICAL ENGINEERING ONLINE</t>
  </si>
  <si>
    <t>Robotic; Exoskeletons; Rehabilitation; Assistance; Children; Physical disability</t>
  </si>
  <si>
    <t>CEREBRAL-PALSY DESIGN; TOXIN TYPE-A; STROKE PATIENTS; LIMB IMPAIRMENTS; ASSISTED THERAPY; CONTROLLED-TRIAL; CHILDREN; GAIT; EXOSKELETONS; WALKING</t>
  </si>
  <si>
    <t>Children with physical disabilities often have limited performance in daily activities, hindering their physical development, social development and mental health. Therefore, rehabilitation is essential to mitigate the adverse effects of the different causes of physical disabilities and improve independence and quality of life. In the last decade, robotic rehabilitation has shown the potential to augment traditional physical rehabilitation. However, to date, most robotic rehabilitation devices are designed for adult patients who differ in their needs compared to paediatric patients, limiting the devices' potential because the paediatric patients' needs are not adequately considered. With this in mind, the current work reviews the existing literature on robotic rehabilitation for children with physical disabilities, intending to summarise how the rehabilitation robots could fulfil children's needs and inspire researchers to develop new devices. A literature search was conducted utilising the Web of Science, PubMed and Scopus databases. Based on the inclusion-exclusion criteria, 206 publications were included, and 58 robotic devices used by children with a physical disability were identified. Different design factors and the treated conditions using robotic technology were compared. Through the analyses, it was identified that weight, safety, operability and motivation were crucial factors to the successful design of devices for children. The majority of the current devices were used for lower limb rehabilitation. Neurological disorders, in particular cerebral palsy, were the most common conditions for which devices were designed. By far, the most common actuator was the electric motor. Usually, the devices present more than one training strategy being the assistive strategy the most used. The admittance/impedance method is the most popular to interface the robot with the children. Currently, there is a trend on developing exoskeletons, as they can assist children with daily life activities outside of the rehabilitation setting, propitiating a wider adoption of the technology. With this shift in focus, it appears likely that new technologies to actuate the system (e.g. serial elastic actuators) and to detect the intention (e.g. physiological signals) of children as they go about their daily activities will be required.</t>
  </si>
  <si>
    <t>[Gonzalez, Alberto; Garcia, Lorenzo; Kilby, Jeff] Auckland Univ Technol, Sch Engn Comp &amp; Math Sci, BioDesign Lab, Auckland, New Zealand; [McNair, Peter] Auckland Univ Technol, Hlth &amp; Rehabil Res Inst, Auckland, New Zealand</t>
  </si>
  <si>
    <t>Auckland University of Technology; Auckland University of Technology</t>
  </si>
  <si>
    <t>Garcia, L (corresponding author), Auckland Univ Technol, Sch Engn Comp &amp; Math Sci, BioDesign Lab, Auckland, New Zealand.</t>
  </si>
  <si>
    <t>lorenzo.garcia@aut.ac.nz</t>
  </si>
  <si>
    <t>Gonzalez Vazquez, Alberto/0000-0001-6514-7888</t>
  </si>
  <si>
    <t>BMC</t>
  </si>
  <si>
    <t>LONDON</t>
  </si>
  <si>
    <t>CAMPUS, 4 CRINAN ST, LONDON N1 9XW, ENGLAND</t>
  </si>
  <si>
    <t>1475-925X</t>
  </si>
  <si>
    <t>BIOMED ENG ONLINE</t>
  </si>
  <si>
    <t>Biomed. Eng. Online</t>
  </si>
  <si>
    <t>SEP 6</t>
  </si>
  <si>
    <t>10.1186/s12938-021-00920-5</t>
  </si>
  <si>
    <t>Engineering, Biomedical</t>
  </si>
  <si>
    <t>UM3OT</t>
  </si>
  <si>
    <t>WOS:000693244000001</t>
  </si>
  <si>
    <t>Rasa, AR</t>
  </si>
  <si>
    <t>Rasa, Amir Rahmani</t>
  </si>
  <si>
    <t>Artificial Intelligence and Its Revolutionary Role in Physical and Mental Rehabilitation: A Review of Recent Advancements</t>
  </si>
  <si>
    <t>BIOMED RESEARCH INTERNATIONAL</t>
  </si>
  <si>
    <t>artificial intelligence; machine learning; natural language processing; occupational therapy; robotics; virtual reality</t>
  </si>
  <si>
    <t>VIRTUAL-REALITY; INPATIENT REHABILITATION; MOTOR FUNCTION; THERAPY; PEOPLE; CHALLENGES; CONTEXT; VISION; STROKE; KINECT</t>
  </si>
  <si>
    <t>The integration of artificial intelligence (AI) technologies into physical and mental rehabilitation has the potential to significantly transform these fields. AI innovations, including machine learning algorithms, natural language processing, and computer vision, offer occupational therapists advanced tools to improve care quality. These technologies facilitate more precise assessments, the development of tailored intervention plans, more efficient treatment delivery, and enhanced outcome evaluation. This review explores the integration of AI across various aspects of rehabilitation, providing a thorough examination of recent advancements and current applications. It highlights how AI applications, such as natural language processing, computer vision, virtual reality, machine learning, and robotics, are shaping the future of physical and mental recovery in occupational therapy.</t>
  </si>
  <si>
    <t>[Rasa, Amir Rahmani] Hamadan Univ Med Sci, Dept Occupat Therapy, Sch Rehabil Sci, Hamadan, Iran</t>
  </si>
  <si>
    <t>Hamadan University of Medical Sciences</t>
  </si>
  <si>
    <t>Rasa, AR (corresponding author), Hamadan Univ Med Sci, Dept Occupat Therapy, Sch Rehabil Sci, Hamadan, Iran.</t>
  </si>
  <si>
    <t>rahmaniot@umsha.ac.ir</t>
  </si>
  <si>
    <t>Rasa, Amir/R-4983-2017</t>
  </si>
  <si>
    <t>WILEY</t>
  </si>
  <si>
    <t>HOBOKEN</t>
  </si>
  <si>
    <t>111 RIVER ST, HOBOKEN 07030-5774, NJ USA</t>
  </si>
  <si>
    <t>2314-6133</t>
  </si>
  <si>
    <t>2314-6141</t>
  </si>
  <si>
    <t>BIOMED RES INT</t>
  </si>
  <si>
    <t>Biomed Res. Int.</t>
  </si>
  <si>
    <t>DEC 17</t>
  </si>
  <si>
    <t>10.1155/bmri/9554590</t>
  </si>
  <si>
    <t>Biotechnology &amp; Applied Microbiology; Medicine, Research &amp; Experimental</t>
  </si>
  <si>
    <t>Biotechnology &amp; Applied Microbiology; Research &amp; Experimental Medicine</t>
  </si>
  <si>
    <t>Q6W0J</t>
  </si>
  <si>
    <t>hybrid</t>
  </si>
  <si>
    <t>WOS:001386043300001</t>
  </si>
  <si>
    <t>Lee, DH; Woo, BS; Park, YH; Lee, JH</t>
  </si>
  <si>
    <t>Lee, Dae-Hwan; Woo, Bong-Sik; Park, Yong-Hwa; Lee, Jung-Ho</t>
  </si>
  <si>
    <t>General Treatments Promoting Independent Living in Parkinson's Patients and Physical Therapy Approaches for Improving Gait-A Comprehensive Review</t>
  </si>
  <si>
    <t>MEDICINA-LITHUANIA</t>
  </si>
  <si>
    <t>Parkinson disease; gait; rehabilitation; physical therapy; RAGT</t>
  </si>
  <si>
    <t>DEEP BRAIN-STIMULATION; PHARMACOLOGICAL-TREATMENT; DISEASE; RECOVERY; BALANCE; REHABILITATION; PERFORMANCE; MECHANISMS; SYMPTOMS; CIRCUITS</t>
  </si>
  <si>
    <t>This study delves into the multifaceted approaches to treating Parkinson's disease (PD), a neurodegenerative disorder primarily affecting motor function but also manifesting in a variety of symptoms that vary greatly among individuals. The complexity of PD symptoms necessitates a comprehensive treatment strategy that integrates surgical interventions, pharmacotherapy, and physical therapy to tailor to the unique needs of each patient. Surgical options, such as deep brain stimulation (DBS), have been pivotal for patients not responding adequately to medication, offering significant symptom relief. Pharmacotherapy remains a cornerstone of PD management, utilizing drugs like levodopa, dopamine agonists, and others to manage symptoms and, in some cases, slow down disease progression. However, these treatments often lead to complications over time, such as motor fluctuations and dyskinesias, highlighting the need for precise dosage adjustments and sometimes combination therapies to optimize patient outcomes. Physical therapy plays a critical role in addressing the motor symptoms of PD, including bradykinesia, muscle rigidity, tremors, postural instability, and akinesia. PT techniques are tailored to improve mobility, balance, strength, and overall quality of life. Strategies such as gait and balance training, strengthening exercises, stretching, and functional training are employed to mitigate symptoms and enhance functional independence. Specialized approaches like proprioceptive neuromuscular facilitation (PNF), the Bobath concept, and the use of assistive devices are also integral to the rehabilitation process, aimed at improving patients' ability to perform daily activities and reducing the risk of falls. Innovations in technology have introduced robotic-assisted gait training (RAGT) and other assistive devices, offering new possibilities for patient care. These tools provide targeted support and feedback, allowing for more intensive and personalized rehabilitation sessions. Despite these advancements, high costs and accessibility issues remain challenges that need addressing. The inclusion of exercise and activity beyond structured PT sessions is encouraged, with evidence suggesting that regular physical activity can have neuroprotective effects, potentially slowing disease progression. Activities such as treadmill walking, cycling, and aquatic exercises not only improve physical symptoms but also contribute to emotional well-being and social interactions. In conclusion, treating PD requires a holistic approach that combines medical, surgical, and therapeutic strategies. While there is no cure, the goal is to maximize patients' functional abilities and quality of life through personalized treatment plans. This integrated approach, along with ongoing research and development of new therapies, offers hope for improving the management of PD and the lives of those affected by this challenging disease.</t>
  </si>
  <si>
    <t>[Lee, Dae-Hwan; Woo, Bong-Sik; Park, Yong-Hwa] IM Rehabil Hosp, 2140 Cheongnam Ro, Cheongju 28702, Chungcheongbug, South Korea; [Lee, Jung-Ho] Univ Kyungdong, Dept Phys Therapy, 815 Gyeonhwon Ro, Wonju 26495, Gangwon Do, South Korea</t>
  </si>
  <si>
    <t>Lee, JH (corresponding author), Univ Kyungdong, Dept Phys Therapy, 815 Gyeonhwon Ro, Wonju 26495, Gangwon Do, South Korea.</t>
  </si>
  <si>
    <t>dhlee8510@naver.com; wbongsky@daum.net; rmsid0245@naver.com; ljhcivapt@naver.com</t>
  </si>
  <si>
    <t>Lee, Jung-Ho/0000-0002-0672-5817</t>
  </si>
  <si>
    <t>Kyungdong University</t>
  </si>
  <si>
    <t>1010-660X</t>
  </si>
  <si>
    <t>1648-9144</t>
  </si>
  <si>
    <t>Med. Lith.</t>
  </si>
  <si>
    <t>MAY</t>
  </si>
  <si>
    <t>10.3390/medicina60050711</t>
  </si>
  <si>
    <t>SG1M3</t>
  </si>
  <si>
    <t>WOS:001233211200001</t>
  </si>
  <si>
    <t>García-Rudolph, A; Sánchez-Pinsach, D; Salleras, EO; Tormos, JM</t>
  </si>
  <si>
    <t>Garcia-Rudolph, Alejandro; Sanchez-Pinsach, David; Opisso Salleras, Eloy; Maria Tormos, Josep</t>
  </si>
  <si>
    <t>Subacute stroke physical rehabilitation evidence in activities of daily living outcomes A systematic review of meta-analyses of randomized controlled trials</t>
  </si>
  <si>
    <t>MEDICINE</t>
  </si>
  <si>
    <t>activities of daily living; meta-analysis; rehabilitation; stroke; subacute interventions; umbrella review</t>
  </si>
  <si>
    <t>INDUCED MOVEMENT THERAPY; ROBOT-ASSISTED THERAPY; ACUTE ISCHEMIC-STROKE; EXERCISE THERAPY; BARTHEL INDEX; INFECTION; INFLAMMATION; RELIABILITY; RECOVERY; DISEASE</t>
  </si>
  <si>
    <t>Background: Stroke is a leading cause of disabilities worldwide. One of the key disciplines in stroke rehabilitation is physical therapy which is primarily aimed at restoring and maintaining activities of daily living (ADL). Several meta-analyses have found different interventions improving functional capacity and reducing disability. Objectives: To systematically evaluate existing evidence, from published systematic reviews of meta-analyses, of subacute physical rehabilitation interventions in (ADLs) for stroke patients. Methods: Umbrella review on meta-analyses of RCTs ADLs in MEDLINE, Web of Science, Scopus, Cochrane, and Google Scholar up to April 2018. Two reviewers independently applied inclusion criteria to select potential systematic reviews of meta-analyses of randomized controlled trials (RCTs) of physical rehabilitation interventions (during subacute phase) reporting results in ADLs. Two reviewers independently extracted name of the 1st author, year of publication, physical intervention, outcome(s), total number of participants, and number of studies from each eligible meta-analysis. The number of subjects (intervention and control), ADL outcome, and effect sizes were extracted from each study. Results: Fifty-five meta-analyses on 21 subacute rehabilitation interventions presented in 30 different publications involving a total of 314 RCTs for 13,787 subjects were identified. Standardized mean differences (SMDs), 95% confidence intervals (fixed and random effects models), 95% prediction intervals, and statistical heterogeneity (I-2 and Q test) were calculated. Virtual reality, constraint-induced movement, augmented exercises therapy, and transcranial direct current stimulation interventions resulted statistically significant (P&lt;.05) with moderate improvements (0.5 &lt;= SMD &lt;= 0.8) and no heterogeneity (I-2=0%). Moxibustion, Tai Chi, and acupuncture presented best improvements (SMD&gt;0.8) but with considerable heterogeneity (I-2&gt;75%). Only acupuncture reached suggestive level of evidence. Conclusion: Despite the range of interventions available for stroke rehabilitation in subacute phase, there is lack of high-quality evidence in meta-analyses, highlighting the need of further research reporting ADL outcomes.</t>
  </si>
  <si>
    <t>[Garcia-Rudolph, Alejandro; Sanchez-Pinsach, David; Opisso Salleras, Eloy; Maria Tormos, Josep] UAB, Inst Univ Neurorehabil Adscrit, Inst Guttmann, Dept Res &amp; Innovat, Barcelona, Spain; [Garcia-Rudolph, Alejandro; Sanchez-Pinsach, David; Opisso Salleras, Eloy; Maria Tormos, Josep] Univ Autonoma Barcelona, Bellaterra, Cerdanyola Del, Spain; [Garcia-Rudolph, Alejandro; Sanchez-Pinsach, David; Opisso Salleras, Eloy; Maria Tormos, Josep] Fundacio Inst Invest Ciencies Salut Germans Trias, Barcelona, Spain</t>
  </si>
  <si>
    <t>Autonomous University of Barcelona; Autonomous University of Barcelona; Fundacio Institut d'Investigacio en Ciencies de la Salut Germans Trias i Pujol (IGTP)</t>
  </si>
  <si>
    <t>García-Rudolph, A (corresponding author), Hosp Neurorehabil, Inst Guttmann, Dept Res &amp; Innovat, Cami Can Ruti S-N, Barcelona 08916, Spain.</t>
  </si>
  <si>
    <t>agarciar@guttmann.com</t>
  </si>
  <si>
    <t>Tormos, José/K-5643-2014; Opisso, Eloy/HZI-1062-2023</t>
  </si>
  <si>
    <t>Tormos Munoz, Jose Maria/0000-0002-8764-2289</t>
  </si>
  <si>
    <t>EU H2020 PRECISE4Q - Personalized Medicine by Predictive Modeling in Stroke for better Quality of Life [777107]</t>
  </si>
  <si>
    <t>EU H2020 PRECISE4Q - Personalized Medicine by Predictive Modeling in Stroke for better Quality of Life</t>
  </si>
  <si>
    <t>This research was partially funded by EU H2020 PRECISE4Q - Personalized Medicine by Predictive Modeling in Stroke for better Quality of Life (Grant Agreement 777107 - Research and Innovation Action).</t>
  </si>
  <si>
    <t>LIPPINCOTT WILLIAMS &amp; WILKINS</t>
  </si>
  <si>
    <t>TWO COMMERCE SQ, 2001 MARKET ST, PHILADELPHIA, PA 19103 USA</t>
  </si>
  <si>
    <t>0025-7974</t>
  </si>
  <si>
    <t>1536-5964</t>
  </si>
  <si>
    <t>Medicine (Baltimore)</t>
  </si>
  <si>
    <t>FEB</t>
  </si>
  <si>
    <t>e14501</t>
  </si>
  <si>
    <t>10.1097/MD.0000000000014501</t>
  </si>
  <si>
    <t>HQ3SP</t>
  </si>
  <si>
    <t>Green Published, gold</t>
  </si>
  <si>
    <t>WOS:000462331100032</t>
  </si>
  <si>
    <t>Carr, JH; Shepherd, RB</t>
  </si>
  <si>
    <t>Carr, Janet H.; Shepherd, Roberta B.</t>
  </si>
  <si>
    <t>Enhancing Physical Activity and Brain Reorganization after Stroke</t>
  </si>
  <si>
    <t>NEUROLOGY RESEARCH INTERNATIONAL</t>
  </si>
  <si>
    <t>RANDOMIZED CONTROLLED-TRIAL; AFRICAN-AMERICAN GROUP; BODY-WEIGHT SUPPORT; SIT-TO-STAND; AEROBIC EXERCISE; EARLY REHABILITATION; IMPROVES WALKING; OLDER-ADULTS; TREADMILL; MOTOR</t>
  </si>
  <si>
    <t>It is becoming increasingly clear that, if reorganization of brain function is to be optimal after stroke, there needs to be a reorganisation of the methods used in physical rehabilitation and the time spent in specific task practice, strength and endurance training, and aerobic exercise. Frequency and intensity of rehabilitation need to be increased so that patients can gain the energy levels and vigour necessary for participation in physical activity both during rehabilitation and after discharge. It is evident that many patients are discharged from inpatient rehabilitation severely deconditioned, meaning that their energy levels are too low for active participation in daily life. Physicians, therapists, and nursing staff responsible for rehabilitation practice should address this issue not only during inpatient rehabilitation but also after discharge by promoting and supporting community-based exercise opportunities. During inpatient rehabilitation, group sessions should be frequent and need to include specific aerobic training. Physiotherapy must take advantage of the training aids available, including exercise equipment such as treadmills, and of new developments in computerised feedback systems, robotics, and electromechanical trainers. For illustrative purposes, this paper focuses on the role of physiotherapists, but the necessary changes in practice and in attitude will require cooperation from many others.</t>
  </si>
  <si>
    <t>[Carr, Janet H.; Shepherd, Roberta B.] Univ Sydney, Fac Hlth Sci, POB 170, Sydney, NSW 1825, Australia</t>
  </si>
  <si>
    <t>University of Sydney</t>
  </si>
  <si>
    <t>Carr, JH (corresponding author), Univ Sydney, Fac Hlth Sci, POB 170, Sydney, NSW 1825, Australia.</t>
  </si>
  <si>
    <t>janet.carr@sydney.edu.au</t>
  </si>
  <si>
    <t>HINDAWI LTD</t>
  </si>
  <si>
    <t>ADAM HOUSE, 3RD FLR, 1 FITZROY SQ, LONDON, W1T 5HF, ENGLAND</t>
  </si>
  <si>
    <t>2090-1852</t>
  </si>
  <si>
    <t>2090-1860</t>
  </si>
  <si>
    <t>NEUROL RES INT</t>
  </si>
  <si>
    <t>Neurol. Res. Int.</t>
  </si>
  <si>
    <t>10.1155/2011/515938</t>
  </si>
  <si>
    <t>Neurosciences</t>
  </si>
  <si>
    <t>Neurosciences &amp; Neurology</t>
  </si>
  <si>
    <t>V33DU</t>
  </si>
  <si>
    <t>gold, Green Submitted, Green Published</t>
  </si>
  <si>
    <t>WOS:000215746900014</t>
  </si>
  <si>
    <t>Di Ludovico, A; Ciarelli, F; La Bella, S; Scorrano, G; Chiarelli, F; Farello, G</t>
  </si>
  <si>
    <t>Di Ludovico, Armando; Ciarelli, Francesca; La Bella, Saverio; Scorrano, Giovanna; Chiarelli, Francesco; Farello, Giovanni</t>
  </si>
  <si>
    <t>The therapeutic effects of physical treatment for patients with hereditary spastic paraplegia: a narrative review</t>
  </si>
  <si>
    <t>FRONTIERS IN NEUROLOGY</t>
  </si>
  <si>
    <t>neurology; rehabilitation; physiotherapy; hereditary spastic paraplegia; physical therapy</t>
  </si>
  <si>
    <t>PATHOGENIC VARIANTS; VIRTUAL-REALITY; DC POLARIZATION; OF-FUNCTION; DE-NOVO; GAIT; MOTOR; STIMULATION; SPECTRUM; MUTATION</t>
  </si>
  <si>
    <t>Background: Hereditary spastic paraplegia (HSP) encompass a variety of neurodegenerative disorders that are characterized by progressive deterioration of walking ability and a high risk for long-term disability. The management of problems associated with HSP, such as stiffness, deformity, muscle contractures, and cramping, requires strict adherence to recommended physiotherapy activity regimes. The aim of this paper is to conduct a critical narrative review of the available evidence focusing exclusively to the therapeutic advantages associated with various forms of physical therapy (PT) in the context of HSP, emphasizing the specific benefit of every distinct approach in relation to muscle relaxation, muscle strength, spasticity reduction, improvement of weakness, enhancement of balance, posture, walking ability, and overall quality of life. Methods: To conduct a literature review, the databases PubMed, Scopus, and DOAJ (last access in June 2023) were searched. Results: The PubMed search returned a total of 230 articles, Scopus returned 218, and DOAJ returned no results. After screening, the final list included 7 papers on PT treatment for HSP patients. Conclusion: Electrostimulation, magnetotherapy, hydrotherapy, PT, robot-assisted gait training, and balance rehabilitation have the potential to increase lower extremity strength and decrease spasticity in HSP patients.</t>
  </si>
  <si>
    <t>[Di Ludovico, Armando; Ciarelli, Francesca; La Bella, Saverio; Scorrano, Giovanna; Chiarelli, Francesco] Univ Chieti G Annunzio, Dept Pediat, Chieti, Italy; [Farello, Giovanni] Univ LAquila, Dept Pediat, Laquila, Italy</t>
  </si>
  <si>
    <t>G d'Annunzio University of Chieti-Pescara; University of L'Aquila</t>
  </si>
  <si>
    <t>Di Ludovico, A (corresponding author), Univ Chieti G Annunzio, Dept Pediat, Chieti, Italy.</t>
  </si>
  <si>
    <t>armandodl@outlook.com</t>
  </si>
  <si>
    <t>La Bella, Saverio/NGR-9557-2025</t>
  </si>
  <si>
    <t>La Bella, Saverio/0000-0002-1244-0789</t>
  </si>
  <si>
    <t>FRONTIERS MEDIA SA</t>
  </si>
  <si>
    <t>LAUSANNE</t>
  </si>
  <si>
    <t>AVENUE DU TRIBUNAL FEDERAL 34, LAUSANNE, CH-1015, SWITZERLAND</t>
  </si>
  <si>
    <t>1664-2295</t>
  </si>
  <si>
    <t>FRONT NEUROL</t>
  </si>
  <si>
    <t>Front. Neurol.</t>
  </si>
  <si>
    <t>NOV 29</t>
  </si>
  <si>
    <t>10.3389/fneur.2023.1292527</t>
  </si>
  <si>
    <t>Clinical Neurology; Neurosciences</t>
  </si>
  <si>
    <t>CP3P4</t>
  </si>
  <si>
    <t>WOS:001126413200001</t>
  </si>
  <si>
    <t>Banyai, AD; Brisan, C</t>
  </si>
  <si>
    <t>Banyai, Adriana Daniela; Brisan, Cornel</t>
  </si>
  <si>
    <t>Robotics in Physical Rehabilitation: Systematic Review</t>
  </si>
  <si>
    <t>HEALTHCARE</t>
  </si>
  <si>
    <t>motor rehabilitation; robotic care; robot-assisted therapy</t>
  </si>
  <si>
    <t>UPPER-LIMB REHABILITATION; BRAIN-COMPUTER INTERFACES; ASSISTED THERAPY; STROKE REHABILITATION; SUBACUTE; ARM</t>
  </si>
  <si>
    <t>As the global prevalence of motor disabilities continues to rise, there is a pressing need for advanced solutions in physical rehabilitation. This systematic review examines the progress and challenges of implementing robotic technologies in the motor rehabilitation of patients with physical disabilities. The integration of robotic technologies such as exoskeletons, assistive training devices, and brain-computer interface systems holds significant promise for enhancing functional recovery and patient autonomy. The review synthesizes findings from the most important studies, focusing on the clinical effectiveness of robotic interventions in comparison to traditional rehabilitation methods. The analysis reveals that robotic therapies can significantly improve motor function, strength, co-ordination, and dexterity. Robotic systems also support neuroplasticity, enabling patients to relearn lost motor skills through precise, controlled, and repetitive exercises. However, the adoption of these technologies is hindered by high costs, the need for specialized training, and limited accessibility. Key insights from the review highlight the necessity of personalizing robotic therapies to meet individual patient needs, alongside addressing technical, economic, social, and cultural barriers. The review also underscores the importance of continued research to optimize these technologies and develop effective implementation strategies. By overcoming these challenges, robotic technologies can revolutionize motor rehabilitation, improving quality of life and social integration for individuals with motor disabilities.</t>
  </si>
  <si>
    <t>[Banyai, Adriana Daniela; Brisan, Cornel] Tech Univ Cluj Napoca, Dept Mechatron &amp; Machine Dynam, Cluj Napoca 400114, Romania</t>
  </si>
  <si>
    <t>Technical University of Cluj Napoca</t>
  </si>
  <si>
    <t>Brisan, C (corresponding author), Tech Univ Cluj Napoca, Dept Mechatron &amp; Machine Dynam, Cluj Napoca 400114, Romania.</t>
  </si>
  <si>
    <t>adriana.tomsa@campus.utcluj.ro; cornel.brisan@mdm.utcluj.ro</t>
  </si>
  <si>
    <t>brisan, cornel/JCO-4208-2023</t>
  </si>
  <si>
    <t>Technical University of Cluj-Napoca</t>
  </si>
  <si>
    <t>This research was funded by Technical University of Cluj-Napoca (TUC-N support grants for publications).</t>
  </si>
  <si>
    <t>2227-9032</t>
  </si>
  <si>
    <t>HEALTHCARE-BASEL</t>
  </si>
  <si>
    <t>Healthcare</t>
  </si>
  <si>
    <t>SEP</t>
  </si>
  <si>
    <t>10.3390/healthcare12171720</t>
  </si>
  <si>
    <t>Health Care Sciences &amp; Services; Health Policy &amp; Services</t>
  </si>
  <si>
    <t>Health Care Sciences &amp; Services</t>
  </si>
  <si>
    <t>F6P7P</t>
  </si>
  <si>
    <t>WOS:001311024700001</t>
  </si>
  <si>
    <t>Patathong, T; Klaewkasikum, K; Woratanarat, P; Rattanasiri, S; Anothaisintawee, T; Woratanarat, T; Thakkinstian, A</t>
  </si>
  <si>
    <t>Patathong, Tanyaporn; Klaewkasikum, Krongkaew; Woratanarat, Patarawan; Rattanasiri, Sasivimol; Anothaisintawee, Thunyarat; Woratanarat, Thira; Thakkinstian, Ammarin</t>
  </si>
  <si>
    <t>The efficacy of gait rehabilitations for the treatment of incomplete spinal cord injury: a systematic review and network meta-analysis</t>
  </si>
  <si>
    <t>JOURNAL OF ORTHOPAEDIC SURGERY AND RESEARCH</t>
  </si>
  <si>
    <t>Functional electrical stimulation; Physical therapy; Robotic-assisted gait training; Treadmill; Walking</t>
  </si>
  <si>
    <t>FUNCTIONAL ELECTRICAL-STIMULATION; WEIGHT-SUPPORTED TREADMILL; LOWER-EXTREMITY; WALKING SPEED; PEOPLE; INDIVIDUALS; ADAPTATIONS; PLASTICITY; THERAPY; STROKE</t>
  </si>
  <si>
    <t>BackgroundRecent pieces of evidence about the efficacy of gait rehabilitation for incomplete spinal cord injury remain unclear. We aimed to estimate the treatment effect and find the best gait rehabilitation to regain velocity, distance, and Walking Index Spinal Cord Injury (WISCI) among incomplete spinal cord injury patients.MethodPubMed and Scopus databases were searched from inception to October 2022. Randomized controlled trials (RCTs) were included in comparison with any of the following: conventional physical therapy, treadmill, functional electrical stimulation and robotic-assisted gait training, and reported at least one outcome. Two reviewers independently selected the studies and extracted the data. Meta-analysis was performed using random-effects or fixed-effect model according to the heterogeneity. Network meta-analysis (NMA) was indirectly compared with all interventions and reported as pooled unstandardized mean difference (USMD) and 95% confidence interval (CI). Surface under the cumulative ranking curve (SUCRA) was calculated to identify the best intervention.ResultsWe included 17 RCTs (709 participants) with the mean age of 43.9 years. Acute-phase robotic-assisted gait training significantly improved the velocity (USMD 0.1 m/s, 95% CI 0.05, 0.14), distance (USMD 64.75 m, 95% CI 27.24, 102.27), and WISCI (USMD 3.28, 95% CI 0.12, 6.45) compared to conventional physical therapy. In NMA, functional electrical stimulation had the highest probability of being the best intervention for velocity (66.6%, SUCRA 82.1) and distance (39.7%, SUCRA 67.4), followed by treadmill, functional electrical stimulation plus treadmill, robotic-assisted gait training, and conventional physical therapy, respectively.ConclusionFunctional electrical stimulation seems to be the best treatment to improve walking velocity and distance for incomplete spinal cord injury patients. However, a large-scale RCT is required to study the adverse events of these interventions.Trial registration: PROSPERO number CRD42019145797.</t>
  </si>
  <si>
    <t>[Patathong, Tanyaporn; Klaewkasikum, Krongkaew; Woratanarat, Patarawan] Mahidol Univ, Fac Med Ramathibodi Hosp, Dept Orthoped, 270 Rama VI Road, Bangkok 10400, Thailand; [Rattanasiri, Sasivimol; Thakkinstian, Ammarin] Mahidol Univ, Fac Med Ramathibodi Hosp, Dept Clin Epidemiol &amp; Biostat, Bangkok 10400, Thailand; [Anothaisintawee, Thunyarat] Mahidol Univ, Fac Med Ramathibodi Hosp, Dept Family Med, Bangkok 10400, Thailand; [Woratanarat, Thira] Chulalongkorn Univ, Fac Med, Dept Prevent &amp; Social Med, Bangkok 10330, Thailand</t>
  </si>
  <si>
    <t>Mahidol University; Mahidol University; Mahidol University; Chulalongkorn University</t>
  </si>
  <si>
    <t>Woratanarat, P (corresponding author), Mahidol Univ, Fac Med Ramathibodi Hosp, Dept Orthoped, 270 Rama VI Road, Bangkok 10400, Thailand.</t>
  </si>
  <si>
    <t>pataraw@yahoo.com</t>
  </si>
  <si>
    <t>Rattanasiri, Sasivimol/MAH-1330-2025</t>
  </si>
  <si>
    <t>1749-799X</t>
  </si>
  <si>
    <t>J ORTHOP SURG RES</t>
  </si>
  <si>
    <t>J. Orthop. Surg. Res.</t>
  </si>
  <si>
    <t>JAN 23</t>
  </si>
  <si>
    <t>10.1186/s13018-022-03459-w</t>
  </si>
  <si>
    <t>Orthopedics</t>
  </si>
  <si>
    <t>8H8PA</t>
  </si>
  <si>
    <t>WOS:000921289400002</t>
  </si>
  <si>
    <t>Golchin, MD; Ripat, J; Verdonck, M</t>
  </si>
  <si>
    <t>Golchin, Minoo Dabiri; Ripat, Jacquie; Verdonck, Michele</t>
  </si>
  <si>
    <t>Assistive technology to facilitate children's play: a scoping review</t>
  </si>
  <si>
    <t>Review; Early Access</t>
  </si>
  <si>
    <t>Play and playthings; assistive technology; children with disabilities; scoping review</t>
  </si>
  <si>
    <t>SEVERE PHYSICAL-DISABILITIES; PRETEND PLAY; POWERED MOBILITY; CEREBRAL-PALSY; SUPPORT PLAY; REHABILITATION; COMPETENCE; LEISURE; IMPACT; GAMES</t>
  </si>
  <si>
    <t>PurposePlay is a fundamental human right and one of the most important occupations in children's lives. Fewer opportunities exist for children with physical disabilities (CWPD) to play. This study aimed to conduct a scoping review of published peer-reviewed literature on using AT to enable play-for-the-sake-of-play by CWPD.MethodThe review was conducted using a widely accepted scoping review methodology. Literature searches were conducted from January 2000 to March 2022 using MEDLINE, Central, CINAHL, ERIC, Scopus, and EMBASE. Pairs of reviewers used an online systematic review system to manage title, abstract, and full-text screening. Excel was used for data extraction and charting. Data was charted based on type of AT, play types according to LUDI definitions, and level of evidence.ResultsThe search yielded 5250 papers after the removal of duplicates. Title and abstract screening identified 58 studies for full-text screening. The final sample included 31 papers. Seven types of AT were identified in studies: power mobility, virtual reality, robots, adaptations for upper limb differences, switch-adapted games, augmentative and alternative communication devices, and mobility aids. Twenty-three papers addressed cognitive play, seven addressed social play, and one addressed both cognitive and social play. Most studies used case study, descriptive, or repeated measures designs.ConclusionThere is limited evidence regarding the use of AT to support play-for-the-sake-of-play in CWPD. Given the importance of play, further research using rigorous methodologies and the development of assistive technology dedicated to promoting play-for-the-sake-of-play is warranted. There is a need to promote play-for-the-sake-of-play for its intrinsic value rather than only focusing on play for its therapeutic outcomes for children with physical disabilities.Existing studies on technology to support play participation for children with physical disabilities seldom consider a holistic view of play that includes both social and cognitive dimensions.A few studies have included the use of assistive technology to enable play, but the wide variety of technologies used limits the identification of patterns.</t>
  </si>
  <si>
    <t>[Golchin, Minoo Dabiri; Ripat, Jacquie] Univ Manitoba, Coll Rehabil Sci, Dept Occupat Therapy, Winnipeg, MB, Canada; [Verdonck, Michele] Univ Sunshine Coast, Sch Hlth, Dept Occupat Therapy, Sippy Downs, Australia</t>
  </si>
  <si>
    <t>University of Manitoba; University of the Sunshine Coast</t>
  </si>
  <si>
    <t>Ripat, J (corresponding author), Univ Manitoba, Coll Rehabil Sci, Dept Occupat Therapy, Winnipeg, MB, Canada.</t>
  </si>
  <si>
    <t>Jacquie.Ripat@umanitoba.ca</t>
  </si>
  <si>
    <t>Golchin, Minoo/U-4061-2019</t>
  </si>
  <si>
    <t>Ripat, Jacquie/0000-0002-2763-4340; Verdonck, Michele/0000-0003-1503-9349</t>
  </si>
  <si>
    <t>2023 JAN 2</t>
  </si>
  <si>
    <t>10.1080/17483107.2023.2298825</t>
  </si>
  <si>
    <t>JAN 2023</t>
  </si>
  <si>
    <t>Social Science Citation Index (SSCI)</t>
  </si>
  <si>
    <t>EB3H3</t>
  </si>
  <si>
    <t>WOS:001136402300001</t>
  </si>
  <si>
    <t>Hussain, S; Jamwal, PK; Ghayesh, MH</t>
  </si>
  <si>
    <t>Hussain, Shahid; Jamwal, Prashant K.; Ghayesh, Mergen H.</t>
  </si>
  <si>
    <t>SINGLE JOINT ROBOTIC ORTHOSES FOR GAIT REHABILITATION: AN EDUCATIONAL TECHNICAL REVIEW</t>
  </si>
  <si>
    <t>JOURNAL OF REHABILITATION MEDICINE</t>
  </si>
  <si>
    <t>gait rehabilitation; robots; orthosis; stroke; control strategies; mechanism design</t>
  </si>
  <si>
    <t>ANKLE-FOOT ORTHOSIS; CONTROL STRATEGIES; ASSISTED GAIT; EXOSKELETON; PERFORMANCE; DESIGN; INDIVIDUALS; MECHANISMS; ACTUATION; RECOVERY</t>
  </si>
  <si>
    <t>Robot-assisted physical gait therapy is gaining recognition among the rehabilitation engineering community. Several robotic orthoses for the treatment of gait impairments have been developed during the last 2 decades, many of which are designed to provide physical therapy to a single joint of the lower limb; these are reviewed here. The mechanism design and actuation concepts for these single joint robotic orthoses are discussed. The control algorithms developed for these robotic orthoses, which include trajectory tracking control and assist-as-needed control, are described. Finally, the mechanism design and control of single joint robotic orthoses are discussed. There is a strong need to develop assist-as-needed control algorithms and to perform clinical evaluation of these robotic orthoses in order to establish their therapeutic efficacy.</t>
  </si>
  <si>
    <t>[Hussain, Shahid; Ghayesh, Mergen H.] Univ Wollongong, Sch Mech Mat &amp; Mechatron Engn, Wollongong, NSW 2522, Australia; [Jamwal, Prashant K.] Nazarbayev Univ, Sch Engn, Dept Elect &amp; Elect Engn, Astana, Kazakhstan</t>
  </si>
  <si>
    <t>University of Wollongong; Nazarbayev University</t>
  </si>
  <si>
    <t>Hussain, S (corresponding author), Univ Wollongong, Sch Mech Mat &amp; Mechatron Engn, Wollongong, NSW 2522, Australia.</t>
  </si>
  <si>
    <t>shussain@uow.edu.au</t>
  </si>
  <si>
    <t>JAMWAL, PRASHANT/AAQ-7638-2020; Hussain, Shahid/AAP-5065-2021</t>
  </si>
  <si>
    <t>Jamwal, Prashant/0000-0002-1330-6186</t>
  </si>
  <si>
    <t>School of Engineering, Nazarbayev University, Astana, Kazakhstan</t>
  </si>
  <si>
    <t>This work was supported in part by the Social Policy Grant from the School of Engineering, Nazarbayev University, Astana, Kazakhstan.</t>
  </si>
  <si>
    <t>FOUNDATION REHABILITATION INFORMATION</t>
  </si>
  <si>
    <t>UPPSALA</t>
  </si>
  <si>
    <t>TRADGARDSGATAN 14, UPPSALA, SE-753 09, SWEDEN</t>
  </si>
  <si>
    <t>1650-1977</t>
  </si>
  <si>
    <t>1651-2081</t>
  </si>
  <si>
    <t>J REHABIL MED</t>
  </si>
  <si>
    <t>J. Rehabil. Med.</t>
  </si>
  <si>
    <t>APR</t>
  </si>
  <si>
    <t>10.2340/16501977-2073</t>
  </si>
  <si>
    <t>DH0EU</t>
  </si>
  <si>
    <t>WOS:000372456100002</t>
  </si>
  <si>
    <t>Chickermane, PR; Panjikaran, ND; Balan, S</t>
  </si>
  <si>
    <t>Chickermane, Pranav Raman; Panjikaran, Nittu Devassy; Balan, Suma</t>
  </si>
  <si>
    <t>Role of Rehabilitation in Comprehensive Management of Juvenile Idiopathic Arthritis: When and How?</t>
  </si>
  <si>
    <t>INDIAN JOURNAL OF RHEUMATOLOGY</t>
  </si>
  <si>
    <t>Exercise therapy; juvenile idiopathic arthritis; orthoses; physical modalities; rehabilitation</t>
  </si>
  <si>
    <t>QUALITY-OF-LIFE; CHRONIC MUSCULOSKELETAL PAIN; DISABILITY MEASUREMENT TOOL; RHEUMATOID-ARTHRITIS; EXERCISE THERAPY; CHILDREN; HEALTH; VALIDATION; QUESTIONNAIRE; RELIABILITY</t>
  </si>
  <si>
    <t>Juvenile idiopathic arthritis (JIA), the most common chronic rheumatological disorder in children, can result in significant disability and poorer health-related quality of life. Rehabilitation aimed at pain management, optimizing musculoskeletal function, improving endurance and achieving independence in activities of daily living, and participation in age-appropriate activities, is a vital component in the comprehensive management of children with this condition. Rehabilitation strategies depend on the phase of the disease and focus on pain alleviation in the active phase and improving mobility and function in the inactive phase. Rehabilitation in JIA is multidisciplinary and includes exercise therapy, physical modalities, orthotic and assistive devices, and gait training. Exercise therapy has demonstrated improvement in muscle strength, bone mineral density, exercise capacity, and quality of life, without negative consequences of pain or exacerbation of arthritis. Common exercise interventions for children with JIA include mobilization, strengthening, aerobic exercises, Pilates-based exercises, aquatic therapy, and recreation. Physical modalities such as thermotherapy, cryotherapy, electrotherapy, ultrasound, and low-power laser therapy are commonly employed. Orthotic devices play an important role in joint protection, prevention and reduction of joint deformities, and assistance with function and gait. Assistive devices are prescribed to improve functional ability and independence in activities of daily living in children with disabilities. There have been recent advances in the field of rehabilitation with the advent of robotics, virtual reality, and telerehabilitation.</t>
  </si>
  <si>
    <t>[Chickermane, Pranav Raman; Balan, Suma] Amrita Inst Med Sci, Dept Rheumatol &amp; Clin Immunol, Kochi, Kerala, India; [Panjikaran, Nittu Devassy] Amrita Inst Med Sci, Dept Phys Med &amp; Rehabil, Kochi, Kerala, India; [Balan, Suma] Amrita Inst Med Sci, Dept Rheumatol &amp; Clin Immunol, Kochi 682041, Kerala, India</t>
  </si>
  <si>
    <t>Amrita Vishwa Vidyapeetham; Amrita Vishwa Vidyapeetham Kochi; Amrita Vishwa Vidyapeetham; Amrita Vishwa Vidyapeetham Kochi; Amrita Vishwa Vidyapeetham; Amrita Vishwa Vidyapeetham Kochi</t>
  </si>
  <si>
    <t>Balan, S (corresponding author), Amrita Inst Med Sci, Dept Rheumatol &amp; Clin Immunol, Kochi 682041, Kerala, India.</t>
  </si>
  <si>
    <t>sumabalan@googlemail.com</t>
  </si>
  <si>
    <t>CHICKERMANE, PRANAV/KOC-8173-2024</t>
  </si>
  <si>
    <t>Chickermane, Pranav/0000-0001-7206-5469</t>
  </si>
  <si>
    <t>WOLTERS KLUWER MEDKNOW PUBLICATIONS</t>
  </si>
  <si>
    <t>MUMBAI</t>
  </si>
  <si>
    <t>WOLTERS KLUWER INDIA PVT LTD , A-202, 2ND FLR, QUBE, C T S NO 1498A-2 VILLAGE MAROL, ANDHERI EAST, MUMBAI, Maharashtra, INDIA</t>
  </si>
  <si>
    <t>0973-3698</t>
  </si>
  <si>
    <t>0973-3701</t>
  </si>
  <si>
    <t>INDIAN J RHEUMATOL</t>
  </si>
  <si>
    <t>Indian J. Rheumatol.</t>
  </si>
  <si>
    <t>SUPPL 1</t>
  </si>
  <si>
    <t>S44</t>
  </si>
  <si>
    <t>S53</t>
  </si>
  <si>
    <t>10.4103/injr.injr_55_22</t>
  </si>
  <si>
    <t>Rheumatology</t>
  </si>
  <si>
    <t>CJ0H4</t>
  </si>
  <si>
    <t>WOS:001124762100009</t>
  </si>
  <si>
    <t>Iodice, R; Aceto, G; Ruggiero, L; Cassano, E; Manganelli, F; Dubbioso, R</t>
  </si>
  <si>
    <t>Iodice, Rosa; Aceto, Gabriella; Ruggiero, Lucia; Cassano, Emanuele; Manganelli, Fiore; Dubbioso, Raffaele</t>
  </si>
  <si>
    <t>A review of current rehabilitation practices and their benefits in patients with multiple sclerosis</t>
  </si>
  <si>
    <t>MULTIPLE SCLEROSIS AND RELATED DISORDERS</t>
  </si>
  <si>
    <t>Functional therapy; Multiple sclerosis; Occupational therapy; Physical therapy; Rehabilitation</t>
  </si>
  <si>
    <t>THERAPY-RELATED INTERVENTIONS; DIRECT-CURRENT STIMULATION; COGNITIVE IMPAIRMENT; METABOLIC-SYNDROME; MUSCLE STRENGTH; PEOPLE; EXERCISE; GAIT; BALANCE; INDIVIDUALS</t>
  </si>
  <si>
    <t>Multiple sclerosis (MS) is a chronic, debilitating disease characterised by demyelination of the nerves of the central nervous system that results in patients progressively losing the ability to perform daily tasks. As there is no cure for this disease, rehabilitation therapy is an important aspect of care; assisting patients to regain or retain function and improve their physical, mental and social wellbeing. At present there is no current consistent model of care for MS, likely due to the variable symptom presentation. Various forms of rehabilitation therapy are available, and these include physical rehabilitation methods, such as balance and gait therapy, speech and respiration rehabilitation, and occupational therapy. Contrary to previous understanding, exercise-based ther-apies have shown various benefits for patients with MS, and in addition to improving MS-related physical symptoms, have been shown to reduce the risk of developing cardiovascular disease and can improve cognitive function. Cognition rehabilitation therapy specifically focuses on behavioural tasks and is divided into two main forms: compensatory rehabilitation, which offers cognitive functioning benefits, and restorative rehabilitation, which offers memory benefits. Excitation therapies include cranial stimulation and other stimulation rehabili-tation methods such as focal muscle vibration therapy and these non-invasive techniques may improve patient's physical ability. Additionally, more novel rehabilitation methods include robot-assisted gait therapy and tele-rehabilitation, both of which are expected to play progressively more prominent roles in the future of rehabil-itation therapy. The structure of the care team has been found to impact patient outcomes, and both in-and out-patient care settings have been found to be beneficial, dependant on the patient's circumstances, with certain patients better suited to a particular setting. While a single point of care is recommended for patients, a multidisciplinary care team and regular reassessment is recommended to manage changing symptoms and ensure continuity of care. The importance of the critical components of rehabilitation have been identified, and these are of vital importance in achieving beneficial outcomes. These components include the patients' participation in the treatment, goal setting with a multidisciplinary care team, a guiding-light purpose for the patient, which focusses on recognizing their personal potential and obtaining improvements through a tailored plan. The final critical component of rehabilitation is the results measurement, which highlights the need for a quantifiable reduction in impairment and improvement in activity and participation. Overall, a lack of standardisation in outcome mea-surements makes comparison challenging. This is particularly important when comparing standard methods of care with more novel rehabilitation techniques. However, within the broad area of rehabilitation therapies, it is clear that patients with MS can benefit from rehabilitation practices; physically, mentally and socially.</t>
  </si>
  <si>
    <t>[Iodice, Rosa; Aceto, Gabriella; Ruggiero, Lucia; Cassano, Emanuele; Manganelli, Fiore; Dubbioso, Raffaele] Univ Naples Federico II, Dept Neurosci Reprod Sci &amp; Odontostomatol, Naples, Italy</t>
  </si>
  <si>
    <t>University of Naples Federico II</t>
  </si>
  <si>
    <t>Iodice, R (corresponding author), Univ Naples Federico II, Dept Neurosci Reprod Sci &amp; Odontostomatol, Naples, Italy.</t>
  </si>
  <si>
    <t>rosaiodice81@gmail.com</t>
  </si>
  <si>
    <t>, RAFFAELE/AHE-2622-2022; Ruggiero, Lucia/IVV-6322-2023; Manganelli, Fiore/AAC-9096-2019; cassano, emanuele/JLM-7493-2023; IODICE, Rosa/J-4016-2018</t>
  </si>
  <si>
    <t>cassano, emanuele/0000-0002-0728-2640</t>
  </si>
  <si>
    <t>ELSEVIER SCI LTD</t>
  </si>
  <si>
    <t>OXFORD</t>
  </si>
  <si>
    <t>THE BOULEVARD, LANGFORD LANE, KIDLINGTON, OXFORD OX5 1GB, OXON, ENGLAND</t>
  </si>
  <si>
    <t>2211-0348</t>
  </si>
  <si>
    <t>2211-0356</t>
  </si>
  <si>
    <t>MULT SCLER RELAT DIS</t>
  </si>
  <si>
    <t>Mult. Scler. Relat. Disord.</t>
  </si>
  <si>
    <t>JAN</t>
  </si>
  <si>
    <t>10.1016/j.msard.2022.104460</t>
  </si>
  <si>
    <t>DEC 2022</t>
  </si>
  <si>
    <t>Clinical Neurology</t>
  </si>
  <si>
    <t>7Q0LN</t>
  </si>
  <si>
    <t>WOS:000909088500001</t>
  </si>
  <si>
    <t>Shahane, V; Kilyk, A; Srinivasan, SM</t>
  </si>
  <si>
    <t>Shahane, Vaishnavi; Kilyk, Amanda; Srinivasan, Sudha M.</t>
  </si>
  <si>
    <t>Effects of physical activity and exercise-based interventions in young adults with autism spectrum disorder: A systematic review</t>
  </si>
  <si>
    <t>AUTISM</t>
  </si>
  <si>
    <t>autism spectrum disorder; exercise; physical activity; physical fitness; structured movement interventions; young adults</t>
  </si>
  <si>
    <t>GROSS MOTOR FUNCTION; QUALITY-OF-LIFE; ROBOTIC INTERVENTIONS; THERAPEUTIC RECREATION; EMBODIED RHYTHM; ADOLESCENTS; CHILDREN; BEHAVIORS; PROGRAM; COORDINATION</t>
  </si>
  <si>
    <t>Young adults with autism spectrum disorder are an underserved population. Evidence-based guidelines for physical activity programs to address the lifelong needs of this population are presently unavailable. Our systematic review critically appraises the research to date on the effects of physical activity/exercise-based interventions on physical fitness, motor skills, core autism symptoms, and functional participation in young adults with autism spectrum disorder between 19 and 30 years. We reviewed 22 experimental and quasi-experimental studies that assessed the effects of physical activity/exercise-based interventions in 763 young adults with autism spectrum disorder. Evidence is strongest for improvements of medium-to-large size in physical fitness followed by medium-to-large improvements in motor outcomes, medium-to-large improvements in psychological function, and small-to-large improvements in quality of life. Aerobic, resistance, and movement skill/sport-specific training can improve cardiovascular function and muscular strength/endurance in young adults. Movement/sport training can help improve fundamental motor skills. Finally, holistic interventions combining elements of physical activity, diet, and lifestyle modifications are effective in improving outcomes related to body composition and quality of life in young adults. There is presently insufficient evidence for improvements in physical activity engagement or core autism symptoms following exercise interventions. We provide recommendations for assessment and intervention for clinicians working with young adults with autism spectrum disorder. Lay abstract Young adults with autism spectrum disorder over 18 years of age are an underserved population, and there is presently limited evidence examining the effects of physical activity programs in this population. Our review synthesizes the evidence to date from studies that have assessed the effects of physical activity/exercise programs in young adults with autism spectrum disorder between 19 and 30 years. We reviewed 22 studies that included a total of 763 young adults with autism spectrum disorder. There is the strongest evidence for improvements in physical fitness, followed by motor skills, psychological function, and quality of life following physical activity interventions in young adults with autism spectrum disorder. Specifically, aerobic and resistance training as well as programs focused on movement skill and sport-specific training lead to improved physical fitness and movement performance. Holistic interventions focusing on physical activity, dietary changes, and lifestyle modifications lead to improvements in body composition and quality of life of young adults with autism spectrum disorder. There is presently limited evidence to support the use of exercise/activity programs to improve physical activity levels and core autism symptoms in young adults with autism spectrum disorder. Based on our review results, we also provide practical recommendations for clinicians working with young adults with autism spectrum disorder.</t>
  </si>
  <si>
    <t>[Shahane, Vaishnavi; Kilyk, Amanda; Srinivasan, Sudha M.] Univ Connecticut, Storrs, CT USA; [Srinivasan, Sudha M.] Univ Connecticut, Dept Kinesiol, Phys Therapy Program, 3107 Horsebarn Hill Rd,U-4137, Storrs, CT 06269 USA</t>
  </si>
  <si>
    <t>University of Connecticut; University of Connecticut</t>
  </si>
  <si>
    <t>Srinivasan, SM (corresponding author), Univ Connecticut, Dept Kinesiol, Phys Therapy Program, 3107 Horsebarn Hill Rd,U-4137, Storrs, CT 06269 USA.</t>
  </si>
  <si>
    <t>sudha.srinivasan@uconn.edu</t>
  </si>
  <si>
    <t>Shahane, Vaishnavi/LUZ-3195-2024</t>
  </si>
  <si>
    <t>Srinivasan, Sudha/0000-0003-4594-2547</t>
  </si>
  <si>
    <t>SAGE PUBLICATIONS LTD</t>
  </si>
  <si>
    <t>1 OLIVERS YARD, 55 CITY ROAD, LONDON EC1Y 1SP, ENGLAND</t>
  </si>
  <si>
    <t>1362-3613</t>
  </si>
  <si>
    <t>1461-7005</t>
  </si>
  <si>
    <t>Autism</t>
  </si>
  <si>
    <t>10.1177/13623613231169058</t>
  </si>
  <si>
    <t>MAY 2023</t>
  </si>
  <si>
    <t>Psychology, Developmental</t>
  </si>
  <si>
    <t>Psychology</t>
  </si>
  <si>
    <t>HB1X6</t>
  </si>
  <si>
    <t>WOS:000980270200001</t>
  </si>
  <si>
    <t>McGlinchey, MP; James, J; McKevitt, C; Douiri, A; Sackley, C</t>
  </si>
  <si>
    <t>McGlinchey, Mark P.; James, Jimmy; McKevitt, Christopher; Douiri, Abdel; Sackley, Catherine</t>
  </si>
  <si>
    <t>The effect of rehabilitation interventions on physical function and immobility-related complications in severe stroke: a systematic review</t>
  </si>
  <si>
    <t>BMJ OPEN</t>
  </si>
  <si>
    <t>RANDOMIZED CONTROLLED-TRIAL; ISCHEMIC-STROKE; MEDICAL COMPLICATIONS; HOME REHABILITATION; SINGLE-BLIND; ARM FUNCTION; TIME-COURSE; LOWER-LIMB; RECOVERY; ROBOT</t>
  </si>
  <si>
    <t>Objective To evaluate the effectiveness of rehabilitation interventions on physical function and immobility-related complications in severe stroke. Design Systematic review of electronic databases (Medline, Excerpta Medica database, Cumulative Index to Nursing and Allied Health Literature, Allied and Complementary Medicine Database, Physiotherapy Evidence Database, Database of Research in Stroke, Cochrane Central Register of Controlled Trials) searched between January 1987 and November 2018. Methods The Preferred Reporting Items for Systematic Reviews and Meta-Analysis statement guided the review. Randomised controlled trials comparing the effect of one type of rehabilitation intervention to another intervention, usual care or no intervention on physical function and immobility-related complications for patients with severe stroke were included. Studies that recruited participants with all levels of stroke severity were included only if subgroup analysis based on stroke severity was performed. Two reviewers screened search results, selected studies using predefined selection criteria, extracted data and assessed risk of bias for selected studies using piloted proformas. Marked heterogeneity prevented meta-analysis and a descriptive review was performed. The Grading of Recommendations Assessment, Development and Evaluation approach was used to assess evidence strength. Results 28 studies (n=2677, mean age 72.7 years, 49.3% males) were included in the review. 24 studies were rated low or very low quality due to high risk of bias and small sample sizes. There was high-quality evidence that very early mobilisation (ie, mobilisation with 24 hours poststroke) and occupational therapy in care homes were no more effective than usual care. There was moderate quality evidence supporting short-term benefits of wrist and finger neuromuscular electrical stimulation in improving wrist extensor and grip strength, additional upper limb training on improving upper limb function and additional lower limb training on improving upper limb function, independence in activities of daily living, gait speed and gait independence. Conclusions There is a paucity of high-quality evidence to support the use of rehabilitation interventions to improve physical function and reduce immobility-related complications after severe stroke. Future research investigating more commonly used rehabilitation interventions, particularly to reduce poststroke complications, is required.</t>
  </si>
  <si>
    <t>[McGlinchey, Mark P.; McKevitt, Christopher; Douiri, Abdel; Sackley, Catherine] Kings Coll Sch, Sch Populat Hlth &amp; Environm Sci, Dept Populat Hlth Sci, London, England; [McGlinchey, Mark P.; James, Jimmy] Guys &amp; St Thomas NHS Fdn Trust, Physiotherapy Dept, London, England</t>
  </si>
  <si>
    <t>University of London; King's College London; Guy's &amp; St Thomas' NHS Foundation Trust</t>
  </si>
  <si>
    <t>McGlinchey, MP (corresponding author), Kings Coll Sch, Sch Populat Hlth &amp; Environm Sci, Dept Populat Hlth Sci, London, England.;McGlinchey, MP (corresponding author), Guys &amp; St Thomas NHS Fdn Trust, Physiotherapy Dept, London, England.</t>
  </si>
  <si>
    <t>mark.p.mcglinchey@kcl.ac.uk</t>
  </si>
  <si>
    <t>Sackley, Catherine/HZK-4781-2023; McGlinchey, Mark/CAG-4693-2022; James, Jimmy/JHS-9277-2023; mckevitt, christopher/JCO-3288-2023; Douiri, Abdel/HQY-8025-2023</t>
  </si>
  <si>
    <t>Douiri, Abdel/0000-0002-4354-4433; MCKEVITT, CHRISTOPHER/0000-0002-5290-4613; McGlinchey, Mark/0000-0001-5310-2308; James, Jimmy/0000-0003-3235-5212; sackley, catherine/0000-0002-8580-6622</t>
  </si>
  <si>
    <t>Dunhill Medical Trust [RT62/0116]</t>
  </si>
  <si>
    <t>Dunhill Medical Trust(Dunhill Medical Trust)</t>
  </si>
  <si>
    <t>This project forms part of MPMG's PhD which is funded by The Dunhill Medical Trust (grant number RT62/0116). The funder has had no input on the design of the protocol and will have no input on the analysis and interpretation of the results of the systematic review, or publication of the systematic review.</t>
  </si>
  <si>
    <t>BMJ PUBLISHING GROUP</t>
  </si>
  <si>
    <t>BRITISH MED ASSOC HOUSE, TAVISTOCK SQUARE, LONDON WC1H 9JR, ENGLAND</t>
  </si>
  <si>
    <t>2044-6055</t>
  </si>
  <si>
    <t>BMJ Open</t>
  </si>
  <si>
    <t>e033642</t>
  </si>
  <si>
    <t>10.1136/bmjopen-2019-033642</t>
  </si>
  <si>
    <t>LG0FL</t>
  </si>
  <si>
    <t>WOS:000527786700144</t>
  </si>
  <si>
    <t>Ottiger, B; Van Wegen, E; Keller, K; Nef, T; Nyffeler, T; Kwakkel, G; Vanbellingen, T</t>
  </si>
  <si>
    <t>Ottiger, Beatrice; Van Wegen, Erwin; Keller, Katja; Nef, Tobias; Nyffeler, Thomas; Kwakkel, Gert; Vanbellingen, Tim</t>
  </si>
  <si>
    <t>Getting into a Flow state: a systematic review of flow experience in neurological diseases</t>
  </si>
  <si>
    <t>JOURNAL OF NEUROENGINEERING AND REHABILITATION</t>
  </si>
  <si>
    <t>Systematic review; Flow experience; Gaming; Neurological diseases</t>
  </si>
  <si>
    <t>PERFORMANCE; SCALE; VALIDATION; VERSION; SKILLS</t>
  </si>
  <si>
    <t>Background Flow is a subjective psychological state that people report when they are fully involved in an activity to the point of forgetting time and their surrounding except the activity itself. Being in flow during physical/cognitive rehabilitation may have a considerable impact on functional outcome, especially when patients with neurological diseases engage in exercises using robotics, virtual/augmented reality, or serious games on tablets/computer. When developing new therapy games, measuring flow experience can indicate whether the game motivates one to train. The purpose of this study was to identify and systematically review current literature on flow experience assessed in patients with stroke, traumatic brain injury, multiple sclerosis and Parkinson's disease. Additionally, we critically appraised, compared and summarized the measurement properties of self-reported flow questionnaires used in neurorehabilitation setting. Design A systematic review using PRISMA and COSMIN guidelines. Methods MEDLINE Ovid, EMBASE Ovid, CINAHL EBSCO, SCOPUS were searched. Inclusion criteria were (1) peer-reviewed studies that (2) focused on the investigation of flow experience in (3) patients with neurological diseases (i.e., stroke, traumatic brain injury, multiple sclerosis and/or Parkinson's disease). A qualitative data synthesis was performed to present the measurement properties of the used flow questionnaires. Results Ten studies out of 911 records met the inclusion criteria. Seven studies measured flow in the context of serious games in patients with stroke, traumatic brain injury, multiple sclerosis and Parkinson's disease. Three studies assessed flow in other activities than gaming (song-writing intervention and activities of daily living). Six different flow questionnaires were used, all of which were originally validated in healthy people. None of the studies presented psychometric data in their respective research population. Conclusion The present review indicates that flow experience is increasingly measured in the physical/cognitive rehabilitation setting in patients with neurological diseases. However, psychometric properties of used flow questionnaires are lacking. For exergame developers working in the field of physical/cognitive rehabilitation in patients with neurological diseases, a valid flow questionnaire can help to further optimize the content of the games so that optimal engagement can occur during the gameplay. Whether flow experiences can ultimately have positive effects on physical/cognitive parameters needs further study.</t>
  </si>
  <si>
    <t>[Ottiger, Beatrice; Keller, Katja; Nyffeler, Thomas; Vanbellingen, Tim] Luzerner Kantonsspital, Neuroctr, Spitalstr 31, CH-6000 Luzern 16, Switzerland; [Van Wegen, Erwin; Kwakkel, Gert] Vrije Univ Amsterdam Med Ctr, Amsterdam UMC, Amsterdam Movement Sci, Dept Rehabil Med, Amsterdam, Netherlands; [Van Wegen, Erwin; Kwakkel, Gert] Vrije Univ, Amsterdam Neurosci, Amsterdam, Netherlands; [Nef, Tobias; Nyffeler, Thomas; Vanbellingen, Tim] Univ Bern, Gerontechnol &amp; Rehabil Grp, ARTORG Ctr Biomed Engn Res, CH-3008 Bern, Switzerland; [Kwakkel, Gert] Northwestern Univ, Dept Phys Therapy &amp; Human Movement Sci, Evanston, IL USA</t>
  </si>
  <si>
    <t>Lucerne Cantonal Hospital; Vrije Universiteit Amsterdam; VU UNIVERSITY MEDICAL CENTER; University of Amsterdam; Vrije Universiteit Amsterdam; University of Bern; Northwestern University</t>
  </si>
  <si>
    <t>Vanbellingen, T (corresponding author), Luzerner Kantonsspital, Neuroctr, Spitalstr 31, CH-6000 Luzern 16, Switzerland.</t>
  </si>
  <si>
    <t>tim.vanbellingen@luks.ch</t>
  </si>
  <si>
    <t>van Wegen, Erwin/F-3242-2010</t>
  </si>
  <si>
    <t>Ottiger, Beatrice/0000-0002-0242-2632; Nef, Tobias/0000-0002-8069-9450; Nyffeler, Thomas/0000-0003-2504-8935</t>
  </si>
  <si>
    <t>Jacques and Gloria Gossweiler Foundation</t>
  </si>
  <si>
    <t>The present study was funded by the Jacques and Gloria Gossweiler Foundation.</t>
  </si>
  <si>
    <t>1743-0003</t>
  </si>
  <si>
    <t>J NEUROENG REHABIL</t>
  </si>
  <si>
    <t>J. NeuroEng. Rehabil.</t>
  </si>
  <si>
    <t>APR 20</t>
  </si>
  <si>
    <t>10.1186/s12984-021-00864-w</t>
  </si>
  <si>
    <t>Engineering, Biomedical; Neurosciences; Rehabilitation</t>
  </si>
  <si>
    <t>Engineering; Neurosciences &amp; Neurology; Rehabilitation</t>
  </si>
  <si>
    <t>RP5XR</t>
  </si>
  <si>
    <t>WOS:000641802300001</t>
  </si>
  <si>
    <t>Wang, JX; Li, YF; Qi, L; Mamtilahun, M; Liu, C; Liu, Z; Shi, RB; Wu, SJ; Yang, GY</t>
  </si>
  <si>
    <t>Wang, Jixian; Li, Yongfang; Qi, Lin; Mamtilahun, Muyassar; Liu, Chang; Liu, Ze; Shi, Rubing; Wu, Shengju; Yang, Guo-Yuan</t>
  </si>
  <si>
    <t>Advanced rehabilitation in ischaemic stroke research</t>
  </si>
  <si>
    <t>STROKE AND VASCULAR NEUROLOGY</t>
  </si>
  <si>
    <t>Stroke Rehabilitation; Stroke</t>
  </si>
  <si>
    <t>CEREBRAL-ARTERY OCCLUSION; ROBOT-ASSISTED THERAPY; TRANSCRANIAL MAGNETIC STIMULATION; TISSUE-PLASMINOGEN ACTIVATOR; BRAIN-COMPUTER-INTERFACE; UPPER-LIMB RECOVERY; IN-VITRO MODEL; FUNCTIONAL RECOVERY; MOTOR CORTEX; RAT MODEL</t>
  </si>
  <si>
    <t>At present, due to the rapid progress of treatment technology in the acute phase of ischaemic stroke, the mortality of patients has been greatly reduced but the number of disabled survivors is increasing, and most of them are elderly patients. Physicians and rehabilitation therapists pay attention to develop all kinds of therapist techniques including physical therapy techniques, robot-assisted technology and artificial intelligence technology, and study the molecular, cellular or synergistic mechanisms of rehabilitation therapies to promote the effect of rehabilitation therapy. Here, we discussed different animal and in vitro models of ischaemic stroke for rehabilitation studies; the compound concept and technology of neurological rehabilitation; all kinds of biological mechanisms of physical therapy; the significance, assessment and efficacy of neurological rehabilitation; the application of brain-computer interface, rehabilitation robotic and non-invasive brain stimulation technology in stroke rehabilitation.</t>
  </si>
  <si>
    <t>[Wang, Jixian; Li, Yongfang] Shanghai Jiao Tong Univ, Sch Med, Ruijin Hosp, Dept Rehabil Med, Shanghai, Peoples R China; [Qi, Lin; Mamtilahun, Muyassar; Liu, Chang; Liu, Ze; Shi, Rubing; Wu, Shengju; Yang, Guo-Yuan] Shanghai Jiao Tong Univ, Medx Res Inst, Shanghai, Peoples R China; [Qi, Lin; Mamtilahun, Muyassar; Liu, Chang; Liu, Ze; Shi, Rubing; Wu, Shengju; Yang, Guo-Yuan] Shanghai Jiao Tong Univ, Sch Biomed Engn, Shanghai, Peoples R China</t>
  </si>
  <si>
    <t>Shanghai Jiao Tong University; Shanghai Jiao Tong University; Shanghai Jiao Tong University</t>
  </si>
  <si>
    <t>Yang, GY (corresponding author), Shanghai Jiao Tong Univ, Medx Res Inst, Shanghai, Peoples R China.;Yang, GY (corresponding author), Shanghai Jiao Tong Univ, Sch Biomed Engn, Shanghai, Peoples R China.</t>
  </si>
  <si>
    <t>gyyang@sjtu.edu.cn</t>
  </si>
  <si>
    <t>Yang, Guo-Yuan/0000-0003-3105-9307; Shi, Rubing/0009-0009-0024-2353</t>
  </si>
  <si>
    <t>National Natural Science Foundation of China [82172529, 82202785]; Scientific Research and Innovation Program of Shanghai Education Commission [2019-01-07-00-02-E00064]</t>
  </si>
  <si>
    <t>National Natural Science Foundation of China(National Natural Science Foundation of China (NSFC)); Scientific Research and Innovation Program of Shanghai Education Commission</t>
  </si>
  <si>
    <t>This study was supported by National Natural Science Foundation of China, No. 82172529 (to JW), No. 82202785 (to YL) and the Scientific Research and Innovation Program of Shanghai Education Commission, No. 2019-01-07-00-02-E00064 (to G- YY).</t>
  </si>
  <si>
    <t>2059-8688</t>
  </si>
  <si>
    <t>2059-8696</t>
  </si>
  <si>
    <t>STROKE VASC NEUROL</t>
  </si>
  <si>
    <t>Stroke Vasc. Neurol.</t>
  </si>
  <si>
    <t>AUG</t>
  </si>
  <si>
    <t>10.1136/svn-2022-002285</t>
  </si>
  <si>
    <t>OCT 2023</t>
  </si>
  <si>
    <t>G8V4Q</t>
  </si>
  <si>
    <t>WOS:001078765100001</t>
  </si>
  <si>
    <t>Slade, SC; Finkelstein, D; McGinley, JL; Morris, ME</t>
  </si>
  <si>
    <t>Slade, Susan C.; Finkelstein, David, I; McGinley, Jennifer L.; Morris, Meg E.</t>
  </si>
  <si>
    <t>Exercise and physical activity for people with Progressive Supranuclear Palsy: a systematic review</t>
  </si>
  <si>
    <t>CLINICAL REHABILITATION</t>
  </si>
  <si>
    <t>Progressive Supranuclear Palsy; atypical Parkinsonism; exercise; rehabilitation; systematic review</t>
  </si>
  <si>
    <t>PARKINSONS-DISEASE; IMPROVE GAIT; CLINICAL-FEATURES; PEDRO SCALE; BALANCE; QUALITY; REHABILITATION; FEASIBILITY; FALLS; DIAGNOSIS</t>
  </si>
  <si>
    <t>Objective: To conduct a systematic review to evaluate exercise and structured physical activity for people living with Progressive Supranuclear Palsy. Data sources: AMED, CINAHL, Cochrane, EMBASE, Informit, MEDLINE, PEDro, PsycINFO, PubMed and SportDiscus were searched until 18 August 2019. Reference lists of included studies were hand-searched. Methods: Cochrane guidelines informed review methods. English language peer-reviewed studies of any design, in any setting, were included. Method quality was appraised with the Physiotherapy Evidence Database scale and Joanna Briggs Institute instruments. Data were extracted for study design, sample characteristics and therapy content. Effectiveness was calculated where possible. Results: Eleven studies were included. Method appraisal showed moderate to high risk of bias. Research designs included three randomized controlled trials, two quasi-experimental studies, one cohort study, four case studies and one case series. Sample sizes ranged from 1 to 24. Exercise interventions included supported and robot-assisted gait training, gaze training, balance re-education and auditory-cued motor training. Dosage ranged from two to five sessions per week over four to eight weeks. End-of-intervention effect sizes were small (6-minute walk test: -0.07; 95% confidence interval (CI): -0.87, 0.73) to moderate (balance: -0.61; 95% CI: -1.40, 0.23; Timed Up and Go: 0.42; 95% CI: -0.49, 1.33) and statistically non-significant. Function, quality of life and adverse events were inconsistently reported. Conclusions: For people with Progressive Supranuclear Palsy, robust evidence was not found for therapeutic exercises. Reported improvements in walking were derived from two clinical trials. The effects of structured physical activity for people with advanced Progressive Supranuclear Palsy are not known.</t>
  </si>
  <si>
    <t>[Slade, Susan C.; Morris, Meg E.] La Trobe Univ, SHE Coll, La Trobe Ctr Sport &amp; Exercise Med Res, Sch Allied Hlth Human Serv &amp; Sport, Kingsbury Dr, Melbourne, Vic 3086, Australia; [Finkelstein, David, I] Univ Melbourne, Florey Inst Neurosci &amp; Mental Hlth, Parkinsons Dis Lab, Parkville, Vic, Australia; [McGinley, Jennifer L.] Univ Melbourne, Dept Physiotherapy, Parkville, Vic, Australia; [Morris, Meg E.] North Eastern Rehabil Ctr, Healthscope, Ivanhoe, Vic, Australia</t>
  </si>
  <si>
    <t>La Trobe University; Florey Institute of Neuroscience &amp; Mental Health; University of Melbourne; University of Melbourne</t>
  </si>
  <si>
    <t>Slade, SC (corresponding author), La Trobe Univ, SHE Coll, La Trobe Ctr Sport &amp; Exercise Med Res, Sch Allied Hlth Human Serv &amp; Sport, Kingsbury Dr, Melbourne, Vic 3086, Australia.</t>
  </si>
  <si>
    <t>s.slade2@latrobe.edu.au</t>
  </si>
  <si>
    <t>Finkelstein, David/B-9617-2009</t>
  </si>
  <si>
    <t>slade, susan/0000-0001-6325-2705; Morris, Meg/0000-0002-0114-4175; McGinley, Jennifer/0000-0003-3775-9267; Finkelstein, David/0000-0002-8167-4917</t>
  </si>
  <si>
    <t>Parkinson's Victoria; Argyrou Family Fellowship; La Trobe University; Healthscope</t>
  </si>
  <si>
    <t>Parkinson's Victoria(Parkinson's UK); Argyrou Family Fellowship; La Trobe University; Healthscope</t>
  </si>
  <si>
    <t>The author(s) disclosed receipt of the following financial support for the research, authorship, and/or publication of this article: S.C.S. and M.E.M. are supported by Parkinson's Victoria, the Argyrou Family Fellowship, Healthscope and La Trobe University. The funders had no role in systematic review protocol development or conduct.</t>
  </si>
  <si>
    <t>0269-2155</t>
  </si>
  <si>
    <t>1477-0873</t>
  </si>
  <si>
    <t>CLIN REHABIL</t>
  </si>
  <si>
    <t>Clin. Rehabil.</t>
  </si>
  <si>
    <t>10.1177/0269215519877235</t>
  </si>
  <si>
    <t>SEP 2019</t>
  </si>
  <si>
    <t>JZ9HR</t>
  </si>
  <si>
    <t>Green Published, hybrid</t>
  </si>
  <si>
    <t>WOS:000489384800001</t>
  </si>
  <si>
    <t>Berger, P</t>
  </si>
  <si>
    <t>Berger, Phyllis</t>
  </si>
  <si>
    <t>A review of physical modalities and the potential to expand the treatment of patients with traumatic brain injury</t>
  </si>
  <si>
    <t>ACUPUNCTURE IN MEDICINE</t>
  </si>
  <si>
    <t>electroacupuncture; functional electrical stimulation; hemiplegia; nerve stimulation; traumatic brain injury</t>
  </si>
  <si>
    <t>MOTOR RECOVERY; STROKE; STIMULATION; ACUPUNCTURE; ACTIVATION</t>
  </si>
  <si>
    <t>Traumatic brain injuries (TBIs) and hemiplegia often involve alterations in cortical function that are often widespread and may not be confined to the peri-infarct regions. Rehabilitation of these injuries may therefore require extensive and innovative physical modalities and exercise activities that enhance mobility. Disuse in limbs can occur in any brain injury derived from different etiologies and advances in rehabilitation indicate that neuromuscular stimulation of both the nerve supply and muscle groups involved impacts plasticity and prepares the limbs for stronger muscle responses during functional activities. Combined therapies are apparently more productive than monotherapies and this may include electroacupuncture and functional electrical stimulation to expedite recovery. The combination of mixed physiotherapeutic interventions also encourages biokinetics, hydrotherapy and robotic rehabilitation over a prolonged period to enable the patient to achieve functional goals. Recovery may not be achieved within a period of 6 months post injury as has previously been accepted and may even require lifelong participation.</t>
  </si>
  <si>
    <t>[Berger, Phyllis] Univ Witwatersrand, Sch Therapeut Sci, Dept Physiotherapy, Johannesburg, South Africa</t>
  </si>
  <si>
    <t>University of Witwatersrand</t>
  </si>
  <si>
    <t>Berger, P (corresponding author), Univ Witwatersrand, Rochester Pl,Block F,173 Rivonia Rd, ZA-2196 Johannesburg, Gauteng, South Africa.</t>
  </si>
  <si>
    <t>pberger@icon.co.za</t>
  </si>
  <si>
    <t>0964-5284</t>
  </si>
  <si>
    <t>1759-9873</t>
  </si>
  <si>
    <t>ACUPUNCT MED</t>
  </si>
  <si>
    <t>Acupunct. Med.</t>
  </si>
  <si>
    <t>10.1177/0964528419844264</t>
  </si>
  <si>
    <t>Integrative &amp; Complementary Medicine</t>
  </si>
  <si>
    <t>KA1SC</t>
  </si>
  <si>
    <t>WOS:000505578100006</t>
  </si>
  <si>
    <t>State-of-the-art robotic devices for ankle rehabilitation: Mechanism and control review</t>
  </si>
  <si>
    <t>PROCEEDINGS OF THE INSTITUTION OF MECHANICAL ENGINEERS PART H-JOURNAL OF ENGINEERING IN MEDICINE</t>
  </si>
  <si>
    <t>Ankle robots; robotic orthoses; parallel robots; mechanism design; actuation; control strategies; stroke</t>
  </si>
  <si>
    <t>FOOT ORTHOSIS; AIDED NEUROREHABILITATION; PARALLEL ROBOT; DESIGN; GAIT; EXOSKELETON; PERFORMANCE; OPTIMIZATION; STIMULATION; ACTUATION</t>
  </si>
  <si>
    <t>There is an increasing research interest in exploring use of robotic devices for the physical therapy of patients suffering from stroke and spinal cord injuries. Rehabilitation of patients suffering from ankle joint dysfunctions such as drop foot is vital and therefore has called for the development of newer robotic devices. Several robotic orthoses and parallel ankle robots have been developed during the last two decades to augment the conventional ankle physical therapy of patients. A comprehensive review of these robotic ankle rehabilitation devices is presented in this article. Recent developments in the mechanism design, actuation and control are discussed. The study encompasses robotic devices for treadmill and over-ground training as well as platform-based parallel ankle robots. Control strategies for these robotic devices are deliberated in detail with an emphasis on the assist-as-needed training strategies. Experimental evaluations of the mechanism designs and various control strategies of these robotic ankle rehabilitation devices are also presented.</t>
  </si>
  <si>
    <t>[Hussain, Shahid] Univ Wollongong, Sch Mech Mat Mech &amp; Biomed Engn, Fac Engn &amp; Informat Sci, Northfields Ave, Wollongong, NSW 2522, Australia; [Jamwal, Prashant K.] Nazarbayev Univ, Elect &amp; Elect Engn Dept, Astana, Kazakhstan; [Ghayesh, Mergen H.] Univ Adelaide, Sch Mech Engn, Fac Engn Comp &amp; Math Sci, Adelaide, SA, Australia</t>
  </si>
  <si>
    <t>University of Wollongong; Nazarbayev University; University of Adelaide</t>
  </si>
  <si>
    <t>Hussain, S (corresponding author), Univ Wollongong, Sch Mech Mat Mech &amp; Biomed Engn, Fac Engn &amp; Informat Sci, Northfields Ave, Wollongong, NSW 2522, Australia.</t>
  </si>
  <si>
    <t>0954-4119</t>
  </si>
  <si>
    <t>2041-3033</t>
  </si>
  <si>
    <t>P I MECH ENG H</t>
  </si>
  <si>
    <t>Proc. Inst. Mech. Eng. Part H-J. Eng. Med.</t>
  </si>
  <si>
    <t>10.1177/0954411917737584</t>
  </si>
  <si>
    <t>FN8KI</t>
  </si>
  <si>
    <t>WOS:000416273000015</t>
  </si>
  <si>
    <t>Müller, PO; Sader, R; von Stryk, O</t>
  </si>
  <si>
    <t>Mueller, Paul-Otto; Sader, Robert; von Stryk, Oskar</t>
  </si>
  <si>
    <t>Exoskeletons for the rehabilitation of temporomandibular disorders: a comprehensive review</t>
  </si>
  <si>
    <t>FRONTIERS IN ROBOTICS AND AI</t>
  </si>
  <si>
    <t>exoskeletons; robotics; temporomandibular disorders; TMD; rehabilitation; physical therapy; review</t>
  </si>
  <si>
    <t>MASSAGE TREATMENT; EXERCISE THERAPY; MANUAL THERAPY; PHYSICAL-THERAPY; TEMPORAL MUSCLE; ROBOT; MASSETER; THERABITE(R); GENERATION; MANAGEMENT</t>
  </si>
  <si>
    <t>Despite the many technological advancements in exoskeletons for the rehabilitation of lower or upper limbs, there has been limited exploration of their application in treating temporomandibular disorders, a set of musculoskeletal and neuromuscular conditions affecting the masticatory system. By collecting data, implementing assisting and resisting training routines, and encouraging active patient engagement, exoskeletons could provide controlled and individualized exercise with flexibility in time and location to aid in the recovery or improvement of jaw mobility and function. Thus, they might offer a valuable alternative or complement to conservative physiotherapy. In this context, the review aims to draw attention to rehabilitating temporomandibular disorders with the help of exoskeletons by looking at the advantages and opportunities these devices potentially provide. After stating the requirements and resulting scientific challenges in various fields and discussing the state of the art, existing research gaps and deficiencies will be discussed, highlighting areas where further research and development is needed.</t>
  </si>
  <si>
    <t>[Mueller, Paul-Otto; von Stryk, Oskar] Tech Univ Darmstadt, Dept Comp Sci, Simulat Syst Optimizat &amp; Robot Grp, Darmstadt, Germany; [Sader, Robert] Goethe Univ Frankfurt, Med Ctr, Dept Oral Craniomaxillofacial &amp; Facial Plast Surg, Frankfurt Orofacial Regenerat Med FORM Lab, Frankfurt, Germany</t>
  </si>
  <si>
    <t>Technical University of Darmstadt; Goethe University Frankfurt</t>
  </si>
  <si>
    <t>Müller, PO (corresponding author), Tech Univ Darmstadt, Dept Comp Sci, Simulat Syst Optimizat &amp; Robot Grp, Darmstadt, Germany.</t>
  </si>
  <si>
    <t>pmueller@sim.tu-darmstadt.de</t>
  </si>
  <si>
    <t>2296-9144</t>
  </si>
  <si>
    <t>FRONT ROBOT AI</t>
  </si>
  <si>
    <t>Front. Robot. AI</t>
  </si>
  <si>
    <t>MAY 2</t>
  </si>
  <si>
    <t>10.3389/frobt.2025.1492275</t>
  </si>
  <si>
    <t>Robotics</t>
  </si>
  <si>
    <t>2QP2K</t>
  </si>
  <si>
    <t>WOS:001488958900001</t>
  </si>
  <si>
    <t>Ramli, NNN; Asokan, A; Mayakrishnan, D; Annamalai, H</t>
  </si>
  <si>
    <t>Ramli, Nik Nasihah Nik; Asokan, Amhsavenii; Mayakrishnan, Daniel; Annamalai, Hariharasudan</t>
  </si>
  <si>
    <t>Exploring Stroke Rehabilitation in Malaysia: Are Robots Better than Humans for Stroke Recuperation?</t>
  </si>
  <si>
    <t>MALAYSIAN JOURNAL OF MEDICAL SCIENCES</t>
  </si>
  <si>
    <t>robotic exoskeleton; physiotherapy; virtual reality; motorfunction recovery; stroke</t>
  </si>
  <si>
    <t>HEALTH-CARE PROFESSIONALS; HAND FUNCTION; DEFINITION; STATEMENT</t>
  </si>
  <si>
    <t>Ranked as the second leading cause of death and the primary factor to adult disability worldwide, stroke has become a global epidemic problem and burden. As a developing country, Malaysia still faces challenges in providing ideal rehabilitation services to individuals with physical disabilities including stroke survivors. Conventional post-stroke care is often delivered in a team-based approach and involves several disciplines, such as physical therapy, occupational therapy, speech and language therapy, depending on the nature and severity of the deficits. Robots are potential tools for stroke rehabilitation as they can enhance existing conventional therapy by delivering a precise and consistent therapy of highly repetitive movements. In addition, robot-assisted physiotherapy could facilitate the effectiveness of unsupervised rehabilitation and thus, may reduce the cost and duration of therapist-assisted rehabilitation. Research on robot-assisted physiotherapy for stroke in Malaysia is slowly coming into the limelight in the past two decades. This review explores the effectiveness of robot-assisted physiotherapy particularly in improving motor functions of stroke survivors in Malaysia.</t>
  </si>
  <si>
    <t>[Ramli, Nik Nasihah Nik; Asokan, Amhsavenii; Mayakrishnan, Daniel; Annamalai, Hariharasudan] Management &amp; Sci Univ, Int Med Sch, Shah Alam, Selangor, Malaysia</t>
  </si>
  <si>
    <t>Management Science University</t>
  </si>
  <si>
    <t>Ramli, NNN (corresponding author), Univ Teknol MARA, Shah Alam, Selangor, Malaysia.;Ramli, NNN (corresponding author), Management &amp; Sci Univ, Univ Dr, Shah Alam 40100, Selangor, Malaysia.</t>
  </si>
  <si>
    <t>niknasihah_nikramli@msu.edu.my</t>
  </si>
  <si>
    <t>Nik Ramli, Nik Nasihah/LSI-8853-2024</t>
  </si>
  <si>
    <t>nik ramli, nik nasihah/0000-0001-7701-8485</t>
  </si>
  <si>
    <t>PENERBIT UNIV SAINS MALAYSIA</t>
  </si>
  <si>
    <t>PULAU PINANG</t>
  </si>
  <si>
    <t>PENERBIT UNIVERSITI SAINS MALAYSIA, PULAU PINANG, PINANG 11800, MALAYSIA</t>
  </si>
  <si>
    <t>1394-195X</t>
  </si>
  <si>
    <t>2180-4303</t>
  </si>
  <si>
    <t>MALAYS J MED SCI</t>
  </si>
  <si>
    <t>Malays. J. Med. Sci.</t>
  </si>
  <si>
    <t>10.21315/mjms2021.28.4.3</t>
  </si>
  <si>
    <t>Medicine, Research &amp; Experimental</t>
  </si>
  <si>
    <t>Research &amp; Experimental Medicine</t>
  </si>
  <si>
    <t>UJ1MM</t>
  </si>
  <si>
    <t>WOS:000691058400003</t>
  </si>
  <si>
    <t>Faccioli, S; Cavalagli, A; Falocci, N; Mangano, G; Sanfilippo, I; Sassi, S</t>
  </si>
  <si>
    <t>Faccioli, Silvia; Cavalagli, Angela; Falocci, Nicola; Mangano, Giulia; Sanfilippo, Irene; Sassi, Silvia</t>
  </si>
  <si>
    <t>Gait analysis patterns and rehabilitative interventions to improve gait in persons with hereditary spastic paraplegia: a systematic review and meta-analysis</t>
  </si>
  <si>
    <t>gait analysis; walking; physical therapy modalities; rehabilitation; spasticity; botulinum toxins; spastic paraparesis; gait disorders</t>
  </si>
  <si>
    <t>INTRATHECAL BACLOFEN; BOTULINUM TOXIN; ELECTRICAL-STIMULATION; WALKING SPEED; FEATURES; PARAPARESIS; IMPAIRMENTS; PERFORMANCE; DIPLEGIA; CHILDREN</t>
  </si>
  <si>
    <t>Background: Hereditary spastic paraplegias (HSPs) are a group of inheritance diseases resulting in gait abnormalities, which may be detected using instrumented gait analysis. The aim of this systematic review was 2-fold: to identify specific gait analysis patterns and interventions improving gait in HSP subjects.Methods: A systematic review was conducted in PubMed, Cochrane Library, REHABDATA, and PEDro databases, in accordance with reporting guidelines of PRISMA statement and Cochrane's recommendation. The review protocol was recorded on the PROSPERO register. Patients with pure and complicated HSP of any age were included. All types of studies were included. Risk of bias, quality assessment, and meta-analysis were performed.Results: Forty-two studies were included: 19 were related to gait analysis patterns, and 24 were intervention studies. The latter ones were limited to adults. HSP gait patterns were similar to cerebral palsy in younger subjects and stroke in adults. Knee hyperextension, reduced range of motion at knee, ankle, and hip, reduced foot lift, and increased rapid trunk and arm movements were reported. Botulinum injections reduced spasticity but uncovered weakness and improved gait velocity at follow-up. Weak evidence supported intrathecal baclofen, active intensive physical therapy (i.e., robot-assisted gait training, functional exercises, and hydrotherapy), and functional electrical stimulation. Some improvements but adverse events were reported after transcranial magnetic stimulation, transcutaneous spinal direct current stimulation, and spinal cord stimulation implant.Conclusion: Knee hyperextension, non-sagittal pelvic movements, and reduced ROM at the knee, ankle, and hip represent the most peculiar patterns in HSP, compared to diplegic cerebral palsy and stroke. Botulinum improved comfortable gait velocity after 2 months. Nonetheless, interventions reducing spasticity might result in ineffective functional outcomes unveiling weakness. Intensive active physical therapy and FES might improve gait velocity in the very short term.</t>
  </si>
  <si>
    <t>[Faccioli, Silvia; Sassi, Silvia] Azienda Unita Sanit Locale IRCCS Reggio Emilia, Children Rehabil Unit, Reggio Emilia, Italy; [Faccioli, Silvia] Univ Modena &amp; Reggio Emilia, Dept Biomed Metab &amp; Neural Sci, Clin &amp; Expt Med, Modena, Italy; [Cavalagli, Angela] IRCCS Fdn Don Carlo Gnocchi, Children Rehabil Unit, Milan, Italy; [Falocci, Nicola] Umbria Legislat Assembly, Off Policy Evaluat &amp; Stat Studies, Perugia, Italy; [Mangano, Giulia] Acireale Hosp, Azienda Sanit Provinciale 3 ASP 3, Dept Phys Med &amp; Rehabil, Catania, Italy; [Sanfilippo, Irene] Rehabil Ctr CMR, Catania, Italy</t>
  </si>
  <si>
    <t>Universita di Modena e Reggio Emilia; IRCCS Fondazione Don Carlo Gnocchi Onlus</t>
  </si>
  <si>
    <t>Faccioli, S (corresponding author), Azienda Unita Sanit Locale IRCCS Reggio Emilia, Children Rehabil Unit, Reggio Emilia, Italy.;Faccioli, S (corresponding author), Univ Modena &amp; Reggio Emilia, Dept Biomed Metab &amp; Neural Sci, Clin &amp; Expt Med, Modena, Italy.</t>
  </si>
  <si>
    <t>silviaeffe73@gmail.com</t>
  </si>
  <si>
    <t>faccioli, silvia/T-5923-2019</t>
  </si>
  <si>
    <t>Mangano, Giulia Rita Agata/0000-0001-6019-4167; Faccioli, Silvia/0000-0002-0170-3766</t>
  </si>
  <si>
    <t>The author(s) declare that no financial support was received for the research, authorship, and/or publication of this article.</t>
  </si>
  <si>
    <t>SEP 20</t>
  </si>
  <si>
    <t>10.3389/fneur.2023.1256392</t>
  </si>
  <si>
    <t>T3JT5</t>
  </si>
  <si>
    <t>WOS:001076988000001</t>
  </si>
  <si>
    <t>Modo, M; Ambrosio, F; Friedlander, RM; Badylak, SF; Wechsler, LR</t>
  </si>
  <si>
    <t>Modo, Michel; Ambrosio, Fabrisia; Friedlander, Robert M.; Badylak, Stephen F.; Wechsler, Lawrence R.</t>
  </si>
  <si>
    <t>Bioengineering solutions for neural repair and recovery in stroke</t>
  </si>
  <si>
    <t>CURRENT OPINION IN NEUROLOGY</t>
  </si>
  <si>
    <t>biomaterial; brain-computer interface; physical therapy; rehabilitation; robot-assisted; stroke; tissue engineering</t>
  </si>
  <si>
    <t>NEUROPROTECTIVE GENE-THERAPY; CENTRAL-NERVOUS-SYSTEM; EPI-CORTICAL DELIVERY; STEM-CELLS; HUNTINGTONS-DISEASE; CEREBRAL-ISCHEMIA; XENOGENEIC CELLS; INJURED BRAIN; GROWTH-FACTOR; TRANSPLANTATION</t>
  </si>
  <si>
    <t>Purpose of review This review discusses emerging bioengineering opportunities for the treatment of stroke and their potential to build on current rehabilitation protocols. Recent findings Bioengineering is a vast field that ranges from biomaterials to brain-computer interfaces. Biomaterials find application in the delivery of pharmacotherapies, as well as the emerging field of tissue engineering. For the treatment of stroke, these approaches have to be seen in the context of physical therapy in order to maximize functional outcomes. There is also an emergence of rehabilitation that engages engineering solutions, such as robot-assisted training, as well as brain-computer interfaces that can potentially assist in the case of paralysis. Summary Stroke remains the main cause of adult disability with rehabilitation therapy being the focus for chronic impairments. Bioengineering is offering new opportunities to both support and synergize with currently available treatment options, and also promises to potentially dramatically improve available approaches. Video abstract available See the Video Supplementary Digital Content 1 (http://links.lww.com/CONR/A21).</t>
  </si>
  <si>
    <t>[Modo, Michel; Ambrosio, Fabrisia; Badylak, Stephen F.; Wechsler, Lawrence R.] Univ Pittsburgh, McGowan Inst Regenerat Med, Pittsburgh, PA 15203 USA; [Modo, Michel] Univ Pittsburgh, Dept Radiol, Pittsburgh, PA 15203 USA; [Modo, Michel; Badylak, Stephen F.] Univ Pittsburgh, Dept Bioengn, Pittsburgh, PA 15203 USA; [Ambrosio, Fabrisia] Univ Pittsburgh, Dept Phys Med &amp; Rehabil, Pittsburgh, PA 15203 USA; [Friedlander, Robert M.] Univ Pittsburgh, Dept Neurol Surg, Pittsburgh, PA 15203 USA; [Badylak, Stephen F.] Univ Pittsburgh, Dept Surg, Pittsburgh, PA 15203 USA; [Wechsler, Lawrence R.] Univ Pittsburgh, Dept Neurol, Pittsburgh, PA 15203 USA</t>
  </si>
  <si>
    <t>Pennsylvania Commonwealth System of Higher Education (PCSHE); University of Pittsburgh; Pennsylvania Commonwealth System of Higher Education (PCSHE); University of Pittsburgh; Pennsylvania Commonwealth System of Higher Education (PCSHE); University of Pittsburgh; Pennsylvania Commonwealth System of Higher Education (PCSHE); University of Pittsburgh; Pennsylvania Commonwealth System of Higher Education (PCSHE); University of Pittsburgh; Pennsylvania Commonwealth System of Higher Education (PCSHE); University of Pittsburgh; Pennsylvania Commonwealth System of Higher Education (PCSHE); University of Pittsburgh</t>
  </si>
  <si>
    <t>Modo, M (corresponding author), Univ Pittsburgh, McGowan Inst Regenerat Med, 3025 East Carson St, Pittsburgh, PA 15203 USA.</t>
  </si>
  <si>
    <t>modomm@upmc.edu</t>
  </si>
  <si>
    <t>Badylak, Stephen/M-2622-2016; Modo, Michel/E-5170-2012; Wechsler, Lawrence/AAB-9176-2020; Friedlander, Robert/A-2845-2016</t>
  </si>
  <si>
    <t>Badylak, Stephen/0000-0003-3555-0689; Friedlander, Robert/0000-0003-4423-9219; Modo, Michel/0000-0003-4436-735X</t>
  </si>
  <si>
    <t>Commonwealth of Pennsylvania's Department of Health SAP [4100061]; Medical Research Council of the UK [G0900188]</t>
  </si>
  <si>
    <t>Commonwealth of Pennsylvania's Department of Health SAP; Medical Research Council of the UK(UK Research &amp; Innovation (UKRI)Medical Research Council UK (MRC))</t>
  </si>
  <si>
    <t>The authors would like to acknowledge the continuing support of the McGowan Institute for Regenerative Medicine, as well as the translational effort of the University of Pittsburgh and the University of Pittsburgh Medical Center (UPMC) to develop novel strategies to repair the damaged brain. M.M. is supported by Commonwealth of Pennsylvania's Department of Health (SAP# 4100061) and the Medical Research Council of the UK (G0900188).</t>
  </si>
  <si>
    <t>1350-7540</t>
  </si>
  <si>
    <t>1473-6551</t>
  </si>
  <si>
    <t>CURR OPIN NEUROL</t>
  </si>
  <si>
    <t>Curr. Opin. Neurol.</t>
  </si>
  <si>
    <t>10.1097/WCO.0000000000000031</t>
  </si>
  <si>
    <t>259VL</t>
  </si>
  <si>
    <t>WOS:000327554300005</t>
  </si>
  <si>
    <t>Broccard, FD; Mullen, T; Chi, YM; Peterson, D; Iversen, JR; Arnold, M; Kreutz-Delgado, K; Jung, TP; Makeig, S; Poizner, H; Sejnowski, T; Cauwenberghs, G</t>
  </si>
  <si>
    <t>Broccard, Frederic D.; Mullen, Tim; Chi, Yu Mike; Peterson, David; Iversen, John R.; Arnold, Mike; Kreutz-Delgado, Kenneth; Jung, Tzyy-Ping; Makeig, Scott; Poizner, Howard; Sejnowski, Terrence; Cauwenberghs, Gert</t>
  </si>
  <si>
    <t>Closed-Loop Brain-Machine-Body Interfaces for Noninvasive Rehabilitation of Movement Disorders</t>
  </si>
  <si>
    <t>ANNALS OF BIOMEDICAL ENGINEERING</t>
  </si>
  <si>
    <t>Brain-machine-body interface; Closed-loop systems; Movement disorders; Noninvasive; Rehabilitation</t>
  </si>
  <si>
    <t>PARKINSONS-DISEASE PATIENTS; SINGLE-TRIAL EEG; BASAL GANGLIA; COMPUTER INTERFACES; SUBTHALAMIC NUCLEUS; DECODER ADAPTATION; STIMULATION; MOTOR; ROBOT; FEEDBACK</t>
  </si>
  <si>
    <t>Traditional approaches for neurological rehabilitation of patients affected with movement disorders, such as Parkinson's disease (PD), dystonia, and essential tremor (ET) consist mainly of oral medication, physical therapy, and botulinum toxin injections. Recently, the more invasive method of deep brain stimulation (DBS) showed significant improvement of the physical symptoms associated with these disorders. In the past several years, the adoption of feedback control theory helped DBS protocols to take into account the progressive and dynamic nature of these neurological movement disorders that had largely been ignored so far. As a result, a more efficient and effective management of PD cardinal symptoms has emerged. In this paper, we review closed-loop systems for rehabilitation of movement disorders, focusing on PD, for which several invasive and noninvasive methods have been developed during the last decade, reducing the complications and side effects associated with traditional rehabilitation approaches and paving the way for tailored individual therapeutics. We then present a novel, transformative, noninvasive closed-loop framework based on force neurofeedback and discuss several future developments of closed-loop systems that might bring us closer to individualized solutions for neurological rehabilitation of movement disorders.</t>
  </si>
  <si>
    <t>[Broccard, Frederic D.; Peterson, David; Poizner, Howard; Sejnowski, Terrence; Cauwenberghs, Gert] Univ Calif San Diego, Inst Neural Computat, La Jolla, CA 92093 USA; [Broccard, Frederic D.; Cauwenberghs, Gert] Univ Calif San Diego, Dept Bioengn, La Jolla, CA 92093 USA; [Mullen, Tim; Iversen, John R.; Kreutz-Delgado, Kenneth; Jung, Tzyy-Ping; Makeig, Scott] Univ Calif San Diego, Swartz Ctr Computat Neurosci, La Jolla, CA 92093 USA; [Chi, Yu Mike] Cognionics Inc, San Diego, CA 92121 USA; [Peterson, David; Sejnowski, Terrence] Salk Inst Biol Studies, Computat Neurosci Lab, La Jolla, CA 92037 USA; [Arnold, Mike] Isoloader USA Inc, Encinitas, CA 92024 USA; [Sejnowski, Terrence] Univ Calif San Diego, Howard Hughes Med Inst, La Jolla, CA 92093 USA</t>
  </si>
  <si>
    <t>University of California System; University of California San Diego; University of California System; University of California San Diego; University of California System; University of California San Diego; Salk Institute; University of California System; University of California San Diego; Howard Hughes Medical Institute</t>
  </si>
  <si>
    <t>Broccard, FD (corresponding author), Univ Calif San Diego, Inst Neural Computat, La Jolla, CA 92093 USA.</t>
  </si>
  <si>
    <t>fbroccard@ucsd.edu</t>
  </si>
  <si>
    <t>Sejnowski, Terrence/AAV-5558-2021; Jung, Tzyy-Ping/HPG-7054-2023; Iversen, John Rehner/A-5738-2009</t>
  </si>
  <si>
    <t>Cauwenberghs, Gert/0000-0002-3166-5529; Jung, Tzyy-Ping/0000-0002-8377-2166; Iversen, John Rehner/0000-0002-4172-9848</t>
  </si>
  <si>
    <t>National Science Foundation [EFRI-1137279]; Bachmann-Strauss Dystonia &amp; Parkinson's Foundation; Benign Essential Blepharospasm Research Foundation; dystonia Coalition [NS065701]; Kavli Institute for Brain and Mind; NSF [SBE-0542013, SMA-1041755]; ONR MURI [N00014-10-1-0072]; NINDS [R01-NS047293-09A1]; Emerging Frontiers &amp; Multidisciplinary Activities; Directorate For Engineering [1137279] Funding Source: National Science Foundation</t>
  </si>
  <si>
    <t>National Science Foundation(National Science Foundation (NSF)); Bachmann-Strauss Dystonia &amp; Parkinson's Foundation; Benign Essential Blepharospasm Research Foundation; dystonia Coalition; Kavli Institute for Brain and Mind; NSF(National Science Foundation (NSF)); ONR MURI(MURIUnited States Department of DefenseUnited States NavyOffice of Naval Research); NINDS(United States Department of Health &amp; Human ServicesNational Institutes of Health (NIH) - USANIH National Institute of Neurological Disorders &amp; Stroke (NINDS)); Emerging Frontiers &amp; Multidisciplinary Activities; Directorate For Engineering(National Science Foundation (NSF)NSF - Directorate for Engineering (ENG))</t>
  </si>
  <si>
    <t>The authors acknowledge support from National Science Foundation grant EFRI-1137279 (M3C: Mind, Machines, and Motor Control). DP would like to acknowledge support from the Bachmann-Strauss Dystonia &amp; Parkinson's Foundation, the Benign Essential Blepharospasm Research Foundation, the dystonia Coalition (NS065701), the Kavli Institute for Brain and Mind and a grant from the NSF to the Temporal Dynamics of Learning Center (SBE-0542013). HP is supported by the NSF grant #SMA-1041755 and the ONR MURI Award No.: N00014-10-1-0072. SM would like to acknowledge a gift from The Swartz Foundation (Old Field NY) and the NINDS grant R01-NS047293-09A1. The authors would like to recognize the contributions of Alejandro Ojeda Gonzalez for designing the MoBILAB environment and Christian Kothe for designing the data collection system LSL and the BCILAB extension for the MoBI setup. The authors would like to thank Nikil Govil and Abraham Akinin for carrying out preliminary experiments on proprioception with Parkinson's disease patients and Trevor Kerth from Cognionics for help and assistance during data collection with the 64-channel dry EEG headset. The authors also would like to thank all the participants at the 2012 IEEE EMB/CAS/SMC workshop on Brain-Machine-Body Interfaces in San Diego, as well as the participants at the 2012 NSF EFRI Grantees Conference in Washington DC, for insightful interactions and discussions.</t>
  </si>
  <si>
    <t>0090-6964</t>
  </si>
  <si>
    <t>1573-9686</t>
  </si>
  <si>
    <t>ANN BIOMED ENG</t>
  </si>
  <si>
    <t>Ann. Biomed. Eng.</t>
  </si>
  <si>
    <t>10.1007/s10439-014-1032-6</t>
  </si>
  <si>
    <t>AL8OP</t>
  </si>
  <si>
    <t>Green Submitted, Green Accepted</t>
  </si>
  <si>
    <t>WOS:000339399000001</t>
  </si>
  <si>
    <t>Davalbhakta, S; Oswal, A; Phatak, S</t>
  </si>
  <si>
    <t>Davalbhakta, Samira; Oswal, Akshay; Phatak, Sanat</t>
  </si>
  <si>
    <t>Assistive devices: Regaining mobility in myositis</t>
  </si>
  <si>
    <t>Assistive devices; muscle weakness; myositis; orthotics; physical therapy</t>
  </si>
  <si>
    <t>DUCHENNE MUSCULAR-DYSTROPHY; DERMATOMYOSITIS; PEOPLE; GAIT</t>
  </si>
  <si>
    <t>Assistive devices (ADs) refer to external devices adapted to improve tasks and function. The common types of ADs include those improving mobility such as wheelchairs and walkers, positioning devices such as standing frames, custom-made devices (orthotics) such as fitted shoes and braces, and daily living devices. In inflammatory myositis, ADs are of utility in combating weakness, improving mobility, preventing and treating contractures, preventing falls, and assisting in daily chores. This narrative review looks at the evidence for the use of ADs in myositis and disorders with a similar pattern of muscle weakness (e.g., muscular dystrophy) subsequent to a literature search. A range of devices, from ankle orthoses to robotic exoskeletons, has been used in children with these diseases, and is part of the rehabilitation process. Evidence for their use in inflammatory myositis comes mainly from inclusion body myositis where progression is usual, and distal movement loss additionally affects functionality. In these patients, gait ADs and lower limb orthoses have been shown to be useful. Patient acceptability of these interventions is paramount in choosing the correct device and fit. An interaction of the treating rheumatologist with the physiatrist, the physical therapist, the occupational therapist, and the patient is paramount in ensuring compliance and benefit.</t>
  </si>
  <si>
    <t>[Davalbhakta, Samira; Phatak, Sanat] Byramjee Jeejeebhoy Med Coll, Dept Med, Pune, Maharashtra, India; [Oswal, Akshay] Rehab Clin, Pune, Maharashtra, India; [Phatak, Sanat] King Edward Mem Hosp &amp; Res Ctr, Sardar Moodliar Rd, Pune 411011, Maharashtra, India</t>
  </si>
  <si>
    <t>Phatak, S (corresponding author), King Edward Mem Hosp &amp; Res Ctr, Diabet Unit, 6th Floor,Banoo Coyaji Bldg,Sardar Moodliar Rd, Pune 411011, Maharashtra, India.</t>
  </si>
  <si>
    <t>sanatphatak@gmail.com</t>
  </si>
  <si>
    <t>Davalbhakta, Samira/AAX-5095-2020</t>
  </si>
  <si>
    <t>WOLTERS KLUWER INDIA PVT LTD , A-202, 2ND FLR, QUBE, C T S NO 1498A-2 VILLAGE MAROL, ANDHERI EAST, MUMBAI, 400059, INDIA</t>
  </si>
  <si>
    <t>10.4103/injr.injr_90_20</t>
  </si>
  <si>
    <t>PZ4PO</t>
  </si>
  <si>
    <t>WOS:000612722800013</t>
  </si>
  <si>
    <t>Chen, B; Zi, B; Wang, ZY; Qin, L; Liao, WH</t>
  </si>
  <si>
    <t>Chen, Bing; Zi, Bin; Wang, Zhengyu; Qin, Ling; Liao, Wei-Hsin</t>
  </si>
  <si>
    <t>Knee exoskeletons for gait rehabilitation and human performance augmentation: A state-of-the-art</t>
  </si>
  <si>
    <t>MECHANISM AND MACHINE THEORY</t>
  </si>
  <si>
    <t>Knee exoskeletons; Robot-assisted therapy; Gait rehabilitation; Knee impairments; Human performance augmentation</t>
  </si>
  <si>
    <t>FEEDBACK ASSISTIVE CONTROL; LEG-ORTHOSIS; DESIGN; JOINT; ROBOT; EMG; ACTUATOR; CONTROLLER; STROKE; MUSCLE</t>
  </si>
  <si>
    <t>The number of patients with knee impairments caused by a stroke, spinal cord injury, post-polio, injury, osteoarthritis, or other related diseases is increasing worldwide. Robotic devices such as knee exoskeletons have been studied and adopted in gait rehabilitation, as they can provide effective gait training for the patients and release the physical therapists from the intensive labor required by the traditional physical therapy. In addition, knee exoskeletons can augment human performance in normal walking, loaded walking, and even running by enhancing the strength of the wearers' knee joints. A systematic review of knee exoskeletons is presented in this paper. The biomechanics of the human knee joint is firstly presented. Then, the design concepts of knee exoskeletons, including the actuators and sensors, are provided, followed by the introduction of the corresponding control strategies. Finally, the limitations of the available devices and the research and development directions in the field of knee exoskeletons are discussed, thus providing useful information to the researchers developing knee exoskeletons that are suitable for practical applications. (c) 2019 Elsevier Ltd. All rights reserved.</t>
  </si>
  <si>
    <t>[Chen, Bing; Zi, Bin; Wang, Zhengyu] Hefei Univ Technol, Sch Mech Engn, Hefei, Anhui, Peoples R China; [Chen, Bing] China Univ Min &amp; Technol, Jiangsu Key Lab Mine Mech &amp; Elect Equipment, Beijing, Peoples R China; [Chen, Bing; Qin, Ling] Chinese Univ Hong Kong, Dept Orthopaed &amp; Traumatol, Hong Kong, Peoples R China; [Liao, Wei-Hsin] Chinese Univ Hong Kong, Dept Mech &amp; Automat Engn, Hong Kong, Peoples R China</t>
  </si>
  <si>
    <t>Hefei University of Technology; China University of Mining &amp; Technology; Chinese University of Hong Kong; Chinese University of Hong Kong</t>
  </si>
  <si>
    <t>Zi, B (corresponding author), Hefei Univ Technol, Sch Mech Engn, Hefei, Anhui, Peoples R China.</t>
  </si>
  <si>
    <t>binzi.cumt@163.com</t>
  </si>
  <si>
    <t>Qin, Ling/JBR-9155-2023; Liao, Wei-Hsin/D-1064-2009; Qin, Ling/J-9047-2018</t>
  </si>
  <si>
    <t>Liao, Wei-Hsin/0000-0001-7221-5906; Chen, Bing/0000-0001-5875-4997; Qin, Ling/0000-0001-6173-6167</t>
  </si>
  <si>
    <t>National Natural Science Foundation of China [51805132, 91748109]; Fundamental Research Funds for the Central Universities [JZ2018HGBZ0166]; China Postdoctoral Science Foundation [2018M642512]</t>
  </si>
  <si>
    <t>National Natural Science Foundation of China(National Natural Science Foundation of China (NSFC)); Fundamental Research Funds for the Central Universities(Fundamental Research Funds for the Central Universities); China Postdoctoral Science Foundation(China Postdoctoral Science Foundation)</t>
  </si>
  <si>
    <t>This work was supported by the National Natural Science Foundation of China (Project No. 51805132, 91748109), the Fundamental Research Funds for the Central Universities (Project No. JZ2018HGBZ0166), and the China Postdoctoral Science Foundation Funded Project(Project No. 2018M642512).</t>
  </si>
  <si>
    <t>PERGAMON-ELSEVIER SCIENCE LTD</t>
  </si>
  <si>
    <t>THE BOULEVARD, LANGFORD LANE, KIDLINGTON, OXFORD OX5 1GB, ENGLAND</t>
  </si>
  <si>
    <t>0094-114X</t>
  </si>
  <si>
    <t>1873-3999</t>
  </si>
  <si>
    <t>MECH MACH THEORY</t>
  </si>
  <si>
    <t>Mech. Mach. Theory</t>
  </si>
  <si>
    <t>10.1016/j.mechmachtheory.2019.01.016</t>
  </si>
  <si>
    <t>HK2MU</t>
  </si>
  <si>
    <t>WOS:000457747100028</t>
  </si>
  <si>
    <t>Hussain, S; Jamwal, PK; Vliet, PV; Brown, NAT</t>
  </si>
  <si>
    <t>Hussain, Shahid; Jamwal, Prashant K.; Vliet, Paulette V.; Brown, Nicholas A. T.</t>
  </si>
  <si>
    <t>Robot Assisted Ankle Neuro-Rehabilitation: State of the art and Future Challenges</t>
  </si>
  <si>
    <t>EXPERT REVIEW OF NEUROTHERAPEUTICS</t>
  </si>
  <si>
    <t>Ankle rehabilitation; robots; orthosis; parallel robot; control strategies; mechanism design</t>
  </si>
  <si>
    <t>IMPEDANCE CONTROL; CHRONIC STROKE; FOOT-ORTHOSIS; DESIGN; OPTIMIZATION; EXOSKELETON; PERFORMANCE; CONTROLLER; GENERATION; MOVEMENT</t>
  </si>
  <si>
    <t>Introduction: Robot-assisted neuro-rehabilitation is gaining acceptability among the physical therapy community. The ankle is one of the most complicated anatomical joints in the human body and neurologic injuries such as stroke often result in ankle and foot disabilities. Areas covered: Robotic solutions for the ankle joint physical therapy have extensively been researched. Significant research has been conducted on the mechanism design, actuation as well as control of these ankle rehabilitation robots. Also, the experimental evaluations of these robots have been conducted with healthy and neurologically impaired subjects. This paper presents a comprehensive review of the recent developments in the field of robot-assisted ankle rehabilitation. Mechanism design, actuation, and various types of control strategies are discussed. Also, the experimental evaluations of these ankle rehabilitation robots are discussed in the context of the evaluation of robotic hardware with healthy subjects as well as motor function outcomes with neurologically impaired subjects. Expert opinion: Significant progress in the mechanism design, control, and experimental evaluations of the ankle rehabilitation robots have been reported. However, more sensing and reference trajectory generation methods need to be developed as well as more objective quantitive evaluations that need to be conducted for establishing the clinical significance of these robots.</t>
  </si>
  <si>
    <t>[Hussain, Shahid] Univ Canberra, Fac Sci &amp; Technol, Human Ctr Technol Res Ctr, Canberra, ACT, Australia; [Jamwal, Prashant K.] Nazarbayev Univ, Dept Elect &amp; Comp Engn, Astana, Kazakhstan; [Vliet, Paulette V.] Univ Newcastle, Res &amp; Innovat Div, Callaghan, NSW, Australia; [Brown, Nicholas A. T.] Univ Canberra, Fac Hlth, Canberra, ACT, Australia; [Brown, Nicholas A. T.] Univ Canberra, Univ Canberra Hosp, Canberra, ACT, Australia</t>
  </si>
  <si>
    <t>University of Canberra; Nazarbayev University; University of Newcastle; University of Canberra; University of Canberra</t>
  </si>
  <si>
    <t>Hussain, S (corresponding author), Univ Canberra, Fac Sci &amp; Technol, Human Ctr Technol Res Ctr, Canberra, ACT, Australia.</t>
  </si>
  <si>
    <t>shahid.hussain@canberra.edu.au</t>
  </si>
  <si>
    <t>Brown, Nicholas/0000-0003-2747-6634; Hussain, Saddam/0000-0002-2552-6776</t>
  </si>
  <si>
    <t>Human-Centred Technology Research Center, University of Canberra, Canberra; ACT, Australia</t>
  </si>
  <si>
    <t>This work was supported in part by the Human-Centred Technology Research Center, University of Canberra, Canberra, ACT, Australia.</t>
  </si>
  <si>
    <t>1473-7175</t>
  </si>
  <si>
    <t>1744-8360</t>
  </si>
  <si>
    <t>EXPERT REV NEUROTHER</t>
  </si>
  <si>
    <t>Expert Rev. Neurother.</t>
  </si>
  <si>
    <t>JAN 2</t>
  </si>
  <si>
    <t>10.1080/14737175.2021.1847646</t>
  </si>
  <si>
    <t>NOV 2020</t>
  </si>
  <si>
    <t>Clinical Neurology; Pharmacology &amp; Pharmacy</t>
  </si>
  <si>
    <t>Neurosciences &amp; Neurology; Pharmacology &amp; Pharmacy</t>
  </si>
  <si>
    <t>PP3EG</t>
  </si>
  <si>
    <t>Y</t>
  </si>
  <si>
    <t>N</t>
  </si>
  <si>
    <t>WOS:000589851900001</t>
  </si>
  <si>
    <t>Díaz-Arribas, MJ; Martín-Casas, P; Cano-de-la-Cuerda, R; Plaza-Manzano, G</t>
  </si>
  <si>
    <t>Diaz-Arribas, Maria J.; Martin-Casas, Patricia; Cano-de-la-Cuerda, Roberto; Plaza-Manzano, Gustavo</t>
  </si>
  <si>
    <t>Effectiveness of the Bobath concept in the treatment of stroke: a systematic review</t>
  </si>
  <si>
    <t>Bobath concept; neurodevelopmental treatment; stroke; physical therapy; rehabilitation; systematic review</t>
  </si>
  <si>
    <t>ADULT NEUROLOGICAL REHABILITATION; RHYTHMIC AUDITORY-STIMULATION; MOTOR RELEARNING PROGRAM; ROBOT-ASSISTED THERAPY; UPPER-LIMB; FUNCTIONAL RECOVERY; PHYSICAL-THERAPY; SINGLE-BLIND; ELECTRICAL-STIMULATION; MULTIPLE-SCLEROSIS</t>
  </si>
  <si>
    <t>Purpose: To evaluate the effectiveness of the Bobath concept in sensorimotor rehabilitation after stroke. Materials and methods: A systematic literature review was conducted on the Bobath concept from the first publication available to January 2018, consulting PUBMED, CENTRAL, CINAHL and PEDro databases. Fifteen clinical trials were selected in two consecutive screenings. Two independent researchers rated the studies according to the PEDro scale from which a best evidence synthesis was derived to determine the strength of the evidence. Results: The Bobath concept is not more effective than other approaches used in post-stroke rehabilitation. There is moderate evidence for the superiority of other therapeutic approaches such as forced use of the affected upper limb and constraint-induced movement therapy for motor control of the upper limb. Conclusions: The Bobath concept is not superior to other approaches for regaining mobility, motor control of the lower limb and gait, balance and activities of daily living of patients after stroke. There is moderate evidence regarding the superior results of other approaches in terms of the motor control and dexterity of the upper limb. Due to the limitations concerning the methodological quality of the studies, further well-designed studies are needed.</t>
  </si>
  <si>
    <t>[Diaz-Arribas, Maria J.; Martin-Casas, Patricia; Plaza-Manzano, Gustavo] Univ Complutense Madrid, Fac Nursing Physiotherapy &amp; Podiatry, Dept Radiol Rehabil &amp; Physiotherapy, Madrid, Spain; [Martin-Casas, Patricia; Plaza-Manzano, Gustavo] Inst Invest Sanitaria Hosp Clin San Carlos IdISSC, Madrid, Spain; [Cano-de-la-Cuerda, Roberto] Rey Juan Carlos Univ, Fac Hlth Sci, Dept Physiotherapy Occupat Therapy Rehabil &amp; Phys, Alcorcon, Spain</t>
  </si>
  <si>
    <t>Complutense University of Madrid; Universidad Rey Juan Carlos</t>
  </si>
  <si>
    <t>Martín-Casas, P (corresponding author), Fac Enfermeria Fisioterapia &amp; Podol, Dept Radiol Rehabilitac &amp; Fisioterapia, Plaza Ramon &amp; Cajal N 3, Madrid 28040, Spain.</t>
  </si>
  <si>
    <t>pmcasas@enf.ucm.es</t>
  </si>
  <si>
    <t>PLAZA MANZANO, GUSTAVO/Y-3263-2018; Martin-Casas, Patricia/L-6701-2018; Cano de la Cuerda, Roberto/KDO-9312-2024</t>
  </si>
  <si>
    <t>PLAZA MANZANO, GUSTAVO/0000-0003-1596-5027; Martin-Casas, Patricia/0000-0002-5889-1841; Diaz-Arribas, Maria Jose/0000-0002-6231-107X; Cano de la Cuerda, Roberto/0000-0002-1118-4234</t>
  </si>
  <si>
    <t>JUN 4</t>
  </si>
  <si>
    <t>10.1080/09638288.2019.1590865</t>
  </si>
  <si>
    <t>APR 2019</t>
  </si>
  <si>
    <t>ME1RS</t>
  </si>
  <si>
    <t>WOS:000470385700001</t>
  </si>
  <si>
    <t>Dominguez-Romero, JG; Molina-Aroca, A; Moral-Munoz, JA; Luque-Moreno, C; Lucena-Anton, D</t>
  </si>
  <si>
    <t>Dominguez-Romero, Juan G.; Molina-Aroca, Assumpta; Moral-Munoz, Jose A.; Luque-Moreno, Carlos; Lucena-Anton, David</t>
  </si>
  <si>
    <t>Effectiveness of Mechanical Horse-Riding Simulators on Postural Balance in Neurological Rehabilitation: Systematic Review and Meta-Analysis</t>
  </si>
  <si>
    <t>INTERNATIONAL JOURNAL OF ENVIRONMENTAL RESEARCH AND PUBLIC HEALTH</t>
  </si>
  <si>
    <t>robotics; cerebral palsy; stroke; postural balance; neurological rehabilitation</t>
  </si>
  <si>
    <t>CEREBRAL-PALSY; HIPPOTHERAPY SIMULATOR; MOTOR FUNCTION; CHRONIC STROKE; CHILDREN; EXERCISE; GAIT; STABILITY; QUALITY; ABILITY</t>
  </si>
  <si>
    <t>Mechanical horse-riding simulators consist of a device that mimics the movement of a real horse, generating between 50 and 100 three-dimensional physical movements (forward and back, left and right, up and down). The main objective of this study is to analyze the effectiveness of mechanical horse-riding simulators to improve postural balance in subjects with neurological disorders. The search was conducted during January-March 2019 in PubMed, Physiotherapy Evidence Database (PEDro), Cochrane, Web of Science, CINAHL, and Scopus. The methodological quality of the studies was evaluated through the PEDro scale. A total of seven articles were included in this systematic review, of which four contributed information to the meta-analysis. Statistical analysis showed favorable results for balance in stroke patients, measured by the Berg Balance Scale (standardized mean difference (SMD) = 3.24; 95%; confidence interval (CI): 1.66-4.83). Not conclusive results were found in sitting postural balance, measured using the Gross Motor Function Measure-66 (GMFM-66) Sitting Dimension, in patients with cerebral palsy. Most studies have shown beneficial effects on postural balance compared with conventional physical therapy. However, due to the limited number of articles and their low methodological quality, no solid conclusions can be drawn about the effectiveness of this therapy.</t>
  </si>
  <si>
    <t>[Dominguez-Romero, Juan G.; Molina-Aroca, Assumpta] Univ Osuna, Dept Physiotherapy, Seville 41640, Spain; [Moral-Munoz, Jose A.; Luque-Moreno, Carlos; Lucena-Anton, David] Univ Cadiz, Dept Nursing &amp; Physiotherapy, Cadiz 11009, Spain; [Moral-Munoz, Jose A.] Univ Cadiz, Inst Res &amp; Innovat Biomed Sci Prov Cadiz INiBICA, Cadiz 11009, Spain</t>
  </si>
  <si>
    <t>Universidad de Cadiz; Universidad de Cadiz</t>
  </si>
  <si>
    <t>Molina-Aroca, A (corresponding author), Univ Osuna, Dept Physiotherapy, Seville 41640, Spain.</t>
  </si>
  <si>
    <t>j_gab_dom@hotmail.com; assumpta.palosfrontera32@gmail.com; joseantonio.moral@uca.es; carlos.luque@uca.es; david.lucena@uca.es</t>
  </si>
  <si>
    <t>Luque-Moreno, Carlos/S-9591-2017; Lucena-Anton, David/X-8730-2019; Moral-Munoz, Jose A./A-5893-2014</t>
  </si>
  <si>
    <t>Luque-Moreno, Carlos/0000-0001-5209-3382; Dominguez Romero, Juan Gabriel/0000-0002-9547-9223; Lucena-Anton, David/0000-0003-2441-5342; Moral-Munoz, Jose A./0000-0002-6465-982X</t>
  </si>
  <si>
    <t>Department of Nursing and Physiotherapy (University of Cadiz)</t>
  </si>
  <si>
    <t>This research was funded by the Department of Nursing and Physiotherapy (University of Cadiz).</t>
  </si>
  <si>
    <t>1661-7827</t>
  </si>
  <si>
    <t>1660-4601</t>
  </si>
  <si>
    <t>INT J ENV RES PUB HE</t>
  </si>
  <si>
    <t>Int. J. Environ. Res. Public Health</t>
  </si>
  <si>
    <t>10.3390/ijerph17010165</t>
  </si>
  <si>
    <t>Environmental Sciences; Public, Environmental &amp; Occupational Health</t>
  </si>
  <si>
    <t>Environmental Sciences &amp; Ecology; Public, Environmental &amp; Occupational Health</t>
  </si>
  <si>
    <t>KF7AG</t>
  </si>
  <si>
    <t>WOS:000509391500165</t>
  </si>
  <si>
    <t>Veerbeek, JM; van Wegen, E; van Peppen, R; van der Wees, PJ; Hendriks, E; Rietberg, M; Kwakkel, G</t>
  </si>
  <si>
    <t>Veerbeek, Janne Marieke; van Wegen, Erwin; van Peppen, Roland; van der Wees, Philip Jan; Hendriks, Erik; Rietberg, Marc; Kwakkel, Gert</t>
  </si>
  <si>
    <t>What Is the Evidence for Physical Therapy Poststroke? A Systematic Review and Meta-Analysis</t>
  </si>
  <si>
    <t>PLOS ONE</t>
  </si>
  <si>
    <t>CONSTRAINT-INDUCED MOVEMENT; RANDOMIZED CONTROLLED-TRIAL; FUNCTIONAL ELECTRICAL-STIMULATION; BODY-WEIGHT SUPPORT; SUBACUTE STROKE PATIENTS; ROBOT-ASSISTED THERAPY; QUALITY-OF-LIFE; TRIGGERED NEUROMUSCULAR STIMULATION; ELECTROMECHANICAL GAIT TRAINER; EXTREMITY MOTOR RECOVERY</t>
  </si>
  <si>
    <t>Background: Physical therapy (PT) is one of the key disciplines in interdisciplinary stroke rehabilitation. The aim of this systematic review was to provide an update of the evidence for stroke rehabilitation interventions in the domain of PT. Methods and Findings: Randomized controlled trials (RCTs) regarding PT in stroke rehabilitation were retrieved through a systematic search. Outcomes were classified according to the ICF. RCTs with a low risk of bias were quantitatively analyzed. Differences between phases poststroke were explored in subgroup analyses. A best evidence synthesis was performed for neurological treatment approaches. The search yielded 467 RCTs (N = 25373; median PEDro score 6 [IQR 5-7]), identifying 53 interventions. No adverse events were reported. Strong evidence was found for significant positive effects of 13 interventions related to gait, 11 interventions related to arm-hand activities, 1 intervention for ADL, and 3 interventions for physical fitness. Summary Effect Sizes (SESs) ranged from 0.17 (95%CI 0.03-0.70; I-2 = 0%) for therapeutic positioning of the paretic arm to 2.47 (95%CI 0.84-4.11; I-2 = 77%) for training of sitting balance. There is strong evidence that a higher dose of practice is better, with SESs ranging from 0.21 (95%CI 0.02-0.39; I-2 = 6%) for motor function of the paretic arm to 0.61 (95%CI 0.41-0.82; I-2 = 41%) for muscle strength of the paretic leg. Subgroup analyses yielded significant differences with respect to timing poststroke for 10 interventions. Neurological treatment approaches to training of body functions and activities showed equal or unfavorable effects when compared to other training interventions. Main limitations of the present review are not using individual patient data for meta-analyses and absence of correction for multiple testing. Conclusions: There is strong evidence for PT interventions favoring intensive high repetitive task-oriented and task-specific training in all phases poststroke. Effects are mostly restricted to the actually trained functions and activities. Suggestions for prioritizing PT stroke research are given.</t>
  </si>
  <si>
    <t>[Veerbeek, Janne Marieke; van Wegen, Erwin; Rietberg, Marc; Kwakkel, Gert] Vrije Univ Amsterdam Med Ctr, MOVE Res Inst Amsterdam, Dept Rehabil Med, Amsterdam, Netherlands; [van Peppen, Roland] Univ Appl Sci Utrecht, Dept Physiotherapy, Utrecht, Netherlands; [van der Wees, Philip Jan] Radboud Univ Nijmegen, Sci Inst Qual Healthcare IQ Healthcare, Med Ctr, NL-6525 ED Nijmegen, Netherlands; [Hendriks, Erik] Maastricht Univ, Dept Epidemiol, Maastricht, Netherlands; [Kwakkel, Gert] Reade Ctr Rehabil &amp; Rheumatol, Dept Neurorehabil, Amsterdam, Netherlands</t>
  </si>
  <si>
    <t>Vrije Universiteit Amsterdam; VU UNIVERSITY MEDICAL CENTER; Radboud University Nijmegen; Maastricht University</t>
  </si>
  <si>
    <t>Kwakkel, G (corresponding author), Vrije Univ Amsterdam Med Ctr, MOVE Res Inst Amsterdam, Dept Rehabil Med, Amsterdam, Netherlands.</t>
  </si>
  <si>
    <t>g.kwakkel@vumc.nl</t>
  </si>
  <si>
    <t>van Wegen, Erwin/F-3242-2010; Veerbeek, Janne/W-7424-2019; van der Wees, Philip/L-4748-2015</t>
  </si>
  <si>
    <t>Kwakkel, Gert/0000-0002-4041-4043; van Wegen, Erwin/0000-0002-7920-9995; Veerbeek, Janne/0000-0002-6337-6780</t>
  </si>
  <si>
    <t>Royal Dutch Society for Physical Therapy (KNGF) [8091.1]</t>
  </si>
  <si>
    <t>Royal Dutch Society for Physical Therapy (KNGF)</t>
  </si>
  <si>
    <t>This research project was supported by the Royal Dutch Society for Physical Therapy (KNGF grant no. 8091.1; http://www.fysionet.nl/). The funders had no role in study design, data collection and analysis, decision to publish, or preparation of the manuscript.</t>
  </si>
  <si>
    <t>PUBLIC LIBRARY SCIENCE</t>
  </si>
  <si>
    <t>SAN FRANCISCO</t>
  </si>
  <si>
    <t>1160 BATTERY STREET, STE 100, SAN FRANCISCO, CA 94111 USA</t>
  </si>
  <si>
    <t>1932-6203</t>
  </si>
  <si>
    <t>PLoS One</t>
  </si>
  <si>
    <t>FEB 4</t>
  </si>
  <si>
    <t>e87987</t>
  </si>
  <si>
    <t>10.1371/journal.pone.0087987</t>
  </si>
  <si>
    <t>Multidisciplinary Sciences</t>
  </si>
  <si>
    <t>Science &amp; Technology - Other Topics</t>
  </si>
  <si>
    <t>AI6GY</t>
  </si>
  <si>
    <t>Green Submitted, gold, Green Published</t>
  </si>
  <si>
    <t>WOS:000336971300027</t>
  </si>
  <si>
    <t>Li, B; Cunha, AB; Lobo, MA</t>
  </si>
  <si>
    <t>Li, Bai; Cunha, Andrea B.; Lobo, Michele A.</t>
  </si>
  <si>
    <t>Effectiveness and Users' Perceptions of Upper Extremity Exoskeletons and Robot-Assisted Devices in Children with Physical Disabilities: Systematic Review</t>
  </si>
  <si>
    <t>PHYSICAL &amp; OCCUPATIONAL THERAPY IN PEDIATRICS</t>
  </si>
  <si>
    <t>Disability; exoskeleton device; pediatric; robot-assisted device; systematic review; upper extremity</t>
  </si>
  <si>
    <t>UPPER-LIMB REHABILITATION; CEREBRAL-PALSY; GAMING TECHNOLOGY; MOTOR FUNCTION; ARM ORTHOSIS; THERAPY; STROKE; HAND; FEASIBILITY; DESIGN</t>
  </si>
  <si>
    <t>Aim: Systematically determine the effectiveness and users' perceptions of upper extremity (UE) exoskeletons and robot-assisted devices for pediatric rehabilitation.Methods: PubMed/Medline, Web of Science, Scopus, and Cochrane Library were searched for studies with exoskeletons/robot-assisted devices, children with disabilities, effectiveness data, and English publication. Intervention effectiveness outcomes were classified within components of the International Classification of Functioning, Disability, and Health, Children and Youth Version (ICF-CY). Secondary data (users' perceptions; implementation setting) were extracted. Risk of bias and methodological quality were assessed. Descriptive analyses were performed.Results: Seventy-two articles were included. Most evaluated body structure and function and activity outcomes with less emphasis on participation. Most effects across all ICF-CY levels were positive. Devices were primarily evaluated in clinical or laboratory rather than natural environments. Perceptions about device effectiveness were mostly positive, while those about expression, accessibility, and esthetics were mostly negative. A need for increased rigor in research study design was detected.Conclusions: Across populations, devices, settings, interventions, and dosing schedules, UE exoskeletons and robot-assisted devices may improve function, activity, and perhaps participation for children with physical disabilities. Future work should transition devices into natural environments, design devices and implementation strategies to address users' negative perceptions, and increase research rigor.</t>
  </si>
  <si>
    <t>[Li, Bai; Cunha, Andrea B.; Lobo, Michele A.] Univ Delaware, Dept Phys Therapy, Biomech &amp; Movement Sci Program, Newark, DE USA; [Cunha, Andrea B.] Univ Nebraska Med Ctr, Munroe Meyer Inst, Dept Phys Therapy, Omaha, NE USA; [Lobo, Michele A.] Univ Delaware, 210K CHS Bldg,540 S Coll Ave, Newark, DE 19713 USA</t>
  </si>
  <si>
    <t>University of Delaware; University of Nebraska System; University of Nebraska Medical Center; University of Delaware</t>
  </si>
  <si>
    <t>Lobo, MA (corresponding author), Univ Delaware, 210K CHS Bldg,540 S Coll Ave, Newark, DE 19713 USA.</t>
  </si>
  <si>
    <t>malobo@udel.edu</t>
  </si>
  <si>
    <t>Lobo, Michele/AAB-5968-2021; Cunha, Andrea/O-3761-2014</t>
  </si>
  <si>
    <t>Lobo, Michele A./0000-0003-2892-7687</t>
  </si>
  <si>
    <t>The authors would like to thank the research assistants for helping to support data acquisition and management.</t>
  </si>
  <si>
    <t>0194-2638</t>
  </si>
  <si>
    <t>1541-3144</t>
  </si>
  <si>
    <t>PHYS OCCUP THER PEDI</t>
  </si>
  <si>
    <t>Phys. Occup. Ther. Pediatr.</t>
  </si>
  <si>
    <t>MAY 3</t>
  </si>
  <si>
    <t>10.1080/01942638.2023.2248241</t>
  </si>
  <si>
    <t>AUG 2023</t>
  </si>
  <si>
    <t>Pediatrics; Rehabilitation</t>
  </si>
  <si>
    <t>NU8W4</t>
  </si>
  <si>
    <t>WOS:001063731200001</t>
  </si>
  <si>
    <t>Sawers, A; Ting, LH</t>
  </si>
  <si>
    <t>Sawers, Andrew; Ting, Lena H.</t>
  </si>
  <si>
    <t>Perspectives on human-human sensorimotor interactions for the design of rehabilitation robots</t>
  </si>
  <si>
    <t>Rehabilitation; Human-human interaction; Human-robot interaction; Haptics; Rehabilitation robotics</t>
  </si>
  <si>
    <t>OPTIMAL FEEDBACK-CONTROL; SPINAL-CORD-INJURY; MUSCLE ACTIVATION; OVERGROUND GAIT; MOTOR; COORDINATION; MOVEMENT; FORCE; VARIABILITY; PERFORMANCE</t>
  </si>
  <si>
    <t>Physical interactions between patients and therapists during rehabilitation have served as motivation for the design of rehabilitation robots, yet we lack a fundamental understanding of the principles governing such human-human interactions (HHI). Here we review the literature and pose important open questions regarding sensorimotor interaction during HHI that could facilitate the design of human-robot interactions (HRI) and haptic interfaces for rehabilitation. Based on the goals of physical rehabilitation, three subcategories of sensorimotor interaction are identified: sensorimotor collaboration, sensorimotor assistance, and sensorimotor education. Prior research has focused primarily on sensorimotor collaboration and is generally limited to relatively constrained visuomotor tasks. Moreover, the mechanisms by which performance improvements are achieved during sensorimotor cooperation with haptic interaction remains unknown. We propose that the effects of role assignment, motor redundancy, and skill level in sensorimotor cooperation should be explicitly studied. Additionally, the importance of haptic interactions may be better revealed in tasks that do not require visual feedback. Finally, cooperative motor tasks that allow for motor improvement during solo performance to be examined may be particularly relevant for rehabilitation robotics. Identifying principles that guide human-human sensorimotor interactions may lead to the development of robots that can physically interact with humans in more intuitive and biologically inspired ways, thereby enhancing rehabilitation outcomes.</t>
  </si>
  <si>
    <t>[Ting, Lena H.] Emory Univ, Wallace H Coulter Dept Biomed Engn, Atlanta, GA 30332 USA; Georgia Inst Technol, Atlanta, GA 30332 USA</t>
  </si>
  <si>
    <t>Emory University; University System of Georgia; Georgia Institute of Technology</t>
  </si>
  <si>
    <t>Ting, LH (corresponding author), Emory Univ, Wallace H Coulter Dept Biomed Engn, 313 Ferst Dr NE,Whitaker Bldg 3242, Atlanta, GA 30332 USA.</t>
  </si>
  <si>
    <t>lting@emory.edu</t>
  </si>
  <si>
    <t>Ting, Lena/I-9311-2014</t>
  </si>
  <si>
    <t>National Science Foundation [EFRI-1137229]; Emerging Frontiers &amp; Multidisciplinary Activities; Directorate For Engineering [1137229] Funding Source: National Science Foundation</t>
  </si>
  <si>
    <t>National Science Foundation(National Science Foundation (NSF)); Emerging Frontiers &amp; Multidisciplinary Activities; Directorate For Engineering(National Science Foundation (NSF)NSF - Directorate for Engineering (ENG))</t>
  </si>
  <si>
    <t>This work was supported by the National Science Foundation Grant EFRI-1137229.</t>
  </si>
  <si>
    <t>OCT 6</t>
  </si>
  <si>
    <t>10.1186/1743-0003-11-142</t>
  </si>
  <si>
    <t>AT3DQ</t>
  </si>
  <si>
    <t>WOS:000344816800001</t>
  </si>
  <si>
    <t>Hoxhaj, P; Hastings, N; Kachhadia, MP; Gupta, R; Sindhu, U; Durve, SA; Azam, A; Vinueza, MJA; Bhuvan; Win, SH; Rathod, DC; Afsar, AP</t>
  </si>
  <si>
    <t>Hoxhaj, Pranvera; Hastings, Natasha; Kachhadia, Meet Popatbhai; Gupta, Riya; Sindhu, Udeept; Durve, Shreya A.; Azam, Areeba; Vinueza, Maria J. Auz; Bhuvan, Shwe H.; Win, Shwe H.; Rathod, Deepak C.; Afsar, Aiman P.</t>
  </si>
  <si>
    <t>Exploring Advancements in the Treatment of Amyotrophic Lateral Sclerosis: A Comprehensive Review of Current Modalities and Future Prospects</t>
  </si>
  <si>
    <t>CUREUS JOURNAL OF MEDICAL SCIENCE</t>
  </si>
  <si>
    <t>supportive care; robotics; pharmaceutical interventions; psychological support; cell therapy; gene therapy; neurodegenerative; amyotrophic lateral sclerosis</t>
  </si>
  <si>
    <t>RILUZOLE; THERAPY; INDIVIDUALS; MANAGEMENT; MECHANISM; SYMPTOMS; IMPACT; STAGE</t>
  </si>
  <si>
    <t>Amyotrophic lateral sclerosis (ALS) is a fatal and incurable disease requiring a multidisciplinary treatment approach and a collaborative therapeutic effort. A combination of both upper and lower motor neuron degeneration ultimately leads to respiratory failure, similar to other dementia-type neurodegenerative diseases. The aim of this paper is to pioneer current ALS research by carrying out a narrative literature review of the current treatment modalities of the disease. Through these efforts, we hope to condense the most pertinent information regarding current treatments and enhance the management of ALS patients as a whole, giving these patients a better quality of life as the search for a cure continues. We used a Pubmed search strategy and specific MeSH terms for the selection of the literature articles using the keywords ALS, new treatment, treatment, and symptomatic treatment. A combination of pharmaceutical interventions, psychological support, and physical rehabilitation has been most effective in enhancing the quality of life of patients with ALS (PALS). Among potential pharmacological therapies, only a few have been approved by the US Food and Drug Administration(FDA) to be used to treat ALS and its symptoms. Other treatment modalities being considered include gene therapy, cellular therapy, psychological therapy, physical therapy, and speech therapy, alongside robotics, alternative feeding methods, and communication devices.</t>
  </si>
  <si>
    <t>[Hoxhaj, Pranvera] Univ Med, Med, Tirana, Albania; [Hoxhaj, Pranvera] Scher &amp; Kerenyi MDS, Obstet &amp; Gynaecol, New York, NY USA; [Hastings, Natasha] St Georges Univ, Sch Med, Med, St Georges, Grenada; [Kachhadia, Meet Popatbhai] Pandit Dindayal Upadhyay PDU Med Coll, Internal Med, Civil Hosp Campus, Rajkot, India; [Gupta, Riya] Shri Atal Bihari Vajpayee Med Coll &amp; Res Inst, Med &amp; Surg, Bangalore, India; [Sindhu, Udeept] Kasturba Med Coll &amp; Hosp, Med &amp; Surg, Manipal, India; [Durve, Shreya A.] Sri Ramachandra Inst Higher Educ &amp; Res, Gen Med, Chennai, India; [Azam, Areeba] Lahore Med &amp; Dent Coll, Med, Lahore, Pakistan; [Vinueza, Maria J. Auz] Hosp Especial Fuerzas Armadas 1, Crit Care, Quito, Ecuador; [Bhuvan, Shwe H.] Govt Med Coll, Internal Med, Amritsar, India; [Win, Shwe H.] Univ Med, Med, Magway, Myanmar; [Rathod, Deepak C.] Chandramma Dayanand Sagar Inst Med Educ &amp; Res, Med, Harohalli, India; [Afsar, Aiman P.] Maulana Azad Med Coll, Med, New Delhi, India</t>
  </si>
  <si>
    <t>Manipal Academy of Higher Education (MAHE); Kasturba Medical College, Manipal; Sri Ramachandra Institute of Higher Education &amp; Research; Maulana Azad Medical College</t>
  </si>
  <si>
    <t>Afsar, AP (corresponding author), Maulana Azad Med Coll, Med, New Delhi, India.</t>
  </si>
  <si>
    <t>afsaraiman@gmail.com</t>
  </si>
  <si>
    <t>Gupta, Riya/MAI-4776-2025</t>
  </si>
  <si>
    <t>Hastings, Natasha/0009-0005-7769-2716</t>
  </si>
  <si>
    <t>SPRINGERNATURE</t>
  </si>
  <si>
    <t>CAMPUS, 4 CRINAN ST, LONDON, N1 9XW, ENGLAND</t>
  </si>
  <si>
    <t>2168-8184</t>
  </si>
  <si>
    <t>CUREUS J MED SCIENCE</t>
  </si>
  <si>
    <t>Cureus J Med Sci</t>
  </si>
  <si>
    <t>SEP 18</t>
  </si>
  <si>
    <t>e45489</t>
  </si>
  <si>
    <t>10.7759/cureus.45489</t>
  </si>
  <si>
    <t>X3YS6</t>
  </si>
  <si>
    <t>WOS:001097850200042</t>
  </si>
  <si>
    <t>Riener, R; Nef, T; Colombo, G</t>
  </si>
  <si>
    <t>Robot-aided neurorehabilitation of the upper extremities</t>
  </si>
  <si>
    <t>MEDICAL &amp; BIOLOGICAL ENGINEERING &amp; COMPUTING</t>
  </si>
  <si>
    <t>neurorehabilitation; movement therapy; robotics; paralysis; stroke; upper extremities</t>
  </si>
  <si>
    <t>STROKE REHABILITATION; PHYSICAL THERAPY; NEUROMUSCULAR REEDUCATION; RANDOMIZED-TRIAL; MOTOR FUNCTION; UPPER-LIMB; ARM; RECOVERY; INTENSITY; TELEREHABILITATION</t>
  </si>
  <si>
    <t>Task-oriented repetitive movements can improve muscle strength and movement co-ordination in patients with impairments due to neurological lesions. The application of robotics and automation technology can serve to assist, enhance, evaluate and document the rehabilitation of movements. The paper provides an overview of existing devices that can support movement therapy of the upper extremities in subjects with neurological pathologies. The devices are critically compared with respect to technical function, clinical applicability, and, if they exist, clinical outcomes.</t>
  </si>
  <si>
    <t>ETH, Swiss Fed Inst Technol, Atomat Control Lab, Rehabil Engn Grp, Zurich, Switzerland; Univ Zurich, Univ Hosp Balgrist, Spinal Cord Injury Ctr, Zurich, Switzerland; Hocoma AG, Volketswil, Switzerland</t>
  </si>
  <si>
    <t>Swiss Federal Institutes of Technology Domain; ETH Zurich; University of Zurich</t>
  </si>
  <si>
    <t>Riener, R (corresponding author), ETH, Swiss Fed Inst Technol, Atomat Control Lab, Rehabil Engn Grp, Zurich, Switzerland.</t>
  </si>
  <si>
    <t>riener@control.ee.ethz.ch</t>
  </si>
  <si>
    <t>Riener, Robert/B-9868-2016</t>
  </si>
  <si>
    <t>Riener, Robert/0000-0002-1726-2950; Nef, Tobias/0000-0002-8069-9450</t>
  </si>
  <si>
    <t>PETER PEREGRINUS LTD</t>
  </si>
  <si>
    <t>HERTS</t>
  </si>
  <si>
    <t>MICHAEL FARADAY HOUSE, SIX HILLS WAY, STEVANAGE, HERTS SG1 2AY, ENGLAND</t>
  </si>
  <si>
    <t>0140-0118</t>
  </si>
  <si>
    <t>MED BIOL ENG COMPUT</t>
  </si>
  <si>
    <t>Med. Biol. Eng. Comput.</t>
  </si>
  <si>
    <t>10.1007/BF02345116</t>
  </si>
  <si>
    <t>Computer Science, Interdisciplinary Applications; Engineering, Biomedical; Mathematical &amp; Computational Biology; Medical Informatics</t>
  </si>
  <si>
    <t>Computer Science; Engineering; Mathematical &amp; Computational Biology; Medical Informatics</t>
  </si>
  <si>
    <t>896MK</t>
  </si>
  <si>
    <t>WOS:000226938000002</t>
  </si>
  <si>
    <t>Dickstein, R</t>
  </si>
  <si>
    <t>Dickstein, Ruth</t>
  </si>
  <si>
    <t>Rehabilitation of Gait Speed After Stroke: A Critical Review of Intervention Approaches</t>
  </si>
  <si>
    <t>NEUROREHABILITATION AND NEURAL REPAIR</t>
  </si>
  <si>
    <t>Stroke; Gait; Rehabilitation; Walking speed; Physical therapy</t>
  </si>
  <si>
    <t>BODY-WEIGHT SUPPORT; RANDOMIZED CONTROLLED-TRIAL; FUNCTIONAL ELECTRICAL-STIMULATION; PHYSICAL-THERAPY; SUBACUTE STROKE; POSTSTROKE HEMIPARESIS; MOTOR REHABILITATION; COMMUNITY AMBULATION; IMPROVES WALKING; MUSCLE STRENGTH</t>
  </si>
  <si>
    <t>Purpose. Walking speed is a cardinal indicator of poststroke gait performance; however, no consensus exists regarding the optimal treatment method(s) for its enhancement. The most widely accepted criterion for establishing the contribution of treatment to walking speed is the gain in speed. The actual speed, however, at the end of the intervention (final speed) may be more important for functional community ambulation. This review examines the contribution of the prevailing methods for gait rehabilitation to final walking speed. Method. Walking speed information was derived from studies included in meta-analyses, systematic reviews, and clinical practice guidelines. Recent references, not included in the mentioned sources, were incorporated in cases when gait speed was an outcome variable. Final speed was assessed by the reported speed values and by inferring the capacity for functional community walking at the end of the intervention period. Results. Similar outcomes for final walking speed were found for the different prevailing treatment methods. Treatment gains were likewise comparable and generally insufficient for upgrading patients' functional community walking capacity. Conclusions. Different treatment methods exist for poststroke gait rehabilitation. Their availability, mode of application, and costs vary, yet outcomes are largely similar. Therefore, choosing an appropriate method may be guided by a pragmatic approach. Simple low technology and conventional exercise to date is at least as efficacious as more complex strategies such as treadmill and robotic-based interventions.</t>
  </si>
  <si>
    <t>Univ Haifa, Fac Social Welf &amp; Hlth Sci, Dept Phys Therapy, IL-31905 Haifa, Israel</t>
  </si>
  <si>
    <t>University of Haifa</t>
  </si>
  <si>
    <t>Dickstein, R (corresponding author), Univ Haifa, Fac Social Welf &amp; Hlth Sci, Dept Phys Therapy, IL-31905 Haifa, Israel.</t>
  </si>
  <si>
    <t>ruthd@research.haifa.ac.il</t>
  </si>
  <si>
    <t>SAGE PUBLICATIONS INC</t>
  </si>
  <si>
    <t>THOUSAND OAKS</t>
  </si>
  <si>
    <t>2455 TELLER RD, THOUSAND OAKS, CA 91320 USA</t>
  </si>
  <si>
    <t>1545-9683</t>
  </si>
  <si>
    <t>1552-6844</t>
  </si>
  <si>
    <t>NEUROREHAB NEURAL RE</t>
  </si>
  <si>
    <t>Neurorehabil. Neural Repair</t>
  </si>
  <si>
    <t>NOV-DEC</t>
  </si>
  <si>
    <t>10.1177/1545968308315997</t>
  </si>
  <si>
    <t>Clinical Neurology; Rehabilitation</t>
  </si>
  <si>
    <t>Neurosciences &amp; Neurology; Rehabilitation</t>
  </si>
  <si>
    <t>372AH</t>
  </si>
  <si>
    <t>Bronze</t>
  </si>
  <si>
    <t>WOS:000260873300001</t>
  </si>
  <si>
    <t>Donzé, C; Massot, C</t>
  </si>
  <si>
    <t>Donze, Cecile; Massot, Caroline</t>
  </si>
  <si>
    <t>Rehabilitation in multiple sclerosis in 2021</t>
  </si>
  <si>
    <t>PRESSE MEDICALE</t>
  </si>
  <si>
    <t>RANDOMIZED CONTROLLED-TRIAL; INDUCED MOVEMENT THERAPY; QUALITY-OF-LIFE; BALANCE; STABILITY; FATIGUE; PEOPLE; MOTOR; PARTICIPATION</t>
  </si>
  <si>
    <t>Patients with multiple sclerosis, despite advances in therapy, often suffer from locomotor impairment that limits their mobility and affect quality of life. Rehabilitation is part of the treatment of MS and has shown its beneficial effects in numerous studies. While traditional rehabilitation techniques remain in the limelight, new technologies are emerging and make it possible to improve the management of disabling symptoms. The aim of this update is to synthesize the new therapy techniques proposed in rehabilitation for patients with multiple sclerosis according to the symptoms as balance, gait, upper limb disorders, fatigue, spasticity and disease progression published over the past 5 years. With regard to balance and walking disorders, neuromotor rehabilitation, physical exercise, rhythmic auditory stimulation, gait robot training and exergaming are effective. Only physical exercise has shown a positive effect on fatigue management. Spasticity is improved by classic rehabilitation techniques however noninvasive brain stimulation are promising. The rehabilitation of upper limb dysfunctions uses various effective techniques such as the repetition of functional tasks in real or virtual situations. In case of a more severe disability, arm robots can be used to relearn the impaired movement. Action observation training in real or virtual situations is also effective. Finally, under certain conditions the constraint induced movement therapy is proposed. The effects of rehabilitation are not only positive on the pyramidal symptoms and fatigue but also increase neuroplasticity and perhaps a neuroprotective effect as shown in some studies. (C) 2021 Elsevier Masson SAS. All rights reserved.</t>
  </si>
  <si>
    <t>[Donze, Cecile; Massot, Caroline] Hop St Philibert, Fac Med &amp; Maieut Lille, Serv Med Phys &amp; Readaptat, Grp Hop Inst Catholique Lille, Lomme Les Lille, France</t>
  </si>
  <si>
    <t>Donzé, C (corresponding author), Hop St Philibert, Serv Med Phys &amp; Readaptat, Rue Grand But,BP 249, F-59462 Lomme Les Lille, France.</t>
  </si>
  <si>
    <t>donze.cecile@ghicl.net</t>
  </si>
  <si>
    <t>MASSON EDITEUR</t>
  </si>
  <si>
    <t>MOULINEAUX CEDEX 9</t>
  </si>
  <si>
    <t>21 STREET CAMILLE DESMOULINS, ISSY, 92789 MOULINEAUX CEDEX 9, FRANCE</t>
  </si>
  <si>
    <t>0755-4982</t>
  </si>
  <si>
    <t>2213-0276</t>
  </si>
  <si>
    <t>PRESSE MED</t>
  </si>
  <si>
    <t>Presse Med.</t>
  </si>
  <si>
    <t>JUN</t>
  </si>
  <si>
    <t>10.1016/j.lpm.2021.104066</t>
  </si>
  <si>
    <t>JUN 2021</t>
  </si>
  <si>
    <t>YW8UJ</t>
  </si>
  <si>
    <t>WOS:000753687900003</t>
  </si>
  <si>
    <t>Shenoy, MP; Shenoy, PD</t>
  </si>
  <si>
    <t>Shenoy, Manisha Pramod; Shenoy, Pramod Divakara</t>
  </si>
  <si>
    <t>Identifying the Challenges and Cost-effectiveness of Telerehabilitation: A Narrative Review</t>
  </si>
  <si>
    <t>JOURNAL OF CLINICAL AND DIAGNOSTIC RESEARCH</t>
  </si>
  <si>
    <t>Cost-benefit; Health outcome; Physical therapy; Rehabilitation; Technology</t>
  </si>
  <si>
    <t>LOW-BACK-PAIN; PHYSIOTHERAPY ASSESSMENT; NECK PAIN; REHABILITATION; CARE; INTERNET; VALIDITY; THERAPY; RELIABILITY; DISORDERS</t>
  </si>
  <si>
    <t>Technology has been evolving at an exponential speed in the past decade and the evidence of a dramatic change is all around us such as self-driving cars, artificial intelligence, robotics, and many more. The fusion of physical, digital and biological worlds, the so-called 4th industrial revolution, has impacted all industries and disciplines including healthcare. It has changed the way we live, work, and interacts with people around the globe. Despite its numerous benefits it also brings several concerns such as organisations failing to adapt to this shift at an equal or adequate pace. It is imperative that we grab the opportunities it presents and together shapes a sustainable and highly productive future. The field of rehabilitation has begun to adapt to these changes and became known as Telerehabilitation (TR). A promising field can be instrumental in aiding healthcare delivery, enhancing compliance, and improving health outcomes and quality of life of patients. However, the development of TR has been at a much slower pace than expected in both developing and developed countries. This article is a review of status and trends in TR and will mainly deal with identifying challenges faced by its users, gaps and propose means for rectifying issues and for establishing cost-effectiveness. It is thus concluded that there should be future studies of high quality, analysing its cost effectiveness and cost benefit. Also, the challenges could be overcome by a combination of face to face delivery and TR.</t>
  </si>
  <si>
    <t>[Shenoy, Manisha Pramod] Manipal Acad Higher Educ, Dept Physiotherapy, Mangalore, Karnataka, India; [Shenoy, Pramod Divakara] Hamad Med Corp Doha, Dept Phys Therapy, Doha, Qatar</t>
  </si>
  <si>
    <t>Manipal Academy of Higher Education (MAHE); Hamad Medical Corporation</t>
  </si>
  <si>
    <t>Shenoy, MP (corresponding author), Kasturba Med Coll &amp; Hosp, Dept Physiotherapy, Bejai 575001, Karnataka, India.</t>
  </si>
  <si>
    <t>paraimanisha@gmail.com</t>
  </si>
  <si>
    <t>Divakara Shenoy, Pramod/S-3126-2017</t>
  </si>
  <si>
    <t>Divakara Shenoy, Pramod/0000-0002-9514-9953; Shenoy, Manisha/0000-0001-7970-4358</t>
  </si>
  <si>
    <t>PREMCHAND SHANTIDEVI RESEARCH FOUNDATION</t>
  </si>
  <si>
    <t>DELHI</t>
  </si>
  <si>
    <t>71 JAIN COLONY, VEER NAGAR, DELHI, 110 007, INDIA</t>
  </si>
  <si>
    <t>2249-782X</t>
  </si>
  <si>
    <t>0973-709X</t>
  </si>
  <si>
    <t>J CLIN DIAGN RES</t>
  </si>
  <si>
    <t>J. Clin. Diagn. Res.</t>
  </si>
  <si>
    <t>10.7860/JCDR/2018/36811.12311</t>
  </si>
  <si>
    <t>HF2ZJ</t>
  </si>
  <si>
    <t>WOS:000454105000090</t>
  </si>
  <si>
    <t>Toh, SFM; Fong, KNK; Gonzalez, PC; Tang, YM</t>
  </si>
  <si>
    <t>Toh, Sharon Fong Mei; Fong, Kenneth N. K.; Gonzalez, Pablo Cruz; Tang, Yuk Ming</t>
  </si>
  <si>
    <t>Application of Home-Based Wearable Technologies in Physical Rehabilitation for Stroke: A Scoping Review</t>
  </si>
  <si>
    <t>IEEE TRANSACTIONS ON NEURAL SYSTEMS AND REHABILITATION ENGINEERING</t>
  </si>
  <si>
    <t>Wearable technology; self-directed rehabilitation; stroke; home-based intervention</t>
  </si>
  <si>
    <t>MOTOR RECOVERY; HAND; STIMULATION; GAIT; INJURIES; THERAPY; PHASE; SPORT; LIMB</t>
  </si>
  <si>
    <t>Using wearable technologies in the home setting is an emerging option for self-directed rehabilitation. A comprehensive review of its application as a treatment in home-based stroke rehabilitation is lacking. This review aimed to 1) map the interventions that have used wearable technologies in home-based physical rehabilitation for stroke, and 2) provide a synthesis of the effectiveness of wearable technologies as a treatment choice. Electronic databases of the Cochrane Library, MEDLINE, CINAHL, and Web of Science were systematically searched for work published from their inception to February 2022. This scoping review adopted Arksey and O'Malley's framework in the study procedure. Two independent reviewers screened and selected the studies. Twenty-seven were selected in this review. These studies were summarized descriptively, and the level of evidence was assessed. This review identified that most research focused on improving the hemiparetic upper limb (UL) function and a lack of studies applying wearable technologies in home-based lower limb (LL) rehabilitation. Virtual reality (VR), stimulation-based training, robotic therapy, and activity trackers are the interventions identified that apply wearable technologies. Among the UL interventions, strong  evidence was found to support stimulation-based training, moderate  evidence for activity trackers, limited  evidence for VR, and inconsistent evidence  for robotic training. Due to the lack of studies, understanding the effects of LL wearable technologies remains very limited.  With newer technologies like soft wearable robotics, research in this area will grow exponentially. Future research can focus on identifying components of LL rehabilitation that can be effectively addressed using wearable technologies.</t>
  </si>
  <si>
    <t>[Toh, Sharon Fong Mei; Fong, Kenneth N. K.; Gonzalez, Pablo Cruz] Hong Kong Polytech Univ, Dept Rehabil Sci, Hong Kong, Peoples R China; [Tang, Yuk Ming] Hong Kong Polytech Univ, Dept Ind &amp; Syst Engn, Kowloon, Hong Kong, Peoples R China</t>
  </si>
  <si>
    <t>Hong Kong Polytechnic University; Hong Kong Polytechnic University</t>
  </si>
  <si>
    <t>Fong, KNK (corresponding author), Hong Kong Polytech Univ, Dept Rehabil Sci, Hong Kong, Peoples R China.</t>
  </si>
  <si>
    <t>rsnkfong@polyu.edu.hk</t>
  </si>
  <si>
    <t>Cruz Gonzalez, Pablo/KXQ-6917-2024; Tang, YM/AAF-2055-2020; Fong, Kenneth N. K./F-9608-2014</t>
  </si>
  <si>
    <t>Cruz, Pablo/0000-0001-9073-3061; Fong, Kenneth N. K./0000-0001-5909-4847; Toh, Fong Mei/0000-0001-7911-6548; Tang, Yuk Ming/0000-0001-8215-4190</t>
  </si>
  <si>
    <t>Research Impact Fund [R5028-20]; Research Grants Council, University Grants Committee, Hong Kong SAR</t>
  </si>
  <si>
    <t>Research Impact Fund; Research Grants Council, University Grants Committee, Hong Kong SAR</t>
  </si>
  <si>
    <t>The authors thank the support from the Research Impact Fund (Ref. no.: R5028-20), Research Grants Council, University Grants Committee, Hong Kong SAR.</t>
  </si>
  <si>
    <t>IEEE-INST ELECTRICAL ELECTRONICS ENGINEERS INC</t>
  </si>
  <si>
    <t>PISCATAWAY</t>
  </si>
  <si>
    <t>445 HOES LANE, PISCATAWAY, NJ 08855-4141 USA</t>
  </si>
  <si>
    <t>1534-4320</t>
  </si>
  <si>
    <t>1558-0210</t>
  </si>
  <si>
    <t>IEEE T NEUR SYS REH</t>
  </si>
  <si>
    <t>IEEE Trans. Neural Syst. Rehabil. Eng.</t>
  </si>
  <si>
    <t>10.1109/TNSRE.2023.3252880</t>
  </si>
  <si>
    <t>Engineering, Biomedical; Rehabilitation</t>
  </si>
  <si>
    <t>Engineering; Rehabilitation</t>
  </si>
  <si>
    <t>A1OM1</t>
  </si>
  <si>
    <t>WOS:000952892700002</t>
  </si>
  <si>
    <t>Ju, FY; Wang, YJ; Xie, B; Mi, YX; Zhao, MY; Cao, JW</t>
  </si>
  <si>
    <t>Ju, Fangyuan; Wang, Yujie; Xie, Bin; Mi, Yunxuan; Zhao, Mengyun; Cao, Junwei</t>
  </si>
  <si>
    <t>The Use of Sports Rehabilitation Robotics to Assist in the Recovery of Physical Abilities in Elderly Patients with Degenerative Diseases: A Literature Review</t>
  </si>
  <si>
    <t>rehabilitation robot; assistive technology sports rehabilitation; continuation therapy; degenerative diseases; elder</t>
  </si>
  <si>
    <t>GAIT; EXOSKELETONS; SENSORS</t>
  </si>
  <si>
    <t>The increase in the number of elderly patients with degenerative diseases has brought additional medical and financial pressures, which are adding to the burden on society. The development of sports rehabilitation robotics (SRR) is becoming increasingly sophisticated at the technical level of its application; however, few studies have analyzed how it works and how effective it is in aiding rehabilitation, and fewer individualized exercise rehabilitation programs have been developed for elderly patients. The purpose of this study was to analyze the working methods and the effects of different types of SRR and then to suggest the feasibility of applying SRR to enhance the physical abilities of elderly patients with degenerative diseases. The researcher's team searched 633 English-language journal articles, which had been published over the past five years, and they selected 38 of them for a narrative literature review. Our summary found the following: (1) The current types of SRR are generally classified as end-effector robots, smart walkers, intelligent robotic rollators, and exoskeleton robots-exoskeleton robots were found to be the most widely used. (2) The current working methods include assistant tools as the main intermediaries-i.e., robots assist patients to participate; patients as the main intermediaries-i.e., patients dominate the assistant tools to participate; and sensors as the intermediaries-i.e., myoelectric-driven robots promote patient participation. (3) Better recovery was perceived for elderly patients when using SRR than is generally achieved through the traditional single-movement recovery methods, especially in strength, balance, endurance, and coordination. However, there was no significant improvement in their speed or agility after using SRR.</t>
  </si>
  <si>
    <t>[Ju, Fangyuan; Wang, Yujie; Xie, Bin; Mi, Yunxuan; Zhao, Mengyun] Yangzhou Univ, Dept Phys Educ, Yangzhou 225012, Peoples R China; [Cao, Junwei] Yangzhou Univ, Dept Business, Yangzhou 225012, Peoples R China</t>
  </si>
  <si>
    <t>Yangzhou University; Yangzhou University</t>
  </si>
  <si>
    <t>Cao, JW (corresponding author), Yangzhou Univ, Dept Business, Yangzhou 225012, Peoples R China.</t>
  </si>
  <si>
    <t>008117@yzu.edu.cn</t>
  </si>
  <si>
    <t>JUNWEI, CAO/AAW-9951-2021; Wang, Yujie/L-9676-2017</t>
  </si>
  <si>
    <t>Ju, Fangyuan/0000-0002-2046-9100; Cao, Junwei/0000-0002-7809-679X</t>
  </si>
  <si>
    <t>Yangzhou University [Xjj2021-179, C-c/2021/01/63]</t>
  </si>
  <si>
    <t>Yangzhou University</t>
  </si>
  <si>
    <t>This research was funded by Yangzhou University, grant number Xjj2021-179; C-c/2021/01/63.</t>
  </si>
  <si>
    <t>10.3390/healthcare11030326</t>
  </si>
  <si>
    <t>8U6LF</t>
  </si>
  <si>
    <t>WOS:000930060500001</t>
  </si>
  <si>
    <t>Dalla Gasperina, S; Roveda, L; Pedrocchi, A; Braghin, F; Gandolla, M</t>
  </si>
  <si>
    <t>Dalla Gasperina, Stefano; Roveda, Loris; Pedrocchi, Alessandra; Braghin, Francesco; Gandolla, Marta</t>
  </si>
  <si>
    <t>Review on Patient-Cooperative Control Strategies for Upper-Limb Rehabilitation Exoskeletons</t>
  </si>
  <si>
    <t>upper-limb exoskeletons; rehabilitation robotics; neurorehabilitation; robot control; motor recovery; physical human-robot interaction</t>
  </si>
  <si>
    <t>SHOULDER-ELBOW EXOSKELETON; PARETIC UPPER-LIMB; IMPEDANCE CONTROL; ASSISTED REHABILITATION; NEURO-REHABILITATION; ERROR AUGMENTATION; ADMITTANCE CONTROL; STROKE RECOVERY; ROBOT; COMPLIANT</t>
  </si>
  <si>
    <t>Technology-supported rehabilitation therapy for neurological patients has gained increasing interest since the last decades. The literature agrees that the goal of robots should be to induce motor plasticity in subjects undergoing rehabilitation treatment by providing the patients with repetitive, intensive, and task-oriented treatment. As a key element, robot controllers should adapt to patients' status and recovery stage. Thus, the design of effective training modalities and their hardware implementation play a crucial role in robot-assisted rehabilitation and strongly influence the treatment outcome. The objective of this paper is to provide a multi-disciplinary vision of patient-cooperative control strategies for upper-limb rehabilitation exoskeletons to help researchers bridge the gap between human motor control aspects, desired rehabilitation training modalities, and their hardware implementations. To this aim, we propose a three-level classification based on 1) high-level training modalities, 2) low-level control strategies, and 3) hardware-level implementation. Then, we provide examples of literature upper-limb exoskeletons to show how the three levels of implementation have been combined to obtain a given high-level behavior, which is specifically designed to promote motor relearning during the rehabilitation treatment. Finally, we emphasize the need for the development of compliant control strategies, based on the collaboration between the exoskeleton and the wearer, we report the key findings to promote the desired physical human-robot interaction for neurorehabilitation, and we provide insights and suggestions for future works.</t>
  </si>
  <si>
    <t>[Dalla Gasperina, Stefano; Pedrocchi, Alessandra] Politecn Milan, Dept Elect Informat &amp; Bioengn, NearLab, Milan, Italy; [Dalla Gasperina, Stefano; Pedrocchi, Alessandra; Braghin, Francesco; Gandolla, Marta] Politecn Milan, Polo Terr Lecco, WE COBOT Lab, Lecce, Italy; [Roveda, Loris] USI SUPSI, Ist Dalle Molle Intelligenza Artificiale IDSIA, Lugano, Switzerland; [Braghin, Francesco; Gandolla, Marta] Politecn Milan, Dept Mech Engn, Milan, Italy</t>
  </si>
  <si>
    <t>Polytechnic University of Milan; Polytechnic University of Milan; Universita della Svizzera Italiana; Polytechnic University of Milan</t>
  </si>
  <si>
    <t>Dalla Gasperina, S (corresponding author), Politecn Milan, Dept Elect Informat &amp; Bioengn, NearLab, Milan, Italy.;Dalla Gasperina, S (corresponding author), Politecn Milan, Polo Terr Lecco, WE COBOT Lab, Lecce, Italy.</t>
  </si>
  <si>
    <t>stefano.dallagasperina@polimi.it</t>
  </si>
  <si>
    <t>Roveda, Loris/ABE-4850-2020; Dalla Gasperina, Stefano/ABD-2923-2021; Gandolla, Marta/AAL-8862-2020; Pedrocchi, Alessandra/AAF-2655-2019</t>
  </si>
  <si>
    <t>Dalla Gasperina, Stefano/0000-0002-3466-8397</t>
  </si>
  <si>
    <t>EMPATIA@LECCO project (Cariplo Foundation); Regione Lombardia [2016-1428]; AGREE project (Regione Lombardia) [ARCA_2018_132]</t>
  </si>
  <si>
    <t>EMPATIA@LECCO project (Cariplo Foundation); Regione Lombardia(Regione Lombardia); AGREE project (Regione Lombardia)</t>
  </si>
  <si>
    <t>&amp; nbsp;We gratefully acknowledge the funding provided by the EMPATIA@LECCO project (Cariplo Foundation and Regione Lombardia, Erogazioni Emblematiche Maggiori 2016, Ref. 2016-1428) and the AGREE project (Regione Lombardia, Pre-commercial procurement, Ref. ARCA_2018_132).</t>
  </si>
  <si>
    <t>DEC 7</t>
  </si>
  <si>
    <t>10.3389/frobt.2021.745018</t>
  </si>
  <si>
    <t>YI0OU</t>
  </si>
  <si>
    <t>WOS:000743557700001</t>
  </si>
  <si>
    <t>Manjunatha, H; Pareek, S; Jujjavarapu, SS; Ghobadi, M; Kesavadas, T; Esfahani, ET</t>
  </si>
  <si>
    <t>Manjunatha, Hemanth; Pareek, Shrey; Jujjavarapu, Sri Sadhan; Ghobadi, Mostafa; Kesavadas, Thenkurussi; Esfahani, Ehsan T.</t>
  </si>
  <si>
    <t>Upper Limb Home-Based Robotic Rehabilitation During COVID-19 Outbreak</t>
  </si>
  <si>
    <t>COVID-19; robotic rehabilitation; home-based monitoring; haptic; mental engagement; recovery</t>
  </si>
  <si>
    <t>VIRTUAL-REALITY; UPPER EXTREMITY; STROKE REHABILITATION; NEUROREHABILITATION; TELEREHABILITATION; DESIGN; CARE; TECHNOLOGIES; METHODOLOGY; PERFORMANCE</t>
  </si>
  <si>
    <t>The coronavirus disease (COVID-19) outbreak requires rapid reshaping of rehabilitation services to include patients recovering from severe COVID-19 with post-intensive care syndromes, which results in physical deconditioning and cognitive impairments, patients with comorbid conditions, and other patients requiring physical therapy during the outbreak with no or limited access to hospital and rehabilitation centers. Considering the access barriers to quality rehabilitation settings and services imposed by social distancing and stay-at-home orders, these patients can be benefited from providing access to affordable and good quality care through home-based rehabilitation. The success of such treatment will depend highly on the intensity of the therapy and effort invested by the patient. Monitoring patients' compliance and designing a home-based rehabilitation that can mentally engage them are the critical elements in home-based therapy's success. Hence, we study the state-of-the-art telerehabilitation frameworks and robotic devices, and comment about a hybrid model that can use existing telerehabilitation framework and home-based robotic devices for treatment and simultaneously assess patient's progress remotely. Second, we comment on the patients' social support and engagement, which is critical for the success of telerehabilitation service. As the therapists are not physically present to guide the patients, we also discuss the adaptability requirement of home-based telerehabilitation. Finally, we suggest that the reformed rehabilitation services should consider both home-based solutions for enhancing the activities of daily living and an on-demand ambulatory rehabilitation unit for extensive training where we can monitor both cognitive and motor performance of the patients remotely.</t>
  </si>
  <si>
    <t>[Manjunatha, Hemanth; Jujjavarapu, Sri Sadhan; Ghobadi, Mostafa; Esfahani, Ehsan T.] SUNY Buffalo, Dept Mech &amp; Aerosp Engn, Human Loop Syst Lab, Buffalo, NY 14260 USA; [Pareek, Shrey; Kesavadas, Thenkurussi] Univ Illinois, Hlth Care Engn Syst Ctr, Champaign, IL USA</t>
  </si>
  <si>
    <t>State University of New York (SUNY) System; University at Buffalo, SUNY; University of Illinois System; University of Illinois Urbana-Champaign</t>
  </si>
  <si>
    <t>Esfahani, ET (corresponding author), SUNY Buffalo, Dept Mech &amp; Aerosp Engn, Human Loop Syst Lab, Buffalo, NY 14260 USA.</t>
  </si>
  <si>
    <t>ehsanesf@buffalo.edu</t>
  </si>
  <si>
    <t>Manjunatha, Hemanth/AAT-9215-2021; Pareek, Shrey/GLS-1634-2022; Esfahani, Ehsan/B-6095-2008</t>
  </si>
  <si>
    <t>Manjunatha, Hemanth/0000-0003-2207-8960; Esfahani, Ehsan/0000-0001-5893-4664; PAREEK, SHREY/0000-0003-4774-8641</t>
  </si>
  <si>
    <t>MAY 24</t>
  </si>
  <si>
    <t>10.3389/frobt.2021.612834</t>
  </si>
  <si>
    <t>SN5AC</t>
  </si>
  <si>
    <t>WOS:000658301300001</t>
  </si>
  <si>
    <t>González-Mejia, S; Ramírez-Scarpetta, JM</t>
  </si>
  <si>
    <t>Gonzalez-Mejia, Sergey; Ramirez-Scarpetta, Jose M.</t>
  </si>
  <si>
    <t>Advances in Robotic Rehabilitation for Lower Limb Recovery and Walking Assistance</t>
  </si>
  <si>
    <t>INGENIERIA Y COMPETITIVIDAD</t>
  </si>
  <si>
    <t>Assisted rehabilitation; Assisted robotic rehabilitation system; Extremity lower exoskeletons; Lower limb exoskeletons; Robot-based assisted rehabilitation; Robotic rehabilitation system; Walking assistants; Wearable robots</t>
  </si>
  <si>
    <t>BODY-WEIGHT SUPPORT; SPINAL-CORD; GAIT REHABILITATION; CONTROL STRATEGIES; BRAIN-INJURY; WIRE-ROBOT; STRING-MAN; EXOSKELETON; DESIGN; TRAINER</t>
  </si>
  <si>
    <t>Introduction: Rehabilitation engineering for human gait is a rapidly growing field that automates therapeutic interventions, reducing the physical effort required from therapists. This enables therapists to concentrate on implementing clinical protocols for physical rehabilitation and motor re-learning. The assisted robotic rehabilitation systems also enable the assessment of motor recovery by measuring key parameters such as force patterns, interaction dynamics, and angular movements. Objective: The study seeks to provide a comprehensive descriptive review of robotic platforms developed for the rehabilitation and assistance of human gait. Methods: Given the rapid advancements in exoskeleton technology, particular emphasis was placed on incorporating the most recent studies. However, due to the topic's complexity, a broader research timeframe, spanning the last 14 years, was also considered. The review followed a comprehensive search strategy across multiple databases, including ScienceDirect, Springer Nature, IEEE/ASME, Frontiers, Elsevier, Taylor &amp; Francis, Google Scholar, MDPI, Scopus, ResearchGate, Sage, MDPI y John Wiley &amp; Sons, aiming to identify all relevant technologies related to lower limb exoskeletons. Results: Rehabilitation and assistance robotics is a multidisciplinary field, covering areas such as biomechanics, human-machine interaction, control strategies, actuator design, and sensor integration. This study contributes a classification table that summarizes the most representative rehabilitation robotic platforms, highlighting their features and differences using comparative variables. Conclusion: The descriptive analysis shows that overground gait trainers are the most advanced and widely used systems in rehabilitation robotics, emphasizing their effectiveness in meeting the complex needs of gait rehabilitation, making them a critical focus for future research.</t>
  </si>
  <si>
    <t>[Gonzalez-Mejia, Sergey; Ramirez-Scarpetta, Jose M.] Univ Valle, Elect &amp; Elect Engn Sch, Ind Control Res Grp GICI, Cali, Colombia</t>
  </si>
  <si>
    <t>Universidad del Valle</t>
  </si>
  <si>
    <t>González-Mejia, S (corresponding author), Univ Valle, Elect &amp; Elect Engn Sch, Ind Control Res Grp GICI, Cali, Colombia.</t>
  </si>
  <si>
    <t>sergey.gonzalez@correounivalle.edu.co</t>
  </si>
  <si>
    <t>Ramirez-Scarpetta, Jose/LBH-2189-2024</t>
  </si>
  <si>
    <t>Gonzalez-Mejia, Sergey/0000-0001-9160-4413</t>
  </si>
  <si>
    <t>Universidad del Valle [21259]</t>
  </si>
  <si>
    <t>This publication received funding from Universidad del Valle under the project entitled Plataforma tecnologica modular para la valoracion objetiva de la marcha humana with C.I. code 21259.</t>
  </si>
  <si>
    <t>UNIV VALLE, FAC INGENIERIA</t>
  </si>
  <si>
    <t>CALI</t>
  </si>
  <si>
    <t>CIUDAD UNIV MELENDEX, CALLE 13 NO 100-00, CALI, 25360, COLOMBIA</t>
  </si>
  <si>
    <t>0123-3033</t>
  </si>
  <si>
    <t>ING COMPET</t>
  </si>
  <si>
    <t>Ing. Compet.</t>
  </si>
  <si>
    <t>e30314594</t>
  </si>
  <si>
    <t>10.25100/iyc.v27i1.14594</t>
  </si>
  <si>
    <t>Engineering, Multidisciplinary</t>
  </si>
  <si>
    <t>0AO4X</t>
  </si>
  <si>
    <t>WOS:001442788800001</t>
  </si>
  <si>
    <t>Lingampally, PK; Ramanathan, KC; Shanmugam, R; Cepova, L; Salunkhe, S</t>
  </si>
  <si>
    <t>Lingampally, Pavan Kalyan; Ramanathan, Kuppan Chetty; Shanmugam, Ragavanantham; Cepova, Lenka; Salunkhe, Sachin</t>
  </si>
  <si>
    <t>Wearable Assistive Rehabilitation Robotic Devices-A Comprehensive Review</t>
  </si>
  <si>
    <t>MACHINES</t>
  </si>
  <si>
    <t>artificial neural networks; exoskeletons; machine learning; rehabilitation robots; wearable assistive devices</t>
  </si>
  <si>
    <t>MUSCULOSKELETAL DISORDERS; PARALLEL MANIPULATOR; ANKLE REHABILITATION; EXOSKELETON; DESIGN; NECK; STROKE; HEAD; COMPENSATION; REDUCTION</t>
  </si>
  <si>
    <t>This article details the existing wearable assistive devices that could mimic a human's active range of motion and aid individuals in recovering from stroke. The survey has identified several risk factors associated with musculoskeletal pain, including physical factors such as engaging in high-intensity exercises, experiencing trauma, aging, dizziness, accidents, and damage from the regular wear and tear of daily activities. These physical risk factors impact vital body parts such as the cervical spine, spinal cord, ankle, elbow, and others, leading to dysfunction, a decrease in the range of motion, and diminished coordination ability, and also influencing the ability to perform the activities of daily living (ADL), such as speaking, breathing and other neurological responses. An individual with these musculoskeletal disorders requires therapies to regain and restore the natural movement. These therapies require an experienced physician to treat the patient, which makes the process expensive and unreliable because the physician might not repeat the same procedure accurately due to fatigue. These reasons motivated researchers to develop and control robotics-based wearable assistive devices for various musculoskeletal disorders, with economical and accessible solutions to aid, mimic, and reinstate the natural active range of motion. Recently, advancements in wearable sensor technologies have been explored in healthcare by integrating machine-learning (ML) and artificial intelligence (AI) techniques to analyze the data and predict the required setting for the user. This review provides a comprehensive discussion on the importance of personalized wearable devices in pre- and post-clinical settings and aids in the recovery process.</t>
  </si>
  <si>
    <t>[Lingampally, Pavan Kalyan; Ramanathan, Kuppan Chetty] SASTRA Deemed Univ, Sch Mech Engn, Thanjavur 613401, Tamil Nadu, India; [Shanmugam, Ragavanantham] Fairmont State Univ, Coll Sci &amp; Technol, Dept Engn Technol, Fairmont, WV 26554 USA; [Cepova, Lenka] VSB Tech Univ Ostrava, Fac Mech Engn, Dept Machining Assembly &amp; Engn Metrol, Ostrava 70800, Czech Republic; [Salunkhe, Sachin] Saveetha Inst Med &amp; Tech Sci, Saveetha Sch Engn, Dept Biosci, Dept Bioinformat, Chennai 602105, Thandalam, India; [Salunkhe, Sachin] Gazi Univ, Fac Engn, Dept Mech Engn, TR-06570 Ankara, Turkiye</t>
  </si>
  <si>
    <t>Shanmugha Arts, Science, Technology &amp; Research Academy (SASTRA); Technical University of Ostrava; Saveetha Institute of Medical &amp; Technical Science; Saveetha School of Engineering; Gazi University</t>
  </si>
  <si>
    <t>Ramanathan, KC (corresponding author), SASTRA Deemed Univ, Sch Mech Engn, Thanjavur 613401, Tamil Nadu, India.;Shanmugam, R (corresponding author), Fairmont State Univ, Coll Sci &amp; Technol, Dept Engn Technol, Fairmont, WV 26554 USA.</t>
  </si>
  <si>
    <t>pavankalyan@mech.sastra.edu; kuppanchetty@mech.sastra.edu; rshanmugam@fairmontstate.edu; lenka.cepova@vsb.cz; sachinsalunkhe@gazi.edu.tr</t>
  </si>
  <si>
    <t>Cepova, Lenka/AAC-8855-2022; ANRO, Kuppan/AAG-4670-2020; Lingampally, Dr Pavan Kalyan/HNS-6702-2023; Shanmugam, Ragavanantham/AAA-6508-2022; Salunkhe, Sachin/ACQ-8072-2022; RAMANATHAN, KUPPAN CHETTY/D-1017-2011</t>
  </si>
  <si>
    <t>Lingampally, Dr. Pavan Kalyan/0000-0001-6679-1958; Salunkhe, Sachin/0000-0001-6542-2050; Cepova, Lenka/0000-0002-7328-9445; RAMANATHAN, KUPPAN CHETTY/0000-0002-2419-938X</t>
  </si>
  <si>
    <t>European Union [CZ.10.03.01/00/22_003/0000048, SP2024/087]; Ministry of Education, Youth and Sports and Faculty of Mechanical Engineering VSB-TUO</t>
  </si>
  <si>
    <t>European Union(European Union (EU)); Ministry of Education, Youth and Sports and Faculty of Mechanical Engineering VSB-TUO</t>
  </si>
  <si>
    <t>This article was co-funded by the European Union under the REFRESH-Research Excellence For Region Sustainability and High-tech Industries project number CZ.10.03.01/00/22_003/0000048 via the Operational Programme Just Transition and has been done in connection with project Students Grant Competition SP2024/087, Specific Research of Sustainable Manufacturing Technologies, financed by the Ministry of Education, Youth and Sports and Faculty of Mechanical Engineering VSB-TUO.</t>
  </si>
  <si>
    <t>MDPI AG, Grosspeteranlage 5, CH-4052 BASEL, SWITZERLAND</t>
  </si>
  <si>
    <t>2075-1702</t>
  </si>
  <si>
    <t>Machines</t>
  </si>
  <si>
    <t>10.3390/machines12060415</t>
  </si>
  <si>
    <t>Engineering, Electrical &amp; Electronic; Engineering, Mechanical</t>
  </si>
  <si>
    <t>WP2P4</t>
  </si>
  <si>
    <t>WOS:001256015800001</t>
  </si>
  <si>
    <t>Hobbs, B; Artemiadis, P</t>
  </si>
  <si>
    <t>Hobbs, Bradley; Artemiadis, Panagiotis</t>
  </si>
  <si>
    <t>A Review of Robot-Assisted Lower-Limb Stroke Therapy: Unexplored Paths and Future Directions in Gait Rehabilitation</t>
  </si>
  <si>
    <t>FRONTIERS IN NEUROROBOTICS</t>
  </si>
  <si>
    <t>gait rehabilitation; rehabilitation robotics; review; stroke therapy; therapeutic devices</t>
  </si>
  <si>
    <t>TRANSCRANIAL MAGNETIC STIMULATION; FUNCTIONAL ELECTRICAL-STIMULATION; JOINT-COUPLED ORTHOSIS; BODY-WEIGHT SUPPORT; ANKLE-FOOT ORTHOSIS; INTERLIMB COORDINATION; VIRTUAL-REALITY; SUBACUTE STROKE; INTRALIMB COORDINATION; HEMIPARETIC STROKE</t>
  </si>
  <si>
    <t>Stroke affects one out of every six people on Earth. Approximately 90% of stroke survivors have some functional disability with mobility being a major impairment, which not only affects important daily activities but also increases the likelihood of falling. Originally intended to supplement traditional post-stroke gait rehabilitation, robotic systems have gained remarkable attention in recent years as a tool to decrease the strain on physical therapists while increasing the precision and repeatability of the therapy. While some of the current methods for robot-assisted rehabilitation have had many positive and promising outcomes, there is moderate evidence of improvement in walking and motor recovery using robotic devices compared to traditional practice. In order to better understand how and where robot-assisted rehabilitation has been effective, it is imperative to identify the main schools of thought that have prevailed. This review intends to observe those perspectives through three different lenses: the goal and type of interaction, the physical implementation, and the sensorimotor pathways targeted by robotic devices. The ways that researchers approach the problem of restoring gait function are grouped together in an intuitive way. Seeing robot-assisted rehabilitation in this unique light can naturally provoke the development of new directions to potentially fill the current research gaps and eventually discover more effective ways to provide therapy. In particular, the idea of utilizing the human inter-limb coordination mechanisms is brought up as an especially promising area for rehabilitation and is extensively discussed.</t>
  </si>
  <si>
    <t>[Hobbs, Bradley; Artemiadis, Panagiotis] Univ Delaware, Dept Mech Engn, Human Oriented Robot &amp; Control Lab, Newark, DE 19716 USA</t>
  </si>
  <si>
    <t>University of Delaware</t>
  </si>
  <si>
    <t>Artemiadis, P (corresponding author), Univ Delaware, Dept Mech Engn, Human Oriented Robot &amp; Control Lab, Newark, DE 19716 USA.</t>
  </si>
  <si>
    <t>partem@udel.edu</t>
  </si>
  <si>
    <t>Artemiadis, Panagiotis/M-4432-2015</t>
  </si>
  <si>
    <t>Artemiadis, Panagiotis/0000-0001-9512-0803</t>
  </si>
  <si>
    <t>National Science Foundation [1727838, 2015786]; Div Of Civil, Mechanical, &amp; Manufact Inn; Directorate For Engineering [2015786] Funding Source: National Science Foundation; Div Of Civil, Mechanical, &amp; Manufact Inn; Directorate For Engineering [1727838] Funding Source: National Science Foundation</t>
  </si>
  <si>
    <t>National Science Foundation(National Science Foundation (NSF)); Div Of Civil, Mechanical, &amp; Manufact Inn; Directorate For Engineering(National Science Foundation (NSF)NSF - Directorate for Engineering (ENG)); Div Of Civil, Mechanical, &amp; Manufact Inn; Directorate For Engineering(National Science Foundation (NSF)NSF - Directorate for Engineering (ENG))</t>
  </si>
  <si>
    <t>This material was based upon work supported by the National Science Foundation under Grants No. #1727838 and #2015786.</t>
  </si>
  <si>
    <t>1662-5218</t>
  </si>
  <si>
    <t>FRONT NEUROROBOTICS</t>
  </si>
  <si>
    <t>Front. Neurorobotics</t>
  </si>
  <si>
    <t>APR 15</t>
  </si>
  <si>
    <t>10.3389/fnbot.2020.00019</t>
  </si>
  <si>
    <t>Computer Science, Artificial Intelligence; Robotics; Neurosciences</t>
  </si>
  <si>
    <t>Computer Science; Robotics; Neurosciences &amp; Neurology</t>
  </si>
  <si>
    <t>LJ9IL</t>
  </si>
  <si>
    <t>WOS:000530473900001</t>
  </si>
  <si>
    <t>Rogers, E; Tutty, OR</t>
  </si>
  <si>
    <t>Rogers, E.; Tutty, O. R.</t>
  </si>
  <si>
    <t>Iterative learning control with applications in energy generation, lasers and health care</t>
  </si>
  <si>
    <t>PROCEEDINGS OF THE ROYAL SOCIETY A-MATHEMATICAL PHYSICAL AND ENGINEERING SCIENCES</t>
  </si>
  <si>
    <t>iterative learning control; wind turbines; stroke rehabilitation</t>
  </si>
  <si>
    <t>FUNCTIONAL ELECTRICAL-STIMULATION; UPPER EXTREMITY; STROKE; THERAPY; SYSTEMS; ROBOTS</t>
  </si>
  <si>
    <t>Many physical systems make repeated executions of the same finite time duration task. One example is a robot in a factory or warehouse whose task is to collect an object in sequence from a location, transfer it over a finite duration, place it at a specified location or on a moving conveyor and then return for the next one and so on. Iterative learning control was especially developed for systems with this mode of operation and this paper gives an overview of this control design method using relatively recent relevant applications in wind turbines, free-electron lasers and health care, as exemplars to demonstrate its applicability.</t>
  </si>
  <si>
    <t>[Rogers, E.] Univ Southampton, Dept Elect &amp; Comp Sci, Southampton SO17 1BJ, Hants, England; [Tutty, O. R.] Univ Southampton, Fac Engn &amp; Environm, Southampton SO17 1BJ, Hants, England</t>
  </si>
  <si>
    <t>University of Southampton; University of Southampton</t>
  </si>
  <si>
    <t>Rogers, E (corresponding author), Univ Southampton, Dept Elect &amp; Comp Sci, Southampton SO17 1BJ, Hants, England.</t>
  </si>
  <si>
    <t>etar@ecs.soton.ac.uk</t>
  </si>
  <si>
    <t>Rogers, Eric/0000-0003-0179-9398</t>
  </si>
  <si>
    <t>EPSRC [EP/I01909X/1] Funding Source: UKRI</t>
  </si>
  <si>
    <t>EPSRC(UK Research &amp; Innovation (UKRI)Engineering &amp; Physical Sciences Research Council (EPSRC))</t>
  </si>
  <si>
    <t>ROYAL SOC</t>
  </si>
  <si>
    <t>6-9 CARLTON HOUSE TERRACE, LONDON SW1Y 5AG, ENGLAND</t>
  </si>
  <si>
    <t>1364-5021</t>
  </si>
  <si>
    <t>1471-2946</t>
  </si>
  <si>
    <t>P ROY SOC A-MATH PHY</t>
  </si>
  <si>
    <t>Proc. R. Soc. A-Math. Phys. Eng. Sci.</t>
  </si>
  <si>
    <t>SEP 1</t>
  </si>
  <si>
    <t>10.1098/rspa.2015.0569</t>
  </si>
  <si>
    <t>EG5QK</t>
  </si>
  <si>
    <t>Bronze, Green Published</t>
  </si>
  <si>
    <t>WOS:000391098900001</t>
  </si>
  <si>
    <t>Cheung, EYY; Ng, TKW; Yu, KKK; Kwan, RLC; Cheing, GLY</t>
  </si>
  <si>
    <t>Cheung, Eddy Y. Y.; Ng, Thomas K. W.; Yu, Kevin K. K.; Kwan, Rachel L. C.; Cheing, Gladys L. Y.</t>
  </si>
  <si>
    <t>Robot-Assisted Training for People With Spinal Cord Injury: A Meta-Analysis</t>
  </si>
  <si>
    <t>Exoskeleton device; Spinal cord injuries; Rehabilitation</t>
  </si>
  <si>
    <t>WEIGHT-SUPPORTED TREADMILL; WALKING SPEED; INDIVIDUALS; GAIT; REHABILITATION; THERAPY; LOCOMOTION; RESISTANCE; GENERATOR; PATTERNS</t>
  </si>
  <si>
    <t>Objective: To investigate the effects of robot-assisted training on the recovery of people with spinal cord injury (SCI). Data Sources: Randomized controlled trials (RCTs) or quasi-RCTs involving people with SCI that compared robot-assisted upper limbs or lower limbs training with a control of other treatment approach or no treatment. We included studies involving people with complete or incomplete SCIs. Study Selection: We searched MEDLINE, ONAHL, Cochrane Central Register of Controlled Trials (Cochrane Library), and Embase to August 2016. Bibliographies of relevant articles on the effect of body-weight supported treadmill training on subjects with SCI were screened to avoid missing relevant articles from the search of databases. Data Extraction: All kinds of objective assessments concerning physical ability, mobility, and/or functional ability were included. Assessments could be clinical tests (ie, 6-minute walk test, HMO or laboratory tests (ie, gait analysis). Subjective outcome measures were excluded from this review. Data Synthesis: Eleven RCT studies involving 443 subjects were included in the study. Meta-analysis was performed on the included studies. Walking independence (3.73; 95% confidence interval [CI], -4.92 to -2.53; P&lt;.00001; I-3=38%) and endurance (53.32m; 95% CI, -73.15 to -33.48; P&lt;.00001; I-2=0%) were found to have better improvement in robot-assisted training groups. Lower limb robot-assisted training was also found to be as effective as other types of body-weight supported training. There is a lack of upper limb robot-assisted training studies; therefore, performing a meta-analysis was not possible. Conclusions: Robot-assisted training is an adjunct therapy for physical and functional recovery for patients with SCI. Future high-quality studies are warranted to investigate the effects of robot-assisted training on functional and cardiopulmonary recovery of patients with SCI. (C) 2017 by the American Congress of Rehabilitation Medicine</t>
  </si>
  <si>
    <t>[Cheung, Eddy Y. Y.; Ng, Thomas K. W.] Kowloon Hosp, Hosp Author, Physiotherapy Dept, Kowloon, Hong Kong, Peoples R China; [Yu, Kevin K. K.; Kwan, Rachel L. C.; Cheing, Gladys L. Y.] Hong Kong Polytech Univ, Dept Rehabil Sci, Hong Kong, Hong Kong, Peoples R China</t>
  </si>
  <si>
    <t>Hong Kong Polytechnic University</t>
  </si>
  <si>
    <t>Cheing, GLY (corresponding author), Hong Kong Polytech Univ, QT512,5-F,Core T, Kowloon, Hong Kong, Peoples R China.</t>
  </si>
  <si>
    <t>gladys.cheing@polyu.edu.hk</t>
  </si>
  <si>
    <t>Ng, Thomas/I-5185-2019; Kwan, Rachel/AAX-3291-2020</t>
  </si>
  <si>
    <t>Yu, Kevin/0000-0002-2019-8160; Cheing, Gladys/0000-0001-7615-8590; Kwan, Rachel/0000-0002-0016-3876</t>
  </si>
  <si>
    <t>10.1016/j.apmr.2017.05.015</t>
  </si>
  <si>
    <t>FL5KK</t>
  </si>
  <si>
    <t>WOS:000414275500027</t>
  </si>
  <si>
    <t>Mikolajewska, E; Mikolajewski, D</t>
  </si>
  <si>
    <t>Mikolajewska, Emilia; Mikolajewski, Dariusz</t>
  </si>
  <si>
    <t>Exoskeletons in Neurological Diseases - Current and Potential Future Applications</t>
  </si>
  <si>
    <t>ADVANCES IN CLINICAL AND EXPERIMENTAL MEDICINE</t>
  </si>
  <si>
    <t>neurological diseases; rehabilitation; robotics; exoskeleton; hospital care; home care</t>
  </si>
  <si>
    <t>An exoskeleton is a distinctive kind of robot to be worn as an overall, effectively supporting or, in some cases substituting for, the user's own movements. The development of exoskeletons can lead to important changes in the rehabilitation of disabled people by introducing an alternative to wheelchairs. Exoskeletons can be an efficient tool in gait re-education and in the restoration of upper limb functions, and they can support therapists and caregivers in tasks that require major physical effort. The functionality of exoskeleton can easily be extended by a disabled person integrated IT environment, described by authors. Exoskeletons can also be easily adapted to the needs of severely ill or aged people (Adv Clin Exp Med 2011, 20, 2, 227-233).</t>
  </si>
  <si>
    <t>[Mikolajewska, Emilia] Mil Clin Hosp 10 &amp; Polyclin, Rehabil Clin, PL-85681 Bydgoszcz, Poland; [Mikolajewski, Dariusz] Nicolaus Copernicus Univ, Div Appl Informat, Dept Phys Astron &amp; Appl Informat, Torun, Poland</t>
  </si>
  <si>
    <t>Nicolaus Copernicus University</t>
  </si>
  <si>
    <t>Mikolajewska, E (corresponding author), Mil Clin Hosp 10 &amp; Polyclin, Rehabil Clin, Powstancow Warszawy 5, PL-85681 Bydgoszcz, Poland.</t>
  </si>
  <si>
    <t>e.mikolajewska@wp.pl</t>
  </si>
  <si>
    <t>Mikołajewska, Emilia/F-8384-2012</t>
  </si>
  <si>
    <t>Mikolajewska, Emilia/0000-0002-2769-3068; Mikolajewski, Dariusz/0000-0003-4157-2796</t>
  </si>
  <si>
    <t>WROCLAW MEDICAL UNIV</t>
  </si>
  <si>
    <t>WROCLAW</t>
  </si>
  <si>
    <t>UL K MARCINKOWSKIEGO 2-6, WROCLAW, 50-368, POLAND</t>
  </si>
  <si>
    <t>1899-5276</t>
  </si>
  <si>
    <t>2451-2680</t>
  </si>
  <si>
    <t>ADV CLIN EXP MED</t>
  </si>
  <si>
    <t>Adv. Clin. Exp. Med.</t>
  </si>
  <si>
    <t>761VI</t>
  </si>
  <si>
    <t>WOS:000290428700015</t>
  </si>
  <si>
    <t>Kenry; Yeo, JC; Lim, CT</t>
  </si>
  <si>
    <t>Kenry; Yeo, Joo Chuan; Lim, Chwee Teck</t>
  </si>
  <si>
    <t>Emerging flexible and wearable physical sensing platforms for healthcare and biomedical applications</t>
  </si>
  <si>
    <t>MICROSYSTEMS &amp; NANOENGINEERING</t>
  </si>
  <si>
    <t>electronic skins; flexible sensors; health monitoring; liquid-state devices; microfluidics; tactile sensing</t>
  </si>
  <si>
    <t>RESISTIVE PRESSURE SENSORS; HUMAN-MACHINE INTERFACES; STRAIN SENSOR; CARBON NANOTUBE; ELECTRONIC SKIN; THIN-FILM; TEMPERATURE SENSORS; HIGH-PERFORMANCE; TACTILE SENSORS; POISSONS RATIO</t>
  </si>
  <si>
    <t>There are now numerous emerging flexible and wearable sensing technologies that can perform a myriad of physical and physiological measurements. Rapid advances in developing and implementing such sensors in the last several years have demonstrated the growing significance and potential utility of this unique class of sensing platforms. Applications include wearable consumer electronics, soft robotics, medical prosthetics, electronic skin, and health monitoring. In this review, we provide a state-of-the-art overview of the emerging flexible and wearable sensing platforms for healthcare and biomedical applications. We first introduce the selection of flexible and stretchable materials and the fabrication of sensors based on these materials. We then compare the different solid-state and liquid-state physical sensing platforms and examine the mechanical deformation-based working mechanisms of these sensors. We also highlight some of the exciting applications of flexible and wearable physical sensors in emerging healthcare and biomedical applications, in particular for artificial electronic skins, physiological health monitoring and assessment, and therapeutic and drug delivery. Finally, we conclude this review by offering some insight into the challenges and opportunities facing this field.</t>
  </si>
  <si>
    <t>[Kenry; Yeo, Joo Chuan; Lim, Chwee Teck] Natl Univ Singapore, NUS Grad Sch Integrat Sci &amp; Engn, Singapore 117456, Singapore; [Kenry; Lim, Chwee Teck] Natl Univ Singapore, Ctr Adv Mat 2D, Singapore 117543, Singapore; [Kenry; Lim, Chwee Teck] Natl Univ Singapore, Graphene Res Ctr, Singapore 117543, Singapore; [Kenry; Yeo, Joo Chuan; Lim, Chwee Teck] Natl Univ Singapore, Dept Biomed Engn, Singapore 117576, Singapore; [Lim, Chwee Teck] Natl Univ Singapore, Mechanobiol Inst, Singapore 117411, Singapore</t>
  </si>
  <si>
    <t>National University of Singapore; National University of Singapore; National University of Singapore; National University of Singapore; National University of Singapore</t>
  </si>
  <si>
    <t>Lim, CT (corresponding author), Natl Univ Singapore, NUS Grad Sch Integrat Sci &amp; Engn, Singapore 117456, Singapore.;Lim, CT (corresponding author), Natl Univ Singapore, Ctr Adv Mat 2D, Singapore 117543, Singapore.;Lim, CT (corresponding author), Natl Univ Singapore, Graphene Res Ctr, Singapore 117543, Singapore.;Lim, CT (corresponding author), Natl Univ Singapore, Dept Biomed Engn, Singapore 117576, Singapore.;Lim, CT (corresponding author), Natl Univ Singapore, Mechanobiol Inst, Singapore 117411, Singapore.</t>
  </si>
  <si>
    <t>ctlim@nus.edu.sg</t>
  </si>
  <si>
    <t>Yeo, Joo/V-5283-2017; , Kenry/P-9488-2019</t>
  </si>
  <si>
    <t>, Kenry/0000-0003-0405-1369</t>
  </si>
  <si>
    <t>2055-7434</t>
  </si>
  <si>
    <t>MICROSYST NANOENG</t>
  </si>
  <si>
    <t>Microsyst. Nanoeng.</t>
  </si>
  <si>
    <t>SEP 26</t>
  </si>
  <si>
    <t>10.1038/micronano.2016.43</t>
  </si>
  <si>
    <t>Nanoscience &amp; Nanotechnology; Instruments &amp; Instrumentation</t>
  </si>
  <si>
    <t>Science &amp; Technology - Other Topics; Instruments &amp; Instrumentation</t>
  </si>
  <si>
    <t>EL9OA</t>
  </si>
  <si>
    <t>WOS:000394948500001</t>
  </si>
  <si>
    <t>Shibata, T; Coughlin, JF</t>
  </si>
  <si>
    <t>Shibata, Takanori; Coughlin, Joseph F.</t>
  </si>
  <si>
    <t>Trends of Robot Therapy with Neurological Therapeutic Seal Robot, PARO</t>
  </si>
  <si>
    <t>JOURNAL OF ROBOTICS AND MECHATRONICS</t>
  </si>
  <si>
    <t>seal robot; robot therapy; neurological therapy; medical device; non-pharmacological therapy</t>
  </si>
  <si>
    <t>Seal robot PARO is a neurological therapeutic robot for non-pharmacological therapy and, such as animal therapy, has no negative side effects. It has therapeutic effects on those from children to the elderly, particularly those with some cognitive impairment. PARO is used for two reasons. One is for activities to enable users to enjoy using PARO. The other is for medical therapy for specific patients with goals. In this paper, we detail the results of clinical experiments done on those mostly diagnosed with dementia. Experiments were conducted with PARO used for both cognitive and physical rehabilitation, in which PARO was used in activities and in therapy. Both types of cases showed positive effects in therapy and a reduction in the use of antipsychotic medications.</t>
  </si>
  <si>
    <t>[Shibata, Takanori] Natl Inst Adv Ind Sci &amp; Technol, Human Technol Res Inst, 1-1-1 Higashi, Tsukuba, Ibaraki 3058566, Japan; [Shibata, Takanori; Coughlin, Joseph F.] MIT, AgeLab, Cambridge, MA 02139 USA; [Shibata, Takanori] Tokyo Inst Technol, Interdisciplinary Grad Sch Sci &amp; Engn, Tokyo, Japan</t>
  </si>
  <si>
    <t>National Institute of Advanced Industrial Science &amp; Technology (AIST); Massachusetts Institute of Technology (MIT); Institute of Science Tokyo; Tokyo Institute of Technology</t>
  </si>
  <si>
    <t>Shibata, T (corresponding author), Natl Inst Adv Ind Sci &amp; Technol, Human Technol Res Inst, 1-1-1 Higashi, Tsukuba, Ibaraki 3058566, Japan.</t>
  </si>
  <si>
    <t>shibata-takanori@aist.go.jp</t>
  </si>
  <si>
    <t>Shibata, Takanori/R-7761-2016</t>
  </si>
  <si>
    <t>Shibata, Takanori/0000-0003-1976-7626</t>
  </si>
  <si>
    <t>FUJI TECHNOLOGY PRESS LTD</t>
  </si>
  <si>
    <t>TOKYO</t>
  </si>
  <si>
    <t>4F TORANOMON SANGYO BLDG, 2-29, TORANOMON 1-CHOME, MINATO-KU, TOKYO, 105-0001, JAPAN</t>
  </si>
  <si>
    <t>0915-3942</t>
  </si>
  <si>
    <t>1883-8049</t>
  </si>
  <si>
    <t>J ROBOT MECHATRON</t>
  </si>
  <si>
    <t>J. Robot. Mechatron.</t>
  </si>
  <si>
    <t>10.20965/jrm.2014.p0418</t>
  </si>
  <si>
    <t>VG8WB</t>
  </si>
  <si>
    <t>WOS:000448932400002</t>
  </si>
  <si>
    <t>Kubo, K; Miyoshi, T; Kanai, A; Terashima, K</t>
  </si>
  <si>
    <t>Kubo, Kazuya; Miyoshi, Takanori; Kanai, Akira; Terashima, Kazuhiko</t>
  </si>
  <si>
    <t>Gait Rehabilitation Device in Central Nervous System Disease: A Review</t>
  </si>
  <si>
    <t>JOURNAL OF ROBOTICS</t>
  </si>
  <si>
    <t>BODY-WEIGHT SUPPORT; CONTROLLED-BRAKE ORTHOSIS; PARAPLEGIC PATIENTS; STROKE PATIENTS; TREADMILL WALKING; ROBOTIC DEVICE; FOLLOW-UP; LEG; LOCOMOTION; DISCHARGE</t>
  </si>
  <si>
    <t>Central nervous system diseases cause the gait disorder. Early rehabilitation of a patient with central nervous system disease is shown to be benefit. However, early gait training is difficult because of muscular weakness and those elderly patients who lose of leg muscular power. In the patient's walking training, therapists assist the movement of patient's lower limbs and control the movement of patient's lower limbs. However the assistance for the movement of the lower limbs is a serious hard labor for therapists. Therefore, research into and development of various gait rehabilitation devices is currently underway to identify methods to alleviate the physical burden on therapists. In this paper, we introduced the about gait rehabilitation devices in central nervous system disease.</t>
  </si>
  <si>
    <t>[Kubo, Kazuya; Miyoshi, Takanori; Terashima, Kazuhiko] Toyohashi Univ Technol, Hibarigaoka 1-1, Toyohashi, Aichi 4418580, Japan; [Kanai, Akira] Toyohashi Sozo Univ, Sch Hlth Sci, Dept Phys Therapy, Toyohashi, Aichi 4408511, Japan</t>
  </si>
  <si>
    <t>Toyohashi University of Technology</t>
  </si>
  <si>
    <t>Kubo, K (corresponding author), Toyohashi Univ Technol, Hibarigaoka 1-1, Toyohashi, Aichi 4418580, Japan.</t>
  </si>
  <si>
    <t>kubo@syscon.me.tut.ac.jp</t>
  </si>
  <si>
    <t>1687-9600</t>
  </si>
  <si>
    <t>1687-9619</t>
  </si>
  <si>
    <t>J ROBOT</t>
  </si>
  <si>
    <t>J. Robot.</t>
  </si>
  <si>
    <t>10.1155/2011/348207</t>
  </si>
  <si>
    <t>V32RH</t>
  </si>
  <si>
    <t>Green Submitted, gold</t>
  </si>
  <si>
    <t>WOS:000215714400010</t>
  </si>
  <si>
    <t>Oyibo, K; Wang, K; Morita, PP</t>
  </si>
  <si>
    <t>Oyibo, Kiemute; Wang, Kang; Morita, Plinio Pelegrini</t>
  </si>
  <si>
    <t>Using Smart Home Technologies to Promote Physical Activity Among the General and Aging Populations: Scoping Review</t>
  </si>
  <si>
    <t>JOURNAL OF MEDICAL INTERNET RESEARCH</t>
  </si>
  <si>
    <t>smart home; physical activity; aging population; activity of daily living; remote health care monitoring; health monitoring; health promotion; smart home technology; assisted living; mobile phone</t>
  </si>
  <si>
    <t>OLDER-ADULTS; MANAGEMENT; FRAMEWORK; INTERNET; THERAPY; SENSOR; THINGS</t>
  </si>
  <si>
    <t>Background: Health-monitoring smart homes are becoming popular, with experts arguing that 9-to-5 health care services might soon become a thing of the past. However, no review has explored the landscape of smart home technologies that aim to promote physical activity and independent living among a wide range of age groups. Objective: This review aims to map published studies on smart home technologies aimed at promoting physical activity among the general and aging populations to unveil the state of the art, its potential, and the research gaps and opportunities. Methods: Articles were retrieved from 6 databases (PubMed, CINAHL, Scopus, IEEE Xplore, ACM Library, and Web of Science). The criteria for inclusion were that the articles must be user studies that dealt with smart home or Active Assisted Living technologies and physical activity, were written in English, and were published in peer-reviewed journals. In total, 3 researchers independently and collaboratively assessed the eligibility of the retrieved articles and elicited the relevant data and findings using tables and charts. Results: This review synthesized 20 articles that met the inclusion criteria, 70% (14/20) of which were conducted between 2018 and 2020. Three-quarters of the studies (15/20, 75%) were conducted in Western countries, with the United States accounting for 25% (5/20). Activities of daily living were the most studied (9/20, 45%), followed by physical activity (6/20, 30%), therapeutic exercise (4/20, 20%), and bodyweight exercise (1/20, 5%). K-nearest neighbor and naive Bayes classifier were the most used machine learning algorithms for activity recognition, with at least 10% (2/20) of the studies using either algorithm. Ambient and wearable technologies were equally studied (8/20, 40% each), followed by robots (3/20, 15%). Activity recognition was the most common goal of the evaluated smart home technologies, with 55% (11/20) of the studies reporting it, followed by activity monitoring (7/20, 35%). Most studies (8/20, 40%) were conducted in a laboratory setting. Moreover, 25% (5/20) and 10% (2/20) were conducted in a home and hospital setting, respectively. Finally, 75% (15/20) had a positive outcome, 15% (3/20) had a mixed outcome, and 10% (2/20) had an indeterminate outcome. Conclusions: Our results suggest that smart home technologies, especially digital personal assistants, coaches, and robots, are effective in promoting physical activity among the young population. Although only few studies were identified among the older population, smart home technologies hold bright prospects in assisting and aiding older people to age in place and function independently, especially in Western countries, where there are shortages of long-term care workers. Hence, there is a need to do more work (eg, cross-cultural studies and randomized controlled trials) among the growing aging population on the effectiveness and acceptance of smart home technologies that aim to promote physical activity.</t>
  </si>
  <si>
    <t>[Morita, Plinio Pelegrini] York Univ, Dept Elect Engn &amp; Comp Sci, Toronto, ON, Canada; [Morita, Plinio Pelegrini] Univ Waterloo, Sch Publ Hlth Sci, Waterloo, ON, Canada; [Morita, Plinio Pelegrini] Univ Waterloo, Dept Syst Design Engn, Waterloo, ON, Canada; [Morita, Plinio Pelegrini] Univ Hlth Network, Techna Inst, Ctr Digital Therapeut, Toronto, ON, Canada; [Morita, Plinio Pelegrini] Univ Toronto, Inst Hlth Policy Management &amp; Evaluat, Toronto, ON, Canada; [Morita, Plinio Pelegrini] Univ Waterloo, Sch Publ Hlth Sci, 200 Univ Ave W, Waterloo, ON N2L 3G1, Canada</t>
  </si>
  <si>
    <t>York University - Canada; University of Waterloo; University of Waterloo; University of Toronto; University Health Network Toronto; University of Toronto; University of Waterloo</t>
  </si>
  <si>
    <t>Morita, PP (corresponding author), Univ Waterloo, Sch Publ Hlth Sci, 200 Univ Ave W, Waterloo, ON N2L 3G1, Canada.</t>
  </si>
  <si>
    <t>plinio.morita@uwaterloo.ca</t>
  </si>
  <si>
    <t>Oyibo, Kiemute/AAV-4269-2021</t>
  </si>
  <si>
    <t>Wang, Kang/0000-0002-6300-6712; Pelegrini Morita, Plinio/0000-0001-9515-6478</t>
  </si>
  <si>
    <t>SmartOne, Mathematics of Information Technology and Complex Systems; AgeWell Networks of Centres of Excellence</t>
  </si>
  <si>
    <t>The authors would like to acknowledge Pedro Miranda and Hamza Serdah for helping with the retrieval of the articles from the databases and their screening. This project was funded by SmartOne, Mathematics of Information Technology and Complex Systems, and AgeWell Networks of Centres of Excellence.</t>
  </si>
  <si>
    <t>JMIR PUBLICATIONS, INC</t>
  </si>
  <si>
    <t>TORONTO</t>
  </si>
  <si>
    <t>130 QUEENS QUAY East, Unit 1100, TORONTO, ON M5A 0P6, CANADA</t>
  </si>
  <si>
    <t>1438-8871</t>
  </si>
  <si>
    <t>J MED INTERNET RES</t>
  </si>
  <si>
    <t>J. Med. Internet Res.</t>
  </si>
  <si>
    <t>MAY 12</t>
  </si>
  <si>
    <t>e41942</t>
  </si>
  <si>
    <t>10.2196/41942</t>
  </si>
  <si>
    <t>Health Care Sciences &amp; Services; Medical Informatics</t>
  </si>
  <si>
    <t>I9SI3</t>
  </si>
  <si>
    <t>WOS:001006102600003</t>
  </si>
  <si>
    <t>Lünenburger, L; Colombo, G; Riener, R</t>
  </si>
  <si>
    <t>Luenenburger, Lars; Colombo, Gery; Riener, Robert</t>
  </si>
  <si>
    <t>Biofeedback for robotic gait rehabilitation</t>
  </si>
  <si>
    <t>BODY-WEIGHT SUPPORT; SPINAL-CORD-INJURY; FEEDBACK DEVICE; STROKE PATIENTS; TREADMILL; WALKING; TIME; STIMULATION; EXTREMITY; RECOVERY</t>
  </si>
  <si>
    <t>Background: Development and increasing acceptance of rehabilitation robots as well as advances in technology allow new forms of therapy for patients with neurological disorders. Robot-assisted gait therapy can increase the training duration and the intensity for the patients while reducing the physical strain for the therapist. Optimal training effects during gait therapy generally depend on appropriate feedback about performance. Compared to manual treadmill therapy, there is a loss of physical interaction between therapist and patient with robotic gait retraining. Thus, it is difficult for the therapist to assess the necessary feedback and instructions. The aim of this study was to define a biofeedback system for a gait training robot and test its usability in subjects without neurological disorders. Methods: To provide an overview of biofeedback and motivation methods applied in gait rehabilitation, previous publications and results from our own research are reviewed. A biofeedback method is presented showing how a rehabilitation robot can assess the patients' performance and deliver augmented feedback. For validation, three subjects without neurological disorders walked in a rehabilitation robot for treadmill training. Several training parameters, such as body weight support and treadmill speed, were varied to assess the robustness of the biofeedback calculation to confounding factors. Results: The biofeedback values correlated well with the different activity levels of the subjects. Changes in body weight support and treadmill velocity had a minor effect on the biofeedback values. The synchronization of the robot and the treadmill affected the biofeedback values describing the stance phase. Conclusion: Robot-aided assessment and feedback can extend and improve robot-aided training devices. The presented method estimates the patients' gait performance with the use of the robot's existing sensors, and displays the resulting biofeedback values to the patients and therapists. The therapists can adapt the therapy and give further instructions to the patients. The feedback might help the patients to adapt their movement patterns and to improve their motivation. While it is assumed that these novel methods also improve training efficacy, the proof will only be possible with future in-depth clinical studies.</t>
  </si>
  <si>
    <t>Balgrist Univ Hosp, Spinal Cord Injury Ctr, Zurich, Switzerland; Hocoma AG, Volketswil, Switzerland; ETH, Swiss Fed Inst Technol, Rehabil Engn Grp, Zurich, Switzerland</t>
  </si>
  <si>
    <t>University of Zurich; Swiss Federal Institutes of Technology Domain; ETH Zurich</t>
  </si>
  <si>
    <t>Lünenburger, L (corresponding author), Balgrist Univ Hosp, Spinal Cord Injury Ctr, Zurich, Switzerland.</t>
  </si>
  <si>
    <t>lars.luenenburger@paralab.balgrist.ch; colombo@hocoma.com; riener@control.ee.ethz.ch</t>
  </si>
  <si>
    <t>Riener, Robert/0000-0002-1726-2950</t>
  </si>
  <si>
    <t>10.1186/1743-0003-4-1</t>
  </si>
  <si>
    <t>236EV</t>
  </si>
  <si>
    <t>WOS:000251286700001</t>
  </si>
  <si>
    <t>Pinelli, E; Zinno, R; Barone, G; Bragonzoni, L</t>
  </si>
  <si>
    <t>Pinelli, Erika; Zinno, Raffaele; Barone, Giuseppe; Bragonzoni, Laura</t>
  </si>
  <si>
    <t>Barriers and facilitators to exoskeleton use in persons with spinal cord injury: a systematic review</t>
  </si>
  <si>
    <t>Systematic review; spinal cord injury; exoskeleton; SCI; qualitative research</t>
  </si>
  <si>
    <t>ROBOTIC EXOSKELETON; PHYSICAL-ACTIVITY; BONE LOSS; ADULTS; WALKING; MUSCLE; LIFE</t>
  </si>
  <si>
    <t>PurposeExoskeleton can assist individuals with spinal cord injuries (SCI) with simple movements and transform their lives by enhancing strength and mobility. Nonetheless, the current utilization outside of rehabilitation contexts is limited. To promote the widespread adoption of exoskeletons, it is crucial to consider the acceptance of these devices for both rehabilitation and functional purposes. This systematic review aims to identify the barriers or facilitators of the use of lower limbs exoskeletons, thereby providing strategies to improve interventions and increase the adoption of these devices.MethodsA comprehensive search was conducted in EMBASE, Web of Science, Scopus, Cochrane, and PubMed. Studies reporting barriers and facilitators of exoskeleton use were included. The studies' quality was assessed using the Mixed Methods Appraisal Tool and undertook a thematic content analysis for papers examining the barriers and facilitators.ResultsFifteen articles met the inclusion criteria. These revealed various factors that impact the utilization of exoskeletons. Factors like age, engagement in an active lifestyle, and motivation were identified as facilitators, while fear of falling and unfulfilled expectations were recognized as barriers. Physical aspects such as fatigue, neuropathic discomfort, and specific health conditions were found to be barriers.ConclusionThis systematic review provides a comprehensive overview of the barriers and facilitators to the use of exoskeleton technology. There are therefore still challenges to be faced, efforts must be made to improve its design, functionality, and accessibility. By addressing these barriers, exoskeletons can significantly improve the quality of life of people with SCI. Optimize the use of this technology to adapt as much as possible to individual needs.Offer an in-depth understanding of the challenges that can arise when adopting exoskeletons.Highlight the critical issues with the device, that prevent me from using it outside of clinical contexts.Offer useful information to therapists to select the most suitable patients for the use of the exoskeleton and to customize rehabilitation programs more effectively.</t>
  </si>
  <si>
    <t>[Pinelli, Erika; Zinno, Raffaele; Barone, Giuseppe; Bragonzoni, Laura] Univ Bologna, Dept Life Qual Studies, Rimini, Italy; [Barone, Giuseppe] Univ Bologna, Dept life Qual Studies, Corso Augusto 237, I-47921 Rimini, Italy</t>
  </si>
  <si>
    <t>University of Bologna; University of Bologna</t>
  </si>
  <si>
    <t>Barone, G (corresponding author), Univ Bologna, Dept life Qual Studies, Corso Augusto 237, I-47921 Rimini, Italy.</t>
  </si>
  <si>
    <t>giuseppe.barone8@unibo.it</t>
  </si>
  <si>
    <t>Bragonzoni, Laura/AAB-7733-2019; Zinno, Raffaele/AAB-4246-2021</t>
  </si>
  <si>
    <t>Barone, Giuseppe/0000-0003-2167-4269; Zinno, Raffaele/0000-0001-6797-6049</t>
  </si>
  <si>
    <t>AUG 17</t>
  </si>
  <si>
    <t>10.1080/17483107.2023.2287153</t>
  </si>
  <si>
    <t>NOV 2023</t>
  </si>
  <si>
    <t>A5V0V</t>
  </si>
  <si>
    <t>WOS:001118321200001</t>
  </si>
  <si>
    <t>Nam, KY; Kim, HJ; Kwon, BS; Park, JW; Lee, HJ; Yoo, A</t>
  </si>
  <si>
    <t>Nam, Ki Yeun; Kim, Hyun Jung; Kwon, Bum Sun; Park, Jin-Woo; Lee, Ho Jun; Yoo, Aeri</t>
  </si>
  <si>
    <t>Robot-assisted gait training (Lokomat) improves walking function and activity in people with spinal cord injury: a systematic review</t>
  </si>
  <si>
    <t>Spinal Cord Injuries; Gait; Robotics; Locomotion; Physical therapy</t>
  </si>
  <si>
    <t>WEIGHT-SUPPORTED TREADMILL; ELECTRIC-STIMULATION; PARAPLEGIC PATIENTS; PEDRO SCALE; REHABILITATION; RECOVERY; THERAPY; STROKE; INDIVIDUALS; PLASTICITY</t>
  </si>
  <si>
    <t>Robot-assisted gait training (RAGT) after spinal cord injury (SCI) induces several different neurophysiological mechanisms to restore walking ability, including the activation of central pattern generators, task-specific stepping practice and massed exercise. However, there is no clear evidence for the optimal timing and efficacy of RAGT in people with SCI. The aim of our study was to assess the effects of RAGT on improvement in walking-related functional outcomes in patients with incomplete SCI compared with other rehabilitation modalities according to time elapsed since injury. This review included 10 trials involving 502 participants to meta-analysis. The acute RAGT groups showed significantly greater improvements in gait distance, leg strength, and functional level of mobility and independence than the over-ground training (OGT) groups. The pooled mean difference was 45.05 m (95% CI 13.81 to 76.29, P = 0.005, I-2 = 0%; two trials, 122 participants), 2.54 (LEMS, 95% CI 0.11 to 4.96, P = 0.04, I-2 = 0%; three trials, 211 participants) and 0.5 (WISCI-II and FIM-L, 95% CI 0.02 to 0.98, P = 0.04, I-2 = 67%; three trials, 211 participants), respectively. In the chronic RAGT group, significantly greater improvements in speed (pooled mean difference = 0.07 m/s, 95% CI 0.01 to 0.12, P = 0.01, I-2 = 0%; three trials, 124 participants) and balance measured by TUG (pooled mean difference = 9.25, 95% CI 2.76 to 15.73, P = 0.005, I-2 = 74%; three trials, 120 participants) were observed than in the group with no intervention. Thus, RAGT improves mobility-related outcomes to a greater degree than conventional OGT for patients with incomplete SCI, particularly during the acute stage. RAGT treatment is a promising technique to restore functional walking and improve locomotor ability, which might enable SCI patients to maintain a healthy lifestyle and increase their level of physical activity.</t>
  </si>
  <si>
    <t>[Nam, Ki Yeun; Kwon, Bum Sun; Park, Jin-Woo; Lee, Ho Jun] Dongguk Univ, Dept Phys Med &amp; Rehabil, Coll Med, Goyang, South Korea; [Kim, Hyun Jung] Korea Univ, Dept Prevent Med, Coll Med, Seoul, South Korea; [Yoo, Aeri] Cent Seoul Eye Ctr, Seoul, South Korea</t>
  </si>
  <si>
    <t>Dongguk University; Korea University; Korea University Medicine (KU Medicine)</t>
  </si>
  <si>
    <t>Yoo, A (corresponding author), Cent Seoul Eye Ctr, Seoul, South Korea.</t>
  </si>
  <si>
    <t>ell0623@hanmail.net</t>
  </si>
  <si>
    <t>Hyun-Jung, Kim/E-8074-2011; Park, Jin-Woo/F-7979-2012</t>
  </si>
  <si>
    <t>Park, Jin-Woo/0000-0003-4989-2575</t>
  </si>
  <si>
    <t>Korea National Rehabilitation Center [NRCTR-EX16010]</t>
  </si>
  <si>
    <t>Korea National Rehabilitation Center(Ministry of Health &amp; Welfare (MOHW), Republic of KoreaNational Rehabilitation Center (NRC), Republic of Korea)</t>
  </si>
  <si>
    <t>Korea National Rehabilitation Center (NRCTR-EX16010).</t>
  </si>
  <si>
    <t>MAR 23</t>
  </si>
  <si>
    <t>10.1186/s12984-017-0232-3</t>
  </si>
  <si>
    <t>EP9SN</t>
  </si>
  <si>
    <t>WOS:000397713400002</t>
  </si>
  <si>
    <t>Popovic, DB; Popovic, MB</t>
  </si>
  <si>
    <t>Popovic, Dejan B.; Popovic, Mirjana B.</t>
  </si>
  <si>
    <t>New trends in neurorehabilitation of subjects with central nervous system lesions</t>
  </si>
  <si>
    <t>ZDRAVNISKI VESTNIK-SLOVENIAN MEDICAL JOURNAL</t>
  </si>
  <si>
    <t>Neurorehabilitation; stroke; electrical stimulation; robotics; therapy</t>
  </si>
  <si>
    <t>MOTOR CORTEX STIMULATION; CLINICAL-EVALUATION; BRAIN-STIMULATION; THERAPY; RECOVERY; STROKE; ROBOT; ARM; REHABILITATION; PERSPECTIVES</t>
  </si>
  <si>
    <t>Medical management and rehabilitation do not reverse paralysis, i.e., alter the pathology and the impairment, but they have done much to improve the quality of life of persons with motor impairment by reducing their functional limitations. Rehabilitation technology requires a comprehensive approach that integrates the knowledge of physiology, psychology, biomechanics, engineering and physical and occupational therapy. In this review, the role of haptic robotics and electrical stimulation are presented with an emphasis on the future applications in clinics and possibly at home. More precisely, we present how the use of haptic robots that are assisting repetitive passive and active exercise contributes to the improvement of proximal joints (shoulder and elbow), while the use of functional electrical stimulation contributes to both proximal and distal joints of the paretic arm.</t>
  </si>
  <si>
    <t>[Popovic, Dejan B.; Popovic, Mirjana B.] Univ Belgrade, Fac Elect Engn, Belgrade 11000, Serbia; [Popovic, Dejan B.; Popovic, Mirjana B.] Aalborg Univ, Ctr Sensory Motor Interact, Aalborg, Denmark; [Popovic, Mirjana B.] Inst Multidisciplinary Res, Belgrade, Serbia</t>
  </si>
  <si>
    <t>University of Belgrade; Aalborg University; University of Belgrade</t>
  </si>
  <si>
    <t>Popovic, DB (corresponding author), Univ Belgrade, Fac Elect Engn, Bulevar Kralja Aleksandra 73, Belgrade 11000, Serbia.</t>
  </si>
  <si>
    <t>dbp@etf.rs</t>
  </si>
  <si>
    <t>Popovic, Dejan/0000-0002-0882-7227</t>
  </si>
  <si>
    <t>SLOVENE MEDICAL SOC</t>
  </si>
  <si>
    <t>LJUBLJANA</t>
  </si>
  <si>
    <t>ZDRAVNISKI VESTNIK, DALMATINOVA 10, P P 26, LJUBLJANA, 1001, SLOVENIA</t>
  </si>
  <si>
    <t>1318-0347</t>
  </si>
  <si>
    <t>1581-0224</t>
  </si>
  <si>
    <t>ZDR VESTN</t>
  </si>
  <si>
    <t>Zdr. Vestn.</t>
  </si>
  <si>
    <t>MAR</t>
  </si>
  <si>
    <t>597PC</t>
  </si>
  <si>
    <t>WOS:000277769400009</t>
  </si>
  <si>
    <t>Li, XH; He, YJ; Wang, DW; Rezaei, MJ</t>
  </si>
  <si>
    <t>Li, Xiaohong; He, Yanjin; Wang, Dawu; Rezaei, Mohammad J.</t>
  </si>
  <si>
    <t>Stroke rehabilitation: from diagnosis to therapy</t>
  </si>
  <si>
    <t>stroke; rehabilitation; neuroplasticity; neurostimulation; motor learning</t>
  </si>
  <si>
    <t>HEALTH-CARE PROFESSIONALS; INDUCED MOVEMENT THERAPY; ROBOT-ASSISTED THERAPY; BRAIN-COMPUTER INTERFACES; ACUTE ISCHEMIC-STROKE; EXTREMITY FUNCTION 3; UPPER-LIMB; SUBACUTE STROKE; ELECTRICAL-STIMULATION; OCCUPATIONAL-THERAPY</t>
  </si>
  <si>
    <t>Stroke remains a significant global health burden, necessitating comprehensive and innovative approaches in rehabilitation to optimize recovery outcomes. This paper provides a thorough exploration of rehabilitation strategies in stroke management, focusing on diagnostic methods, acute management, and diverse modalities encompassing physical, occupational, speech, and cognitive therapies. Emphasizing the importance of early identification of rehabilitation needs and leveraging technological advancements, including neurostimulation techniques and assistive technologies, this manuscript highlights the challenges and opportunities in stroke rehabilitation. Additionally, it discusses future directions, such as personalized rehabilitation approaches, neuroplasticity concepts, and advancements in assistive technologies, which hold promise in reshaping the landscape of stroke rehabilitation. By delineating these multifaceted aspects, this manuscript aims to provide insights and directions for optimizing stroke rehabilitation practices and enhancing the quality of life for stroke survivors.</t>
  </si>
  <si>
    <t>[Li, Xiaohong; He, Yanjin; Wang, Dawu] Chongqing Med Univ, Affiliated Hosp 1, Dept Resp Med, Chongqing, Peoples R China; [Rezaei, Mohammad J.] Univ Tehran Med Sci, Sch Med, Tehran, Iran</t>
  </si>
  <si>
    <t>Chongqing Medical University; Tehran University of Medical Sciences</t>
  </si>
  <si>
    <t>Wang, DW (corresponding author), Chongqing Med Univ, Affiliated Hosp 1, Dept Resp Med, Chongqing, Peoples R China.;Rezaei, MJ (corresponding author), Univ Tehran Med Sci, Sch Med, Tehran, Iran.</t>
  </si>
  <si>
    <t>Wangdawu66@163.com; Rezaei.mh11@gmail.com</t>
  </si>
  <si>
    <t>AUG 13</t>
  </si>
  <si>
    <t>10.3389/fneur.2024.1402729</t>
  </si>
  <si>
    <t>D6U6M</t>
  </si>
  <si>
    <t>WOS:001297519300001</t>
  </si>
  <si>
    <t>Novotna, K; Menkyova, I; Janatova, M</t>
  </si>
  <si>
    <t>Novotna, K.; Menkyova, I; Janatova, M.</t>
  </si>
  <si>
    <t>Balance disorders in patients with multiple sclerosis and possible rehabilitation therapy - current findings from controlled clinical trials</t>
  </si>
  <si>
    <t>CESKA A SLOVENSKA NEUROLOGIE A NEUROCHIRURGIE</t>
  </si>
  <si>
    <t>multiple sclerosis -; balance; tion- exercise; falls</t>
  </si>
  <si>
    <t>WHOLE-BODY VIBRATION; QUALITY-OF-LIFE; TRAINING-PROGRAM; POSTURAL CONTROL; VIRTUAL-REALITY; RESISTANCE EXERCISE; PHYSICAL CONDITION; AQUATIC EXERCISES; FUNCTIONAL STATUS; MUSCLE STRENGTH</t>
  </si>
  <si>
    <t>This review article summarizes the results from rehabilitation and physiotherapeutic clinical studies with balance intervention in people with MS. The databases of medical literature PubMed and PEDro were searched using a combination of these keywords: balance, training, exercise, rehabilitation, multiple sclerosis. In total 183 papers were screened and 104 papers were included. In available studies, various rehabilitation interventions for balance improvement were used. Most frequently different types of physiotherapeutic approach, balance training, resistance training, gait trainig and virtual reality or robotics. The most effective are balance programs aimed at individual difficulties based on the individual balance assessment or organized in groups. To achieve a sufficient effect, however, balance training must be adequately intensive.</t>
  </si>
  <si>
    <t>[Novotna, K.; Menkyova, I] LF UK VFN Praze, Neurol Klin, Katerinska 468, Nove Mesto 12000, Czech Republic; [Novotna, K.; Menkyova, I] LF UK VFN Praze, Ctr Klin Neuroved 1, Katerinska 468, Nove Mesto 12000, Czech Republic; [Novotna, K.] MSrehab Zs, Prague, Czech Republic; [Novotna, K.; Janatova, M.] LF UK VFN Praze, Klin Rehabil Lekarstvi 1, Prague, Czech Republic; [Menkyova, I] Lekarskej Fak UK, Neurol Klin 2, Prague, Czech Republic; [Menkyova, I] Univ Nemocnice Bratislave, Bratislava, Slovakia; [Janatova, M.] Spolecne Pracoviste Biomed Inzenyrstvi CVUT UK, Prague, Czech Republic</t>
  </si>
  <si>
    <t>General University Hospital Prague; Charles University Prague; Charles University Prague; General University Hospital Prague; Charles University Prague; General University Hospital Prague</t>
  </si>
  <si>
    <t>Novotna, K (corresponding author), LF UK VFN Praze, Neurol Klin, Katerinska 468, Nove Mesto 12000, Czech Republic.;Novotna, K (corresponding author), LF UK VFN Praze, Ctr Klin Neuroved 1, Katerinska 468, Nove Mesto 12000, Czech Republic.</t>
  </si>
  <si>
    <t>klara.novotna@vfn.cz</t>
  </si>
  <si>
    <t>CZECH MEDICAL SOC</t>
  </si>
  <si>
    <t>PRAGUE 2</t>
  </si>
  <si>
    <t>SOKOLSKA 31, PRAGUE 2 120 26, CZECH REPUBLIC</t>
  </si>
  <si>
    <t>1210-7859</t>
  </si>
  <si>
    <t>1802-4041</t>
  </si>
  <si>
    <t>CESK SLOV NEUROL N</t>
  </si>
  <si>
    <t>Cesk. Slov. Neurol. Neurochir.</t>
  </si>
  <si>
    <t>10.48095/cccsnn2022110</t>
  </si>
  <si>
    <t>Neurosciences; Surgery</t>
  </si>
  <si>
    <t>Neurosciences &amp; Neurology; Surgery</t>
  </si>
  <si>
    <t>2H4RM</t>
  </si>
  <si>
    <t>WOS:000814283600001</t>
  </si>
  <si>
    <t>Chen, JC; Shaw, FZ</t>
  </si>
  <si>
    <t>Chen, Jia-Ching; Shaw, Fu-Zen</t>
  </si>
  <si>
    <t>Progress in sensorimotor rehabilitative physical therapy programs for stroke patients</t>
  </si>
  <si>
    <t>WORLD JOURNAL OF CLINICAL CASES</t>
  </si>
  <si>
    <t>Stroke; Rehabilitation; Sensory stimulation; Thermal stimulation</t>
  </si>
  <si>
    <t>Impaired motor and functional activity following stroke often has negative impacts on the patient, the family and society. The available rehabilitation programs for stroke patients are reviewed. Conventional rehabilitation strategies (Bobath, Brunnstrom, proprioception neuromuscular facilitation, motor relearning and function-based principles) are the mainstream tactics in clinical practices. Numerous advanced strategies for sensory-motor functional enhancement, including electrical stimulation, electromyographic biofeedback, constraint-induced movement therapy, robotics-aided systems, virtual reality, intermittent compression, partial body weight supported treadmill training and thermal stimulation, are being developed and incorporated into conventional rehabilitation programs. The concept of combining valuable rehabilitative procedures into a training package, based on the patient's functional status during different recovery phases after stroke is proposed. Integrated sensorimotor rehabilitation programs with appropriate temporal arrangements might provide great functional benefits for stroke patients. (c) 2014 Baishideng Publishing Group Inc. All rights reserved.</t>
  </si>
  <si>
    <t>[Chen, Jia-Ching] Tzu Chi Buddhist Gen Hosp, Dept Rehabil, Hualien 970, Taiwan; [Chen, Jia-Ching] Tzu Chi Univ, Dept Phys Therapy, Hualien 970, Taiwan; [Shaw, Fu-Zen] Natl Cheng Kung Univ, Dept Psychol, 1 Univ Rd, Tainan 701, Taiwan</t>
  </si>
  <si>
    <t>Buddhist Tzu Chi General Hospital; Tzu Chi University; National Cheng Kung University</t>
  </si>
  <si>
    <t>Shaw, FZ (corresponding author), Natl Cheng Kung Univ, Dept Psychol, 1 Univ Rd, Tainan 701, Taiwan.</t>
  </si>
  <si>
    <t>fzshaw@yahoo.com.tw</t>
  </si>
  <si>
    <t>BAISHIDENG PUBLISHING GROUP INC</t>
  </si>
  <si>
    <t>PLEASANTON</t>
  </si>
  <si>
    <t>7041 Koll Center Parkway, Suite 160, PLEASANTON, CA, UNITED STATES</t>
  </si>
  <si>
    <t>2307-8960</t>
  </si>
  <si>
    <t>WORLD J CLIN CASES</t>
  </si>
  <si>
    <t>World J. Clin. Cases</t>
  </si>
  <si>
    <t>AUG 16</t>
  </si>
  <si>
    <t>10.12998/wjcc.v2.i8.316</t>
  </si>
  <si>
    <t>VJ1BI</t>
  </si>
  <si>
    <t>WOS:000535484900001</t>
  </si>
  <si>
    <t>B</t>
  </si>
  <si>
    <t>Pons, JL; Moreno, JC; Rocon, E</t>
  </si>
  <si>
    <t>Farina, D; Jensen, W; Akay, M</t>
  </si>
  <si>
    <t>Luis Pons, Jose; Moreno, Juan C.; Rocon, Eduardo</t>
  </si>
  <si>
    <t>EXOSKELETAL ROBOTICS FOR FUNCTIONAL SUBSTITUTION</t>
  </si>
  <si>
    <t>INTRODUCTION TO NEURAL ENGINEERING FOR MOTOR REHABILITATION</t>
  </si>
  <si>
    <t>Review; Book Chapter</t>
  </si>
  <si>
    <t>ANKLE-FOOT ORTHOSIS; GAIT; DESIGN; STRENGTH; WALKING; SYSTEM</t>
  </si>
  <si>
    <t>Technologies for functional substitution in motor disorders have been applied in chronic phases of neurological conditions, whenever no functional recovery is possible. Among these technologies, exoskeletal robots (ERs) might find an application niche. Exoskeletal robots are worn by patients, and immediately thereafter issues related to wearability, safety, and dependability emerge. Because most of the time they are applied to the functional substitution of walking, energy consumption is at stake and there is evidence that most of the times when use is discontinued it is related to the high metabolic cost of transport when using the ER. This chapter advocates for considering functional substitution ERs for rehabilitation during chronic phases of motor disorders. As a consequence many of the technologies (control, mechanisms, actuation, sensors) being applied in the broad field of robotic-based physical therapy for rehabilitation can be imported to functional substitution robots. Therefore, this chapter reviews how these technologies have been applied in the past to control the flow of mechanical power and the flow of information between human and robot. The former constitutes the physical interface between both actors; it is orchestrated by control technologies and mediated by exoskeletal mechanisms and actuator technologies. The latter constitutes the cognitive interaction between human and robot and is used to relay command information between the patient and the technology and feedback information from the robot to the user. The conclusion is that, for truly wearable solutions (especially in the case of substitution during walking), the passive dynamics of humans during walking must be exploited. This implies that a better understanding of how humans orchestrate different neuromotor mechanisms is required. This new knowledge must then fully inform the design of the functional substitution technologies. If this is achieved, then the concept of assist as needed can be revisited and imported from rehabilitation scenarios to functional substitution scenarios. The chapter identifies technological bottlenecks in the development of functional substitution ERs. One is backdrivable actuator technologies. We propose that a way to circumvent this technological limitation might be based on hybrid functional substitution technologies comprising an ER and a motor neuroprosthesis (MNP). In this way, latent motor capabilities of patients can be preserved or even augmented by orchestrating the action of MNPs and exoskeletal robots in a scheme that seeks to exploit the advantages of each technology.</t>
  </si>
  <si>
    <t>[Luis Pons, Jose; Moreno, Juan C.; Rocon, Eduardo] CSIC, Spanish Res Council, Bioengn Grp, Arganda Del Rey, Spain</t>
  </si>
  <si>
    <t>Consejo Superior de Investigaciones Cientificas (CSIC)</t>
  </si>
  <si>
    <t>Pons, JL (corresponding author), CSIC, Spanish Res Council, Bioengn Grp, Arganda Del Rey, Spain.</t>
  </si>
  <si>
    <t>Moreno, Juan/G-3622-2016; Rocon, Eduardo/F-4866-2011</t>
  </si>
  <si>
    <t>Moreno, Juan C./0000-0001-9561-7764; Rocon, Eduardo/0000-0001-9618-2176</t>
  </si>
  <si>
    <t>JOHN WILEY &amp; SONS</t>
  </si>
  <si>
    <t>CHICHESTER</t>
  </si>
  <si>
    <t>THE ATRIUM, SOUTHERN GATE, CHICHESTER, W SUSSEX PO 19 8SQ, ENGLAND</t>
  </si>
  <si>
    <t>978-0-470-91673-5</t>
  </si>
  <si>
    <t>Book Citation Index – Science (BKCI-S)</t>
  </si>
  <si>
    <t>BA2KE</t>
  </si>
  <si>
    <t>WOS:000333469200021</t>
  </si>
  <si>
    <t>Faralli, A; Bigoni, M; Mauro, A; Rossi, F; Carulli, D</t>
  </si>
  <si>
    <t>Faralli, Alessio; Bigoni, Matteo; Mauro, Alessandro; Rossi, Ferdinando; Carulli, Daniela</t>
  </si>
  <si>
    <t>Noninvasive Strategies to Promote Functional Recovery after Stroke</t>
  </si>
  <si>
    <t>NEURAL PLASTICITY</t>
  </si>
  <si>
    <t>TRANSCRANIAL MAGNETIC STIMULATION; CEREBRAL-ARTERY OCCLUSION; INDUCED MOVEMENT THERAPY; FOCAL CORTICAL ISCHEMIA; ROBOT-ASSISTED THERAPY; PRIMARY MOTOR CORTEX; FACTOR-INDUCED GENE; ENVIRONMENTAL ENRICHMENT; SUBVENTRICULAR ZONE; TRANSCRIPTION FACTOR</t>
  </si>
  <si>
    <t>Stroke is a common and disabling global health-care problem, which is the third most common cause of death and one of the main causes of acquired adult disability in many countries. Rehabilitation interventions are a major component of patient care. In the last few years, brain stimulation, mirror therapy, action observation, or mental practice with motor imagery has emerged as interesting options as add-on interventions to standard physical therapies. The neural bases for post stroke recovery rely on the concept of plasticity, namely, the ability of central nervous system cells to modify their structure and function in response to external stimuli. In this review, we will discuss recent noninvasive strategies employed to enhance functional recovery in stroke patients and we will provide an overview of neural plastic events associated with rehabilitation in preclinical models of stroke.</t>
  </si>
  <si>
    <t>[Faralli, Alessio; Rossi, Ferdinando; Carulli, Daniela] Univ Turin, Neurosci Inst Turin, Dept Neurosci, I-10043 Turin, Italy; [Faralli, Alessio; Rossi, Ferdinando; Carulli, Daniela] Univ Turin, NICO, I-10043 Turin, Italy; [Bigoni, Matteo; Mauro, Alessandro] IRCCS Ist Auxolog Italiano, I-28921 Verbania, Italy; [Mauro, Alessandro] Univ Turin, Dept Neurosci, I-10126 Turin, Italy</t>
  </si>
  <si>
    <t>University of Turin; University of Turin; IRCCS Istituto Auxologico Italiano; University of Turin</t>
  </si>
  <si>
    <t>Carulli, D (corresponding author), Univ Turin, Neurosci Inst Turin, Dept Neurosci, Reg Gonzole 10, I-10043 Turin, Italy.</t>
  </si>
  <si>
    <t>daniela.carulli@unito.it</t>
  </si>
  <si>
    <t>Carulli, Daniela/AEQ-2246-2022; Faralli, Alessio/GOG-9230-2022</t>
  </si>
  <si>
    <t>Mauro, Alessandro/0000-0001-9072-7454; Faralli, Alessio/0000-0002-9487-1530; Carulli, Daniela/0000-0003-1365-7063</t>
  </si>
  <si>
    <t>Italian Ministry of Health [RF-2009-1472190]</t>
  </si>
  <si>
    <t>Italian Ministry of Health(Ministry of Health, Italy)</t>
  </si>
  <si>
    <t>This work is partially supported by the Italian Ministry of Health (RF-2009-1472190).</t>
  </si>
  <si>
    <t>2090-5904</t>
  </si>
  <si>
    <t>1687-5443</t>
  </si>
  <si>
    <t>NEURAL PLAST</t>
  </si>
  <si>
    <t>Neural. Plast.</t>
  </si>
  <si>
    <t>10.1155/2013/854597</t>
  </si>
  <si>
    <t>180YW</t>
  </si>
  <si>
    <t>Green Published, Green Submitted, gold</t>
  </si>
  <si>
    <t>WOS:000321636200001</t>
  </si>
  <si>
    <t>Duret, C; Gracies, JM</t>
  </si>
  <si>
    <t>Duret, C.; Gracies, J. -M.</t>
  </si>
  <si>
    <t>Does upper limb robot-assisted rehabilitation contribute to improve the prognosis of post-stroke hemiparesis?</t>
  </si>
  <si>
    <t>REVUE NEUROLOGIQUE</t>
  </si>
  <si>
    <t>French</t>
  </si>
  <si>
    <t>Rehabilitation robotics; Upper limb; Stroke; Intensity</t>
  </si>
  <si>
    <t>UPPER EXTREMITY FUNCTION; ARM TRAINING IMPROVES; CHRONIC STROKE; AIDED NEUROREHABILITATION; MOTOR RECOVERY; THERAPY; IMPAIRMENT; MOVEMENTS; PATTERNS; GRAVITY</t>
  </si>
  <si>
    <t>Introduction. - Upper limb robot-assisted rehabilitation is a novel physical treatment for neurological motor impairments. During the last decade, this rehabilitation option utilizing technological tools has been evaluated in hemiparetic patients, mostly after stroke. State of art. - Studies at acute and chronic stages suggested good tolerance and a significant and persistent reduction of motor impairment; a real impact on disability has been shown in acute/sub acute patients. Perspectives. - Improved access to rehabilitation robots and an optimal use will probably be associated with higher efficiency of rehabilitative work in the paretic upper limb. Conclusions. - Even if this treatment is still confined to a narrow circle of users, the device's biomechanical properties and clinical suggestions from the literature may show promise for the future of rehabilitation. (C) 2014 Elsevier Masson SAS. All rights reserved.</t>
  </si>
  <si>
    <t>[Duret, C.] CRF Trois Soleils, Unite Reeducat Neurol, 19 Rue Chateau, F-77310 Boissise Le Roi, France; [Gracies, J. -M.] Univ Paris Est Creteil, Hop Univ Henri Mondor, AP HP, Lab Anal &amp; Restaurat Mouvement Reeducat Neuroloco, F-94010 Creteil, France</t>
  </si>
  <si>
    <t>Universite Paris-Est-Creteil-Val-de-Marne (UPEC); Assistance Publique Hopitaux Paris (APHP); Hopital Universitaire Henri-Mondor - APHP</t>
  </si>
  <si>
    <t>Duret, C (corresponding author), CRF Trois Soleils, Unite Reeducat Neurol, 19 Rue Chateau, F-77310 Boissise Le Roi, France.</t>
  </si>
  <si>
    <t>Ch.duret@les-trois-soleils.fr</t>
  </si>
  <si>
    <t>0035-3787</t>
  </si>
  <si>
    <t>2213-0004</t>
  </si>
  <si>
    <t>REV NEUROL-FRANCE</t>
  </si>
  <si>
    <t>Rev. Neurol.</t>
  </si>
  <si>
    <t>10.1016/j.neurol.2014.07.012</t>
  </si>
  <si>
    <t>AT7ZD</t>
  </si>
  <si>
    <t>WOS:000345152400004</t>
  </si>
  <si>
    <t>Hou, RX; Yang, CJ; Tao, CJ; Fan, YB</t>
  </si>
  <si>
    <t>Hou, Ruixiang; Yang, Chaojuan; Tao, Chunjing; Fan, Yubo</t>
  </si>
  <si>
    <t>Progress in rehabilitation equipment for autism spectrum disorder</t>
  </si>
  <si>
    <t>MEDICINE IN NOVEL TECHNOLOGY AND DEVICES</t>
  </si>
  <si>
    <t>Autism spectrum disorder; Rehabilitation equipment; Therapeutic approaches; Intervention</t>
  </si>
  <si>
    <t>DIRECT-CURRENT STIMULATION; MAGNETIC STIMULATION; VIRTUAL-REALITY; CHILDREN; THERAPY; COMMUNICATION; MECHANISMS; INTERVENTIONS; SYSTEM; ADOLESCENTS</t>
  </si>
  <si>
    <t>Autism spectrum disorder (ASD) is a neurodevelopmental disorder characterized by social interaction deficits, verbal and non-verbal communication difficulties, and restricted interests and repetitive behaviors. ASD has a high morbidity and disability rate. Finding treatment approaches for autism is challenging due to the complex interplay of genetic and environmental factors that contribute to the disorder. Currently, therapeutic approaches include behavioral and pharmacological interventions, and some clinical research focuses on developing equipment for autism rehabilitation. Autism rehabilitation equipment can generally be categorized into social robots, virtual reality systems, physical stimulation devices, and augmentative and alternative communication (AAC) devices, each with different application scenarios and rehabilitation mechanisms. This article summarizes existing equipment and reviews the status of research and development in the field of autism rehabilitation, discussing the principles of the equipment and potential neural mechanisms to find breakthroughs in the treatment of ASD.</t>
  </si>
  <si>
    <t>[Hou, Ruixiang; Yang, Chaojuan; Tao, Chunjing; Fan, Yubo] Beihang Univ, Sch Engn Med, 37 Xueyuan Rd, Beijing, Peoples R China</t>
  </si>
  <si>
    <t>Beihang University</t>
  </si>
  <si>
    <t>Yang, CJ; Tao, CJ (corresponding author), Beihang Univ, Sch Engn Med, 37 Xueyuan Rd, Beijing, Peoples R China.</t>
  </si>
  <si>
    <t>chaojuany@buaa.edu.cn; chunjingtao@buaa.edu.cn</t>
  </si>
  <si>
    <t>ELSEVIER</t>
  </si>
  <si>
    <t>AMSTERDAM</t>
  </si>
  <si>
    <t>RADARWEG 29, 1043 NX AMSTERDAM, NETHERLANDS</t>
  </si>
  <si>
    <t>2590-0935</t>
  </si>
  <si>
    <t>MED NOV TECHNOL DEV</t>
  </si>
  <si>
    <t>Med. Nov. Technol. Devices</t>
  </si>
  <si>
    <t>10.1016/j.medntd.2025.100365</t>
  </si>
  <si>
    <t>APR 2025</t>
  </si>
  <si>
    <t>1GK5N</t>
  </si>
  <si>
    <t>WOS:001464415100001</t>
  </si>
  <si>
    <t>Hackney, ME; Burzynska, AZ; Ting, LH</t>
  </si>
  <si>
    <t>Hackney, Madeleine Eve; Burzynska, Agnieszka Zofia; Ting, Lena H.</t>
  </si>
  <si>
    <t>The cognitive neuroscience and neurocognitive rehabilitation of dance</t>
  </si>
  <si>
    <t>BMC NEUROSCIENCE</t>
  </si>
  <si>
    <t>Dance; Cognition; Mental imagery; Sensorimotor integration; Neural representation; Dance therapy; Rehabilitation; Partner; Groove; Synchrony; Robotics; Neurodegeneration</t>
  </si>
  <si>
    <t>ADAPTED TANGO; OLDER-ADULTS; CORTICAL THICKNESS; PARKINSONS-DISEASE; PHYSICAL-ACTIVITY; BEAM WALKING; MOTOR; BALANCE; BRAIN; GAIT</t>
  </si>
  <si>
    <t>Creative movement, in the form of music- and dance-based exercise and rehabilitation, can serve as a model for learning and memory, visuospatial orientation, mental imagery, and multimodal sensory-motor integration. This review summarizes the advancement in cognitive neuroscience aimed at determining cognitive processes and brain structural and functional correlates involved in dance or creative movement, as well as the cognitive processes which accompany such activities. We synthesize the evidence for the use of cognitive, motor, and cognitive-motor function in dance as well as dance's potential application in neurological therapy and neurorehabilitation. Finally, we discuss how partnered interaction and sensorimotor integration in dance, and dancing robots could shed light on future application of dance as rehabilitation, of dance used in technology and potential mechanisms of benefit from dance-based activities.</t>
  </si>
  <si>
    <t>[Hackney, Madeleine Eve] Atlanta VA HealthCare Syst, Ctr Visual &amp; Neurocognit Rehabil, 1670 Clairmont Rd, Decatur, GA 30033 USA; [Hackney, Madeleine Eve] Emory Univ, Sch Med, Dept Med, Div Endocrinol &amp; Metab, 100 Woodruff Circle, Atlanta, GA 30322 USA; [Hackney, Madeleine Eve] Atlanta Geriatr Res Educ &amp; Clin Ctr, Dept Vet Affairs Birmingham, 3101 Clairmont Rd, Brookhaven, GA 30319 USA; [Hackney, Madeleine Eve; Ting, Lena H.] Emory Univ, Dept Rehabil Med, Div Phys Therapy, 100 Woodruff Circle, Atlanta, GA 30322 USA; [Burzynska, Agnieszka Zofia] Colorado State Univ, Dept Human Dev &amp; Family Studies, 303 Behav Sci Bldg,410 W Pitkin St,1570 Campus Del, Ft Collins, CO 80523 USA; [Ting, Lena H.] Emory Univ, Wallace H Coulter Dept Biomed Engn, 1760 Haygood Dr, Suite 200, Atlanta, GA 30322 USA; [Ting, Lena H.] Georgia Inst Technol, 1760 Haygood Dr,Suite 200, Atlanta, GA 30322 USA; [Hackney, Madeleine Eve] 57 Execut Pk S, 219, Atlanta, GA 30329 USA</t>
  </si>
  <si>
    <t>Emory University; Geriatric Research Education &amp; Clinical Center; Emory University; Colorado State University System; Colorado State University Fort Collins; Emory University; University System of Georgia; Georgia Institute of Technology</t>
  </si>
  <si>
    <t>Hackney, ME (corresponding author), Atlanta VA HealthCare Syst, Ctr Visual &amp; Neurocognit Rehabil, 1670 Clairmont Rd, Decatur, GA 30033 USA.;Hackney, ME (corresponding author), Emory Univ, Sch Med, Dept Med, Div Endocrinol &amp; Metab, 100 Woodruff Circle, Atlanta, GA 30322 USA.;Hackney, ME (corresponding author), Atlanta Geriatr Res Educ &amp; Clin Ctr, Dept Vet Affairs Birmingham, 3101 Clairmont Rd, Brookhaven, GA 30319 USA.;Hackney, ME (corresponding author), Emory Univ, Dept Rehabil Med, Div Phys Therapy, 100 Woodruff Circle, Atlanta, GA 30322 USA.;Hackney, ME (corresponding author), 57 Execut Pk S, 219, Atlanta, GA 30329 USA.</t>
  </si>
  <si>
    <t>mehackn@emory.edu</t>
  </si>
  <si>
    <t>Hackney, Madeleine/AFR-1953-2022; burzynska, agnieszka/ACX-5166-2022</t>
  </si>
  <si>
    <t>NSF [2024837]; NIH-NCCIH; University of Maryland; National Endowment for the Arts Research labs; Wolf Trap foundation; Building Reliable Advances and Innovation in Neurotechnology (BRAIN) Center</t>
  </si>
  <si>
    <t>NSF(National Science Foundation (NSF)); NIH-NCCIH(United States Department of Health &amp; Human ServicesNational Institutes of Health (NIH) - USANIH National Center for Complementary &amp; Alternative Medicine (NCCAM)); University of Maryland; National Endowment for the Arts Research labs; Wolf Trap foundation; Building Reliable Advances and Innovation in Neurotechnology (BRAIN) Center</t>
  </si>
  <si>
    <t>This article was inspired by Session 2: Cognitive Neuroscience of Creative Movement, at the International Workshop for The Neural and Social Bases of Creative Movement in April 2022 in Washington DC, generously sponsored by the NSF (award # 2024837), NIH-NCCIH, University of Maryland, the National Endowment for the Arts Research labs, the Wolf Trap foundation, and the Building Reliable Advances and Innovation in Neurotechnology (BRAIN) Center.</t>
  </si>
  <si>
    <t>1471-2202</t>
  </si>
  <si>
    <t>BMC NEUROSCI</t>
  </si>
  <si>
    <t>BMC Neurosci.</t>
  </si>
  <si>
    <t>NOV 6</t>
  </si>
  <si>
    <t>10.1186/s12868-024-00906-8</t>
  </si>
  <si>
    <t>L3G0I</t>
  </si>
  <si>
    <t>WOS:001349625000005</t>
  </si>
  <si>
    <t>Maciejasz, P; Eschweiler, J; Gerlach-Hahn, K; Jansen-Troy, A; Leonhardt, S</t>
  </si>
  <si>
    <t>Maciejasz, Pawel; Eschweiler, Joerg; Gerlach-Hahn, Kurt; Jansen-Troy, Arne; Leonhardt, Steffen</t>
  </si>
  <si>
    <t>A survey on robotic devices for upper limb rehabilitation</t>
  </si>
  <si>
    <t>REPETITIVE-TASK PRACTICE; CHRONIC STROKE PATIENTS; VIRTUAL-REALITY; ASSISTED THERAPY; MOTOR FUNCTION; CONTROL-SYSTEM; AIDED NEUROREHABILITATION; ELECTRICAL-STIMULATION; MULTIPLE-SCLEROSIS; POWERED ORTHOSIS</t>
  </si>
  <si>
    <t>The existing shortage of therapists and caregivers assisting physically disabled individuals at home is expected to increase and become serious problem in the near future. The patient population needing physical rehabilitation of the upper extremity is also constantly increasing. Robotic devices have the potential to address this problem as noted by the results of recent research studies. However, the availability of these devices in clinical settings is limited, leaving plenty of room for improvement. The purpose of this paper is to document a review of robotic devices for upper limb rehabilitation including those in developing phase in order to provide a comprehensive reference about existing solutions and facilitate the development of new and improved devices. In particular the following issues are discussed: application field, target group, type of assistance, mechanical design, control strategy and clinical evaluation. This paper also includes a comprehensive, tabulated comparison of technical solutions implemented in various systems.</t>
  </si>
  <si>
    <t>[Maciejasz, Pawel] Univ Montpellier 2, CNRS, INRIA, DEMAR LIRMM, F-34095 Montpellier, France; [Maciejasz, Pawel] Warsaw Univ Technol, Inst Metrol &amp; Biomed Engn, Warsaw, Poland; [Maciejasz, Pawel] Rhein Westfal TH Aachen, Helmholtz Inst Biomed Engn, D-52074 Aachen, Germany; [Eschweiler, Joerg; Jansen-Troy, Arne] Rhein Westfal TH Aachen, Helmholtz Inst Biomed Engn, Chair Med Engn mediTEC, D-52074 Aachen, Germany; [Gerlach-Hahn, Kurt; Leonhardt, Steffen] Rhein Westfal TH Aachen, Helmholtz Inst Biomed Engn, Philips Chair Med Informat Technol MedIT, D-52074 Aachen, Germany</t>
  </si>
  <si>
    <t>Inria; Centre National de la Recherche Scientifique (CNRS); Universite Paul-Valery; Universite Perpignan Via Domitia; Universite de Montpellier; Warsaw University of Technology; RWTH Aachen University; Helmholtz Association; Helmholtz Association; RWTH Aachen University</t>
  </si>
  <si>
    <t>Eschweiler, J (corresponding author), Rhein Westfal TH Aachen, Helmholtz Inst Biomed Engn, Chair Med Engn mediTEC, Pauwelsstr 20, D-52074 Aachen, Germany.</t>
  </si>
  <si>
    <t>eschweiler@hia.rwth-aachen.de</t>
  </si>
  <si>
    <t>Leonhardt, Steffen/AAO-9082-2021; Eschweiler, Joerg/KVZ-2914-2024</t>
  </si>
  <si>
    <t>Eschweiler, Jorg/0000-0002-8477-4884; Leonhardt, Steffen/0000-0002-6898-6887</t>
  </si>
  <si>
    <t>European Union</t>
  </si>
  <si>
    <t>European Union(European Union (EU))</t>
  </si>
  <si>
    <t>The work of PM has been supported by the European Union in the framework of European Social Fund through the Warsaw University of Technology Development Program. He would also like to thank the Center for Advanced Studies of the Warsaw University of Technology for the support that he received during preparation of this work and the Chair of Medical Engineering (mediTEC), Helmholtz-Institute for Biomedical Engineering, RWTH Aachen University for the possibility of performing the majority of the work on this manuscript during scientific stay in that institution.</t>
  </si>
  <si>
    <t>JAN 9</t>
  </si>
  <si>
    <t>10.1186/1743-0003-11-3</t>
  </si>
  <si>
    <t>AF4PW</t>
  </si>
  <si>
    <t>WOS:000334697200001</t>
  </si>
  <si>
    <t>Duret, C; Grosmaire, AG; Krebs, HI</t>
  </si>
  <si>
    <t>Duret, Christophe; Grosmaire, Anne-Gaelle; Krebs, Hermano Igo</t>
  </si>
  <si>
    <t>Robot-Assisted Therapy in Upper Extremity Hemiparesis: Overview of an Evidence-Based Approach</t>
  </si>
  <si>
    <t>hemiparesis; rehabilitation robotics; robot-assisted therapy; upper extremity; stroke</t>
  </si>
  <si>
    <t>UPPER-LIMB IMPAIRMENT; CHRONIC STROKE; MOTOR RECOVERY; AIDED NEUROREHABILITATION; REHABILITATION ROBOTICS; KINEMATIC MEASURES; ARM MOVEMENTS; INTENSITY; PEOPLE; SYNAPTOGENESIS</t>
  </si>
  <si>
    <t>Robot-mediated therapy is an innovative form of rehabilitation that enables highly repetitive, intensive, adaptive, and quantifiable physical training. It has been increasingly used to restore loss of motor function, mainly in stroke survivors suffering from an upper limb paresis. Multiple studies collated in a growing number of review articles showed the positive effects on motor impairment, less clearly on functional limitations. After describing the current status of robotic therapy after upper limb paresis due to stroke, this overview addresses basic principles related to robotic therapy applied to upper limb paresis. We demonstrate how this innovation is an evidence-based approach in that it meets both the improved clinical and more fundamental knowledge-base about regaining effective motor function after stroke and the need of more objective, flexible and controlled therapeutic paradigms.</t>
  </si>
  <si>
    <t>[Duret, Christophe; Grosmaire, Anne-Gaelle] Ctr Reeduc Fonct Trois Soleils Med Phys &amp; Readapt, Unite Neuroreeduc, Boissise Le Roi, France; [Duret, Christophe] Ctr Hosp Sud Rancilien, Neurol, Corbeil Essonnes, France; [Krebs, Hermano Igo] MIT, Dept Mech Engn, Cambridge, MA 02139 USA; [Krebs, Hermano Igo] Univ Maryland, Dept Neurol, Baltimore, MD 21201 USA; [Krebs, Hermano Igo] Fujita Hlth Univ, Dept Phys Med &amp; Rehabil, Nagoya, Aichi, Japan; [Krebs, Hermano Igo] Univ Newcastle, Inst Neurosci, Newcastle Upon Tyne, Tyne &amp; Wear, England; [Krebs, Hermano Igo] Osaka Univ, Dept Mech Sci &amp; Bioengn, Osaka, Japan; [Krebs, Hermano Igo] Loughborough Univ, Wolfson Sch Mech Elect &amp; Mfg Engn, Loughborough, Leics, England</t>
  </si>
  <si>
    <t>Massachusetts Institute of Technology (MIT); University System of Maryland; University of Maryland Baltimore; Fujita Health University; Newcastle University - UK; The University of Osaka; Loughborough University</t>
  </si>
  <si>
    <t>Duret, C (corresponding author), Ctr Reeduc Fonct Trois Soleils Med Phys &amp; Readapt, Unite Neuroreeduc, Boissise Le Roi, France.;Duret, C (corresponding author), Ctr Hosp Sud Rancilien, Neurol, Corbeil Essonnes, France.</t>
  </si>
  <si>
    <t>ch.duret@les-trois-soleils.fr</t>
  </si>
  <si>
    <t>GROSMAIRE, Anne-Gaëlle/B-7900-2019</t>
  </si>
  <si>
    <t>GROSMAIRE, Anne-Gaelle/0000-0002-1688-0386</t>
  </si>
  <si>
    <t>APR 24</t>
  </si>
  <si>
    <t>10.3389/fneur.2019.00412</t>
  </si>
  <si>
    <t>HU7WA</t>
  </si>
  <si>
    <t>WOS:000465493000001</t>
  </si>
  <si>
    <t>Cooper, RA; Dicianno, BE; Brewer, B; LoPresti, E; Ding, D; Simpson, R; Grindle, G; Wang, HW</t>
  </si>
  <si>
    <t>Cooper, Rory A.; Dicianno, Brad E.; Brewer, Bambi; LoPresti, Edmund; Ding, Dan; Simpson, Richard; Grindle, Garrett; Wang, Hongwu</t>
  </si>
  <si>
    <t>A perspective on intelligent devices and environments in medical rehabilitation</t>
  </si>
  <si>
    <t>MEDICAL ENGINEERING &amp; PHYSICS</t>
  </si>
  <si>
    <t>Rehabilitation; Intelligent systems; Machine learning; Physical impairment; Wheelchairs; Cognitive impairment</t>
  </si>
  <si>
    <t>INDUCED MOVEMENT THERAPY; TRAUMATIC BRAIN-INJURY; UPPER-LIMB FUNCTION; UPPER EXTREMITY; STROKE REHABILITATION; ASSISTIVE-TECHNOLOGY; INTERFACE PRESSURE; CARE COORDINATION; PEOPLE; MOBILITY</t>
  </si>
  <si>
    <t>Globally, the number of people older than 65 years is anticipated to double between 1997 and 2025, while at the same time the number of people with disabilities is growing at it similar rate, which makes technical advances and social policies critical to attain, prolong, and preserve quality of life. Recent advancements in technology, including computation, robotics, machine learning, communication, and miniaturization of sensors have been used primarily in manufacturing, military, space exploration, and entertainment. However, few efforts have been made to utilize these technologies to enhance the quality of life of people with disabilities. This article offers a perspective of future development in seven emerging areas: translation of research into clinical practice, pervasive assistive technology, cognitive assistive technologies, rehabilitation monitoring and coaching technologies, robotic assisted therapy, and personal mobility and manipulation technology. Published by Elsevier Ltd on behalf of IPEM</t>
  </si>
  <si>
    <t>[Cooper, Rory A.; Dicianno, Brad E.; Brewer, Bambi; Ding, Dan; Simpson, Richard; Grindle, Garrett; Wang, Hongwu] VA Pittsburgh Healthcare Syst, Human Engn Res Labs, Dept Vet Affairs, Rehabil Res &amp; Dev Serv, Pittsburgh, PA 15206 USA; [Cooper, Rory A.; Dicianno, Brad E.; Brewer, Bambi; LoPresti, Edmund; Ding, Dan; Simpson, Richard; Grindle, Garrett; Wang, Hongwu] Univ Pittsburgh, Dept Rehabil Sci &amp; Technol, Pittsburgh, PA 15260 USA; [Cooper, Rory A.; Dicianno, Brad E.; Brewer, Bambi; LoPresti, Edmund; Ding, Dan; Simpson, Richard; Grindle, Garrett; Wang, Hongwu] Univ Pittsburgh, Dept Bioengn, Pittsburgh, PA 15260 USA; [Cooper, Rory A.; Dicianno, Brad E.; Brewer, Bambi; LoPresti, Edmund; Ding, Dan; Simpson, Richard; Grindle, Garrett; Wang, Hongwu] Univ Pittsburgh, Dept Phys Med &amp; Rehabil, Pittsburgh, PA 15260 USA; [Dicianno, Brad E.; Simpson, Richard] Univ Pittsburgh, Med Ctr, Ctr Assist Technol, Pittsburgh, PA 15260 USA</t>
  </si>
  <si>
    <t>US Department of Veterans Affairs; Veterans Health Administration (VHA); VA Pittsburgh Healthcare System; Pennsylvania Commonwealth System of Higher Education (PCSHE); University of Pittsburgh; Pennsylvania Commonwealth System of Higher Education (PCSHE); University of Pittsburgh; Pennsylvania Commonwealth System of Higher Education (PCSHE); University of Pittsburgh; Pennsylvania Commonwealth System of Higher Education (PCSHE); University of Pittsburgh</t>
  </si>
  <si>
    <t>Cooper, RA (corresponding author), VA Pittsburgh Healthcare Syst, Human Engn Res Labs, Dept Vet Affairs, Rehabil Res &amp; Dev Serv, 151-R1,7180 Highland Dr, Pittsburgh, PA 15206 USA.</t>
  </si>
  <si>
    <t>rcooper@pitt.edu</t>
  </si>
  <si>
    <t>Wang, Hongwu/AEZ-3848-2022; Dicanno, Brad/AAC-5918-2019; Simpson, Richard/G-5683-2015; Wang, Hongwu/J-6133-2013</t>
  </si>
  <si>
    <t>Simpson, Richard/0000-0002-6306-9393; Dicianno, Brad/0000-0003-0738-0192; Wang, Hongwu/0000-0002-6567-9144</t>
  </si>
  <si>
    <t>National Science Foundation [EEC-0540865]; Office of Research and Development, Rehabilitation Research &amp; Development Service, Department of Veterans Affairs [B3142C]</t>
  </si>
  <si>
    <t>National Science Foundation(National Science Foundation (NSF)); Office of Research and Development, Rehabilitation Research &amp; Development Service, Department of Veterans Affairs(US Department of Veterans Affairs)</t>
  </si>
  <si>
    <t>This material is based upon work supported by the National Science Foundation under Cooperative Agreement EEC-0540865. This material is also based upon work supported by the Office of Research and Development, Rehabilitation Research &amp; Development Service, Department of Veterans Affairs, Grant# B3142C.</t>
  </si>
  <si>
    <t>1350-4533</t>
  </si>
  <si>
    <t>1873-4030</t>
  </si>
  <si>
    <t>MED ENG PHYS</t>
  </si>
  <si>
    <t>Med. Eng. Phys.</t>
  </si>
  <si>
    <t>10.1016/j.medengphy.2008.09.003</t>
  </si>
  <si>
    <t>386WX</t>
  </si>
  <si>
    <t>WOS:000261914400014</t>
  </si>
  <si>
    <t>Riener, R; Lünenberger, L; Colombo, G</t>
  </si>
  <si>
    <t>Riener, Robert; Luenenberger, Lars; Colombo, Gery</t>
  </si>
  <si>
    <t>Human-centered robotics applied to gait training and assessment</t>
  </si>
  <si>
    <t>JOURNAL OF REHABILITATION RESEARCH AND DEVELOPMENT</t>
  </si>
  <si>
    <t>biofeedback; gait; gait therapy; human-centered; motor-function assessment; patient-cooperative; rehabilitation; robot-aided training; spasticity; treadmill training</t>
  </si>
  <si>
    <t>BODY-WEIGHT SUPPORT; SPINAL-CORD-INJURY; ELECTROMYOGRAPHIC BIOFEEDBACK; VIRTUAL-REALITY; ISOKINETIC ASSESSMENT; SPASTIC HYPERTONIA; LOCOMOTOR-ACTIVITY; IMPEDANCE CONTROL; PHYSICAL-THERAPY; FEEDBACK DEVICE</t>
  </si>
  <si>
    <t>Robot-aided gait training can increase the duration and number of training sessions while reducing the number of therapists required for each patient. However, current automated gait trainers do not adapt their movement to the patient's muscular efforts and passive musculoskeletal properties. Furthermore, robot-aided training without therapists lacks the feedback required for patient assessment. In this article, we present results from the literature and our research to provide an overview of novel human-centered strategies for robot behaviors that are patient-cooperative and support motor-function assessment. Combining robot-aided training with robot-aided assessment will likely make future gait therapy easier, more comfortable, and more efficient. Broad clinical testing is still required for proving this assumption.</t>
  </si>
  <si>
    <t>ETH, Automat Control Lab, Rehabil Engn Grp, CH-8092 Zurich, Switzerland; Univ Zurich, Univ Hosp Balgrist, Spinal Cord Injury Ctr, Zurich, Switzerland; Hocoma AG, Volketswil, Switzerland</t>
  </si>
  <si>
    <t>Riener, R (corresponding author), ETH, Automat Control Lab, Rehabil Engn Grp, Physikstr 3,ETL I 24-2, CH-8092 Zurich, Switzerland.</t>
  </si>
  <si>
    <t>riener@mavt.ethz.ch</t>
  </si>
  <si>
    <t>JOURNAL REHAB RES &amp; DEV</t>
  </si>
  <si>
    <t>BALTIMORE</t>
  </si>
  <si>
    <t>DEPT OF VETERANS AFFAIRS REHABIL RES &amp; DEVELOP CTR 103 SOUTH GAY STREET, BALTIMORE, MD 21202-4051 USA</t>
  </si>
  <si>
    <t>0748-7711</t>
  </si>
  <si>
    <t>1938-1352</t>
  </si>
  <si>
    <t>J REHABIL RES DEV</t>
  </si>
  <si>
    <t>J. Rehabil. Res. Dev.</t>
  </si>
  <si>
    <t>AUG-SEP</t>
  </si>
  <si>
    <t>10.1682/JRRD.2005.02.0046</t>
  </si>
  <si>
    <t>117OQ</t>
  </si>
  <si>
    <t>WOS:000242883000013</t>
  </si>
  <si>
    <t>Wasalathanthri, DP; Shah, R; Ding, J; Leone, A; Li, ZJ</t>
  </si>
  <si>
    <t>Wasalathanthri, Dhanuka P.; Shah, Ruchir; Ding, Julia; Leone, Anthony; Li, Zheng Jian</t>
  </si>
  <si>
    <t>Process analytics 4.0: A paradigm shift in rapid analytics for biologics development</t>
  </si>
  <si>
    <t>BIOTECHNOLOGY PROGRESS</t>
  </si>
  <si>
    <t>automation; cyber-physical systems; process analytical technology; process analytics 4.0</t>
  </si>
  <si>
    <t>PROCESS ANALYTICAL TECHNOLOGY; AUTOMATED SAMPLE PREPARATION; MAMMALIAN-CELL CULTURE; HIGH-THROUGHPUT; RAMAN-SPECTROSCOPY; RECOMBINANT ANTIBODY; OPPORTUNITIES; PROTEINS; QUALITY; QUANTITATION</t>
  </si>
  <si>
    <t>Analytical testing of product quality attributes and process parameters during the biologics development (Process analytics) has been challenging due to the rapid growth of biomolecules with complex modalities to support unmet therapeutic needs. Thus, the expansion of the process analytics tool box for rapid analytics with the deployment of cutting-edge technologies and cyber-physical systems is a necessity. We introduce the term, Process Analytics 4.0; which entails not only technology aspects such as process analytical technology (PAT), assay automation, and high-throughput analytics, but also cyber-physical systems that enable data management, visualization, augmented reality, and internet of things (IoT) infrastructure for real time analytics in process development environment. This review is exclusively focused on dissecting high-level features of PAT, automation, and data management with some insights into the business aspects of implementing during process analytical testing in biologics process development. Significant technological and business advantages can be gained with the implementation of digitalization, automation, and real time testing. A systematic development and employment of PAT in process development workflows enable real time analytics for better process understanding, agility, and sustainability. Robotics and liquid handling workstations allow rapid assay and sample preparation automation to facilitate high-throughput testing of attributes and molecular properties which are otherwise challenging to monitor with PAT tools due to technological and business constraints. Cyber-physical systems for data management, visualization, and repository must be established as part of Process Analytics 4.0 framework. Furthermore, we review some of the challenges in implementing these technologies based on our expertise in process analytics for biopharmaceutical drug substance development.</t>
  </si>
  <si>
    <t>[Wasalathanthri, Dhanuka P.; Shah, Ruchir; Ding, Julia; Leone, Anthony] Bristol Myers Squibb Co, Global Proc Dev Analyt, 38 Jackson Rd, Devens, MA 01434 USA; [Li, Zheng Jian] Bristol Myers Squibb Co, Biol Analyt Dev &amp; Attribute Sci, Devens, MA USA</t>
  </si>
  <si>
    <t>Bristol-Myers Squibb; Bristol-Myers Squibb</t>
  </si>
  <si>
    <t>Wasalathanthri, DP (corresponding author), Bristol Myers Squibb Co, Global Proc Dev Analyt, 38 Jackson Rd, Devens, MA 01434 USA.</t>
  </si>
  <si>
    <t>dhanuka.wasalathanthri@bms.com</t>
  </si>
  <si>
    <t>Li, Zheng/S-4806-2019; Wasalathanthri, Dhanuka/K-3385-2014</t>
  </si>
  <si>
    <t>Wasalathanthri, Dhanuka/0000-0002-8683-2777</t>
  </si>
  <si>
    <t>IT-Business Partner organization of Bristol Myers Squibb</t>
  </si>
  <si>
    <t>The authors would like to acknowledge the support from Steven Traylor, Ed Keefe, and IT-Business Partner organization of Bristol Myers Squibb; and Zhichao Fang for valuable comments and suggestions.</t>
  </si>
  <si>
    <t>8756-7938</t>
  </si>
  <si>
    <t>1520-6033</t>
  </si>
  <si>
    <t>BIOTECHNOL PROGR</t>
  </si>
  <si>
    <t>Biotechnol. Prog.</t>
  </si>
  <si>
    <t>JUL</t>
  </si>
  <si>
    <t>e3177</t>
  </si>
  <si>
    <t>10.1002/btpr.3177</t>
  </si>
  <si>
    <t>MAY 2021</t>
  </si>
  <si>
    <t>Biotechnology &amp; Applied Microbiology; Food Science &amp; Technology</t>
  </si>
  <si>
    <t>TZ1SN</t>
  </si>
  <si>
    <t>WOS:000656245500001</t>
  </si>
  <si>
    <t>Calafiore, D; Negrini, F; Tottoli, N; Ferraro, F; Ozyemisci-Taskiran, O; de Sire, A</t>
  </si>
  <si>
    <t>Calafiore, Dario; Negrini, Francesco; Tottoli, Nicola; Ferraro, Francesco; Ozyemisci-Taskiran, Ozden; de Sire, Alessandro</t>
  </si>
  <si>
    <t>Efficacy of robotic exoskeleton for gait rehabilitation in patients with subacute stroke : a systematic review</t>
  </si>
  <si>
    <t>Robotics; Stroke; Gait; Stroke rehabilitation; Rehabilitation</t>
  </si>
  <si>
    <t>RECOVERY; THERAPY; BALANCE; LIMB; CARE</t>
  </si>
  <si>
    <t>BACKGROUND: Stroke is the most common cause of disability in Western Countries. It can lead to loss of mobility, capability to walk and ultimately loss of independence in activities of daily living (ADL). Several rehabilitative approaches have been proposed in these years. Robotassisted gait rehabilitation (RAGT) plays a crucial role to perform a repetitive, intensive, and task-oriented treatment in stroke survivors. However, there are still few data on its role in subacute stroke patients. AIM: The aim of the present study was to assess the efficacy of RAGT for gait recovery in subacute stroke survivors. DESIGN: Systematic review with meta-analysis. SETTING: The setting of the study included Units of Rehabilitation. POPULATION: The analyzed population was represented by subacute stroke patients. METHODS: PubMed, Scopus, Web of Science, CENTRAL, and PEDro were systematically searched until January 18, 2021, to identify randomized controlled trials (RCTs) presenting: stroke survivors in subacute phase (&lt;= 6 months) as participants; exoskeleton robots devices as intervention; conventional rehabilitation as a comparator; gait assessment, through qualitative scales, quantitative gait scales or quantitative parameters, as outcome measures. We also performed a meta-analysis of the mean difference in the functional ambulation category (FAC) via the random effect method. RESULTS: Out of 3188 records, 14 RCTs were analyzed in this systematic review. The 14 studies have been published in the last 14 years (from 2006 to 2021) and included 576 stroke survivors, of which 306 received RAGT, and 270 underwent conventional rehabilitation. Lokomat robotic system was the most investigated robotic exoskeleton by the RCTs included (N.=9), albeit the meta-analysis demonstrated a non-significant difference of -0.09 in FAC (95% CI: -0.22.0.03) between Lokomat and conventional therapy. According to the PEDro scale, 11 (78.5%) were classified as good-quality studies, two as fair-quality studies (14.3%), and one as poor-quality study (7.1%). CONCLUSIONS: Taken together, these findings showed that RAGT might have a potential role in gait recovery in subacute stroke survivors. However, further RCTs comparing the efficacy of RAGT with conventional physical therapy are still warranted in the neurorehabilitation field. CLINICAL REHABILITATION IMPACT: This systematic review provides information on the efficacy of RAGT in allowing subacute stroke patients to perform high-intensity gait training with a lower physical burden on PRM professionals.</t>
  </si>
  <si>
    <t>[Calafiore, Dario; Ferraro, Francesco] ASST Carlo Poma, Sect Neuromotor Rehabil, Dept Neurosci, Mantua, Italy; [Negrini, Francesco] IRCCS Ist Ortoped Galeazzi, Milan, Italy; [Tottoli, Nicola] Univ Brescia, Sch Med, Dept Physiotherapy, Brescia, Italy; [Ozyemisci-Taskiran, Ozden] Koc Univ, Dept Phys Med &amp; Rehabil, Istanbul, Turkey; [de Sire, Alessandro] Univ Catanzaro Magna Graecia, Dept Med &amp; Surg Sci, Unit Phys &amp; Rehabil Med, Viale Europa, I-88100 Catanzaro, Italy</t>
  </si>
  <si>
    <t>Hospital Carlo Poma; IRCCS Istituto Ortopedico Galeazzi; University of Brescia; Koc University; Magna Graecia University of Catanzaro</t>
  </si>
  <si>
    <t>de Sire, A (corresponding author), Univ Catanzaro Magna Graecia, Dept Med &amp; Surg Sci, Unit Phys &amp; Rehabil Med, Viale Europa, I-88100 Catanzaro, Italy.</t>
  </si>
  <si>
    <t>alessandro.desire@gmail.com</t>
  </si>
  <si>
    <t>Calafiore, Dario/AAK-7144-2021; Ozyemisci-Taskiran, Ozden/HKO-6360-2023; Negrini, Francesco/A-7855-2019</t>
  </si>
  <si>
    <t>CALAFIORE, DARIO/0000-0001-9221-2497; Ozyemisci-Taskiran, Ozden/0000-0002-2052-6072; de Sire, Alessandro/0000-0002-5541-8346; Negrini, Francesco/0000-0002-7995-1700</t>
  </si>
  <si>
    <t>10.23736/S1973-9087.21.06846-5</t>
  </si>
  <si>
    <t>1P3PG</t>
  </si>
  <si>
    <t>WOS:000801924400001</t>
  </si>
  <si>
    <t>Calabrò, RS; Cacciola, A; Bertè, F; Manuli, A; Leo, A; Bramanti, A; Naro, A; Milardi, D; Bramanti, P</t>
  </si>
  <si>
    <t>Calabro, Rocco Salvatore; Cacciola, Alberto; Berte, Francesco; Manuli, Alfredo; Leo, Antonino; Bramanti, Alessia; Naro, Antonino; Milardi, Demetrio; Bramanti, Placido</t>
  </si>
  <si>
    <t>Robotic gait rehabilitation and substitution devices in neurological disorders: where are we now?</t>
  </si>
  <si>
    <t>NEUROLOGICAL SCIENCES</t>
  </si>
  <si>
    <t>Lokomat; Robotic rehabilitation; Severe acquired brain injury; Spinal cord injury; Stroke</t>
  </si>
  <si>
    <t>BODY-WEIGHT SUPPORT; SPINAL-CORD-INJURY; CHRONIC STROKE; PARKINSONS-DISEASE; HEMIPARETIC PATIENTS; MULTIPLE-SCLEROSIS; BRAIN-STIMULATION; VIRTUAL-REALITY; POWERED EXOSKELETON; TRAINING LOKOMAT</t>
  </si>
  <si>
    <t>Gait abnormalities following neurological disorders are often disabling, negatively affecting patients' quality of life. Therefore, regaining of walking is considered one of the primary objectives of the rehabilitation process. To overcome problems related to conventional physical therapy, in the last years there has been an intense technological development of robotic devices, and robotic rehabilitation has proved to play a major role in improving one's ability to walk. The robotic rehabilitation systems can be classified into stationary and overground walking systems, and several studies have demonstrated their usefulness in patients after severe acquired brain injury, spinal cord injury and other neurological diseases, including Parkinson's disease, multiple sclerosis and cerebral palsy. In this review, we want to highlight which are the most widely used devices today for gait neurological rehabilitation, focusing on their functioning, effectiveness and challenges. Novel and promising rehabilitation tools, including the use of virtual reality, are also discussed.</t>
  </si>
  <si>
    <t>[Calabro, Rocco Salvatore; Cacciola, Alberto; Berte, Francesco; Manuli, Alfredo; Leo, Antonino; Bramanti, Alessia; Naro, Antonino; Milardi, Demetrio; Bramanti, Placido] IRCCS Ctr Neurolesi Bonino Pulejo, SS 113,Via Palermo, I-98124 Messina, Italy; [Cacciola, Alberto; Milardi, Demetrio] Univ Messina, Dept Biomed Sci &amp; Morphol &amp; Funct Images, Messina, Italy</t>
  </si>
  <si>
    <t>IRCCS Bonino Pulejo; University of Messina</t>
  </si>
  <si>
    <t>Calabrò, RS (corresponding author), IRCCS Ctr Neurolesi Bonino Pulejo, SS 113,Via Palermo, I-98124 Messina, Italy.</t>
  </si>
  <si>
    <t>salbro77@tiscali.it</t>
  </si>
  <si>
    <t>Bramanti, Alessia/AGE-3236-2022; Manuli, Alfredo/ABF-3128-2020; Cacciola, Alberto/B-4163-2018; MILARDI, DEMETRIO/AAD-7793-2019; calabro, rocco/L-9570-2019; Bramanti, Placido/K-5117-2016; Leo, Antonino/ABI-7198-2020; MILARDI, DEMETRIO/J-6587-2016; Leo, Antonino/K-7529-2016</t>
  </si>
  <si>
    <t>Manuli, Alfredo/0000-0002-4030-1399; MILARDI, DEMETRIO/0000-0001-7311-2757; Bramanti, Placido/0000-0003-0394-8166; Bramanti, Alessia/0000-0002-5247-9901; Leo, Antonino/0000-0003-4163-5830</t>
  </si>
  <si>
    <t>SPRINGER-VERLAG ITALIA SRL</t>
  </si>
  <si>
    <t>MILAN</t>
  </si>
  <si>
    <t>VIA DECEMBRIO, 28, MILAN, 20137, ITALY</t>
  </si>
  <si>
    <t>1590-1874</t>
  </si>
  <si>
    <t>1590-3478</t>
  </si>
  <si>
    <t>NEUROL SCI</t>
  </si>
  <si>
    <t>Neurol. Sci.</t>
  </si>
  <si>
    <t>10.1007/s10072-016-2474-4</t>
  </si>
  <si>
    <t>DI9EQ</t>
  </si>
  <si>
    <t>WOS:000373805300002</t>
  </si>
  <si>
    <t>Stefanov, DH; Bien, Z; Bang, WC</t>
  </si>
  <si>
    <t>The smart house for older persons and persons with physical disabilities: Structure, technology arrangements, and perspectives</t>
  </si>
  <si>
    <t>health monitoring; intelligent house; smart house; wearable sensor</t>
  </si>
  <si>
    <t>COMPUTERIZED TRAVEL AID; REHABILITATION ROBOTICS; SYSTEM; MOVEMENTS; GUIDANCE; THERAPY; NAVBELT; VISION</t>
  </si>
  <si>
    <t>Smart houses are considered a good alternative for the independent life of older persons and persons with disabilities. Numerous intelligent devices, embedded into the home environment, can provide the resident with both movement assistance and 24-h health monitoring. Modern home-installed systems tend to be not only physically versatile in functionality but also emotionally human-friendly, i.e., they may be able to perform their functions without disturbing the user and without causing him/her any pain, inconvenience, or movement restriction, instead possibly providing him/her with comfort and pleasure. Through an extensive survey, this paper analyzes the building blocks of smart houses, with particular attention paid to the health monitoring subsystem as an important component, by addressing the basic requirements of various sensors implemented from both research and clinical perspectives. The paper will then discuss some important issues of the future development of an intelligent residential space with a human-friendly health monitoring functional system.</t>
  </si>
  <si>
    <t>Bulgarian Acad Sci, Inst Mech, BU-1113 Sofia, Bulgaria; Korea Adv Inst Sci &amp; Technol, Dept Elect Engn &amp; Comp Sci, Taejon 305701, South Korea; Korea Adv Inst Sci &amp; Technol, Human Friendly Welfare Robot Syst Engn Res Ctr, Dept Elect Engn &amp; Comp Sci, Taejon 305701, South Korea; Samsung Adv Inst Technol, Gyeonggi 449712, South Korea</t>
  </si>
  <si>
    <t>Bulgarian Academy of Sciences; Korea Advanced Institute of Science &amp; Technology (KAIST); Korea Advanced Institute of Science &amp; Technology (KAIST); Samsung</t>
  </si>
  <si>
    <t>Bulgarian Acad Sci, Inst Mech, BU-1113 Sofia, Bulgaria.</t>
  </si>
  <si>
    <t>zbien@kaist.edu</t>
  </si>
  <si>
    <t>Bien, Zeungnam/F-3874-2010</t>
  </si>
  <si>
    <t>10.1109/TNSRE.2004.828423</t>
  </si>
  <si>
    <t>829LX</t>
  </si>
  <si>
    <t>WOS:000222051100008</t>
  </si>
  <si>
    <t>Lee, JH</t>
  </si>
  <si>
    <t>Lee, Jung-Ho</t>
  </si>
  <si>
    <t>The effects of Robot-based training on rehabilitation in Parkinson's disease patients</t>
  </si>
  <si>
    <t>RAWAL MEDICAL JOURNAL</t>
  </si>
  <si>
    <t>Parkinson's disease; rehabilitation; robot; gait training; motor function</t>
  </si>
  <si>
    <t>Objective: To evaluates the effectiveness of robot- based rehabilitation in addressing gait abnormalities, and endurance in Parkinson's disease (PD) patients. Methodology: A comprehensive literature review was conducted using databases such as PubMed, Embase, and the Cochrane Library, focusing on studies published between 2019 and 2024. The inclusion criteria were RCT studies involving PD patients using robotic devices for lower extremity rehabilitation. Studies were assessed for outcomes related to gait improvement, and endurance. Results: The review included six studies, which demonstrated that robot-assisted gait training significantly improved walking speed, gait endurance, and balance. Freezing of gait symptoms were also notably reduced in participants undergoing robotic interventions compared to traditional physical therapy. Improvements in motor function were particularly prominent in patients with more severe gait impairments. Conclusion: Robotic-assisted rehabilitation offers substantial benefits in managing motor symptoms in PD, especially in improving gait and reducing freezing of gait episodes. The review underscores the potential of robotic interventions in enhancing motor learning and neuroplasticity, making them a valuable tool in clinical rehabilitation for PD.</t>
  </si>
  <si>
    <t>[Lee, Jung-Ho] Kyungdong Univ, Dept Phys Therapy, 815 Gyeonhwon Ro, Wonju Si, Gangwon Do, South Korea</t>
  </si>
  <si>
    <t>Lee, JH (corresponding author), Kyungdong Univ, Dept Phys Therapy, 815 Gyeonhwon Ro, Wonju Si, Gangwon Do, South Korea.</t>
  </si>
  <si>
    <t>ljhcivapt@naver.com</t>
  </si>
  <si>
    <t>PAKISTAN MEDICAL ASSOC</t>
  </si>
  <si>
    <t>KARACHI</t>
  </si>
  <si>
    <t>PMA HOUSE, AGA KHAN III RD, KARACHI, 00000, PAKISTAN</t>
  </si>
  <si>
    <t>0303-5212</t>
  </si>
  <si>
    <t>RAWAL MED J</t>
  </si>
  <si>
    <t>Rawal Med. J.</t>
  </si>
  <si>
    <t>JAN-MAR</t>
  </si>
  <si>
    <t>0YY3F</t>
  </si>
  <si>
    <t>WOS:001459342500021</t>
  </si>
  <si>
    <t>Ariji, Y; Ariji, E</t>
  </si>
  <si>
    <t>Ariji, Yoshiko; Ariji, Eiichiro</t>
  </si>
  <si>
    <t>Magnetic resonance and sonographic imagings of masticatory muscle myalgia in temporomandibular disorder patients</t>
  </si>
  <si>
    <t>JAPANESE DENTAL SCIENCE REVIEW</t>
  </si>
  <si>
    <t>MRI; Sonography; Masticatory muscle; Myalgia; Splint therapy; Massage therapy</t>
  </si>
  <si>
    <t>STABILIZATION-TYPE SPLINTS; ORAL REHABILITATION ROBOT; MASSETER MUSCLE; MASSAGE TREATMENT; QUANTITATIVE ASSESSMENT; PHYSICAL-THERAPY; MYOFASCIAL PAIN; TEMPORAL MUSCLE; EFFICACY; ELASTOGRAPHY</t>
  </si>
  <si>
    <t>This article reviews recently published studies investigating the MRI and sonographic diagnosis of masticatory muscle myalgia in temporomandibular disorder patients. The MRI and sonographic features of muscle after treatment are also discussed. Literature published within the last 15 years was obtained from the PubMed database using the following Mesh terms: magnetic resonance imaging (MRI) or sonography, masticatory muscle pain, and treatment. MRI and sonography enable accurate visualization and evaluation of the masticatory muscles, thereby increasing our understanding of pathology and cause of pain associated with these muscles. Although therapeutic efficacy is often evaluated based on clinical findings, MR and sonographic imaging studies may also be valuable. (C) 2016 The Author(s). Published by Elsevier Ltd on behalf of Japanese Association for Dental Science. This is an open access article under the CC BY-NC-ND license (http://creativecommons. org/licenses/by-nc-nd/4.0/).</t>
  </si>
  <si>
    <t>[Ariji, Yoshiko; Ariji, Eiichiro] Aichi Gakuin Univ, Sch Dent, Dept Oral &amp; Maxillofacial Radiol, Nagoya, Aichi, Japan</t>
  </si>
  <si>
    <t>Aichi Gakuin University</t>
  </si>
  <si>
    <t>Ariji, Y (corresponding author), Aichi Gakuin Univ, Sch Dent, Dept Oral &amp; Maxillofacial Radiol, Chikusa Ku, 2-11 Suemori Dori, Nagoya, Aichi, Japan.</t>
  </si>
  <si>
    <t>yoshiko@dpc.agu.ac.jp</t>
  </si>
  <si>
    <t>Ariji, Eiichiro/AAD-9857-2021</t>
  </si>
  <si>
    <t>Ariji, Eiichiro/0000-0002-5245-5395</t>
  </si>
  <si>
    <t>Japan Society for the Promotion of Science [23592785]; Grants-in-Aid for Scientific Research [23592785, 26462862] Funding Source: KAKEN</t>
  </si>
  <si>
    <t>Japan Society for the Promotion of Science(Ministry of Education, Culture, Sports, Science and Technology, Japan (MEXT)Japan Society for the Promotion of Science); Grants-in-Aid for Scientific Research(Ministry of Education, Culture, Sports, Science and Technology, Japan (MEXT)Japan Society for the Promotion of ScienceGrants-in-Aid for Scientific Research (KAKENHI))</t>
  </si>
  <si>
    <t>This study was partially supported by a Grant-in-Aid for Scientific Research (C) (23592785) from the Japan Society for the Promotion of Science.</t>
  </si>
  <si>
    <t>1882-7616</t>
  </si>
  <si>
    <t>2213-6851</t>
  </si>
  <si>
    <t>JPN DENT SCI REV</t>
  </si>
  <si>
    <t>Jpn. Dent. Sci. Rev.</t>
  </si>
  <si>
    <t>10.1016/j.jdsr.2016.05.001</t>
  </si>
  <si>
    <t>Dentistry, Oral Surgery &amp; Medicine</t>
  </si>
  <si>
    <t>EP2FT</t>
  </si>
  <si>
    <t>WOS:000397199300003</t>
  </si>
  <si>
    <t>Proietti, T; Ambrosini, E; Pedrocchi, A; Micera, S</t>
  </si>
  <si>
    <t>Proietti, Tommaso; Ambrosini, Emilia; Pedrocchi, Alessandra; Micera, Silvestro</t>
  </si>
  <si>
    <t>Wearable Robotics for Impaired Upper-Limb Assistance and Rehabilitation: State of the Art and Future Perspectives</t>
  </si>
  <si>
    <t>IEEE ACCESS</t>
  </si>
  <si>
    <t>Robots; End effectors; Exoskeletons; Wearable robots; Limbs; Assistive technologies; Patient rehabilitation; Assistance; end-effectors; exoskeletons; exosuits; rehabilitation; wearable robotics</t>
  </si>
  <si>
    <t>STROKE PATIENTS; TRAINING IMPROVES; MOTOR FUNCTION; THERAPY; MOVEMENT; ORTHOSIS; RECOVERY; EXOSKELETON; SYSTEM; DESIGN</t>
  </si>
  <si>
    <t>Despite more than thirty-five years of research on wearable technologies to assist the upper-limb and a multitude of promising preliminary results, the goal of restoring pre-impairment quality of life of people with physical disabilities has not been fully reached yet. Whether it is for rehabilitation or for assistance, nowadays robotics is still only used in a few high-tech clinics and hospitals, limiting the access to a small amount of people. This work provides a description of the three major revolutions occurred in the field (end-effector robots, rigid exoskeletons, and soft exosuits), reviewing forty-eight systems for the upper-limb (excluding hand-only devices) used in eighty-nine studies enrolling a clinical population before June 2022. The review critically discusses the state of the art, analyzes the different technologies, and compares the clinical outcomes, with the goal of determine new potential directions to follow.</t>
  </si>
  <si>
    <t>[Proietti, Tommaso; Micera, Silvestro] Scuola Super Sant Anna, Biorobot Inst, Dept Excellence Robot &amp; AI, I-56025 Pisa, Italy; [Ambrosini, Emilia; Pedrocchi, Alessandra] Politecn Milan, Dept Elect Informat &amp; Bioengn, NEAR Lab, I-20133 Milan, Italy; [Micera, Silvestro] Ecole Polytech Fed Lausanne EPFL, Inst Bioengn, Sch Engn, Ctr Neuroprosthet, Campus Biotech, CH-1202 Geneva, Switzerland</t>
  </si>
  <si>
    <t>Scuola Superiore Sant'Anna; Polytechnic University of Milan; Swiss Federal Institutes of Technology Domain; Ecole Polytechnique Federale de Lausanne</t>
  </si>
  <si>
    <t>Proietti, T (corresponding author), Scuola Super Sant Anna, Biorobot Inst, Dept Excellence Robot &amp; AI, I-56025 Pisa, Italy.</t>
  </si>
  <si>
    <t>tommaso.proietti@santannapisa.it</t>
  </si>
  <si>
    <t>Pedrocchi, Alessandra/AAF-2655-2019; Proietti, Tommaso/AAN-4429-2020; Micera, Silvestro/AAD-6630-2021; Ambrosini, Emilia/R-1371-2016</t>
  </si>
  <si>
    <t>Micera, Silvestro/0000-0003-4396-8217; Proietti, Tommaso/0000-0002-8875-8646; Ambrosini, Emilia/0000-0002-6527-0779</t>
  </si>
  <si>
    <t>National Competence Center Robotics (NCCR) Robotics; Swiss National Science Foundation; Bertarelli Foundation; European Project Digital Innovation Hubs in Healthcare Robotics (DIH-HERO) [825003]; H2020 Societal Challenges Programme [825003] Funding Source: H2020 Societal Challenges Programme</t>
  </si>
  <si>
    <t>National Competence Center Robotics (NCCR) Robotics; Swiss National Science Foundation(Swiss National Science Foundation (SNSF)); Bertarelli Foundation; European Project Digital Innovation Hubs in Healthcare Robotics (DIH-HERO); H2020 Societal Challenges Programme(Horizon 2020European Union (EU)H2020 Societal Challenges Programme)</t>
  </si>
  <si>
    <t>This work was supported in part by the National Competence Center Robotics (NCCR) Robotics, the Swiss National Science Foundation [Project Chronic bidirectional bionic hand with intraneural sensory feedback (CHRONOS)]; in part by the Bertarelli Foundation; and in part by the European Project Digital Innovation Hubs in Healthcare Robotics (DIH-HERO), under Grant 825003.</t>
  </si>
  <si>
    <t>2169-3536</t>
  </si>
  <si>
    <t>IEEE Access</t>
  </si>
  <si>
    <t>10.1109/ACCESS.2022.3210514</t>
  </si>
  <si>
    <t>Computer Science, Information Systems; Engineering, Electrical &amp; Electronic; Telecommunications</t>
  </si>
  <si>
    <t>Computer Science; Engineering; Telecommunications</t>
  </si>
  <si>
    <t>5F6PF</t>
  </si>
  <si>
    <t>WOS:000866434800001</t>
  </si>
  <si>
    <t>Cho, JE; Yoo, JS; Kim, KE; Cho, ST; Jang, WS; Cho, KH; Lee, WH</t>
  </si>
  <si>
    <t>Cho, Ji-Eun; Yoo, Jun Sang; Kim, Kyoung Eun; Cho, Sung Tae; Jang, Woo Seok; Cho, Ki Hun; Lee, Wan-Hee</t>
  </si>
  <si>
    <t>Systematic Review of Appropriate Robotic Intervention for Gait Function in Subacute Stroke Patients</t>
  </si>
  <si>
    <t>REHABILITATION; WALKING; TRAINER; TRIAL; ASSISTANCE; RECOVERY; BALANCE; BENEFIT</t>
  </si>
  <si>
    <t>The purpose of this study was to critically evaluate the effects of robot-assisted gait training (RAGT) on gait-related function in patients with acute/subacute stroke. We conducted a systematic review of randomized controlled trials published between May 2012 and April 2016. This search included 334 articles (Cochrane, 51 articles; Embase, 175 articles; PubMed, 108 articles). Based on the inclusion and exclusion criteria, 7 studies were selected for this review. We performed a quality evaluation using the PEDro scale. In this review, 3 studies used an exoskeletal robot, and 4 studies used an end-effector robot as interventions. As a result, RAGT was found to be effective in improving walking ability in subacute stroke patients. Significant improvements in gait speed, functional ambulatory category, and Rivermead mobility index were found with RAGT compared with conventional physical therapy (p &lt; 0.05). Therefore, aggressive weight support and gait training at an early stage using a robotic device are helpful, and robotic intervention should be applied according to the patient's functional level and onset time of stroke.</t>
  </si>
  <si>
    <t>[Cho, Ji-Eun; Yoo, Jun Sang; Kim, Kyoung Eun; Cho, Sung Tae; Jang, Woo Seok] Sahmyook Univ, Grad Sch, Dept Phys Therapy, Seoul, South Korea; [Cho, Ki Hun] Korea Natl Univ Transportat, Dept Phys Therapy, Chungcheongbuk Do, South Korea; [Lee, Wan-Hee] Sahmyook Univ, Dept Phys Therapy, Coll Hlth Sci, Seoul, South Korea</t>
  </si>
  <si>
    <t>Sahmyook University; Korea National University of Transportation; Sahmyook University</t>
  </si>
  <si>
    <t>Lee, WH (corresponding author), Sahmyook Univ, Dept Phys Therapy, Coll Hlth Sci, Seoul, South Korea.</t>
  </si>
  <si>
    <t>whlee@syu.ac.kr</t>
  </si>
  <si>
    <t>Kim, Eun-Kyu/LNQ-3974-2024; Cho, Sung/AAK-3056-2020</t>
  </si>
  <si>
    <t>Cho, Ji-Eun/0000-0002-4816-9716; Lee, Wan-hee/0000-0001-8030-4853; cho, kihun/0000-0001-6248-1768</t>
  </si>
  <si>
    <t>BIOMED RES INT-UK</t>
  </si>
  <si>
    <t>10.1155/2018/4085298</t>
  </si>
  <si>
    <t>FV7IR</t>
  </si>
  <si>
    <t>hybrid, Green Published, Green Submitted</t>
  </si>
  <si>
    <t>WOS:000424757400001</t>
  </si>
  <si>
    <t>Platz, T</t>
  </si>
  <si>
    <t>Evidence-based arm rehabilitation - a systematic review of the literature</t>
  </si>
  <si>
    <t>NERVENARZT</t>
  </si>
  <si>
    <t>German</t>
  </si>
  <si>
    <t>evidence-based medicine; hemiparesis; rehabilitation; therapy; physiotherapy</t>
  </si>
  <si>
    <t>INDUCED MOVEMENT THERAPY; TRIGGERED NEUROMUSCULAR STIMULATION; ENHANCED PHYSICAL THERAPY; POSTSTROKE PARETIC ARM; HEMIPLEGIC UPPER-LIMB; STROKE REHABILITATION; UPPER-EXTREMITY; ELECTRICAL-STIMULATION; CONTROLLED-TRIAL; MOTOR RECOVERY</t>
  </si>
  <si>
    <t>Based on a systematic MEDLINE search and informal sources,40 references were identified that evaluate training therapy or neuromuscular, electric stimulation for arm paresis after stroke and describe either a systematic review, meta-analysis, randomised controlled trial, or controlled cohort study. The evidence was grouped into three, areas of interest: comparison of physiotherapy schools, effects of intensity of training, and, efficacy of specific arm rehabilitation techniques. The only physiotherapy school with evidence of superior efficacy was the task-oriented motor relearning programme. Higher intensities of motor rehabilitation can accelerate motor recovery.Various training techniques with demonstrated efficacy are available for specific patient subgroups: arm ability training for mildly affected patients with reduced efficiency of motor control, constrained-induced movement therapy for patients. with partial functional deficits and learned non, use of the affected arm,and repetitive sensorimotor training techniques, EMG-biofeedback, functional electrical stimulation,and robot-assisted training for patients with severe arm paresis.</t>
  </si>
  <si>
    <t>FU Berlin, Klin Berlin, UKBF, Abt Neurol Rehabil, D-14089 Berlin, Germany</t>
  </si>
  <si>
    <t>Berlin Institute of Health; Free University of Berlin; Humboldt University of Berlin; Charite Universitatsmedizin Berlin</t>
  </si>
  <si>
    <t>Platz, T (corresponding author), FU Berlin, Klin Berlin, UKBF, Abt Neurol Rehabil, Kladower Damm 223, D-14089 Berlin, Germany.</t>
  </si>
  <si>
    <t>Platz, Thomas/AGF-9881-2022</t>
  </si>
  <si>
    <t>Platz, Thomas/0000-0003-2629-9744</t>
  </si>
  <si>
    <t>233 SPRING ST, NEW YORK, NY 10013 USA</t>
  </si>
  <si>
    <t>0028-2804</t>
  </si>
  <si>
    <t>Nervenarzt</t>
  </si>
  <si>
    <t>OCT</t>
  </si>
  <si>
    <t>10.1007/s00115-003-1549-7</t>
  </si>
  <si>
    <t>Clinical Neurology; Psychiatry</t>
  </si>
  <si>
    <t>Neurosciences &amp; Neurology; Psychiatry</t>
  </si>
  <si>
    <t>741DG</t>
  </si>
  <si>
    <t>WOS:000186443000002</t>
  </si>
  <si>
    <t>Pinter, MM; Brainin, M</t>
  </si>
  <si>
    <t>Pinter, Michaela M.; Brainin, Michael</t>
  </si>
  <si>
    <t>Rehabilitation after stroke in older people</t>
  </si>
  <si>
    <t>MATURITAS</t>
  </si>
  <si>
    <t>Rehabilitation; Stroke; Older and elderly people</t>
  </si>
  <si>
    <t>INDUCED MOVEMENT THERAPY; ROBOT-ASSISTED THERAPY; UPPER-LIMB; VIRTUAL-REALITY; COGNITIVE IMPAIRMENT; ISCHEMIC-STROKE; RECOVERY; INTERVENTIONS; ARM; PHYSIOTHERAPY</t>
  </si>
  <si>
    <t>Stroke is a leading cause of disability and therefore rehabilitation is a major part of patient care. Most interventions do not target aged patient but there is unequivocal evidence to promote rehabilitation in multidisciplinary stroke units or integrated care of a multidisciplinary team in the community. Most research has focused on the effect of interventions on recovery in different forms of impairment and disability. The most promising options for motor recovery of the arm include constraint-induced movement therapy and robotic-assisted strategies. Interventions to improve postural stability and gait include fitness training, high-intensity therapy, and repetitive-task training. However, information about the clinical effect of various strategies of cognitive rehabilitation and strategies for aphasia and dysarthria is scarce. Several large trials of rehabilitation practice are underway to test these interventions in the elderly, either alone or in combination with early mobilisation, cardiorespiratory fitness training and physical exercise. (C) 2011 Elsevier Ireland Ltd. All rights reserved.</t>
  </si>
  <si>
    <t>[Pinter, Michaela M.; Brainin, Michael] Danube Univ Krems, Dept Clin Neurosci &amp; Prevent Med, A-3500 Krems, Austria</t>
  </si>
  <si>
    <t>Danube University Krems</t>
  </si>
  <si>
    <t>Pinter, MM (corresponding author), Danube Univ Krems, Dept Clin Neurosci &amp; Prevent Med, Dr Karl Dorrek Str 30, A-3500 Krems, Austria.</t>
  </si>
  <si>
    <t>michaela.pinter@donau-uni.ac.at</t>
  </si>
  <si>
    <t>Brainin, Michael/KYP-2330-2024</t>
  </si>
  <si>
    <t>Pinter, Michaela/0000-0002-0982-2954</t>
  </si>
  <si>
    <t>ELSEVIER IRELAND LTD</t>
  </si>
  <si>
    <t>CLARE</t>
  </si>
  <si>
    <t>ELSEVIER HOUSE, BROOKVALE PLAZA, EAST PARK SHANNON, CO, CLARE, 00000, IRELAND</t>
  </si>
  <si>
    <t>0378-5122</t>
  </si>
  <si>
    <t>1873-4111</t>
  </si>
  <si>
    <t>Maturitas</t>
  </si>
  <si>
    <t>10.1016/j.maturitas.2011.11.011</t>
  </si>
  <si>
    <t>Geriatrics &amp; Gerontology; Obstetrics &amp; Gynecology</t>
  </si>
  <si>
    <t>899MF</t>
  </si>
  <si>
    <t>WOS:000300819300004</t>
  </si>
  <si>
    <t>Shah, MF; Hussain, S; Goecke, R; Jamwal, PK</t>
  </si>
  <si>
    <t>Shah, Muhammad F.; Hussain, Shahid; Goecke, Roland; Jamwal, Prashant K.</t>
  </si>
  <si>
    <t>Mechanism Design and Control of Shoulder Rehabilitation Robots: A Review</t>
  </si>
  <si>
    <t>IEEE TRANSACTIONS ON MEDICAL ROBOTICS AND BIONICS</t>
  </si>
  <si>
    <t>Index Terms-Stroke; shoulder orthosis; mechanism; end effec-tor; exoskeletons; actuators; control strategy</t>
  </si>
  <si>
    <t>UPPER-LIMB EXOSKELETON; ARM EXOSKELETON; ACTUATED EXOSKELETON; ELBOW EXOSKELETON; STROKE; ORTHOSIS; COMPLIANT; MUSCLE; BODY; SYSTEMS</t>
  </si>
  <si>
    <t>Neurological injuries are one of the main reasons for the loss of functional mobility in humans. Compromised functionalities may include restrictions in the shoulder's range of motion. Robotic devices, used for the physical therapy of shoulder, have different mechanism designs and control strategies. The aim of this paper is to provide a detailed review of different mechanisms used in shoulder rehabilitation robots as well as their control strategies. Shoulder robot mechanisms are grouped based on their actuating systems, namely, cable-driven shoulder rehabilitation mechanisms and power-driven mechanisms. The actuation systems considered during this study include electrical actuators, pneumatic actuators, series elastic actuators, and pneumatic muscle actuators. Experimental evaluation and validation of previous shoulder rehabilitation robots is also discussed citing their constraints and limitations. Safety aspects of existing shoulder robots have also been discussed. This paper also presents the advantages and disadvantages of previously proposed shoulder rehabilitation robots, their actuation, and control strategies and concludes by presenting future challenges and pathways.</t>
  </si>
  <si>
    <t>[Shah, Muhammad F.; Hussain, Shahid; Goecke, Roland] Univ Canberra, Fac Sci &amp; Technol, Human Ctr Technol Res Ctr, Canberra, ACT 2617, Australia; [Jamwal, Prashant K.] Nazarbayev Univ, Dept Elect &amp; Comp Engn, Astana 010000, Kazakhstan</t>
  </si>
  <si>
    <t>University of Canberra; Nazarbayev University</t>
  </si>
  <si>
    <t>Shah, MF (corresponding author), Univ Canberra, Fac Sci &amp; Technol, Human Ctr Technol Res Ctr, Canberra, ACT 2617, Australia.</t>
  </si>
  <si>
    <t>Faizan.shah@canberra.edu.au; shahid.hussain@canberra.edu.au; roland.goecke@ieee.org; prashant.jamwal@nu.edu.kz</t>
  </si>
  <si>
    <t>JAMWAL, PRASHANT/AAQ-7638-2020; Goecke, Roland/F-7499-2013</t>
  </si>
  <si>
    <t>hussain, shahid/0000-0002-4352-0212; Shah, Muhammad Faizan/0000-0001-8558-0208; Goecke, Roland/0000-0003-2279-7041</t>
  </si>
  <si>
    <t>UC HDR Scholarship - University of Canberra, Australia; Australian Government Research Training Program</t>
  </si>
  <si>
    <t>UC HDR Scholarship - University of Canberra, Australia; Australian Government Research Training Program(Australian Government)</t>
  </si>
  <si>
    <t>The work of Muhammad F. Shah was supported by the UC HDR Scholarship funded by the University of Canberra, Australia, and the Australian Government Research Training Program.</t>
  </si>
  <si>
    <t>2576-3202</t>
  </si>
  <si>
    <t>IEEE T MED ROBOT BIO</t>
  </si>
  <si>
    <t>IEEE Trans. Med. Robotics Bionics</t>
  </si>
  <si>
    <t>10.1109/TMRB.2023.3310086</t>
  </si>
  <si>
    <t>Engineering, Biomedical; Robotics</t>
  </si>
  <si>
    <t>Engineering; Robotics</t>
  </si>
  <si>
    <t>Y4RQ7</t>
  </si>
  <si>
    <t>WOS:001105153800024</t>
  </si>
  <si>
    <t>Aliman, N; Ramli, R; Amiri, MS</t>
  </si>
  <si>
    <t>Aliman, Norazam; Ramli, Rizauddin; Amiri, Mohammad Soleimani</t>
  </si>
  <si>
    <t>Actuators and transmission mechanisms in rehabilitation lower limb exoskeletons: a review</t>
  </si>
  <si>
    <t>BIOMEDICAL ENGINEERING-BIOMEDIZINISCHE TECHNIK</t>
  </si>
  <si>
    <t>actuator; lower limb exoskeleton; power transmission mechanism; rehabilitation; exoskeleton</t>
  </si>
  <si>
    <t>SPINAL-CORD-INJURY; OF-THE-ART; GAIT REHABILITATION; DESIGN; ORTHOSIS; ROBOT; EPIDEMIOLOGY; WORLDWIDE; MOVEMENT; COMPACT</t>
  </si>
  <si>
    <t>Research has shown that rehabilitation lower limb exoskeletons (RLLEs) are effective tools for improving recovery or regaining lower limb function. This device interacts with the limbs of patients. Thus, actuators and power transmission mechanisms are the key factors in determining smooth human-machine interaction and comfort in physical therapy activities. A multitude of distinct technologies have been proposed. However, we questioned which consideration point in actuator selection and power transmission mechanisms are used for RLLE. A review of the technical characteristics and status of advanced RLLE designs is discussed. We review actuator selection for RLLE devices. Furthermore, the power transmission mechanisms over the years within each of the RLLE devices are presented. The development issues and possible research directions related to actuators and power transmission mechanisms are provided. Most RLLEs are still in the research phase, and only a few have been commercialized. The aim of this paper is to provide researchers with useful information for investigating technological progress and highlight the latest technological choices in RLLE development.</t>
  </si>
  <si>
    <t>[Ramli, Rizauddin] Univ Kebangsaan Malaysia, Fac Engn &amp; Built Environm, Dept Mech &amp; Mfg Engn, Bangi 43600, Selangor, Malaysia; [Aliman, Norazam] Politeknik Sultan Azlan Shah, Dept Mech Engn, Behrang, Perak, Malaysia; [Amiri, Mohammad Soleimani] Univ Teknikal Malaysia, Fac Ind &amp; Mfg Technol &amp; Engn, Dept Mfg Engn Technol, Melaka, Malaysia</t>
  </si>
  <si>
    <t>Universiti Kebangsaan Malaysia; University Teknikal Malaysia Melaka</t>
  </si>
  <si>
    <t>Ramli, R (corresponding author), Univ Kebangsaan Malaysia, Fac Engn &amp; Built Environm, Dept Mech &amp; Mfg Engn, Bangi 43600, Selangor, Malaysia.</t>
  </si>
  <si>
    <t>rizauddin@ukm.edu.my</t>
  </si>
  <si>
    <t>Ramli, Rizauddin/E-2471-2017; Amiri, Mohammad/AAS-4700-2020; Ramli, Rizauddin/N-9976-2013</t>
  </si>
  <si>
    <t>Ramli, Rizauddin/0000-0002-5907-3736</t>
  </si>
  <si>
    <t>Politeknik Sultan Azlan Shah (PSAS), Uniiversiti Kebangsaan Malaysia (UKM) for the financial support received under Dana Impak Perdana Research; Universiti Kebangsaan Malaysia (UKM) [DIP-2022-005]; Dana Impak Perdana Research Grant</t>
  </si>
  <si>
    <t>Politeknik Sultan Azlan Shah (PSAS), Uniiversiti Kebangsaan Malaysia (UKM) for the financial support received under Dana Impak Perdana Research; Universiti Kebangsaan Malaysia (UKM); Dana Impak Perdana Research Grant</t>
  </si>
  <si>
    <t>This work was supported by Politeknik Sultan Azlan Shah (PSAS). The authors are also thankful to the Universiti Kebangsaan Malaysia (UKM) for the financial support received under Dana Impak Perdana Research Grant DIP-2022-005.</t>
  </si>
  <si>
    <t>WALTER DE GRUYTER GMBH</t>
  </si>
  <si>
    <t>BERLIN</t>
  </si>
  <si>
    <t>GENTHINER STRASSE 13, D-10785 BERLIN, GERMANY</t>
  </si>
  <si>
    <t>0013-5585</t>
  </si>
  <si>
    <t>1862-278X</t>
  </si>
  <si>
    <t>BIOMED ENG-BIOMED TE</t>
  </si>
  <si>
    <t>Biomed. Eng.-Biomed. Tech.</t>
  </si>
  <si>
    <t>AUG 27</t>
  </si>
  <si>
    <t>10.1515/bmt-2022-0262</t>
  </si>
  <si>
    <t>JAN 2024</t>
  </si>
  <si>
    <t>Engineering, Biomedical; Medical Informatics</t>
  </si>
  <si>
    <t>Engineering; Medical Informatics</t>
  </si>
  <si>
    <t>A5U6P</t>
  </si>
  <si>
    <t>WOS:001155107300001</t>
  </si>
  <si>
    <t>Rahman, S; Sarker, S; Haque, AKMN; Uttsha, MM; Islam, MF; Deb, S</t>
  </si>
  <si>
    <t>Rahman, Sejuti; Sarker, Sujan; Haque, A. K. M. Nadimul; Uttsha, Monisha Mushtary; Islam, Md Fokhrul; Deb, Swakshar</t>
  </si>
  <si>
    <t>AI-Driven Stroke Rehabilitation Systems and Assessment: A Systematic Review</t>
  </si>
  <si>
    <t>Robots; Stroke (medical condition); Medical treatment; Statistical analysis; Games; Exoskeletons; Costs; Automated stroke rehabilitation; VR-aided rehabilitation; robot-assisted rehabilitation; data-driven assessment; deep learning</t>
  </si>
  <si>
    <t>RANDOMIZED CONTROLLED-TRIAL; HYBRID ASSISTIVE LIMB; PHYSICAL REHABILITATION; EXERCISE RECOGNITION; RELIABILITY; THERAPY; SCALE; ARM; MULTICENTER; VALIDITY</t>
  </si>
  <si>
    <t>Post-stroke therapy restores lost skills. Traditionally, patients are supported by skilled therapists who monitor their progress and evaluate the program's effectiveness. Due to a shortage of qualified therapists, rehabilitation facilities are both expensive and inadequate. Furthermore, evaluations may be subjective and prone to errors. These limitations motivate the researchers to devise automated systems with minimal human intervention, therapist-like assessment, and broader outreach. This article reviews seminal works from 2013 onwards, qualitatively and quantitatively adapting the PRISMA approach to examine the potential of robot-assisted, virtual reality-based rehabilitation and automated assessments through data-driven learning. Extensive experimentation on KIMORE and UI-PRMD datasets reveal high agreement between automated methods and therapists. Our investigation shows that deep learning with spatio-temporal skeleton data and dynamic attention outperforms others, with an RMSE as low as 0.55. Fully automated rehabilitation is still in development, but, being an active research topic, it could hasten objective assessment and improve outreach.</t>
  </si>
  <si>
    <t>[Rahman, Sejuti; Sarker, Sujan; Haque, A. K. M. Nadimul; Uttsha, Monisha Mushtary; Islam, Md Fokhrul; Deb, Swakshar] Univ Dhaka, Dept Robot &amp; Mechatron Engn, Dhaka 1000, Bangladesh</t>
  </si>
  <si>
    <t>University of Dhaka</t>
  </si>
  <si>
    <t>Rahman, S (corresponding author), Univ Dhaka, Dept Robot &amp; Mechatron Engn, Dhaka 1000, Bangladesh.</t>
  </si>
  <si>
    <t>sejuti.rahman@du.ac.bd</t>
  </si>
  <si>
    <t>Sarker, Sujan/JWP-4582-2024</t>
  </si>
  <si>
    <t>Islam, Md Fokhrul/0000-0002-0031-4937; Haque, A.K.M. Nadimul/0000-0001-8725-4385; Uttsha, Monisha Mushtary/0000-0002-9519-8608</t>
  </si>
  <si>
    <t>Innovation Fund of ICT Division; Ministry of Posts; Telecommunications and Information Technology, Government of Bangladesh; Centennial Research Grant, University of Dhaka</t>
  </si>
  <si>
    <t>Manuscript received 28 June 2022; revised 7 October 2022; accepted 25 October 2022. Date of publication 3 November 2022; date of current version 30 January 2023. This work was supported in part by the Innovation Fund of ICT Division, Ministry of Posts, Telecommunications and Information Technology, Government of Bangladesh; and in part by the Centennial Research Grant, University of Dhaka. (Corresponding author: Sejuti Rahman.)</t>
  </si>
  <si>
    <t>10.1109/TNSRE.2022.3219085</t>
  </si>
  <si>
    <t>D0ZP1</t>
  </si>
  <si>
    <t>WOS:000966095700001</t>
  </si>
  <si>
    <t>Park, YH; Lee, DH; Lee, JH</t>
  </si>
  <si>
    <t>Park, Yong-Hwa; Lee, Dae-Hwan; Lee, Jung-Ho</t>
  </si>
  <si>
    <t>A Comprehensive Review: Robot-Assisted Treatments for Gait Rehabilitation in Stroke Patients</t>
  </si>
  <si>
    <t>robot; stroke; gait; rehabilitation; physical therapy</t>
  </si>
  <si>
    <t>VIRTUAL-REALITY; BALANCE</t>
  </si>
  <si>
    <t>Robot-assisted gait training (RAGT) is at the cutting edge of stroke rehabilitation, offering a groundbreaking method to improve motor recovery and enhance the quality of life for stroke survivors. This review investigates the effectiveness and application of various RAGT systems, including both end-effector and exoskeleton robots, in facilitating gait enhancements. The selection process for this comprehensive analysis involved a meticulous review of the literature from databases such as PubMed, the Cochrane Library, and EMBASE, focusing on studies published between 2018 and 2023. Ultimately, 27 studies met the criteria and were included in the final analysis. The focus of these studies was on the various RAGT systems and their role in promoting gait and balance improvements. The results of these studies conclusively show that patients experience significant positive effects from RAGT, and when combined with other physiotherapy methods, the outcomes are notably superior in enhancing functional ambulation and motor skills. This review emphasizes RAGT's capability to deliver a more customized and effective rehabilitation experience, highlighting the importance of tailoring interventions to meet the specific needs of each patient.</t>
  </si>
  <si>
    <t>[Park, Yong-Hwa; Lee, Dae-Hwan] Immanuel Med Rehabil Hosp, 2140,Cheongnam Ro, Cheongju 28702, South Korea; [Lee, Jung-Ho] Univ Kyungdong, Dept Phys Therapy, 815 Gyeonhwon Ro, Wonju 26495, South Korea</t>
  </si>
  <si>
    <t>Lee, JH (corresponding author), Univ Kyungdong, Dept Phys Therapy, 815 Gyeonhwon Ro, Wonju 26495, South Korea.</t>
  </si>
  <si>
    <t>rmsid0245@naver.com; dhlee8510@naver.com; ljhcivapt@naver.com</t>
  </si>
  <si>
    <t>Kyungdong University Research Fund</t>
  </si>
  <si>
    <t>10.3390/medicina60040620</t>
  </si>
  <si>
    <t>OV0Q9</t>
  </si>
  <si>
    <t>WOS:001209942100001</t>
  </si>
  <si>
    <t>Marín-Medina, DS; Arenas-Vargas, PA; Arias-Botero, JC; Gómez-Vásquez, M; Jaramillo-López, MF; Gaspar-Toro, JM</t>
  </si>
  <si>
    <t>Marin-Medina, Daniel S.; Arenas-Vargas, Paula A.; Arias-Botero, Juan C.; Gomez-Vasquez, Manuela; Jaramillo-Lopez, Manuel F.; Gaspar-Toro, Jorge M.</t>
  </si>
  <si>
    <t>New approaches to recovery after stroke</t>
  </si>
  <si>
    <t>Neuronal plasticity; Biomedical technology; Rehabilitation; Stroke; Stroke rehabilitation</t>
  </si>
  <si>
    <t>DIRECT-CURRENT STIMULATION; LOW-FREQUENCY RTMS; VIRTUAL-REALITY; STEM-CELLS; MAGNETIC STIMULATION; MOTOR RECOVERY; REHABILITATION; BALANCE; NEUROGENESIS; IMPACT</t>
  </si>
  <si>
    <t>After a stroke, several mechanisms of neural plasticity can be activated, which may lead to significant recovery. Rehabilitation therapies aim to restore surviving tissue over time and reorganize neural connections. With more patients surviving stroke with varying degrees of neurological impairment, new technologies have emerged as a promising option for better functional outcomes. This review explores restorative therapies based on brain-computer interfaces, robot-assisted and virtual reality, brain stimulation, and cell therapies. Brain-computer interfaces allow for the translation of brain signals into motor patterns. Robot-assisted and virtual reality therapies provide interactive interfaces that simulate real-life situations and physical support to compensate for lost motor function. Brain stimulation can modify the electrical activity of neurons in the affected cortex. Cell therapy may promote regeneration in damaged brain tissue. Taken together, these new approaches could substantially benefit specific deficits such as arm-motor control and cognitive impairment after stroke, and even the chronic phase of recovery, where traditional rehabilitation methods may be limited, and the window for repair is narrow.</t>
  </si>
  <si>
    <t>[Marin-Medina, Daniel S.; Arenas-Vargas, Paula A.; Arias-Botero, Juan C.; Gomez-Vasquez, Manuela; Jaramillo-Lopez, Manuel F.; Gaspar-Toro, Jorge M.] Univ Nacl Colombia, Neurol Unit, Grp Invest NeuroUnal, Bogota, Colombia</t>
  </si>
  <si>
    <t>Universidad Nacional de Colombia</t>
  </si>
  <si>
    <t>Marín-Medina, DS (corresponding author), Univ Nacl Colombia, Neurol Unit, Grp Invest NeuroUnal, Bogota, Colombia.</t>
  </si>
  <si>
    <t>dmarinme@unal.edu.co</t>
  </si>
  <si>
    <t>Gaspar Toro, Jorge Mario/AGW-6669-2022</t>
  </si>
  <si>
    <t>Gaspar Toro, Jorge Mario/0000-0002-5244-6747; Marin Medina, Daniel Stiven/0000-0002-9077-6309; Arenas, Paula/0000-0002-1076-5600; Jaramillo Lopez, Manuel Felipe/0009-0004-9567-2666; Arias Botero, Juan Camilo/0000-0003-0281-5687</t>
  </si>
  <si>
    <t>Colombia Consortium Ow</t>
  </si>
  <si>
    <t>Open Access funding provided by Colombia Consortium Own of the authors.</t>
  </si>
  <si>
    <t>10.1007/s10072-023-07012-3</t>
  </si>
  <si>
    <t>SEP 2023</t>
  </si>
  <si>
    <t>LL7M7</t>
  </si>
  <si>
    <t>WOS:001065080000001</t>
  </si>
  <si>
    <t>Castaño, CM; Penagos, P; Jaramillo, BY</t>
  </si>
  <si>
    <t>Castano, C. Meneses; Penagos, P.; Jaramillo, B. Yamile</t>
  </si>
  <si>
    <t>Effectiveness of robotic technology and virtual reality for the rehabilitation of motor function in cerebral palsy. Systematic review</t>
  </si>
  <si>
    <t>REHABILITACION</t>
  </si>
  <si>
    <t>Spanish</t>
  </si>
  <si>
    <t>Motor function; Cerebral palsy; Virtual reality; Rehabilitation; Robotic rehabilitation</t>
  </si>
  <si>
    <t>UPPER-LIMB FUNCTION; CONVENTIONAL THERAPY; WALKING ABILITIES; VIDEO GAMES; CHILDREN; GAIT; BALANCE; PILOT; PERFORMANCE; INFANTS</t>
  </si>
  <si>
    <t>Introduction: Cerebral palsy (CP) is a health condition secondary to non-progressive damage that occurs during brain development in the fetal or infant stage. To evaluate the effectiveness of robotic technology and virtual reality on motor function in patients with CP compared to conventional rehabilitation strategies such as physical therapy, occupational therapy, neurodevelopmental intervention, and transcranial stimulation. A review of randomized controlled trials of the last 5 years was carried out. For the evaluation of the methodological quality of the included studies, the PEDro scale was used, with evaluation of the level of evidence and degree of recommendation according to the Oxford classification. Results: Seventeen articles met the eligibility criteria. Robotic technology and virtual reality proved to be effective in improving motor function, manual skills, and visual-perceptual skills in patients with CP, compared to the use of conventional rehabilitation strategies. (c) 2022 Sociedad Espanola de Rehabilitacion y Medicina F &amp; imath;sica. Published by Elsevier Espana, S.L.U. All rights reserved.</t>
  </si>
  <si>
    <t>[Castano, C. Meneses; Penagos, P.; Jaramillo, B. Yamile] Escuela Colombiana Rehabil, Bogota, Cundinamarca, Colombia</t>
  </si>
  <si>
    <t>Castaño, CM (corresponding author), Escuela Colombiana Rehabil, Bogota, Cundinamarca, Colombia.</t>
  </si>
  <si>
    <t>cyndi.meneses@ecr.edu.co</t>
  </si>
  <si>
    <t>0048-7120</t>
  </si>
  <si>
    <t>1578-3278</t>
  </si>
  <si>
    <t>Rehabilitacion</t>
  </si>
  <si>
    <t>JUL-SEP</t>
  </si>
  <si>
    <t>10.1016/j.rh.2022.07.001</t>
  </si>
  <si>
    <t>K5L4V</t>
  </si>
  <si>
    <t>WOS:001344285100002</t>
  </si>
  <si>
    <t>Falkowski, P; Osiak, T; Wilk, J; Prokopiuk, N; Leczkowski, B; Pilat, Z; Rzymkowski, C</t>
  </si>
  <si>
    <t>Falkowski, Piotr; Osiak, Tomasz; Wilk, Julia; Prokopiuk, Norbert; Leczkowski, Bazyli; Pilat, Zbigniew; Rzymkowski, Cezary</t>
  </si>
  <si>
    <t>Study on the Applicability of Digital Twins for Home Remote Motor Rehabilitation</t>
  </si>
  <si>
    <t>SENSORS</t>
  </si>
  <si>
    <t>digital twin; exoskeletons; home rehabilitation; human-machine interaction; IoT; motor therapy; robot-aided rehabilitation; remote treatment</t>
  </si>
  <si>
    <t>SYSTEMS; ARM</t>
  </si>
  <si>
    <t>The COVID-19 pandemic created the need for telerehabilitation development, while Industry 4.0 brought the key technology. As motor therapy often requires the physical support of a patient's motion, combining robot-aided workouts with remote control is a promising solution. This may be realised with the use of the device's digital twin, so as to give it an immersive operation. This paper presents an extensive overview of this technology's applications within the fields of industry and health. It is followed by the in-depth analysis of needs in rehabilitation based on questionnaire research and bibliography review. As a result of these sections, the original concept of controlling a rehabilitation exoskeleton via its digital twin in the virtual reality is presented. The idea is assessed in terms of benefits and significant challenges regarding its application in real life. The presented aspects prove that it may be potentially used for manual remote kinesiotherapy, combined with the safety systems predicting potentially harmful situations. The concept is universally applicable to rehabilitation robots.</t>
  </si>
  <si>
    <t>[Falkowski, Piotr; Wilk, Julia; Leczkowski, Bazyli; Pilat, Zbigniew] Ind Res Inst Automation &amp; Measurements PIAP, Lukasiewicz Res Network, PL-02486 Warsaw, Poland; [Falkowski, Piotr; Wilk, Julia; Prokopiuk, Norbert; Leczkowski, Bazyli; Rzymkowski, Cezary] Warsaw Univ Technol, Inst Aeronaut &amp; Appl Mech, Fac Power &amp; Aeronaut Engn, PL-00665 Warsaw, Poland; [Osiak, Tomasz] Jozef Pilsudski Univ Phys Educ Warsaw, Fac Rehabil, Chair Clin Physiotherapy, PL-00809 Warsaw, Poland</t>
  </si>
  <si>
    <t>Warsaw University of Technology; Jozef Pilsudski University Physical Education in Warsaw</t>
  </si>
  <si>
    <t>Falkowski, P (corresponding author), Ind Res Inst Automation &amp; Measurements PIAP, Lukasiewicz Res Network, PL-02486 Warsaw, Poland.;Falkowski, P (corresponding author), Warsaw Univ Technol, Inst Aeronaut &amp; Appl Mech, Fac Power &amp; Aeronaut Engn, PL-00665 Warsaw, Poland.</t>
  </si>
  <si>
    <t>piotr.falkowski@piap.lukasiewicz.gov.pl</t>
  </si>
  <si>
    <t>Falkowski, Piotr/ADS-7616-2022</t>
  </si>
  <si>
    <t>Pilat, Zbigniew/0000-0002-4553-1695; Wilk, Julia/0000-0003-4068-098X; Osiak, Tomasz/0009-0000-1388-4667; Falkowski, Piotr/0000-0002-9436-5566; Rzymkowski, Cezary/0000-0003-1131-8113; Prokopiuk, Norbert/0000-0002-3236-7072; Leczkowski, Bazyli/0000-0002-2193-4799</t>
  </si>
  <si>
    <t>1424-8220</t>
  </si>
  <si>
    <t>SENSORS-BASEL</t>
  </si>
  <si>
    <t>Sensors</t>
  </si>
  <si>
    <t>10.3390/s23020911</t>
  </si>
  <si>
    <t>Chemistry, Analytical; Engineering, Electrical &amp; Electronic; Instruments &amp; Instrumentation</t>
  </si>
  <si>
    <t>Chemistry; Engineering; Instruments &amp; Instrumentation</t>
  </si>
  <si>
    <t>8Q3HF</t>
  </si>
  <si>
    <t>WOS:000927101000001</t>
  </si>
  <si>
    <t>Meimoun, M; Bayle, N; Baude, M; Gracies, JM</t>
  </si>
  <si>
    <t>Meimoun, M.; Bayle, N.; Baude, M.; Gracies, J. -M.</t>
  </si>
  <si>
    <t>Intensity in the neurorehabilitation of spastic paresis</t>
  </si>
  <si>
    <t>Stroke; Hemiparesis; Brain plasticity; Intensity; Reeducation</t>
  </si>
  <si>
    <t>INDUCED MOVEMENT THERAPY; ROBOT-ASSISTED THERAPY; INPATIENT STROKE REHABILITATION; UPPER-LIMB NEUROREHABILITATION; RANDOMIZED CONTROLLED-TRIAL; AUGMENTED EXERCISE THERAPY; BOBATH CONCEPT; MOTOR RECOVERY; ARM FUNCTION; HEMIPARETIC STROKE</t>
  </si>
  <si>
    <t>Neurorestoration of motor command in spastic paresis requires a double action of stimulation and guidance of central nervous system plasticity. Beyond drug therapies, electrical stimulation and cell therapies, which may stimulate plasticity without precisely guiding it, two interventions seem capable of driving plasticity with a double stimulation and guidance component: the lesion itself (lesion-induced plasticity) and durable behavior modifications (behavior-induced plasticity). Modern literature makes it clear that the intensity of the neuronal and physical training is a primary condition to foster behavior-induced plasticity. When it comes to working on movement, intensity can be achieved by the combination of two key components, one is the difficulty of the trained movement, the other is the number of repetitions or the daily duration of the practice. A number of recent studies shed light on promising recovery prospects, particularly using the emergence of new technologies such as robot-assisted therapy and concepts such as guided self-rehabilitation contracts. (C) 2014 Elsevier Masson SAS. All rights reserved.</t>
  </si>
  <si>
    <t>[Meimoun, M.; Bayle, N.; Baude, M.; Gracies, J. -M.] Hop Univ Henri Mondor, Serv Reeducat Neurolocomotrice, Lab Anal &amp; Restaurat Mouvement, F-94010 Creteil, France</t>
  </si>
  <si>
    <t>Meimoun, M (corresponding author), Hop Univ Henri Mondor, Serv Reeducat Neurolocomotrice, Lab Anal &amp; Restaurat Mouvement, 51 Ave Marechal De Lattre De Tassigny, F-94010 Creteil, France.</t>
  </si>
  <si>
    <t>moranemeimoun@hotmail.com</t>
  </si>
  <si>
    <t>Baude, Marjolaine/0000-0001-9967-0319</t>
  </si>
  <si>
    <t>10.1016/j.neurol.2014.09.011</t>
  </si>
  <si>
    <t>CF5BH</t>
  </si>
  <si>
    <t>WOS:000352569200005</t>
  </si>
  <si>
    <t>Jamwal, PK; Hussain, S; Xie, SQ</t>
  </si>
  <si>
    <t>Jamwal, Prashant K.; Hussain, Shahid; Xie, Sheng Q.</t>
  </si>
  <si>
    <t>Review on design and control aspects of ankle rehabilitation robots</t>
  </si>
  <si>
    <t>Ankle rehabilitation robot; fuzzy logic based controller; parallel mechanisms; pneumatic muscle actuators</t>
  </si>
  <si>
    <t>FOOT ORTHOSIS; DISTURBANCE OBSERVER; ROBUST-CONTROL; GAIT; COMPLIANT; SYSTEM; COMPENSATION; ACTIVATION; STRATEGIES; STABILITY</t>
  </si>
  <si>
    <t>Ankle rehabilitation robots can play an important role in improving outcomes of the rehabilitation treatment by assisting therapists and patients in number of ways. Consequently, few robot designs have been proposed by researchers which fall under either of the two categories, namely, wearable robots or platform-based robots. This paper presents a review of both kinds of ankle robots along with a brief analysis of their design, actuation and control approaches. While reviewing these designs it was observed that most of them are undesirably inspired by industrial robot designs. Taking note of the design concerns of current ankle robots, few improvements in the ankle robot designs have also been suggested. Conventional position control or force control approaches, being used in the existing ankle robots, have been reviewed. Apparently, opportunities of improvement also exist in the actuation as well as control of ankle robots. Subsequently, a discussion on most recent research in the development of novel actuators and advanced controllers based on appropriate physical and cognitive human-robot interaction has also been included in this review.</t>
  </si>
  <si>
    <t>[Jamwal, Prashant K.] Rajasthan Tech Univ, Dept Mech Engn, Kota, India; [Hussain, Shahid] Nazarbayev Univ, Dept Robot &amp; Mech, Astana, Kazakhstan; [Xie, Sheng Q.] Univ Auckland, Dept Mech Engn, Auckland, New Zealand</t>
  </si>
  <si>
    <t>Rajasthan Technical University; Nazarbayev University; University of Auckland</t>
  </si>
  <si>
    <t>Hussain, S (corresponding author), Nazarbayev Univ, Dept Robot, Astana, Kazakhstan.</t>
  </si>
  <si>
    <t>shahid.hussain@nu.edu.kz</t>
  </si>
  <si>
    <t>Hussain, Shahid/AAP-5065-2021; JAMWAL, PRASHANT/AAQ-7638-2020; Xie, Sheng/AAU-3957-2021</t>
  </si>
  <si>
    <t>Jamwal, Prashant/0000-0002-1330-6186; Xie, Sheng Quan/0000-0003-2641-2620</t>
  </si>
  <si>
    <t>Faculty of Engineering, The University of Auckland, New Zealand</t>
  </si>
  <si>
    <t>The authors declare no conflict of interest. The authors would like to acknowledge the support of the Faculty Research Development Fund from the Faculty of Engineering, The University of Auckland, New Zealand. Ethics approval is not required for the presented work.</t>
  </si>
  <si>
    <t>10.3109/17483107.2013.866986</t>
  </si>
  <si>
    <t>V07OI</t>
  </si>
  <si>
    <t>WOS:000214016700001</t>
  </si>
  <si>
    <t>Oña, ED; Garcia-Haro, JM; Jardón, A; Balaguer, C</t>
  </si>
  <si>
    <t>Ona, Edwin Daniel; Garcia-Haro, Juan Miguel; Jardon, Alberto; Balaguer, Carlos</t>
  </si>
  <si>
    <t>Robotics in Health Care: Perspectives of Robot-Aided Interventions in Clinical Practice for Rehabilitation of Upper Limbs</t>
  </si>
  <si>
    <t>APPLIED SCIENCES-BASEL</t>
  </si>
  <si>
    <t>robotics; neurological; rehabilitation; motor function; upper extremity</t>
  </si>
  <si>
    <t>RUTGERS-MASTER-II; ASSISTED THERAPY; UPPER EXTREMITY; MOVEMENT THERAPY; VIRTUAL-REALITY; HEMIPARETIC ARM; STROKE THERAPY; EXOSKELETON; DESIGN; SYSTEM</t>
  </si>
  <si>
    <t>Robot-aided systems to support the physical rehabilitation of individuals with neurological impairment is one of the fields that has been widely developed in the last few decades. However, the adoption of these systems in clinical practice remains limited. In order to better understanding the causes of this limitation, a systematic review of robot-based systems focused on upper extremity rehabilitation is presented in this paper. A systematic search and review of related articles in the literature were conducted. The chosen works were analyzed according to the type of device, the data analysis capability, the therapy method, the human-robot interaction, the safety strategies, and the focus of treatment. As a conclusion, self-adaptation for personalizing the treatments, safeguarding and enhancing of patient-robot interaction towards training essential factors of movement generation into the same paradigm, or the use of lifelike environments in fully-immersive virtual reality for increasing the assimilation of motor gains could be relevant factors to develop more accepted robot-aided systems in clinical practice.</t>
  </si>
  <si>
    <t>[Ona, Edwin Daniel; Garcia-Haro, Juan Miguel; Jardon, Alberto; Balaguer, Carlos] Univ Carlos III Madrid, Dept Syst Engn &amp; Automat, Avda Univ 30, Leganes 28911, Spain</t>
  </si>
  <si>
    <t>Universidad Carlos III de Madrid</t>
  </si>
  <si>
    <t>Oña, ED (corresponding author), Univ Carlos III Madrid, Dept Syst Engn &amp; Automat, Avda Univ 30, Leganes 28911, Spain.</t>
  </si>
  <si>
    <t>eona@ing.uc3m.es</t>
  </si>
  <si>
    <t>JARDON HUETE, ALBERTO/E-4906-2010; GARCIA HARO, JUAN MIGUEL/F-3449-2016; Ona Simbana, Edwin Daniel/F-1999-2016</t>
  </si>
  <si>
    <t>GARCIA HARO, JUAN MIGUEL/0000-0002-3160-6553; BALAGUER, CARLOS/0000-0003-4864-4625; Ona Simbana, Edwin Daniel/0000-0003-0791-860X</t>
  </si>
  <si>
    <t>Spanish Ministry of Economy and Competitiveness [DPI2017-87562-C2-1-R]; RoboCity2030-DIH-CMMadrid Robotics Digital Innovation Hub (Robotica aplicada a la mejora de la calidad de vida de los ciudadanos, Fase IV) [S2018/NMT-4331]; Programas de Actividades I + DComunidad de Madrid; EU</t>
  </si>
  <si>
    <t>Spanish Ministry of Economy and Competitiveness(Spanish Government); RoboCity2030-DIH-CMMadrid Robotics Digital Innovation Hub (Robotica aplicada a la mejora de la calidad de vida de los ciudadanos, Fase IV); Programas de Actividades I + DComunidad de Madrid; EU(European Union (EU))</t>
  </si>
  <si>
    <t>This work was supported in part by the Spanish Ministry of Economy and Competitiveness via the ROBOESPASproject (DPI2017-87562-C2-1-R) and in part by the RoboCity2030-DIH-CMMadrid Robotics Digital Innovation Hub (Robotica aplicada a la mejora de la calidad de vida de los ciudadanos, Fase IV; S2018/NMT-4331), which is funded by the Programas de Actividades I + DComunidad de Madrid and cofunded by the Structural Funds of the EU.</t>
  </si>
  <si>
    <t>2076-3417</t>
  </si>
  <si>
    <t>APPL SCI-BASEL</t>
  </si>
  <si>
    <t>Appl. Sci.-Basel</t>
  </si>
  <si>
    <t>JUL 1</t>
  </si>
  <si>
    <t>10.3390/app9132586</t>
  </si>
  <si>
    <t>Chemistry, Multidisciplinary; Engineering, Multidisciplinary; Materials Science, Multidisciplinary; Physics, Applied</t>
  </si>
  <si>
    <t>Chemistry; Engineering; Materials Science; Physics</t>
  </si>
  <si>
    <t>IL1AS</t>
  </si>
  <si>
    <t>gold, Green Submitted</t>
  </si>
  <si>
    <t>WOS:000477031900007</t>
  </si>
  <si>
    <t>Tsur, EE; Elkana, O</t>
  </si>
  <si>
    <t>Ezra Tsur, Elishai; Elkana, Odelia</t>
  </si>
  <si>
    <t>Intelligent Robotics in Pediatric Cooperative Neurorehabilitation: A Review</t>
  </si>
  <si>
    <t>ROBOTICS</t>
  </si>
  <si>
    <t>intelligent robotics; neurorehabilitation; artificial intelligence (AI); pediatric neurorehabilitation; assistive robotics; personalized rehabilitation; cognitive training; social robotics; adaptive behavior; responsible AI</t>
  </si>
  <si>
    <t>DEEP LEARNING FRAMEWORK; CEREBRAL-PALSY; REHABILITATION; CHILDREN; MOBILITY; AUTISM; CLASSIFICATION; EXOSKELETON; CHALLENGES; NETWORKS</t>
  </si>
  <si>
    <t>The landscape of neurorehabilitation is undergoing a profound transformation with the integration of artificial intelligence (AI)-driven robotics. This review addresses the pressing need for advancements in pediatric neurorehabilitation and underscores the pivotal role of AI-driven robotics in addressing existing gaps. By leveraging AI technologies, robotic systems can transcend the limitations of preprogrammed guidelines and adapt to individual patient needs, thereby fostering patient-centric care. This review explores recent strides in social and diagnostic robotics, physical therapy, assistive robotics, smart interfaces, and cognitive training within the context of pediatric neurorehabilitation. Furthermore, it examines the impact of emerging AI techniques, including artificial emotional intelligence, interactive reinforcement learning, and natural language processing, on enhancing cooperative neurorehabilitation outcomes. Importantly, the review underscores the imperative of responsible AI deployment and emphasizes the significance of unbiased, explainable, and interpretable models in fostering adaptability and effectiveness in pediatric neurorehabilitation settings. In conclusion, this review provides a comprehensive overview of the evolving landscape of AI-driven robotics in pediatric neurorehabilitation and offers valuable insights for clinicians, researchers, and policymakers.</t>
  </si>
  <si>
    <t>[Ezra Tsur, Elishai] Open Univ Israel, Dept Math &amp; Comp Sci, Neurobiomorph Engn Lab, IL-4353701 Raanana, Israel; [Elkana, Odelia] Acad Coll Tel Aviv Yafo, Sch Behav Sci, IL-6818211 Tel Aviv Yaffo, Israel</t>
  </si>
  <si>
    <t>Open University Israel</t>
  </si>
  <si>
    <t>Tsur, EE (corresponding author), Open Univ Israel, Dept Math &amp; Comp Sci, Neurobiomorph Engn Lab, IL-4353701 Raanana, Israel.</t>
  </si>
  <si>
    <t>elishai@nbel-lab.com</t>
  </si>
  <si>
    <t>elkana, odelia/AAQ-2266-2021; Ezra Tsur, Elishai/G-4459-2016</t>
  </si>
  <si>
    <t>elkana, odelia/0000-0003-1862-4930; Ezra Tsur, Elishai/0000-0003-1304-8022</t>
  </si>
  <si>
    <t>Open University of Israel</t>
  </si>
  <si>
    <t>The authors would like to thank the students of the Neuro and Biomorphic Engineering Lab at the Open University of Israel for the fruitful discussions.</t>
  </si>
  <si>
    <t>2218-6581</t>
  </si>
  <si>
    <t>10.3390/robotics13030049</t>
  </si>
  <si>
    <t>MH3G3</t>
  </si>
  <si>
    <t>WOS:001192688300001</t>
  </si>
  <si>
    <t>Bockbrader, MA; Francisco, G; Lee, R; Olson, J; Solinsky, R; Boninger, ML</t>
  </si>
  <si>
    <t>Bockbrader, Marcia A.; Francisco, Gerard; Lee, Ray; Olson, Jared; Solinsky, Ryan; Boninger, Michael L.</t>
  </si>
  <si>
    <t>Brain Computer Interfaces in Rehabilitation Medicine</t>
  </si>
  <si>
    <t>PM&amp;R</t>
  </si>
  <si>
    <t>DORSAL-ROOT GANGLION; NEUROMUSCULAR ELECTRICAL-STIMULATION; SPINAL-CORD STIMULATION; CHRONIC STROKE; HAND GRASP; ROBOTIC EXOSKELETONS; MUSCLE STIMULATION; MACHINE INTERFACE; MOTOR IMAGERY; BCI</t>
  </si>
  <si>
    <t>One innovation currently influencing physical medicine and rehabilitation is brainecomputer interface (BCI) technology. BCI systems used for motor control record neural activity associated with thoughts, perceptions, and motor intent; decode brain signals into commands for output devices; and perform the user's intended action through an output device. BCI systems used for sensory augmentation transduce environmental stimuli into neural signals interpretable by the central nervous system. Both types of systems have potential for reducing disability by facilitating a user's interaction with the environment. Investigational BCI systems are being used in the rehabilitation setting both as neuroprostheses to replace lost function and as potential plasticity-enhancing therapy tools aimed at accelerating neurorecovery. Populations benefitting from motor and somatosensory BCI systems include those with spinal cord injury, motor neuron disease, limb amputation, and stroke. This article discusses the basic components of BCI for rehabilitation, including recording systems and locations, signal processing and translation algorithms, and external devices controlled through BCI commands. An overview of applications in motor and sensory restoration is provided, along with ethical questions and user perspectives regarding BCI technology.</t>
  </si>
  <si>
    <t>[Bockbrader, Marcia A.] Ohio State Univ, Dept Phys Med &amp; Rehabil, 480 Med Ctr Dr, Columbus, OH 43210 USA; [Bockbrader, Marcia A.] Ohio State Univ, Wexner Med Ctr, Neurol Inst, Columbus, OH 43210 USA; [Francisco, Gerard] Univ Texas Houston, Dept Phys Med &amp; Rehabil, Houston, TX USA; [Lee, Ray] Univ Chicago, Schwab Rehabil Hosp, Dept Orthopaed &amp; Rehabil, Chicago, IL 60637 USA; [Olson, Jared] Univ Colorado, Dept Phys Med &amp; Rehabil, Aurora, CO USA; [Solinsky, Ryan] Spaulding Rehabil Hosp, Boston, MA USA; [Solinsky, Ryan] Harvard Med Sch, Dept Phys Med &amp; Rehabil, Boston, MA USA; [Boninger, Michael L.] Univ Pittsburgh, Dept Phys Med &amp; Rehabil, Pittsburgh, PA USA; [Boninger, Michael L.] VA Pittsburgh Hlth Care Syst, Pittsburgh, PA USA</t>
  </si>
  <si>
    <t>University System of Ohio; Ohio State University; University System of Ohio; Ohio State University; University of Texas System; University of Texas Health Science Center Houston; University of Chicago; University of Colorado System; University of Colorado Anschutz Medical Campus; Harvard University; Harvard Medical School; Harvard University Medical Affiliates; Spaulding Rehabilitation Hospital; Harvard University; Harvard Medical School; Pennsylvania Commonwealth System of Higher Education (PCSHE); University of Pittsburgh; US Department of Veterans Affairs; Veterans Health Administration (VHA); VA Pittsburgh Healthcare System</t>
  </si>
  <si>
    <t>Bockbrader, MA (corresponding author), Ohio State Univ, Dept Phys Med &amp; Rehabil, 480 Med Ctr Dr, Columbus, OH 43210 USA.</t>
  </si>
  <si>
    <t>MarcieBockbrader@gmail.com</t>
  </si>
  <si>
    <t>Bockbrader, Marcia/J-6203-2013; Olson, Jared/L-7590-2013</t>
  </si>
  <si>
    <t>Boninger, Michael/0000-0001-6966-919X; Olson, Jared/0000-0003-2981-3307</t>
  </si>
  <si>
    <t>Association of Academic Physiatrists Rehabilitation Medicine Scientist Training Program (RMSTP); Ohio State University Department of Physical Medicine Rehabilitation</t>
  </si>
  <si>
    <t>the Association of Academic Physiatrists Rehabilitation Medicine Scientist Training Program (RMSTP) and the Ohio State University Department of Physical Medicine &amp; Rehabilitation.</t>
  </si>
  <si>
    <t>1934-1482</t>
  </si>
  <si>
    <t>1934-1563</t>
  </si>
  <si>
    <t>S233</t>
  </si>
  <si>
    <t>S243</t>
  </si>
  <si>
    <t>10.1016/j.pmrj.2018.05.028</t>
  </si>
  <si>
    <t>GV2NM</t>
  </si>
  <si>
    <t>WOS:000445927400012</t>
  </si>
  <si>
    <t>Dostalova, K; Tomasek, R; Kalova, M; Janura, M; Rosicky, J; Schnitzer, M; Demel, J</t>
  </si>
  <si>
    <t>Dostalova, Kamila; Tomasek, Radek; Kalova, Martina; Janura, Miroslav; Rosicky, Jiri; Schnitzer, Marek; Demel, Jiri</t>
  </si>
  <si>
    <t>Review of ankle rehabilitation devices for treatment of equinus contracture</t>
  </si>
  <si>
    <t>EXPERT REVIEW OF MEDICAL DEVICES</t>
  </si>
  <si>
    <t>Achilles tendon; ankle; ankle foot orthoses; continuous passive motion; equinus contracture; ergometers; leg-press; rehabilitation devices</t>
  </si>
  <si>
    <t>CONTINUOUS PASSIVE MOTION; FOOT ORTHOSIS; DROP-FOOT; GAIT; PERFORMANCE; DEFORMITY; STROKE; FRACTURES; CHILDREN; FEEDBACK</t>
  </si>
  <si>
    <t>Introduction Equinus contracture is a serious disability and attention should be paid to proper and effective treatment. Most attention is given to neurologically impaired patients, but the incidence of equinus contracture is much higher, for example, in post-traumatic patients. In addition to conventional physical therapy, robotic rehabilitation treatment is one of the promising procedures to precede severe contraction cases and the need for surgery. Areas covered This study aims to cover the description of different types of stationary and wearable ankle rehabilitation devices suitable for the treatment of equinus contracture and point to deficiency in research, clinical trials, and launch of the market. Expert opinion This review provides insight into ankle rehabilitation devices with a focus on equinus contracture. Due to the fact that robotic devices successfully restore the condition of patients, attention should not be paid only to those with neurological impairments. This paper points that future research should be effectively linked to clinical practice with the aim of covering a wider range of disabilities and make an effort to successfully introduce devices from development into the practice.</t>
  </si>
  <si>
    <t>[Dostalova, Kamila; Tomasek, Radek; Kalova, Martina] VSB Tech Univ Ostrava, Ctr Adv Innovat Technol, Ostrava, Czech Republic; [Janura, Miroslav] Univ Ostrava, Dept Rehabil, Ostrava, Czech Republic; [Rosicky, Jiri] Orthoped Prosthet Frydek Mistek, Frydek Mystek, Czech Republic; [Schnitzer, Marek] Tech Univ Kosice, Dept Biomed Engn &amp; Measurement, Kosice, Slovakia; [Demel, Jiri] Univ Ostrava, Inst Emergency Med, Ostrava, Czech Republic; [Demel, Jiri] Fac Hosp Ostrava, Trauma Ctr, Ostrava, Czech Republic</t>
  </si>
  <si>
    <t>Technical University of Ostrava; University of Ostrava; Technical University Kosice; University of Ostrava</t>
  </si>
  <si>
    <t>Tomasek, R (corresponding author), VSB Tech Univ Ostrava, Ctr Adv Innovat Technol, Ostrava, Czech Republic.</t>
  </si>
  <si>
    <t>radek.tomasek@vsb.cz</t>
  </si>
  <si>
    <t>Demel, Jiri/AIB-1212-2022; Schnitzer, Ph. D., Assoc. prof. Marek/AAA-8405-2020; Janura, Miroslav/K-1832-2015</t>
  </si>
  <si>
    <t>Tomasek, Radek/0000-0003-3771-0033; Janura, Miroslav/0000-0002-6220-4450</t>
  </si>
  <si>
    <t>project Innovative Therapeutic Methods of Musculoskeletal System in Accident Surgery [Operational Programme Research, Development and Education - European Union] [CZ.02.1.01/0.0/0.0/17_049/0008441]; project Innovative Therapeutic Methods of Musculoskeletal System in Accident Surgery [Operational Programme Research, Development and Education - state budget of the Czech Republic] [CZ.02.1.01/0.0/0.0/17_049/0008441]; European Union [CZ.02.2.69/0.0/0.0/19_073/0016945]; state budget of the Czech Republic [CZ.02.2.69/0.0/0.0/19_073/0016945]; Research and development of lower limb prosthetic sockets manufactured by additive technologies [Research and Development Support Agency] [APVV-19-0290]; Cultural and Educational Grant Agency of the Ministry of Education, Science, Research and Sport of the Slovak Republic [KEGA 040TUKE-4/2019]</t>
  </si>
  <si>
    <t>project Innovative Therapeutic Methods of Musculoskeletal System in Accident Surgery [Operational Programme Research, Development and Education - European Union]; project Innovative Therapeutic Methods of Musculoskeletal System in Accident Surgery [Operational Programme Research, Development and Education - state budget of the Czech Republic]; European Union(European Union (EU)); state budget of the Czech Republic; Research and development of lower limb prosthetic sockets manufactured by additive technologies [Research and Development Support Agency]; Cultural and Educational Grant Agency of the Ministry of Education, Science, Research and Sport of the Slovak Republic</t>
  </si>
  <si>
    <t>This work was supported by the project Innovative Therapeutic Methods of Musculoskeletal System in Accident Surgery [Operational Programme Research, Development and Education financed by the European Union and by the state budget of the Czech Republic]; under grant [No. CZ.02.1.01/0.0/0.0/17_049/0008441]; Doctoral grant competition VSB-TUO DGS/INDIVIDUAL/2020-009 `Evaluation of equinus' [Operational Programme Research, Development and Education financed by the European Union and by the state budget of the Czech Republic], under grant [no. CZ.02.2.69/0.0/0.0/19_073/0016945]; Research and development of lower limb prosthetic sockets manufactured by additive technologies [Research and Development Support Agency] under Grant [APVV19-0290, 07/2020 -06/2023]; and Use of digitization technologies for educational process support in the field of prosthetics and orthotics [Cultural and Educational Grant Agency of the Ministry of Education, Science, Research and Sport of the Slovak Republic] under Grant [KEGA 040TUKE-4/2019, 01/2019 -12/2021].</t>
  </si>
  <si>
    <t>1743-4440</t>
  </si>
  <si>
    <t>1745-2422</t>
  </si>
  <si>
    <t>EXPERT REV MED DEVIC</t>
  </si>
  <si>
    <t>Expert Rev. Med. Devices</t>
  </si>
  <si>
    <t>SEP 2</t>
  </si>
  <si>
    <t>10.1080/17434440.2022.2136029</t>
  </si>
  <si>
    <t>OCT 2022</t>
  </si>
  <si>
    <t>5S7KV</t>
  </si>
  <si>
    <t>WOS:000870965700001</t>
  </si>
  <si>
    <t>Morone, G; Spitoni, GF; De Bartolo, D; Ghooshchy, SG; Di Iulio, F; Paolucci, S; Zoccolotti, P; Iosa, M</t>
  </si>
  <si>
    <t>Morone, Giovanni; Spitoni, Grazia Fernanda; De Bartolo, Daniela; Ghooshchy, Sheida Ghanbari; Di Iulio, Fulvia; Paolucci, Stefano; Zoccolotti, Pierluigi; Iosa, Marco</t>
  </si>
  <si>
    <t>Rehabilitative devices for a top-down approach</t>
  </si>
  <si>
    <t>Top-down approach; neurorehabilitation; technological devices; cognitive-motor rehabilitation; bottom-up approach</t>
  </si>
  <si>
    <t>VIRTUAL-REALITY; ARM REHABILITATION; GAIT; STROKE; THERAPY; INTERFACE; IMPACT; TECHNOLOGY; NAVIGATION; BENEFIT</t>
  </si>
  <si>
    <t>Introduction: In recent years, neurorehabilitation has moved from a 'bottom-up' to a 'top down' approach. This change has also involved the technological devices developed for motor and cognitive rehabilitation. It implies that during a task or during therapeutic exercises, new 'top-down' approaches are being used to stimulate the brain in a more direct way to elicit plasticity-mediated motor re-learning. This is opposed to 'Bottom up' approaches, which act at the physical level and attempt to bring about changes at the level of the central neural system. Areas covered: In the present unsystematic review, we present the most promising innovative technological devices that can effectively support rehabilitation based on a top-down approach, according to the most recent neuroscientific and neurocognitive findings. In particular, we explore if and how the use of new technological devices comprising serious exergames, virtual reality, robots, brain computer interfaces, rhythmic music and biofeedback devices might provide a top-down based approach. Expert commentary: Motor and cognitive systems are strongly harnessed in humans and thus cannot be separated in neurorehabilitation. Recently developed technologies in motor-cognitive rehabilitation might have a greater positive effect than conventional therapies.</t>
  </si>
  <si>
    <t>[Morone, Giovanni; Paolucci, Stefano] Santa Lucia Fdn IRCCS, Private Inpatient Unit, Rome, Italy; [Morone, Giovanni; De Bartolo, Daniela; Ghooshchy, Sheida Ghanbari; Paolucci, Stefano; Iosa, Marco] Santa Lucia Fdn IRCCS, Clin Lab Expt Neurorehabil, Rome, Italy; [Spitoni, Grazia Fernanda; De Bartolo, Daniela; Ghooshchy, Sheida Ghanbari; Zoccolotti, Pierluigi] Sapienza Univ Rome, Dept Psychol, Rome, Italy; [Spitoni, Grazia Fernanda] IRCCS Santa Lucia Fdn, Lab Neuropsychol, Rome, Italy; [Di Iulio, Fulvia] Santa Lucia Fdn IRCCS, UOC Neurorihabil 3, Rome, Italy</t>
  </si>
  <si>
    <t>IRCCS Santa Lucia; IRCCS Santa Lucia; Sapienza University Rome; IRCCS Santa Lucia; IRCCS Santa Lucia</t>
  </si>
  <si>
    <t>Morone, G (corresponding author), Santa Lucia Fdn IRCCS, Private Inpatient Unit, Rome, Italy.</t>
  </si>
  <si>
    <t>g.morone@hsantalucia.it</t>
  </si>
  <si>
    <t>Zoccolotti, Pierluigi/H-4437-2019; Morone, Giovanni/AAN-2666-2020; Iosa, Marco/B-9531-2012; Morone, Giovanni/A-9561-2013; De Bartolo, Daniela/B-8606-2019; Ghanbari Ghoshchi, Sheyda/HHR-9115-2022</t>
  </si>
  <si>
    <t>Morone, Giovanni/0000-0003-3602-4197; De Bartolo, Daniela/0000-0001-6882-5381; Ghanbari Ghoshchi, Sheyda/0000-0001-9940-4272; Zoccolotti, Pierluigi/0000-0002-6351-2455</t>
  </si>
  <si>
    <t>MAR 4</t>
  </si>
  <si>
    <t>10.1080/17434440.2019.1574567</t>
  </si>
  <si>
    <t>HN2YS</t>
  </si>
  <si>
    <t>WOS:000460051400003</t>
  </si>
  <si>
    <t>Wang, HY; Shen, HF; Han, Y; Zhou, WL; Wang, JJ</t>
  </si>
  <si>
    <t>Wang, Hongyao; Shen, Haifei; Han, Yi; Zhou, Wenlu; Wang, Junjie</t>
  </si>
  <si>
    <t>Effect of robot-assisted training for lower limb rehabilitation on lower limb function in stroke patients: a systematic review and meta-analysis</t>
  </si>
  <si>
    <t>FRONTIERS IN HUMAN NEUROSCIENCE</t>
  </si>
  <si>
    <t>robot-assisted; stroke; lower limb function; rehabilitation; meta-analysis; systematic review</t>
  </si>
  <si>
    <t>MOBILITY; WALKING; GAIT; LIFE</t>
  </si>
  <si>
    <t>Objective The effectiveness of lower extremity rehabilitation robots in rehabilitating stroke patients is still controversial. With this systematic review, the aim is to analyze whether the assisted training of the lower limb rehabilitation robot is more effective in promoting the rehabilitation of lower limb function in stroke patients compared with traditional physical therapy. Methods We conducted a thorough search of nine databases for relevant randomized controlled trials published between the time of their construction and February 2024. The Cochrane Collaboration tool was used to assess the risk of bias in each included literature, and meta-analyses and subgroup analyses were carried out with Revman 5.4 software. This study followed the PRIMA reporting statement provided by EQUATOR. Results The meta-analysis includes 12 articles and 651 patients. Lower limb rehabilitation robot-assisted training significantly improved lower limb motor function, walking ability, and lower limb ability to balance in stroke patients. However, the effect on gait coordination was not statistically significant. Conclusion Robot-assisted training for lower limb rehabilitation may considerably enhance motor function, walking capacity, and balance function in stroke patients while also providing a novel option for patients to recuperate.</t>
  </si>
  <si>
    <t>[Wang, Hongyao; Shen, Haifei; Han, Yi; Zhou, Wenlu; Wang, Junjie] Zhejiang Chinese Med Univ, Sch Nursing, Hangzhou, Zhejiang, Peoples R China</t>
  </si>
  <si>
    <t>Zhejiang Chinese Medical University</t>
  </si>
  <si>
    <t>Wang, JJ (corresponding author), Zhejiang Chinese Med Univ, Sch Nursing, Hangzhou, Zhejiang, Peoples R China.</t>
  </si>
  <si>
    <t>wjjie2000@163.com</t>
  </si>
  <si>
    <t>1662-5161</t>
  </si>
  <si>
    <t>FRONT HUM NEUROSCI</t>
  </si>
  <si>
    <t>Front. Hum. Neurosci.</t>
  </si>
  <si>
    <t>MAR 5</t>
  </si>
  <si>
    <t>10.3389/fnhum.2025.1549379</t>
  </si>
  <si>
    <t>Neurosciences; Psychology</t>
  </si>
  <si>
    <t>Neurosciences &amp; Neurology; Psychology</t>
  </si>
  <si>
    <t>0JN0C</t>
  </si>
  <si>
    <t>WOS:001448864300001</t>
  </si>
  <si>
    <t>Schröder, J; Truijen, S; Van Criekinge, T; Saeys, W</t>
  </si>
  <si>
    <t>Schroeder, Jonas; Truijen, Steven; Van Criekinge, Tamaya; Saeys, Wim</t>
  </si>
  <si>
    <t>FEASIBILITY AND EFFECTIVENESS OF REPETITIVE GAIT TRAINING EARLY AFTER STROKE: A SYSTEMATIC REVIEW AND META-ANALYSIS</t>
  </si>
  <si>
    <t>humans; stroke; stroke rehabilitation; exercise therapy; robotics; walking; paresis</t>
  </si>
  <si>
    <t>BODY-WEIGHT SUPPORT; SUBACUTE STROKE; PHYSICAL-ACTIVITY; FUNCTIONAL RECOVERY; TREADMILL WALKING; CONTROLLED-TRIAL; SINGLE-BLIND; REHABILITATION; POSTSTROKE; THERAPY</t>
  </si>
  <si>
    <t>Background: Pre-clinical evidence suggests a period early after stroke during which the brain is most receptive to rehabilitation, if it is provided as high-dose motor training. Objective: To evaluate the feasibility of repetitive gait training within the first 3 months post-stroke and the effects on gait-specific outcomes. Methods: PubMed, Web of Science, Cochrane Library, Rehab Data and PEDro databases were searched systematically. Randomized controlled trials were included to descriptively analyse the feasibility and quantitatively investigate the effectiveness of repetitive gait training compared with conventional therapy. Results: Fifteen randomized controlled trials were included. Repetitive training can safely be provided through body weight support and locomotor assistance from therapists or a robotic device. No difference in drop-out rates was reported despite the demanding nature of the intervention. The meta-analysis yielded significant, but small, effects on walking independence and endurance. Training with end-effector robots appears most effective. Conclusion: Robots enable a substantial, yet feasible, increase in the quantity of walking practice early post-stroke, which might enhance functional recovery. However, the mechanisms underlying these effects remain poorly understood.</t>
  </si>
  <si>
    <t>[Schroeder, Jonas; Truijen, Steven; Van Criekinge, Tamaya; Saeys, Wim] Univ Antwerp, Dept Rehabil Sci &amp; Physiotherapy, Res Grp MOVANT MOVement ANTwerp, Antwerp, Belgium; [Schroeder, Jonas; Truijen, Steven; Van Criekinge, Tamaya; Saeys, Wim] Univ Antwerp, Multidisciplinary Motor Ctr Antwerp M2OCEAN, Antwerp, Belgium; [Saeys, Wim] Rehabil Hosp Revarte, Edegem, Belgium</t>
  </si>
  <si>
    <t>University of Antwerp; University of Antwerp</t>
  </si>
  <si>
    <t>Schröder, J (corresponding author), Univ Antwerp, Dept Rehabil Sci &amp; Physiotherapy, Res Grp MOVANT MOVement ANTwerp, Antwerp, Belgium.</t>
  </si>
  <si>
    <t>jonas.schroder@uantwerp.be</t>
  </si>
  <si>
    <t>truijen, steven/G-4179-2016; Schröder, Jonas/AAD-5910-2021; /CAC-9247-2022; Saeys, Wim/B-2252-2017</t>
  </si>
  <si>
    <t>Saeys, Wim/0000-0001-8193-5016; Schroder, Jonas/0000-0003-0290-9923; Van Criekinge, Tamaya/0000-0002-4157-3222</t>
  </si>
  <si>
    <t>10.2340/16501977-2505</t>
  </si>
  <si>
    <t>HJ4OK</t>
  </si>
  <si>
    <t>WOS:000457153100001</t>
  </si>
  <si>
    <t>Carpino, G; Pezzola, A; Urbano, M; Guglielmelli, E</t>
  </si>
  <si>
    <t>Carpino, Giorgio; Pezzola, Alessandra; Urbano, Michele; Guglielmelli, Eugenio</t>
  </si>
  <si>
    <t>Assessing Effectiveness and Costs in Robot-Mediated Lower Limbs Rehabilitation: A Meta-Analysis and State of the Art</t>
  </si>
  <si>
    <t>JOURNAL OF HEALTHCARE ENGINEERING</t>
  </si>
  <si>
    <t>SUBACUTE STROKE; GAIT; EXOSKELETON; RECOVERY</t>
  </si>
  <si>
    <t>Robots were introduced in rehabilitation in the 90s to meet different needs, that is, reducing the physical effort of therapists. This work consists of a meta-analysis of robot-mediated lower limbs rehabilitation for stroke-affected patients; it aims at evaluating the effectiveness of the robotic approach through the use of wearable robots or operational machines with respect to the conventional approach (i.e., manual rehabilitation therapy). The primary assessed outcome is the patient's ability to recover walking independence, whereas the secondary outcome is the average walking speed. The therapy acceptability and the treatment costs are also assessed. The assessment shows that the robot-mediated therapy is more effective than the conventional one in reaching the primary outcome. As for the secondary outcome, there is no significant difference between the robotic (wearable robots or operational machines) and the conventional approach. Rehabilitation using wearable robots has a greater acceptability than the conventional one. This does not apply to operational machines. The cost of robotic treatment with wearable robots ranges from double to triple the cost of the conventional approach. On the contrary, rehabilitation using operational machines costs the same as the conventional treatment. Robotic rehabilitation based on operational machines is the most cost-effective approach.</t>
  </si>
  <si>
    <t>[Carpino, Giorgio; Pezzola, Alessandra; Guglielmelli, Eugenio] Univ Campus Biomed Roma, Lab Biomed Robot &amp; Biomicrosyst, I-00128 Rome, Italy; [Urbano, Michele] Univ Campus Biomed Roma, Polyclin Gen Direct, I-00128 Rome, Italy</t>
  </si>
  <si>
    <t>University Campus Bio-Medico - Rome Italy; University Campus Bio-Medico - Rome Italy</t>
  </si>
  <si>
    <t>Carpino, G (corresponding author), Univ Campus Biomed Roma, Lab Biomed Robot &amp; Biomicrosyst, I-00128 Rome, Italy.</t>
  </si>
  <si>
    <t>g.carpino@unicampus.it</t>
  </si>
  <si>
    <t>2040-2295</t>
  </si>
  <si>
    <t>2040-2309</t>
  </si>
  <si>
    <t>J HEALTHC ENG</t>
  </si>
  <si>
    <t>J. Healthc. Eng.</t>
  </si>
  <si>
    <t>10.1155/2018/7492024</t>
  </si>
  <si>
    <t>GK0IX</t>
  </si>
  <si>
    <t>Green Published</t>
  </si>
  <si>
    <t>WOS:000435794200001</t>
  </si>
  <si>
    <t>Awad, A; Trenfield, SJ; Pollard, TD; Ong, JJ; Elbadawi, M; McCoubrey, LE; Goyanes, A; Gaisford, S; Basit, AW</t>
  </si>
  <si>
    <t>Awad, Atheer; Trenfield, Sarah J.; Pollard, Thomas D.; Ong, Jun Jie; Elbadawi, Moe; McCoubrey, Laura E.; Goyanes, Alvaro; Gaisford, Simon; Basit, Abdul W.</t>
  </si>
  <si>
    <t>Connected healthcare: Improving patient care using digital health technologies</t>
  </si>
  <si>
    <t>ADVANCED DRUG DELIVERY REVIEWS</t>
  </si>
  <si>
    <t>Pharma industry 4; 0; Personalized medicines and drug delivery; Fourth industrial revolution; Additive manufacturing and 3D printing; Patient-centred smart health and medical; care; Artificial intelligence and machine learning; Wearable computing and electronics; Medical cyber-physical systems and; robotics; Digital pharmaceuticals and therapeutics</t>
  </si>
  <si>
    <t>DRUG-DELIVERY; INGESTIBLE CAPSULE; CORE TEMPERATURE; WIRELESS CAPSULE; DOSAGE FORMS; REAL-TIME; 3D; SENSOR; BIOSENSORS; INTERNET</t>
  </si>
  <si>
    <t>Now more than ever, traditional healthcare models are being overhauled with digital technologies of Healthcare 4.0 increasingly adopted. Worldwide, digital devices are improving every stage of the patient care pathway. For one, sensors are being used to monitor patient metrics 24/7, permitting swift diagnosis and interventions. At the treatment stage, 3D printers are under investigation for the concept of person-alised medicine by allowing patients access to on-demand, customisable therapeutics. Robots are also being explored for treatment, by empowering precision surgery, rehabilitation, or targeted drug delivery. Within medical logistics, drones are being leveraged to deliver critical treatments to remote areas, collect samples, and even provide emergency aid. To enable seamless integration within healthcare, the Internet of Things technology is being exploited to form closed-loop systems that remotely communicate with one another. This review outlines the most promising healthcare technologies and devices, their strengths, drawbacks, and opportunities for clinical adoption. (c) 2021 Published by Elsevier B.V.</t>
  </si>
  <si>
    <t>[Awad, Atheer; Trenfield, Sarah J.; Pollard, Thomas D.; Ong, Jun Jie; Elbadawi, Moe; McCoubrey, Laura E.; Goyanes, Alvaro; Gaisford, Simon; Basit, Abdul W.] UCL, UCL Sch Pharm, 29-39 Brunswick Sq, London WC1N 1AX, England; [Goyanes, Alvaro; Gaisford, Simon; Basit, Abdul W.] FabRx Ltd, Henwood House, Ashford TN24 8DH, Kent, England; [Goyanes, Alvaro] Univ Santiago de Compostela, Hlth Res Inst Santiago de Compostela IDIS, Dept Farmacol Farm &amp; Tecnol Farmaceut I D Farma G, Fac Farm, Santiago De Compostela 15782, Spain</t>
  </si>
  <si>
    <t>University of London; University College London; Complexo Hospitalario Universitario de Santiago de Compostela; Universidade de Santiago de Compostela</t>
  </si>
  <si>
    <t>Basit, AW (corresponding author), UCL, UCL Sch Pharm, 29-39 Brunswick Sq, London WC1N 1AX, England.</t>
  </si>
  <si>
    <t>a.basit@ucl.ac.uk</t>
  </si>
  <si>
    <t>Gaisford, Simon/B-1701-2008; Basit, Abdul/JEO-6201-2023; Awad, Atheer/GXW-2064-2022; Goyanes Goyanes, Alvaro/B-1538-2018; Trenfield, Sarah/AAS-1761-2021; Ong, Jun Jie/HME-2813-2023</t>
  </si>
  <si>
    <t>Pollard, Thomas/0000-0001-7897-8656; Awad, Atheer/0000-0001-5245-0570; Goyanes, Alvaro/0000-0002-3378-6797; Ong, Jun Jie/0000-0001-9341-9561; Elbadawi, Moe/0000-0001-6226-5432; Basit, Abdul/0000-0002-5368-6603; Elbadawi, Mohammed/0000-0003-1304-3686; McCoubrey, Laura/0000-0001-7773-6719</t>
  </si>
  <si>
    <t>EPSRC [EP/S009000/1] Funding Source: UKRI</t>
  </si>
  <si>
    <t>0169-409X</t>
  </si>
  <si>
    <t>1872-8294</t>
  </si>
  <si>
    <t>ADV DRUG DELIVER REV</t>
  </si>
  <si>
    <t>Adv. Drug Deliv. Rev.</t>
  </si>
  <si>
    <t>10.1016/j.addr.2021.113958</t>
  </si>
  <si>
    <t>OCT 2021</t>
  </si>
  <si>
    <t>Pharmacology &amp; Pharmacy</t>
  </si>
  <si>
    <t>WN2QJ</t>
  </si>
  <si>
    <t>WOS:000711618200001</t>
  </si>
  <si>
    <t>Jiralerspong, T; Zhao, HC</t>
  </si>
  <si>
    <t>Jiralerspong, Trivoramai; Zhao, Huichan</t>
  </si>
  <si>
    <t>Soft Robotic Devices for Mechanotherapy of the Upper and Lower Extremities</t>
  </si>
  <si>
    <t>ADVANCED MATERIALS TECHNOLOGIES</t>
  </si>
  <si>
    <t>mechanotherapeutic devices; mechanotherapy; soft robotics</t>
  </si>
  <si>
    <t>RANDOMIZED CONTROLLED-TRIAL; ACTIVE COMPRESSION BANDAGE; PHYSICAL-THERAPY; RHEUMATOID-ARTHRITIS; MECHANOBIOLOGY; LYMPHEDEMA; SENSORS; DESIGN; PERFORMANCE; MECHANISMS</t>
  </si>
  <si>
    <t>Soft robotics are rapidly emerging as a promising method for mechanotherapeutic applications. Through mechanical stimulation, they aid in the recovery and regeneration of soft tissues and improve lymphatic fluid and blood flow. With their ability to safely interact with humans, soft robotic devices are applied across various fields, including medicine, physical therapy, and space physiology. The wearable nature of these devices allows for mobility and comfort during treatment, enabling continuous and personalized therapeutic interventions. This review provides an overview of recent advancements in soft robotic devices for mechanotherapy, focusing on applications for the upper and lower extremities. A comprehensive investigation is conducted on actuation, sensing, control, and power technologies to identify current trends. Finally, future developments and potential innovations in soft robotics for mechanotherapy are discussed.</t>
  </si>
  <si>
    <t>[Jiralerspong, Trivoramai; Zhao, Huichan] Tsinghua Univ, Dept Mech Engn, Beijing 100084, Peoples R China; [Jiralerspong, Trivoramai; Zhao, Huichan] Tsinghua Univ, State Key Lab Tribol Adv Equipment, Beijing 100084, Peoples R China; [Jiralerspong, Trivoramai; Zhao, Huichan] Beijing Key Lab Precis Ultraprecis Mfg Equipment &amp;, Beijing 100084, Peoples R China</t>
  </si>
  <si>
    <t>Tsinghua University; Tsinghua University</t>
  </si>
  <si>
    <t>Zhao, HC (corresponding author), Tsinghua Univ, Dept Mech Engn, Beijing 100084, Peoples R China.;Zhao, HC (corresponding author), Tsinghua Univ, State Key Lab Tribol Adv Equipment, Beijing 100084, Peoples R China.;Zhao, HC (corresponding author), Beijing Key Lab Precis Ultraprecis Mfg Equipment &amp;, Beijing 100084, Peoples R China.</t>
  </si>
  <si>
    <t>zhaohuichan@mail.tsinghua.edu.cn</t>
  </si>
  <si>
    <t>National Natural Science Foundation of China; Beijing Municipal Natural Science Foundation [E2024202287]; [52222502]; [92048302]</t>
  </si>
  <si>
    <t>National Natural Science Foundation of China(National Natural Science Foundation of China (NSFC)); Beijing Municipal Natural Science Foundation(Beijing Natural Science Foundation); ;</t>
  </si>
  <si>
    <t>This work was supported by the National Natural Science Foundation of China (Grant nos. 52222502 and 92048302) and the Beijing Municipal Natural Science Foundation (E2024202287).</t>
  </si>
  <si>
    <t>111 RIVER ST, HOBOKEN, NJ 07030 USA</t>
  </si>
  <si>
    <t>2365-709X</t>
  </si>
  <si>
    <t>ADV MATER TECHNOL-US</t>
  </si>
  <si>
    <t>Adv. Mater. Technol.</t>
  </si>
  <si>
    <t>10.1002/admt.202401530</t>
  </si>
  <si>
    <t>DEC 2024</t>
  </si>
  <si>
    <t>Materials Science, Multidisciplinary</t>
  </si>
  <si>
    <t>Materials Science</t>
  </si>
  <si>
    <t>2VF1O</t>
  </si>
  <si>
    <t>WOS:001388394400001</t>
  </si>
  <si>
    <t>Patton, J; Dawe, G; Scharver, C; Mussa-Ivaldi, F; Kenyon, R</t>
  </si>
  <si>
    <t>Patton, James; Dawe, Greg; Scharver, Chris; Mussa-Ivaldi, Ferdinando; Kenyon, Robert</t>
  </si>
  <si>
    <t>Robotics and virtual reality: A perfect marriage for motor control research and rehabilitation</t>
  </si>
  <si>
    <t>ASSISTIVE TECHNOLOGY</t>
  </si>
  <si>
    <t>human; motor learning; adaptation; human-machine interface; teaching; neurorehabilitation</t>
  </si>
  <si>
    <t>CONSTRAINT-INDUCED THERAPY; INDUCED MOVEMENT THERAPY; INTERLIMB TRANSFER; INTERNAL-MODEL; ARM STIFFNESS; STROKE; ADAPTATION; DYNAMICS; REPRESENTATION; RECOVERY</t>
  </si>
  <si>
    <t>This article's goal is to outline the motivations, progress, and future objectives for the development of a state-of-the-art device that allows humans to visualize and feel synthetic objects superimposed on the physical world. The programming flexibility of these devices allows for a variety of scientific questions to be answered in psychology, neurophysiology, rehabilitation, haptics, and automatic control. The benefits are most probable in rehabilitation of brain-injured patients, for whom the costs are high, therapist time is limited, and repetitive practice of movements has been shown to be beneficial. Moreover, beyond simple therapy that guides, strengthens, or stretches, the technology affords a variety of exciting potential techniques that can combine our knowledge of the nervous system with the tireless, precise, and swift capabilities of a robot. Because this is a prototype, the system will also guide new experimental methods by probing the levels of quality that are necessary for future design cycles and related technology. Very important to the project is the early and intimate involvement of therapists and other clinicians in the design of software and its user interface. Inevitably, it should also lead the way to new modes of practice and to the commercialization of haptic/graphic systems.</t>
  </si>
  <si>
    <t>Northwestern Univ, Sensory Motor Performance Program, Inst Rehabil, Chicago, IL 60611 USA; Univ Illinois, Elect Visualizat Lab, Chicago, IL USA</t>
  </si>
  <si>
    <t>Northwestern University; University of Illinois System; University of Illinois Chicago; University of Illinois Chicago Hospital</t>
  </si>
  <si>
    <t>Patton, J (corresponding author), Northwestern Univ, Sensory Motor Performance Program, Inst Rehabil, 345 E Super,Room 1406, Chicago, IL 60611 USA.</t>
  </si>
  <si>
    <t>1040-0435</t>
  </si>
  <si>
    <t>1949-3614</t>
  </si>
  <si>
    <t>ASSIST TECHNOL</t>
  </si>
  <si>
    <t>Assist. Technol.</t>
  </si>
  <si>
    <t>FAL</t>
  </si>
  <si>
    <t>10.1080/10400435.2006.10131917</t>
  </si>
  <si>
    <t>109CJ</t>
  </si>
  <si>
    <t>WOS:000242285200006</t>
  </si>
  <si>
    <t>De Miguel-Rubio, A; Muñoz-Pérez, L; Alba-Rueda, A; Arias-Avila, M; Rodrigues-de-Souza, DP</t>
  </si>
  <si>
    <t>De Miguel-Rubio, Amaranta; Munoz-Perez, Lorena; Alba-Rueda, Alvaro; Arias-Avila, Mariana; Priscila Rodrigues-de-Souza, Daiana</t>
  </si>
  <si>
    <t>A Therapeutic Approach Using the Combined Application of Virtual Reality with Robotics for the Treatment of Patients with Spinal Cord Injury: A Systematic Review</t>
  </si>
  <si>
    <t>spinal cord injury; virtual reality; robotic devices; brain-machine interface; physical therapy; systematic review; rehabilitation</t>
  </si>
  <si>
    <t>STROKE REHABILITATION; SHOULDER PAIN; BALANCE; GAIT; MOTOR; STIMULATION; RECOVERY; MOTION; RANGE</t>
  </si>
  <si>
    <t>Spinal cord injury (SCI) has been associated with high mortality rates. Thanks to the multidisciplinary vision and approach of SCI, including the application of new technologies in the field of neurorehabilitation, people with SCI can survive and prosper after injury. The main aim of this systematic review was to analyze the effectiveness of the combined use of VR and robotics in the treatment of patients with SCI. The literature search was performed between May and July 2021 in the Cochrane Central Register of Controlled Trials, Physiotherapy Evidence Database (PEDro), PubMed, and Web of Science. The methodological quality of each study was assessed using the SCIRE system and the PEDro scale, whereas the risk of bias was analyzed using the Cochrane Collaboration's tool. A total of six studies, involving 63 participants, were included in this systematic review. Relevant changes were found in the upper limbs, with improvements of shoulder and upper arm mobility, as well as the strengthening of weaker muscles. Combined rehabilitation may be a valuable approach to improve motor function in SCI patients. Nonetheless, further research is necessary, with a larger patient sample and a longer duration.</t>
  </si>
  <si>
    <t>[De Miguel-Rubio, Amaranta; Munoz-Perez, Lorena; Alba-Rueda, Alvaro] Univ Cordoba, Dept Nursing Pharmacol &amp; Physiotherapy, Cordoba 14004, Spain; [Arias-Avila, Mariana] Univ Fed Sao Carlos, Phys Therapy Dept, BR-13565905 Sao Carlos, SP, Brazil; [Priscila Rodrigues-de-Souza, Daiana] Univ Cordoba, Fac Med &amp; Nursing, Physiotherapy Sect, Cordoba 14004, Spain</t>
  </si>
  <si>
    <t>Universidad de Cordoba; Universidade Federal de Sao Carlos; Universidad de Cordoba</t>
  </si>
  <si>
    <t>De Miguel-Rubio, A (corresponding author), Univ Cordoba, Dept Nursing Pharmacol &amp; Physiotherapy, Cordoba 14004, Spain.</t>
  </si>
  <si>
    <t>z42mirua@uco.es; t62mupel@uco.es; b42alrua@uco.es; m.avila@ufscar.br; drodrigues@uco.es</t>
  </si>
  <si>
    <t>Alba-Rueda, Alvaro/GSN-6095-2022; Rodrigues-de-Souza, Daiana/ADJ-2012-2022; de Miguel Rubio, AMARANTA/GYA-5940-2022; Avila, Mariana/C-7182-2017</t>
  </si>
  <si>
    <t>de Miguel Rubio, AMARANTA/0000-0002-4504-4088; Rodrigues-de-Souza, Daiana Priscila/0000-0002-3651-3276; Munoz Perez, Lorena/0000-0001-9293-430X; Avila, Mariana/0000-0002-5081-5326; Alba-Rueda, Alvaro/0000-0001-9188-4427</t>
  </si>
  <si>
    <t>10.3390/ijerph19148772</t>
  </si>
  <si>
    <t>3J3YF</t>
  </si>
  <si>
    <t>WOS:000833333300001</t>
  </si>
  <si>
    <t>Sheng, B; Zhang, YX; Meng, W; Deng, C; Xie, SQ</t>
  </si>
  <si>
    <t>Sheng, Bo; Zhang, Yanxin; Meng, Wei; Deng, Chao; Xie, Shengquan</t>
  </si>
  <si>
    <t>Bilateral robots for upper-limb stroke rehabilitation: State of the art and future prospects</t>
  </si>
  <si>
    <t>Rehabilitation robot; Upper-limb; Bilateral training; Clinical protocols</t>
  </si>
  <si>
    <t>DIRECT-CURRENT STIMULATION; BLINDED RANDOMIZED-TRIAL; SEVERELY AFFECTED ARM; MOTOR FUNCTION; ASSISTED REHABILITATION; CONTROL STRATEGIES; EXERCISE THERAPY; RECOVERY; SYSTEM; POSTSTROKE</t>
  </si>
  <si>
    <t>Robot-assisted bilateral upper-limb training grows abundantly for stroke rehabilitation in recent years and an increasing number of devices and robots have been developed. This paper aims to provide a systematic overview and evaluation of existing bilateral upper-limb rehabilitation devices and robots based on their mechanisms and clinical-outcomes. Most of the articles studied here were searched from nine online databases and the China National Knowledge Infrastructure (CNKI) from year 1993 to 2015. Devices and robots were categorized as end-effectors, exoskeletons and industrial robots. Totally ten end-effectors, one exoskeleton and one industrial robot were evaluated in terms of their mechanical characteristics, degrees of freedom (DOF), supported control modes, clinical applicability and outcomes, Preliminary clinical results of these studies showed that all participants could gain certain improvements in terms of range of motion, strength or physical function after training. Only four studies supported that bilateral training was better than unilateral training. However, most of clinical results cannot definitely verify the effectiveness of mechanisms and clinical protocols used in robotic therapies. To explore the actual value of these robots and devices, further research on ingenious mechanisms, dose-matched clinical protocols and universal evaluation criteria should be conducted in the future. (c) 2016 IPEM.</t>
  </si>
  <si>
    <t>[Sheng, Bo; Meng, Wei; Xie, Shengquan] Univ Auckland, Dept Mech Engn, 20 Symonds St, Auckland 1, New Zealand; [Sheng, Bo; Zhang, Yanxin] Univ Auckland, Dept Sport &amp; Exercise Sci, 261 Morrin Rd, Auckland 1, New Zealand; [Deng, Chao; Xie, Shengquan] Huazhong Univ Sci &amp; Technol, Sch Mech Sci &amp; Engn, 1037 Luoyu Rd, Wuhan 430074, Peoples R China</t>
  </si>
  <si>
    <t>University of Auckland; University of Auckland; Huazhong University of Science &amp; Technology</t>
  </si>
  <si>
    <t>Xie, SQ (corresponding author), Univ Auckland, Dept Mech Engn, 20 Symonds St, Auckland 1, New Zealand.</t>
  </si>
  <si>
    <t>bshe687@aucklanduni.ac.nz; yanxin.zhang@auckland.ac.nz; wmen386@aucklanduni.ac.nz; dengchao@hust.edu.cn; s.xie@auckland.ac.nz</t>
  </si>
  <si>
    <t>Xie, Sheng/AAU-3957-2021; Meng, Wei/V-5855-2019</t>
  </si>
  <si>
    <t>Xie, Sheng Quan/0000-0003-2641-2620; Meng, Wei/0000-0003-0209-8753; Xie, Shane/0000-0002-8082-9112; Zhang, Yanxin/0000-0002-7638-1669</t>
  </si>
  <si>
    <t>Fund of SSVEP-based Brain Controlled Robotic Exoskeleton for Stroke Rehabilitation [3,704,974]; National Natural Science Foundation of China (NSFC) [51375181, 51475189, 51121002]; National 973 Basic Research Program of China [2011CB706803]; China Sponsorship Council</t>
  </si>
  <si>
    <t>Fund of SSVEP-based Brain Controlled Robotic Exoskeleton for Stroke Rehabilitation; National Natural Science Foundation of China (NSFC)(National Natural Science Foundation of China (NSFC)); National 973 Basic Research Program of China(National Basic Research Program of China); China Sponsorship Council</t>
  </si>
  <si>
    <t>This material is based on work supported by the Fund of SSVEP-based Brain Controlled Robotic Exoskeleton for Stroke Rehabilitation under grant no.3,704,974, National Natural Science Foundation of China (NSFC) under grant no.51375181, no.51475189 and no.51121002, the National 973 Basic Research Program of China under grant no. 2011CB706803 and China Sponsorship Council.</t>
  </si>
  <si>
    <t>London</t>
  </si>
  <si>
    <t>125 London Wall, London, ENGLAND</t>
  </si>
  <si>
    <t>10.1016/j.medengphy.2016.04.004</t>
  </si>
  <si>
    <t>DP3AH</t>
  </si>
  <si>
    <t>WOS:000378364300001</t>
  </si>
  <si>
    <t>Gesta, A; Achiche, S; Mohebbi, A</t>
  </si>
  <si>
    <t>Gesta, Amandine; Achiche, Sofiane; Mohebbi, Abolfazl</t>
  </si>
  <si>
    <t>Design Considerations for the Development of Lower Limb Pediatric Exoskeletons: A Literature Review</t>
  </si>
  <si>
    <t>Exoskeletons; Pediatrics; Legged locomotion; Medical robotics; Biomimetics; Patient rehabilitation; Nervous system; Medical conditions; Motion control; Cerebral palsy; exoskeleton; rehabilitation robotics; wearable robotics</t>
  </si>
  <si>
    <t>CEREBRAL-PALSY; CHILDREN; WALKING; GAIT; MANAGEMENT; STRENGTH</t>
  </si>
  <si>
    <t>Cerebral Palsy is the most prevalent cause of gait disorder in childhood, affecting the range of motion, power, and joint torques of children. Several treatments are available, ranging from physical therapy to surgery. However, these treatments are usually complex, costly, and long. Robotic exoskeletons could provide longer, more frequent, and personalized training sessions with quantified data on the gait characteristics. Unfortunately, very few pediatric exoskeletons are available compared to those for adults. Therefore, design guidelines are needed for the development of pediatric exoskeletons to facilitate market entry. This article proposes design considerations through an in-depth review of the available pediatric lower-limb exoskeletons. This research has identified nine exoskeletons with at least one actuated joint at the ankle level and discussed their clinical, mechanical, and control characteristics. Although all the identified exoskeletons use electric motors to reduce their weight, improvements must be made to further minimize it. In addition, these exoskeletons need to be more easily adaptable to the user's morphology. Impedance control methods are commonly used, which ensures the interaction safety. However, they should be more personalized to the specific neurological deficiencies. Furthermore, stronger validation of these exoskeletons is required through clinical trials.</t>
  </si>
  <si>
    <t>[Gesta, Amandine; Achiche, Sofiane; Mohebbi, Abolfazl] Polytech Montreal, Dept Mech Engn, Montreal, PQ H3T 1J4, Canada</t>
  </si>
  <si>
    <t>Universite de Montreal; Polytechnique Montreal</t>
  </si>
  <si>
    <t>Mohebbi, A (corresponding author), Polytech Montreal, Dept Mech Engn, Montreal, PQ H3T 1J4, Canada.</t>
  </si>
  <si>
    <t>amandine.gesta@polymtl.ca; sofiane.achiche@polymtl.ca; abolfazl.mohebbi@polymtl.ca</t>
  </si>
  <si>
    <t>Mohebbi, Abolfazl/AHD-6056-2022</t>
  </si>
  <si>
    <t>Gesta, Amandine/0000-0002-9770-6311; Mohebbi, Abolfazl/0000-0003-2101-9651</t>
  </si>
  <si>
    <t>TransMedTech Institute of Montreal</t>
  </si>
  <si>
    <t>This work was supported by the TransMedTech Institute of Montreal through Canada First Research Excellence Fund</t>
  </si>
  <si>
    <t>10.1109/TMRB.2023.3310040</t>
  </si>
  <si>
    <t>WOS:001105153800008</t>
  </si>
  <si>
    <t>Zannat, A; Uddin, MN; Mahmud, ST; Prithu, PSS; Mia, R</t>
  </si>
  <si>
    <t>Zannat, Akhiri; Uddin, Mohammad Nasir; Mahmud, Sharif Tasnim; Prithu, Pinaki Shankar Saha; Mia, Rony</t>
  </si>
  <si>
    <t>Review: Textile-based soft robotics for physically challenged individuals</t>
  </si>
  <si>
    <t>JOURNAL OF MATERIALS SCIENCE</t>
  </si>
  <si>
    <t>ACTIVITY RECOGNITION SYSTEM; STRAIN SENSOR; ELECTROMECHANICAL PROPERTIES; POLYANILINE NANOFIBERS; PRESSURE SENSOR; FIBER ACTUATORS; WEARABLE-ROBOT; MOTION; YARN; COMPOSITE</t>
  </si>
  <si>
    <t>Due to the rapid advancements in the human-robot interface, soft robotics is getting attention in recent times. Conventional robots or robotic devices are not compatible with being used for internal application of the patient's body even outer applications are also inhibited due to lack of flexibility, heavyweight, and less motion creation. As physically challenged persons require different degree of comfortability and flexibility in their everyday work or therapy, textile-based soft robots have diverse advantages including safety, easiness to use, and proper deformability to assist them. Any robotic system for rehabilitation of the impaired patients is composed of three different units of sensing, actuation, and controlling. The accommodation of these three units in conventional robotic systems makes the device heavy, rigid, and mechanically less functional. Textile materials have a higher level of inherent and programmable properties regarding physical and chemical structure, weight, durability, and deformability. Leveraging textile structures, many efforts have already been done for the fabrication of soft robots. This review will discuss the present scenario of textile-based soft actuators that are made to assist physically challenged individuals. Materials, fabrication methods, outcomes of the devices, requirement specific applications of soft robotics for physically challenged individuals have been discussed. Finally, we suggest some future directions for textile-based soft robots addressing some challenges in this field.</t>
  </si>
  <si>
    <t>[Zannat, Akhiri] Texas Tech Univ, 2500 Broadway, Lubbock, TX 79409 USA; [Zannat, Akhiri; Uddin, Mohammad Nasir; Prithu, Pinaki Shankar Saha] Bangladesh Univ Text, 92 Shaheed Tajuddin Ahmed Ave, Dhaka 1208, Bangladesh; [Mahmud, Sharif Tasnim] Colorado State Univ, Ft Collins, CO 80523 USA; [Mia, Rony] Univ Dhaka, Natl Inst Text Engn &amp; Res, Dhaka 1000, Bangladesh</t>
  </si>
  <si>
    <t>Texas Tech University System; Texas Tech University; Bangladesh University of Textiles (BUTEX); Colorado State University System; Colorado State University Fort Collins; University of Dhaka</t>
  </si>
  <si>
    <t>Zannat, A (corresponding author), Texas Tech Univ, 2500 Broadway, Lubbock, TX 79409 USA.;Zannat, A (corresponding author), Bangladesh Univ Text, 92 Shaheed Tajuddin Ahmed Ave, Dhaka 1208, Bangladesh.;Mia, R (corresponding author), Univ Dhaka, Natl Inst Text Engn &amp; Res, Dhaka 1000, Bangladesh.</t>
  </si>
  <si>
    <t>zannatakhi5386@gmail.com; mroni_mia@yahoo.com</t>
  </si>
  <si>
    <t>Uddin, Md Nasir/AAB-7856-2022; Mia, Rony/HPB-5912-2023</t>
  </si>
  <si>
    <t>Mia, Rony/0000-0001-5078-2600</t>
  </si>
  <si>
    <t>0022-2461</t>
  </si>
  <si>
    <t>1573-4803</t>
  </si>
  <si>
    <t>J MATER SCI</t>
  </si>
  <si>
    <t>J. Mater. Sci.</t>
  </si>
  <si>
    <t>10.1007/s10853-023-08799-4</t>
  </si>
  <si>
    <t>P2ME9</t>
  </si>
  <si>
    <t>WOS:001043675000001</t>
  </si>
  <si>
    <t>Demofonti, A; Carpino, G; Zollo, L; Johnson, MJ</t>
  </si>
  <si>
    <t>Demofonti, Andrea; Carpino, Giorgio; Zollo, Loredana; Johnson, Michelle J.</t>
  </si>
  <si>
    <t>Affordable Robotics for Upper Limb Stroke Rehabilitation in Developing Countries: A Systematic Review</t>
  </si>
  <si>
    <t>Affordable robotics; developing countries; low-cost; rehabilitation; stroke</t>
  </si>
  <si>
    <t>MIDDLE-INCOME COUNTRIES; GLOBAL BURDEN; COST; CARE; MEDICINE; SERVICES; THERAPY; DISEASE</t>
  </si>
  <si>
    <t>Stroke incidence is increasing more rapidly in Low-and Middle-Income Countries (LMICs) than in High-Income Countries (HICs), but LMICs are not well organized to provide adequate post-stroke rehabilitation because of physical, financial and personal barriers. The use of rehabilitation robotics can help bridge in healthcare disparities but they are available in LMICs in limited number due to their high cost and this limits the number of patients that can benefit from them. This article presents a literature review on the affordable robots for upper limb stroke rehabilitation that could be suitable in low-resources clinical settings with a focus on the different techniques implemented to reduce production costs. Different approaches can be carried out: i) developing end-effector and exoskeleton robots for the rehabilitation of proximal and distal joints respectively; ii) reducing the number of degrees of freedom of the robots at minimum (one or two) allowing the rehabilitation in a planar workspace; iii) avoiding the use of conventional materials that could make the robot bulky, expensive and difficult to transport. According to the mechanical properties required by the task, stell or metal alloys could be substituted for wood, aluminum, plastic, 3D-printed materials and by the adaptation of off-the-shelf elements.</t>
  </si>
  <si>
    <t>[Demofonti, Andrea; Carpino, Giorgio; Zollo, Loredana] Univ Campus Biomed Roma, Res Unit, Adv Robot &amp; Human Centred Technol CREO Lab, I-00155 Rome, Italy; [Carpino, Giorgio] Natl Inst Marine Biol Ecol &amp; Biotechnol, Stn Zool Anton Dohrn, I-80121 Naples, Italy; [Johnson, Michelle J.] Univ Penn, Dept Phys Med &amp; Rehabil, Rehabil Robot Lab GRASP Lab, Philadelphia, PA 19104 USA</t>
  </si>
  <si>
    <t>University Campus Bio-Medico - Rome Italy; Stazione Zoologica Anton Dohrn; University of Pennsylvania</t>
  </si>
  <si>
    <t>Demofonti, A (corresponding author), Univ Campus Biomed Roma, Res Unit, Adv Robot &amp; Human Centred Technol CREO Lab, I-00155 Rome, Italy.</t>
  </si>
  <si>
    <t>a.demofonti@unicampus.it; g.carpino@unicampus.it; l.zollo@unicampus.it; johnmic@pennmedicine.upenn.edu</t>
  </si>
  <si>
    <t>Zollo, Loredana/AAB-9645-2020; Demofonti, Andrea/AAA-1873-2021</t>
  </si>
  <si>
    <t>Carpino, Giorgio/0000-0001-6553-9873; Zollo, Loredana/0000-0002-8015-010X</t>
  </si>
  <si>
    <t>Campus Bio-Medico University of Rome Strategic Projects; SAFE-MOVER Project; Fondazione ANIA; Project Development of Bionic Upper Limb Prosthesis Characterized by Personalized Interfaces and Sensorial Feedback for Amputee Patients With Macro Lesion After Car Accident; Italian Institute for Labour Accidents (INAIL) [CUP: E59E19001460005]</t>
  </si>
  <si>
    <t>Campus Bio-Medico University of Rome Strategic Projects; SAFE-MOVER Project; Fondazione ANIA(Fondazione CarifeFondazione Caritro); Project Development of Bionic Upper Limb Prosthesis Characterized by Personalized Interfaces and Sensorial Feedback for Amputee Patients With Macro Lesion After Car Accident; Italian Institute for Labour Accidents (INAIL)</t>
  </si>
  <si>
    <t>This work was supported in part by the Campus Bio-Medico University of Rome Strategic Projects (Call 2018) with the SAFE-MOVER Project; in part by the Fondazione ANIA with the Project Development of Bionic Upper Limb Prosthesis Characterized by Personalized Interfaces and Sensorial Feedback for Amputee Patients With Macro Lesion After Car Accident; and in part by the Italian Institute for Labour Accidents (INAIL) Prosthetic Center with 3D-AID (CUP: E59E19001460005) Project.</t>
  </si>
  <si>
    <t>10.1109/TMRB.2021.3054462</t>
  </si>
  <si>
    <t>6X8LU</t>
  </si>
  <si>
    <t>WOS:000896660300002</t>
  </si>
  <si>
    <t>Kim, YH</t>
  </si>
  <si>
    <t>Kim, Yun-Hee</t>
  </si>
  <si>
    <t>Robotic assisted rehabilitation therapy for enhancing gait and motor function after stroke</t>
  </si>
  <si>
    <t>PRECISION AND FUTURE MEDICINE</t>
  </si>
  <si>
    <t>Motor disorders; Rehabilitation; Electromechanical or robotic assisted therapy; Stroke</t>
  </si>
  <si>
    <t>RANDOMIZED CLINICAL-TRIAL; UPPER-LIMB REHABILITATION; SEVERELY AFFECTED ARM; SUBACUTE STROKE; UPPER EXTREMITY; HAND REHABILITATION; FLOOR WALKING; RECOVERY; STIMULATION; TRAINER</t>
  </si>
  <si>
    <t>During the last two decades, there have been remarkable developments in electromechanical or robotic assisted rehabilitation therapy for promoting walking ability and upper extremity motor function. Robotic devices have made high-dosage and high-intensity rehabilitative training possible, therefore, useful for enhancing neural plasticity of the central nervous system in patients with brain diseases. Robotic assisted gait therapy showed evidence for both exoskeleton and end-effector devices when used alongside conventional physiotherapy in subacute stroke patients. However, robot-assisted gait training was not proven excellent to conventional physical therapy in stroke patients with chronic stage or when delivered alone. For upper limb motor function, robotic assisted therapy was comparable or superior to conventional therapy in improving motor function and activities of daily living for both subacute and chronic stage of stroke patients. Further studies are required to clarify the best protocol for individual patient's need and its transferring effect to the real world activities of patients. Conclusively, high quality researches and development of related technology may enhance the clinical and economic efficiency of robotic assisted rehabilitation therapy in near future. Robotic rehabilitation will certainly encounter a positive opportunity of technical development during the age of fourth industrial revolution.</t>
  </si>
  <si>
    <t>[Kim, Yun-Hee] Sungkyunkwan Univ, Sch Med, Samsung Med Ctr, Dept Phys &amp; Rehabil Med,Ctr Prevent &amp; Rehabil,Hea, Seoul, South Korea; [Kim, Yun-Hee] Sungkyunkwan Univ, Samsung Adv Inst Hlth Sci &amp; Technol, Dept Digital Hlth, Dept Hlth Sci &amp; Technol,Dept Med Device Managemen, Seoul, South Korea</t>
  </si>
  <si>
    <t>Sungkyunkwan University (SKKU); Samsung Medical Center; Sungkyunkwan University (SKKU); Samsung Medical Center</t>
  </si>
  <si>
    <t>Kim, YH (corresponding author), Sungkyunkwan Univ, Sch Med, Dept Phys &amp; Rehabil Med, Samsung Med Ctr,Heart Vasc Stroke Inst, 81 Irwon Ro, Seoul 06351, South Korea.</t>
  </si>
  <si>
    <t>yun1225.kim@samsung.com</t>
  </si>
  <si>
    <t>Kim, Yun-Hee/GVS-6426-2022</t>
  </si>
  <si>
    <t>National Research Foundation of Korea (NRF) - Korea government [NRF-2017R1A2A1A05000730, NRF-2017M3A9G5083690]</t>
  </si>
  <si>
    <t>National Research Foundation of Korea (NRF) - Korea government(National Research Foundation of Korea)</t>
  </si>
  <si>
    <t>This article was supported by the National Research Foundation of Korea (NRF) grant funded by the Korea government (NRF-2017R1A2A1A05000730 and NRF-2017M3A9G5083690).</t>
  </si>
  <si>
    <t>SUNGKYUNKWAN UNIV SCH MEDICINE</t>
  </si>
  <si>
    <t>SEOUL</t>
  </si>
  <si>
    <t>115 IRWON-RO, GANGNAM-GU, SEOUL, 06355, SOUTH KOREA</t>
  </si>
  <si>
    <t>2508-7940</t>
  </si>
  <si>
    <t>2508-7959</t>
  </si>
  <si>
    <t>PRECIS FUTURE MED</t>
  </si>
  <si>
    <t>Precis. Future Med.</t>
  </si>
  <si>
    <t>10.23838/pfm.2019.00065</t>
  </si>
  <si>
    <t>JA8QD</t>
  </si>
  <si>
    <t>WOS:000488115500002</t>
  </si>
  <si>
    <t>Zhou, JM; Yang, S; Xue, Q</t>
  </si>
  <si>
    <t>Zhou, Jinman; Yang, Shuo; Xue, Qiang</t>
  </si>
  <si>
    <t>Lower limb rehabilitation exoskeleton robot: A review</t>
  </si>
  <si>
    <t>ADVANCES IN MECHANICAL ENGINEERING</t>
  </si>
  <si>
    <t>Lower limb rehabilitation; gait rehabilitation; joint rehabilitation; lower limb exoskeleton; rehabilitation devices</t>
  </si>
  <si>
    <t>GAIT; DESIGN; HIP; ASSISTANCE; COMPENSATION; GENERATION; ORTHOSIS</t>
  </si>
  <si>
    <t>Lower limb rehabilitation exoskeleton robots (LLRERs) play a positive role in lower limb rehabilitation and assistance for patients with lower limb disorders, and they are helpful to improve patients' physical status. More and more experiments pay more attention to the kinematic and dynamic data characteristics of different patient groups. However, it is not clear whether these devices have broad adaptability and their clinical significance, so it is necessary to summarize and analyze these research results. This paper summarizes the LLRERs prototype and product in recent years, also compares the advantages and disadvantages of the theory and technology used in these research, and compares the functional characteristics of the devices, finally summarizes the aspects of the LLRERs to be improved. These devices apply advanced theories, techniques or structures, as well as human kinematics and dynamics data. However, due to the complexity of human body characteristics and movement rules, the theory or technology applied in the study design of LLRERs remains to be further studied, which can be improved in many aspects, such as improve the human-computer cooperation of equipment or carry out clinical trials. This paper can provide reference for researchers and designers in the future study, as well as understanding and selecting LLRERs for all kinds of therapist and patients.</t>
  </si>
  <si>
    <t>[Zhou, Jinman; Yang, Shuo; Xue, Qiang] Tianjin Univ Sci &amp; Technol, Coll Mech Engn, 1038 Dagu South Rd, Tianjin 300222, Peoples R China; [Yang, Shuo; Xue, Qiang] Tianjin Key Lab Integrated Design &amp; Online Monito, Tianjin, Peoples R China</t>
  </si>
  <si>
    <t>Tianjin University Science &amp; Technology</t>
  </si>
  <si>
    <t>Yang, S (corresponding author), Tianjin Univ Sci &amp; Technol, Coll Mech Engn, 1038 Dagu South Rd, Tianjin 300222, Peoples R China.</t>
  </si>
  <si>
    <t>yangshuo@tust.edu.cn</t>
  </si>
  <si>
    <t>Key Project of Tianjin Natural Science Foundation [19JCZDJC33200]; Tianjin Natural Science Foundation [18JCQNJC75300]</t>
  </si>
  <si>
    <t>Key Project of Tianjin Natural Science Foundation; Tianjin Natural Science Foundation(Natural Science Foundation of Tianjin)</t>
  </si>
  <si>
    <t>The author(s) disclosed receipt of the following financial support for the research, authorship, and/or publication of this article: The Key Project of Tianjin Natural Science Foundation (19JCZDJC33200), Tianjin Natural Science Foundation (18JCQNJC75300).</t>
  </si>
  <si>
    <t>1687-8132</t>
  </si>
  <si>
    <t>1687-8140</t>
  </si>
  <si>
    <t>ADV MECH ENG</t>
  </si>
  <si>
    <t>Adv. Mech. Eng.</t>
  </si>
  <si>
    <t>10.1177/16878140211011862</t>
  </si>
  <si>
    <t>Thermodynamics; Engineering, Mechanical</t>
  </si>
  <si>
    <t>Thermodynamics; Engineering</t>
  </si>
  <si>
    <t>UT3RS</t>
  </si>
  <si>
    <t>WOS:000698037500001</t>
  </si>
  <si>
    <t>Chen, B; Ma, H; Qin, LY; Gao, F; Chan, KM; Law, SW; Qin, L; Liao, WH</t>
  </si>
  <si>
    <t>Chen, Bing; Ma, Hao; Qin, Lai-Yin; Gao, Fei; Chan, Kai-Ming; Law, Sheung-Wai; Qin, Ling; Liao, Wei-Hsin</t>
  </si>
  <si>
    <t>Recent developments and challenges of lower extremity exoskeletons</t>
  </si>
  <si>
    <t>JOURNAL OF ORTHOPAEDIC TRANSLATION</t>
  </si>
  <si>
    <t>control strategy; gait rehabilitation; human locomotion assistance; medical device; motion intention acquisition</t>
  </si>
  <si>
    <t>ROBOTIC ORTHOSIS; LEG EXOSKELETON; DESIGN; REHABILITATION; GENERATION; SYSTEM; SUIT; MOBILITY; ACTUATOR; SUPPORT</t>
  </si>
  <si>
    <t>The number of people with a mobility disorder caused by stroke, spinal cord injury, or other related diseases is increasing rapidly. To improve the quality of life of these people, devices that can assist them to regain the ability to walk are of great demand. Robotic devices that can release the burden of therapists and provide effective and repetitive gait training have been widely studied recently. By contrast, devices that can augment the physical abilities of able-bodied humans to enhance their performances in industrial and military work are needed as well. In the past decade, robotic assistive devices such as exoskeletons have undergone enormous progress, and some products have recently been commercialized. Exoskeletons are wearable robotic systems that integrate human intelligence and robot power. This paper first introduces the general concept of exoskeletons and reviews several typical lower extremity exoskeletons (LEEs) in three main applications (i.e. gait rehabilitation, human locomotion assistance, and human strength augmentation), and provides a systemic review on the acquisition of a wearer's motion intention and control strategies for LEEs. The limitations of the currently developed LEEs and future research and development directions of LEEs for wider applications are discussed. Copyright (C) 2015, The Authors. Published by Elsevier (Singapore) Pte Ltd.</t>
  </si>
  <si>
    <t>[Chen, Bing; Chan, Kai-Ming; Law, Sheung-Wai; Qin, Ling] Chinese Univ Hong Kong, Dept Orthopaed &amp; Traumatol, Hong Kong, Hong Kong, Peoples R China; [Ma, Hao; Gao, Fei; Liao, Wei-Hsin] Chinese Univ Hong Kong, Dept Mech &amp; Automat Engn, Hong Kong, Hong Kong, Peoples R China; [Qin, Lai-Yin] Chinese Univ Hong Kong, Div Biomed Engn, Hong Kong, Hong Kong, Peoples R China</t>
  </si>
  <si>
    <t>Chinese University of Hong Kong; Chinese University of Hong Kong; Chinese University of Hong Kong</t>
  </si>
  <si>
    <t>Qin, L (corresponding author), Chinese Univ Hong Kong, Dept Orthopaed &amp; Traumatol, Hong Kong, Hong Kong, Peoples R China.;Liao, WH (corresponding author), Chinese Univ Hong Kong, Dept Mech &amp; Automat Engn, Hong Kong, Hong Kong, Peoples R China.</t>
  </si>
  <si>
    <t>lingqin@cuhk.edu.hk; whliao@cuhk.edu.hk</t>
  </si>
  <si>
    <t>Qin, Ling/JBR-9155-2023; ma, hao/GLS-6300-2022; Gao, Fei/HHZ-8780-2022; Qin, Ling/J-9047-2018; Liao, Wei-Hsin/D-1064-2009</t>
  </si>
  <si>
    <t>GAO, Fei/0000-0001-9637-6114; Qin, Ling/0000-0001-6173-6167; Liao, Wei-Hsin/0000-0001-7221-5906; QIN, LAI-YIN/0000-0001-9017-0510</t>
  </si>
  <si>
    <t>SMART Program, Lui Che Woo Institute of Innovative Medicine, Faculty of Medicine, Chinese University of Hong Kong; Lui Che Woo Foundation Limited; Innovation and Technology Commission of Hong Kong Special Administrative Region, Hong Kong, China [ITS/296/14]</t>
  </si>
  <si>
    <t>SMART Program, Lui Che Woo Institute of Innovative Medicine, Faculty of Medicine, Chinese University of Hong Kong; Lui Che Woo Foundation Limited; Innovation and Technology Commission of Hong Kong Special Administrative Region, Hong Kong, China</t>
  </si>
  <si>
    <t>The authors appreciate the support from the SMART Program, Lui Che Woo Institute of Innovative Medicine, Faculty of Medicine, Chinese University of Hong Kong, which is supported by Lui Che Woo Foundation Limited; and the funding support from the Innovation and Technology Commission of Hong Kong Special Administrative Region, Hong Kong, China (Project No. ITS/296/14).</t>
  </si>
  <si>
    <t>2214-031X</t>
  </si>
  <si>
    <t>J ORTHOP TRANSL</t>
  </si>
  <si>
    <t>J. Orthop. Transl.</t>
  </si>
  <si>
    <t>10.1016/j.jot.2015.09.007</t>
  </si>
  <si>
    <t>DQ5PT</t>
  </si>
  <si>
    <t>WOS:000379258000004</t>
  </si>
  <si>
    <t>Yang, JL; Zhao, ZQ; Du, CZ; Wang, W; Peng, Q; Qiu, JH; Wang, GX</t>
  </si>
  <si>
    <t>Yang, Jiali; Zhao, Zhiqi; Du, Chenzhen; Wang, Wei; Peng, Qin; Qiu, Juhui; Wang, Guixue</t>
  </si>
  <si>
    <t>The realization of robotic neurorehabilitation in clinical: use of computational intelligence and future prospects analysis</t>
  </si>
  <si>
    <t>Neurorehabilitation; robot-assisted; computational intelligence; mechanical structures; control methods</t>
  </si>
  <si>
    <t>ANKLE REHABILITATION ROBOT; UPPER-LIMB; STROKE REHABILITATION; DIMENSIONAL SYNTHESIS; CONTROL STRATEGIES; PARALLEL ROBOT; MULTICRITERIA OPTIMIZATION; DESIGN OPTIMIZATION; ASSISTED THERAPY; VIRTUAL-REALITY</t>
  </si>
  <si>
    <t>Introduction: Although there is a need for rehabilitation treatment with the increase in the aging population, the shortage of skilled physicians frustrates this necessity. Robotic technology has been advocated as one of the most viable methods with the potential to replace humans in providing physical rehabilitation of patients with neurological impairment. However, because the pioneering robot devices suffer several reservations such as safety and comfort concerns in clinical practice, there is an urgent need to provide upgraded replacements. The rapid development of intelligent computing has attracted the attention of researchers concerning the utilization of computational intelligence algorithms for robots in rehabilitation. Areas covered: This article reviews the state of the art and advances of robotic neurorehabilitation with computational intelligence. We classified advances into two categories: mechanical structures and control methods. Prospective outlooks of rehabilitation robots also have been discussed. Expert opinion: The aggravation of global aging has promoted the application of robotic technology in neurorehabilitation. However, this approach is not mature enough to guarantee the safety of patients. Our critical review summarizes multiple computation algorithms which have been proved to be valuable for better robotic use in clinical settings and guide the possible future advances in this industry.</t>
  </si>
  <si>
    <t>[Yang, Jiali; Zhao, Zhiqi; Du, Chenzhen; Qiu, Juhui; Wang, Guixue] Chongqing Univ, Key Lab Biorheol Sci &amp; Technol, State Key Lab Mech Transmiss,Bioengn Coll, State &amp; Local Joint Engn Lab Vasc Implants,Minist, Chongqing 400030, Peoples R China; [Wang, Wei] Chongqing Univ, Chongqing Key Lab Translat Res Canc Metastasis &amp;, Canc Hosp, Chongqing, Peoples R China; [Peng, Qin] Inst Syst &amp; Phys Biol, Shenzhen Bay Lab, Shenzhen, Peoples R China</t>
  </si>
  <si>
    <t>Chongqing University; Chongqing University; Shenzhen Bay Laboratory</t>
  </si>
  <si>
    <t>Wang, GX (corresponding author), Chongqing Univ, Key Lab Biorheol Sci &amp; Technol, State Key Lab Mech Transmiss,Bioengn Coll, State &amp; Local Joint Engn Lab Vasc Implants,Minist, Chongqing 400030, Peoples R China.</t>
  </si>
  <si>
    <t>wanggx@cqu.edu.cn</t>
  </si>
  <si>
    <t>Yang, Jiali/ACP-3268-2022; Du, ChenZhen/ABY-3311-2022; Wang, Guixue/ACN-6343-2022</t>
  </si>
  <si>
    <t>Du, Chenzhen/0000-0003-1796-6592</t>
  </si>
  <si>
    <t>National Natural Science Foundation of China [31971242]; Chongqing Technology Innovation and Application Development Project of China [cstc2020jscx-msxmX0132, cstc2019jcyjzdxmX0028]; Fundamental Research Funds for the Central Universities [2020CDCGJ011]; Chongqing Municipal Education Commission, China [KYYJ202001]</t>
  </si>
  <si>
    <t>National Natural Science Foundation of China(National Natural Science Foundation of China (NSFC)); Chongqing Technology Innovation and Application Development Project of China; Fundamental Research Funds for the Central Universities(Fundamental Research Funds for the Central Universities); Chongqing Municipal Education Commission, China</t>
  </si>
  <si>
    <t>This work was funded by the National Natural Science Foundation of China (31971242), Chongqing Technology Innovation and Application Development Project of China (cstc2020jscx-msxmX0132, cstc2019jcyjzdxmX0028) as well as Fundamental Research Funds for the Central Universities (2020CDCGJ011) and Chongqing Municipal Education Commission, China (KYYJ202001).</t>
  </si>
  <si>
    <t>DEC 1</t>
  </si>
  <si>
    <t>10.1080/17434440.2020.1852930</t>
  </si>
  <si>
    <t>DEC 2020</t>
  </si>
  <si>
    <t>PN3FG</t>
  </si>
  <si>
    <t>WOS:000596736700001</t>
  </si>
  <si>
    <t>Bhardwaj, S; Khan, AA; Muzammil, M</t>
  </si>
  <si>
    <t>Bhardwaj, Siddharth; Khan, Abid Ali; Muzammil, Mohammad</t>
  </si>
  <si>
    <t>Lower limb rehabilitation robotics: The current understanding and technology</t>
  </si>
  <si>
    <t>WORK-A JOURNAL OF PREVENTION ASSESSMENT &amp; REHABILITATION</t>
  </si>
  <si>
    <t>Biomechatronic; rehabilitation robotics; assistive devices; lower limb; robot architecture</t>
  </si>
  <si>
    <t>SIT-TO-STAND; ANKLE-FOOT ORTHOSIS; CONTROL STRATEGIES; EXOSKELETON ROBOT; SPINAL-CORD; KNEE EXOSKELETON; FUZZY CONTROLLER; DESIGN; WALKING; SYSTEM</t>
  </si>
  <si>
    <t>BACKGROUND: With the increasing rate of ambulatory disabilities and rise in the elderly population, advance methods to deliver the rehabilitation and assistive services to patients have become important. Lower limb robotic therapeutic and assistive aids have been found to improve the rehabilitation outcome. OBJECTIVE: The article aims to present the updated understanding in the field of lower limb rehabilitation robotics and identify future research avenues. METHODS: Groups of keywords relating to assistive technology, rehabilitation robotics, and lower limb were combined and searched in EMBASE, IEEE Xplore Digital Library, Scopus, Web of Science and Google Scholar database. RESULTS: Based on the literature collected from the databases we provide an overview of the understanding of robotics in rehabilitation and state of the art devices for lower limb rehabilitation. Technological advancements in rehabilitation robotic architecture (sensing, actuation and control) and biomechanical considerations in design have been discussed. Finally, a discussion on the major advances, research directions, and challenges is presented. CONCLUSIONS: Although the use of robotics has shown a promising approach to rehabilitation and reducing the burden on caregivers, extensive and innovative research is still required in both cognitive and physical human-robot interaction to achieve treatment efficacy and efficiency.</t>
  </si>
  <si>
    <t>[Bhardwaj, Siddharth; Khan, Abid Ali; Muzammil, Mohammad] Aligarh Muslim Univ, Dept Mech Engn, Aligarh, Uttar Pradesh, India</t>
  </si>
  <si>
    <t>Aligarh Muslim University</t>
  </si>
  <si>
    <t>Khan, AA (corresponding author), Aligarh Muslim Univ, Dept Mech Engn, Aligarh, Uttar Pradesh, India.</t>
  </si>
  <si>
    <t>abid.khan.me@amu.ac.in</t>
  </si>
  <si>
    <t>Khan, Abid Ali/JMR-1761-2023; Bhardwaj, Siddharth/AAP-2825-2020</t>
  </si>
  <si>
    <t>Bhardwaj, Siddharth/0000-0001-7550-8659</t>
  </si>
  <si>
    <t>Council of Scientific and Industrial Research (CSIR), New Delhi [09/112(0554)2K17]</t>
  </si>
  <si>
    <t>Council of Scientific and Industrial Research (CSIR), New Delhi(Council of Scientific &amp; Industrial Research (CSIR) - India)</t>
  </si>
  <si>
    <t>This work was supported by the Council of Scientific and Industrial Research (CSIR), New Delhi under the Senior Research Fellow(SRF) scheme. File no. 09/112(0554)2K17.</t>
  </si>
  <si>
    <t>1051-9815</t>
  </si>
  <si>
    <t>1875-9270</t>
  </si>
  <si>
    <t>WORK</t>
  </si>
  <si>
    <t>Work</t>
  </si>
  <si>
    <t>10.3233/WOR-205012</t>
  </si>
  <si>
    <t>Public, Environmental &amp; Occupational Health</t>
  </si>
  <si>
    <t>TM4OF</t>
  </si>
  <si>
    <t>WOS:000675529800009</t>
  </si>
  <si>
    <t>Lee, KE; Jeoung, B</t>
  </si>
  <si>
    <t>Lee, Kyung Eun; Jeoung, Bogja</t>
  </si>
  <si>
    <t>An analysis of the effectiveness of rehabilitation protocols for patients with spinal cord injury: A systematic review</t>
  </si>
  <si>
    <t>JOURNAL OF PUBLIC HEALTH-HEIDELBERG</t>
  </si>
  <si>
    <t>Rehabilitation protocols; Spinal cord injury; Systematic review; Robotic- and electronic-based rehabilitation</t>
  </si>
  <si>
    <t>FUNCTIONAL ELECTRICAL-STIMULATION; BODY-COMPOSITION; EXERCISE; INDIVIDUALS; INTENSITY; RESPONSES; STRENGTH; OUTCOMES; FITNESS; WALKING</t>
  </si>
  <si>
    <t>AimSCI may cause loss of sensory function, paralysis, and limited functional mobility. The specificity of SCI has expanded the scope of medical trials and given rise to therapeutic options that incorporate new technologies with robotics and electronic devices. We aimed to identify various therapeutic options and develop effective treatment regimens.MethodsWe conducted the systematic review using the following digital databases: MEDLINE/PubMed and Google Scholar. We focused on publications published between 2012 and 2023 and The following primary terms were searched: Spinal cord injury rehabilitation, Spinal cord injury exercise, and Spinal cord injury therapy, with the Boolean operator AND/OR used for additional searches. A total of 110 relevant articles were identified during the selection process. After screening and assessing eligibility, the final 17 studies were included in this systematic reviewResults &amp; conclusionThe current paper gave a taxonomy of electrical instrumentation and traditional rehabilitation technologies. We also discovered that FES is used as a comprehensive regimen that involves both the upper and lower extremities, and that locomotor training using robots is beneficial in improving walking ability. We discovered that diversified training programs using conventional methods concentrated on the physical independence of patients with chronic SCI.</t>
  </si>
  <si>
    <t>[Lee, Kyung Eun] Yonsei Univ, Seoul, South Korea; [Jeoung, Bogja] Gachon Univ, Dept Exercise Rehabil, Incheon, South Korea</t>
  </si>
  <si>
    <t>Yonsei University; Gachon University</t>
  </si>
  <si>
    <t>Jeoung, B (corresponding author), Gachon Univ, Dept Exercise Rehabil, Incheon, South Korea.</t>
  </si>
  <si>
    <t>bogja05@gachon.ac.kr</t>
  </si>
  <si>
    <t>This study was supported by the Translational Ramp;D Program on Smart Rehabilitation Exercises (NCR-TRSRE-Eq01A), National Rehabilitation Center, Ministry of Health and Welfare, Korea.; Translational Ramp;D Program on Smart Rehabilitation Exercises; National Rehabilitation Center, Ministry of Health and Welfare, Korea</t>
  </si>
  <si>
    <t>This study was supported by the Translational Ramp;D Program on Smart Rehabilitation Exercises (NCR-TRSRE-Eq01A), National Rehabilitation Center, Ministry of Health and Welfare, Korea.; Translational Ramp;D Program on Smart Rehabilitation Exercises; National Rehabilitation Center, Ministry of Health and Welfare, Korea(Ministry of Health &amp; Welfare (MOHW), Republic of KoreaNational Rehabilitation Center (NRC), Republic of Korea)</t>
  </si>
  <si>
    <t>This study was supported by the Translational R&amp;D Program on Smart Rehabilitation Exercises (NCR-TRSRE-Eq01A), National Rehabilitation Center, Ministry of Health and Welfare, Korea.</t>
  </si>
  <si>
    <t>SPRINGER HEIDELBERG</t>
  </si>
  <si>
    <t>HEIDELBERG</t>
  </si>
  <si>
    <t>TIERGARTENSTRASSE 17, D-69121 HEIDELBERG, GERMANY</t>
  </si>
  <si>
    <t>2198-1833</t>
  </si>
  <si>
    <t>1613-2238</t>
  </si>
  <si>
    <t>J PUBLIC HEALTH-HEID</t>
  </si>
  <si>
    <t>J. Public Health-Heidelberg</t>
  </si>
  <si>
    <t>2023 OCT 24</t>
  </si>
  <si>
    <t>10.1007/s10389-023-02115-9</t>
  </si>
  <si>
    <t>U9MF7</t>
  </si>
  <si>
    <t>WOS:001087967900001</t>
  </si>
  <si>
    <t>Cha, TH; Hwang, HS</t>
  </si>
  <si>
    <t>Cha, Tae-Hyun; Hwang, Ho-Sung</t>
  </si>
  <si>
    <t>Rehabilitation Interventions Combined with Noninvasive Brain Stimulation on Upper Limb Motor Function in Stroke Patients</t>
  </si>
  <si>
    <t>BRAIN SCIENCES</t>
  </si>
  <si>
    <t>noninvasive brain stimulation; transcranial direct current stimulation; repetitive transcranial magnetic stimulation; combined rehabilitation treatment; upper extremity rehabilitation; systematic review; medical devices; stroke rehabilitation</t>
  </si>
  <si>
    <t>TRANSCRANIAL MAGNETIC STIMULATION; CORTICAL EXCITABILITY; RTMS; TDCS; MODULATION; FACILITATION; MULTICENTER; HEMIPARESIS; PERFORMANCE; IMPROVEMENT</t>
  </si>
  <si>
    <t>(1) Background: This systematic review aimed to focus on the effects of rehabilitation interventions combined with noninvasive brain stimulation on upper limb motor function in stroke patients. (2) Methods: PubMed, MEDLINE, and CINAHL were used for the literature research. Articles were searched using the following terms: Stroke OR CVA OR cerebrovascular accident AND upper limb OR upper extremity AND NIBS OR Non-Invasive Brain Stimulation OR rTMS OR repetitive transcranial magnetic stimulation OR tDCS OR transcranial direct current stimulation AND RCT OR randomized control trial. In total, 12 studies were included in the final analysis. (3) Results: Analysis using the Physiotherapy Evidence Database scale for qualitative evaluation of the literature rated eight articles as excellent and four as good. Combined rehabilitation interventions included robotic therapy, motor imagery using brain-computer interaction, sensory control, occupational therapy, physiotherapy, task-oriented approach, task-oriented mirror therapy, neuromuscular electrical stimulation, and behavior observation therapy. (4) Conclusions: Although it is difficult to estimate the recovery of upper limb motor function in stroke patients treated with noninvasive brain stimulation alone, a combination of a task-oriented approach, occupational therapy, action observation, wrist robot-assisted rehabilitation, and physical therapy can be effective.</t>
  </si>
  <si>
    <t>[Cha, Tae-Hyun; Hwang, Ho-Sung] Konyang Univ Occupat Therapy, Dept Occupat Therapy, 158 Gwanjeodong Ro, Daejeon 35365, South Korea</t>
  </si>
  <si>
    <t>Hwang, HS (corresponding author), Konyang Univ Occupat Therapy, Dept Occupat Therapy, 158 Gwanjeodong Ro, Daejeon 35365, South Korea.</t>
  </si>
  <si>
    <t>taehyun@konyang.ac.kr; hosung27@naver.com</t>
  </si>
  <si>
    <t>Hwang, Ho-Sung/0000-0003-2812-864X</t>
  </si>
  <si>
    <t>Konyang University</t>
  </si>
  <si>
    <t>This study was supported by Konyang University.</t>
  </si>
  <si>
    <t>2076-3425</t>
  </si>
  <si>
    <t>BRAIN SCI</t>
  </si>
  <si>
    <t>Brain Sci.</t>
  </si>
  <si>
    <t>10.3390/brainsci12080994</t>
  </si>
  <si>
    <t>4D2QU</t>
  </si>
  <si>
    <t>WOS:000846991600001</t>
  </si>
  <si>
    <t>Blut, M; Wang, C; Wünderlich, NV; Brock, C</t>
  </si>
  <si>
    <t>Blut, Markus; Wang, Cheng; Wuenderlich, Nancy V.; Brock, Christian</t>
  </si>
  <si>
    <t>Understanding anthropomorphism in service provision: a meta-analysis of physical robots, chatbots, and other AI</t>
  </si>
  <si>
    <t>JOURNAL OF THE ACADEMY OF MARKETING SCIENCE</t>
  </si>
  <si>
    <t>Service robots; Anthropomorphism; Technology acceptance; Meta-analysis</t>
  </si>
  <si>
    <t>CUSTOMER EXPERIENCE; ASSISTED THERAPY; INCREASES TRUST; SOCIAL ROBOTS; TECHNOLOGY; ACCEPTANCE; ATTITUDES; DETERMINANTS; INTELLIGENCE; APPEARANCE</t>
  </si>
  <si>
    <t>An increasing number of firms introduce service robots, such as physical robots and virtual chatbots, to provide services to customers. While some firms use robots that resemble human beings by looking and acting humanlike to increase customers' use intention of this technology, others employ machinelike robots to avoid uncanny valley effects, assuming that very humanlike robots may induce feelings of eeriness. There is no consensus in the service literature regarding whether customers' anthropomorphism of robots facilitates or constrains their use intention. The present meta-analysis synthesizes data from 11,053 individuals interacting with service robots reported in 108 independent samples. The study synthesizes previous research to clarify this issue and enhance understanding of the construct. We develop a comprehensive model to investigate relationships between anthropomorphism and its antecedents and consequences. Customer traits and predispositions (e.g., computer anxiety), sociodemographics (e.g., gender), and robot design features (e.g., physical, nonphysical) are identified as triggers of anthropomorphism. Robot characteristics (e.g., intelligence) and functional characteristics (e.g., usefulness) are identified as important mediators, although relational characteristics (e.g., rapport) receive less support as mediators. The findings clarify contextual circumstances in which anthropomorphism impacts customer intention to use a robot. The moderator analysis indicates that the impact depends on robot type (i.e., robot gender) and service type (i.e., possession-processing service, mental stimulus-processing service). Based on these findings, we develop a comprehensive agenda for future research on service robots in marketing.</t>
  </si>
  <si>
    <t>[Blut, Markus] Univ Durham, Durham Univ Business Sch, Mill Hill Lane, Durham DH1 3LB, England; [Wang, Cheng] Xian Jiaotong Liverpool Univ, Int Business Sch Suzhou, 111 Ren Ai Rd, Suzhou 215123, Jiangsu, Peoples R China; [Wuenderlich, Nancy V.] Paderborn Univ, Warburger Str 100, D-33098 Paderborn, Germany; [Brock, Christian] Univ Rostock, Ulmenstr 69, D-18057 Rostock, Germany</t>
  </si>
  <si>
    <t>Durham University; Xi'an Jiaotong-Liverpool University; University of Paderborn; University of Rostock</t>
  </si>
  <si>
    <t>Blut, M (corresponding author), Univ Durham, Durham Univ Business Sch, Mill Hill Lane, Durham DH1 3LB, England.</t>
  </si>
  <si>
    <t>markus.blut@durham.ac.uk; cheng.wang@xjtlu.edu.cn; nancy.wuenderlich@upb.de; christian.brock@uni-rostock.de</t>
  </si>
  <si>
    <t>Wuenderlich, Nancy/KIG-0254-2024</t>
  </si>
  <si>
    <t>0092-0703</t>
  </si>
  <si>
    <t>1552-7824</t>
  </si>
  <si>
    <t>J ACAD MARKET SCI</t>
  </si>
  <si>
    <t>J. Acad. Mark. Sci.</t>
  </si>
  <si>
    <t>10.1007/s11747-020-00762-y</t>
  </si>
  <si>
    <t>JAN 2021</t>
  </si>
  <si>
    <t>Business</t>
  </si>
  <si>
    <t>Business &amp; Economics</t>
  </si>
  <si>
    <t>TE8NU</t>
  </si>
  <si>
    <t>WOS:000605490000002</t>
  </si>
  <si>
    <t>Ramlee, MH; Beng, GK</t>
  </si>
  <si>
    <t>Ramlee, Muhammad Hanif; Beng, Gan Kok</t>
  </si>
  <si>
    <t>FUNCTION AND BIOMECHANICS OF UPPER LIMB IN POST-STROKE PATIENTS - A SYSTEMATIC REVIEW</t>
  </si>
  <si>
    <t>JOURNAL OF MECHANICS IN MEDICINE AND BIOLOGY</t>
  </si>
  <si>
    <t>Post-stroke; upper limb; stroke rehabilitation; physiotherapy; biomechanics</t>
  </si>
  <si>
    <t>BONE-MINERAL DENSITY; UPPER EXTREMITY; ARM FUNCTION; EXOSKELETON ROBOTS; SPASTIC HYPERTONIA; STROKE PATIENTS; REFLEX ACTIVITY; MOTOR RECOVERY; GRIP STRENGTH; TIME-COURSE</t>
  </si>
  <si>
    <t>Current clinical services are struggling to provide the most favorable rehabilitation treatment for patients with stroke, which inspired researchers to investigate and explore the use of rehabilitation devices suitable for the patients and rehabilitation therapy. This review paper addresses the importance of biomechanical features in patients who experienced stroke to the upper limb. First and foremost, a review was done on general biomechanical description associated with motor control, shoulder, elbow, wrist and fingers joint. This included the ability of the patients to move their affected arm and the affect on peak joint torque, range of motion, joint forces, grip strength and muscle activities during the activities of daily living. In addition, we also reviewed the material properties and geometrical condition of tissue in stroke patient. The repercussions of post-stroke patient regarding the bone density, stiffness of muscle as well as the thickness of cartilage are described in this review. Based on the findings, the movement of affected stroke hand is associated with the motor control and material properties of tissue. To strengthen the motor control and maintaining tissue properties, early physical training on patients should be conducted in two to four weeks after stroke. In conclusion, this report suggests a new approach for future biomechanical studies in order to enhance the quality of physiotherapy rehabilitation peculiarly for post-stroke patients.</t>
  </si>
  <si>
    <t>[Ramlee, Muhammad Hanif] Univ Teknol Malaysia, FBME, Med Devices &amp; Technol Grp MEDITEG, Dept Clin Sci, Utm Johor Bahru 81310, Johor, Malaysia; [Ramlee, Muhammad Hanif] Univ Teknol Malaysia, IHCE, Sport Innovat &amp; Technol Grp SITC, Utm Johor Bahru 81310, Johor, Malaysia; [Beng, Gan Kok] Univ Kebangsaan Malaysia, Fac Engn &amp; Syst Engn, Dept Elect Elect &amp; Syst Engn, Ukm Bangi 43600, Selangor, Malaysia</t>
  </si>
  <si>
    <t>Universiti Teknologi Malaysia; Universiti Teknologi Malaysia; Universiti Kebangsaan Malaysia</t>
  </si>
  <si>
    <t>Ramlee, MH (corresponding author), Univ Teknol Malaysia, FBME, Med Devices &amp; Technol Grp MEDITEG, Dept Clin Sci, Utm Johor Bahru 81310, Johor, Malaysia.;Ramlee, MH (corresponding author), Univ Teknol Malaysia, IHCE, Sport Innovat &amp; Technol Grp SITC, Utm Johor Bahru 81310, Johor, Malaysia.</t>
  </si>
  <si>
    <t>muhammad.hanif.ramlee@biomedical.utm.my; gankokbeng@ukm.edu.my</t>
  </si>
  <si>
    <t>Ramlee, Muhammad/AAP-1623-2020; Gan, Kok/B-9771-2011</t>
  </si>
  <si>
    <t>Centre of Research and Instrumentation Management (CRIM), Arus Perdana Research University Grant under grant of the Universiti Kebangsaan Malaysia (UKM) [AP-2014-014]; Potential Academic Staf (PAS) grant of the Universiti Teknologi Malaysia [Q.J130000.2745.02K78]; Fundamental Research Grant Scheme (FRGS) under the Ministry of Higher Education (MoHE) of Malaysia [FRGS/1/2016/TK04/UKM/02/5]</t>
  </si>
  <si>
    <t>Centre of Research and Instrumentation Management (CRIM), Arus Perdana Research University Grant under grant of the Universiti Kebangsaan Malaysia (UKM); Potential Academic Staf (PAS) grant of the Universiti Teknologi Malaysia; Fundamental Research Grant Scheme (FRGS) under the Ministry of Higher Education (MoHE) of Malaysia</t>
  </si>
  <si>
    <t>The work was supported by research funding from Centre of Research and Instrumentation Management (CRIM), Arus Perdana Research University Grant (AP-2014-014) under grant of the Universiti Kebangsaan Malaysia (UKM), Potential Academic Staf (PAS) (Grant No.: Q.J130000.2745.02K78) grant of the Universiti Teknologi Malaysia and Fundamental Research Grant Scheme (FRGS) (Grant No.: FRGS/1/2016/TK04/UKM/02/5) under the Ministry of Higher Education (MoHE) of Malaysia.</t>
  </si>
  <si>
    <t>WORLD SCIENTIFIC PUBL CO PTE LTD</t>
  </si>
  <si>
    <t>SINGAPORE</t>
  </si>
  <si>
    <t>5 TOH TUCK LINK, SINGAPORE 596224, SINGAPORE</t>
  </si>
  <si>
    <t>0219-5194</t>
  </si>
  <si>
    <t>1793-6810</t>
  </si>
  <si>
    <t>J MECH MED BIOL</t>
  </si>
  <si>
    <t>J. Mech. Med. Biol.</t>
  </si>
  <si>
    <t>10.1142/S0219519417500993</t>
  </si>
  <si>
    <t>Biophysics; Engineering, Biomedical</t>
  </si>
  <si>
    <t>Biophysics; Engineering</t>
  </si>
  <si>
    <t>FI6UM</t>
  </si>
  <si>
    <t>WOS:000412132200012</t>
  </si>
  <si>
    <t>Winser, S; Lee, SH; Law, HS; Leung, HY; Bello, UM; Kannan, P</t>
  </si>
  <si>
    <t>Winser, Stanley; Lee, Sing Hong; Law, Hung Sing; Leung, Hei Yuen; Bello, Umar Muhammad; Kannan, Priya</t>
  </si>
  <si>
    <t>Economic evaluations of physiotherapy interventions for neurological disorders: a systematic review</t>
  </si>
  <si>
    <t>Cost-effectiveness; economic analyses; physical therapy treatments; neurorehabilitation; QALY; DALY</t>
  </si>
  <si>
    <t>METHODOLOGICAL QUALITY; COST-EFFECTIVENESS; CLINICAL-TRIALS; GLOBAL BURDEN; THERAPY; PERSPECTIVES; CRITERIA; DISEASE; PEOPLE; LIST</t>
  </si>
  <si>
    <t>Purpose: To identify the existing evidence evaluating the cost-effectiveness of physiotherapy treatments for people with neurological disorders. Methods: Multiple databases were searched from database inception until July 2018. Studies estimating the cost-effectiveness as incremental cost-effectiveness ratios, cost per quality-adjusted life year, cost per disability-adjusted life year and cost per other measurable results were included. Physiotherapy Evidence Database scale, and Consensus on Health Economic Criteria list were used for rating the quality of the evidence. Results: Ten studies involving 1462 participants were included. Aerobic training, progressive strength training, and a pragmatic physiotherapy program (combination of stretching, strength, and balance training) were reported as potentially cost-effective for older adults with vascular cognitive impairment, falls prevention in Parkinson's disease and multiple sclerosis respectively. Physiotherapy as an adjuvant for pain control was also reported as cost-effective for reflex sympathetic dystrophy. One study testing extra physiotherapy-by-physiotherapy assistant in cerebral palsy and two studies testing extra therapy using a robotic arm and Wii therapy for hand rehabilitation in stroke were reported as not cost-effective. Conclusions: There are limited studies that have evaluated the cost-effectiveness of physiotherapy treatments in neurological disorders. Three studies that combined extra physiotherapy-by-physiotherapy assistant and novel interventions with conventional physiotherapy were found not cost-effective.</t>
  </si>
  <si>
    <t>[Winser, Stanley; Lee, Sing Hong; Law, Hung Sing; Leung, Hei Yuen; Bello, Umar Muhammad; Kannan, Priya] Hong Kong Polytech Univ, Dept Rehabil Sci, Hung Hom, Hong Kong, Peoples R China</t>
  </si>
  <si>
    <t>Winser, S (corresponding author), Hong Kong Polytech Univ, Dept Rehabil Sci, Hung Hom, Hong Kong, Peoples R China.</t>
  </si>
  <si>
    <t>stanley.j.winser@polyu.edu.hk</t>
  </si>
  <si>
    <t>Winser, Stanley/AAA-3894-2022; Bello, Umar/AAC-4180-2020</t>
  </si>
  <si>
    <t>Kannan, Priya/0000-0003-2583-9614; Bello, Umar/0000-0001-8535-4163; Winser, Stanley/0000-0002-8766-3688</t>
  </si>
  <si>
    <t>10.1080/09638288.2018.1510993</t>
  </si>
  <si>
    <t>WOS:000522831300001</t>
  </si>
  <si>
    <t>Chuang, YC; Tsai, YL; Lin, TTL; Ou-Yang, LJ; Lee, YC; Cheng, YY; Liu, CC; Hsu, CS</t>
  </si>
  <si>
    <t>Chuang, Ya-Chi; Tsai, Yu-Lin; Lin, Tony Tung-Liang; Ou-Yang, Liang-Jun; Lee, Yu-Chun; Cheng, Yuan-Yang; Liu, Chuan-Ching; Hsu, Chun-Sheng</t>
  </si>
  <si>
    <t>Effects of soft robotic exosuit on ambulation ability in stroke patients: a systematic review</t>
  </si>
  <si>
    <t>Soft robotic exosuit; Gait; Ambulation; Stroke; Post-stroke hemiparesis</t>
  </si>
  <si>
    <t>PHYSICAL PERFORMANCE; REHABILITATION; WALKING; GUIDELINES; RECOVERY; BALANCE</t>
  </si>
  <si>
    <t>BackgroundRobot-assisted gait training is incorporated into guidelines for stroke rehabilitation. It is a promising tool combined with conventional therapy for low ambulatory patients. The heavy weight and bulky appearance of a robotic exoskeleton limits its practicality. On the other hand, soft robotic exosuit (SRE) based on its light weight and inconspicuous property, is better tolerated by patients in daily life. The aim of this study is to review the efficacy of the SRE with regard to walking ability and biomechanical properties in stroke patients.MethodsElectronic searches were carried out in PubMed, Embase, Cochrane Library, Web of Science, and the Physiotherapy Evidence Database. Clinical trials that investigated the effectiveness of SREs on ambulation ability in patients with post-stroke hemiparesis were eligible. Qualitative data synthesis was subsequently performed.ResultsNine studies were identified as relevant, involving a total of 83 patients. For the assessment of SRE efficacy, outcome measures were walking ability and biomechanical properties. In terms of both immediate effect and training effect, SREs improved the walking speed, walking distance, peak ankle dorsiflexion angle during swing phase, peak paretic propulsion, stride length and compensated gait in stroke patients.ConclusionsSRE improved the ambulation ability of stroke patients in terms of walking ability and biomechanical properties. The small number of studies limits the generalizability of interpretation. More controlled studies with better quality are required to reach a more solid conclusion on this issue.</t>
  </si>
  <si>
    <t>[Chuang, Ya-Chi; Tsai, Yu-Lin; Lin, Tony Tung-Liang; Lee, Yu-Chun; Cheng, Yuan-Yang; Liu, Chuan-Ching; Hsu, Chun-Sheng] Taichung Vet Gen Hosp, Dept Phys Med &amp; Rehabil, 1650 Taiwan Blvd Sect 4, Taichung 407219, Taiwan; [Ou-Yang, Liang-Jun] Chang Gung Mem Hosp, Dept Phys Med &amp; Rehabil, Taoyuan 333423, Taiwan; [Lee, Yu-Chun] Natl Taiwan Univ Sport, Dept Exercise Hlth Sci, Taichung 404401, Taiwan; [Lee, Yu-Chun] Tunghai Univ, Dept Ind Engn &amp; Enterprise Informat, Taichung 407224, Taiwan; [Cheng, Yuan-Yang; Hsu, Chun-Sheng] Natl Chung Hsing Univ, Coll Med, Dept Postbaccalaureate Med, Taichung 402202, Taiwan; [Cheng, Yuan-Yang] Natl Yang Ming Chiao Tung Univ, Sch Med, Taipei 112202, Taiwan</t>
  </si>
  <si>
    <t>Taichung Veterans General Hospital; Chang Gung Memorial Hospital; Tunghai University; National Chung Hsing University</t>
  </si>
  <si>
    <t>Liu, CC; Hsu, CS (corresponding author), Taichung Vet Gen Hosp, Dept Phys Med &amp; Rehabil, 1650 Taiwan Blvd Sect 4, Taichung 407219, Taiwan.;Hsu, CS (corresponding author), Natl Chung Hsing Univ, Coll Med, Dept Postbaccalaureate Med, Taichung 402202, Taiwan.</t>
  </si>
  <si>
    <t>u103001313@cmu.edu.tw; y065e225@vghtc.gov.tw</t>
  </si>
  <si>
    <t>Lin, Tung Liang/NGR-6074-2025; Cheng, Yuan-Yang/HTO-2640-2023</t>
  </si>
  <si>
    <t>CHUANG, YA CHI/0000-0002-2614-0381; Tsai, Yu-Lin/0000-0002-5267-6681</t>
  </si>
  <si>
    <t>We would like to thank Ho-Kuen Lee for help in manuscript preparation and his detailed search of electronic databases</t>
  </si>
  <si>
    <t>SEP 5</t>
  </si>
  <si>
    <t>10.1186/s12938-023-01150-7</t>
  </si>
  <si>
    <t>Q6YR1</t>
  </si>
  <si>
    <t>WOS:001058965100001</t>
  </si>
  <si>
    <t>Wu, N; Xie, SQ</t>
  </si>
  <si>
    <t>Wu, Nicholas; Xie, Sheng Quan</t>
  </si>
  <si>
    <t>Adaptation of hand exoskeletons for occupational augmentation: A literature review</t>
  </si>
  <si>
    <t>ROBOTICS AND AUTONOMOUS SYSTEMS</t>
  </si>
  <si>
    <t>Upper-limb exoskeletons; Design optimisation; Human-robot-interaction; Occupational exoskeletons; Augmentation; Reconfigurability; Exoskeleton design; Wrist exoskeletons; Hand exoskeletons</t>
  </si>
  <si>
    <t>UPPER-LIMB EXOSKELETON; DESIGN; SOFT; REHABILITATION; VALIDATION; SHOULDER; JOINT</t>
  </si>
  <si>
    <t>Limited research has been conducted on hand exoskeletons for an augmentative role. Hand and wrist exoskeletons for therapeutic purposes, however, are widely researched featuring existing technologies which can be adapted for occupational augmentation. This paper presents a literature review of upper -body exoskeleton systems researched within the past five years with a focus on the systematic comparison of augmentative or occupational design compared to other roles. Several important aspects of exoskeleton development for augmentation are identified and evaluated within this review. This includes actuation methods, which determine workspace and scalability, human -robot -interaction, thus ensuring affinity with the wearer, and use of modelling, design optimisation or generative design methods to arrive at effective solutions. This paper systematically reviews 108 upper limb exoskeleton systems and compares their design in three main aspects: The optimisation of their design, their physical features, and the data published to evaluate their effectiveness. Design optimisation in the exoskeleton field faces challenges in parameter choice, lack of integrated personalisation, complex models, computation time, and limited access to effective optimisation techniques. Although there are no perfect combinations of design features, observable trends suggest certain choices are more viable and efficient. The wide range of contemporary hand exoskeleton systems indicates both potential for diverse form factors and a need for further development to converge on a concise solution like that of shoulder exoskeletons.</t>
  </si>
  <si>
    <t>[Wu, Nicholas; Xie, Sheng Quan] Univ Leeds, Sch Elect &amp; Elect Engn, Leeds, England</t>
  </si>
  <si>
    <t>University of Leeds</t>
  </si>
  <si>
    <t>Wu, N (corresponding author), Univ Leeds, Sch Elect &amp; Elect Engn, Leeds, England.</t>
  </si>
  <si>
    <t>el18nw@leeds.ac.uk; S.Q.Xie@leeds.ac.uk</t>
  </si>
  <si>
    <t>Xie, Sheng/AAU-3957-2021</t>
  </si>
  <si>
    <t>Xie, Sheng Quan/0000-0003-2641-2620</t>
  </si>
  <si>
    <t>0921-8890</t>
  </si>
  <si>
    <t>1872-793X</t>
  </si>
  <si>
    <t>ROBOT AUTON SYST</t>
  </si>
  <si>
    <t>Robot. Auton. Syst.</t>
  </si>
  <si>
    <t>10.1016/j.robot.2024.104618</t>
  </si>
  <si>
    <t>FEB 2024</t>
  </si>
  <si>
    <t>Automation &amp; Control Systems; Computer Science, Artificial Intelligence; Robotics</t>
  </si>
  <si>
    <t>Automation &amp; Control Systems; Computer Science; Robotics</t>
  </si>
  <si>
    <t>KG5G6</t>
  </si>
  <si>
    <t>WOS:001178812400001</t>
  </si>
  <si>
    <t>Polizzi, A; Rinella, S; Ruggieri, M; Gentile, AE; Verrelli, CM; Iosa, M</t>
  </si>
  <si>
    <t>Polizzi, Agata; Rinella, Sergio; Ruggieri, Martino; Gentile, Amalia E.; Verrelli, Cristiano M.; Iosa, Marco</t>
  </si>
  <si>
    <t>Efficacy of videogames and exergames in pediatric neurorehabilitation: a systematic review</t>
  </si>
  <si>
    <t>MINERVA PEDIATRICS</t>
  </si>
  <si>
    <t>Exergaming; Pediatrics; Neurological rehabilitation; Child; Adolescent; Gamification</t>
  </si>
  <si>
    <t>VIRTUAL-REALITY REHABILITATION; GROSS MOTOR FUNCTION; CEREBRAL-PALSY; CHILDREN; GAMES; BALANCE; THERAPY; ROBOT; TECHNOLOGIES; PILOT</t>
  </si>
  <si>
    <t>INTRODUCTION: In recent years, the rehabilitation of children with neurological disorders has taken into account the possibility of using videogaming consoles and virtual reality systems to make children's therapy more enjoyable, motivating, participated and effective. This study aims at conducting a systematic review about the use and the efficacy of digital games in pediatric neurorehabilitation. EVIDENCE ACQUISITION: In accordance with the PRISMA approach, a rather wide-ranging search was conducted on PubMed, Scopus, and Web of Science databases by using different combinations of keywords based on MeSH terms.EVIDENCE SYNTHESIS: Fifty-five papers have been included into this review, namely, 3 8 original studies and 17 reviews. The total number of children and adolescents is 573, with 58% of them being affected by cerebral palsy. Despite a wide variability in the adopted protocols, devices, assessment tools, and a more frequent focus on motor aspects than on cognitive ones, the results of the majority of the analyzed studies support the safety (i.e., absence of severe adverse effects) and efficacy of the videogame-based therapy. CONCLUSIONS: Videogames, when administered by means of commercial consoles or ad-hoc digital systems, seem to be a valid support for physical therapy. Further researchers are needed to deeply investigate the role of this approach in cognitive therapy and cognitive outcomes.</t>
  </si>
  <si>
    <t>[Polizzi, Agata; Rinella, Sergio] Univ Catania, Dept Educ Sci, Catania, Italy; [Ruggieri, Martino] Univ Catania, Dept Clin &amp; Expt Med, Unit Clin Pediat, Catania, Italy; [Gentile, Amalia E.] Ist Super Sanita, Natl Ctr Rare Dis, Rome, Italy; [Verrelli, Cristiano M.] Univ Roma Tor Vergata, Dept Elect Engn, Rome, Italy; [Iosa, Marco] Sapienza Univ, Dept Psychol, Via Marsi 78, I-00185 Rome, Italy; [Iosa, Marco] Santa Lucia Fdn, Sci Inst Res Hospitalizat &amp; Healthcare IRCCS, Rome, Italy</t>
  </si>
  <si>
    <t>University of Catania; University of Catania; Istituto Superiore di Sanita (ISS); University of Rome Tor Vergata; Sapienza University Rome; IRCCS Santa Lucia</t>
  </si>
  <si>
    <t>Iosa, M (corresponding author), Sapienza Univ, Dept Psychol, Via Marsi 78, I-00185 Rome, Italy.</t>
  </si>
  <si>
    <t>marco.iosa@uniroma1.it</t>
  </si>
  <si>
    <t>Iosa, Marco/AAC-1693-2022; Rinella, Sergio/AAB-5946-2021; Verrelli, Cristiano/X-8077-2019; Gentile, Amalia Egle/A-6652-2015</t>
  </si>
  <si>
    <t>Gentile, Amalia Egle/0000-0001-6979-4046; Rinella, Sergio/0000-0002-9368-7088</t>
  </si>
  <si>
    <t>University of Catania, University Research Funds, Research Plan [2016/2018]</t>
  </si>
  <si>
    <t>University of Catania, University Research Funds, Research Plan</t>
  </si>
  <si>
    <t>This study was supported by the University of Catania, University Research Funds, Research Plan 2016/2018.</t>
  </si>
  <si>
    <t>2724-5276</t>
  </si>
  <si>
    <t>2724-5780</t>
  </si>
  <si>
    <t>MINERVA PEDIATR</t>
  </si>
  <si>
    <t>Minerva Pediatr.</t>
  </si>
  <si>
    <t>2023 JUN 16</t>
  </si>
  <si>
    <t>10.23736/S2724-5276.23.07146-X</t>
  </si>
  <si>
    <t>JUN 2023</t>
  </si>
  <si>
    <t>Pediatrics</t>
  </si>
  <si>
    <t>FL4A2</t>
  </si>
  <si>
    <t>WOS:001145920500001</t>
  </si>
  <si>
    <t>Alam, N; Hasan, S; Mashud, GA; Bhujel, S</t>
  </si>
  <si>
    <t>Alam, Nafizul; Hasan, Sk; Mashud, Gazi Abdullah; Bhujel, Subodh</t>
  </si>
  <si>
    <t>Neural Network for Enhancing Robot-Assisted Rehabilitation: A Systematic Review</t>
  </si>
  <si>
    <t>ACTUATORS</t>
  </si>
  <si>
    <t>CNN; RNN; LSTM; sEMG; RBFNN; fuzzy and deep neural networks; motion estimation; upper limb rehabilitation</t>
  </si>
  <si>
    <t>UPPER-LIMB EXOSKELETON; SLIDING MODE CONTROL; CONTROLLER</t>
  </si>
  <si>
    <t>The integration of neural networks into robotic exoskeletons for physical rehabilitation has become popular due to their ability to interpret complex physiological signals. Surface electromyography (sEMG), electromyography (EMG), electroencephalography (EEG), and other physiological signals enable communication between the human body and robotic systems. Utilizing physiological signals for communicating with robots plays a crucial role in robot-assisted neurorehabilitation. This systematic review synthesizes 44 peer-reviewed studies, exploring how neural networks can improve exoskeleton robot-assisted rehabilitation for individuals with impaired upper limbs. By categorizing the studies based on robot-assisted joints, sensor systems, and control methodologies, we offer a comprehensive overview of neural network applications in this field. Our findings demonstrate that neural networks, such as Convolutional Neural Networks (CNNs), Long Short-Term Memory (LSTM), Radial Basis Function Neural Networks (RBFNNs), and other forms of neural networks significantly contribute to patient-specific rehabilitation by enabling adaptive learning and personalized therapy. CNNs improve motion intention estimation and control accuracy, while LSTM networks capture temporal muscle activity patterns for real-time rehabilitation. RBFNNs improve human-robot interaction by adapting to individual movement patterns, leading to more personalized and efficient therapy. This review highlights the potential of neural networks to revolutionize upper limb rehabilitation, improving motor recovery and patient outcomes in both clinical and home-based settings. It also recommends the future direction of customizing existing neural networks for robot-assisted rehabilitation applications.</t>
  </si>
  <si>
    <t>[Alam, Nafizul; Hasan, Sk; Mashud, Gazi Abdullah; Bhujel, Subodh] Miami Univ, Dept Mech &amp; Mfg Engn, Oxford, OH 45056 USA</t>
  </si>
  <si>
    <t>University System of Ohio; Miami University</t>
  </si>
  <si>
    <t>Hasan, S (corresponding author), Miami Univ, Dept Mech &amp; Mfg Engn, Oxford, OH 45056 USA.</t>
  </si>
  <si>
    <t>alamn@miamioh.edu; hasansk@miamioh.edu; mashudg@miamioh.edu; bhujelsb@miamioh.edu</t>
  </si>
  <si>
    <t>2076-0825</t>
  </si>
  <si>
    <t>Actuators</t>
  </si>
  <si>
    <t>10.3390/act14010016</t>
  </si>
  <si>
    <t>Engineering, Mechanical; Instruments &amp; Instrumentation</t>
  </si>
  <si>
    <t>Engineering; Instruments &amp; Instrumentation</t>
  </si>
  <si>
    <t>T3I6E</t>
  </si>
  <si>
    <t>WOS:001403989700001</t>
  </si>
  <si>
    <t>Albert, S; Kesselring, J</t>
  </si>
  <si>
    <t>Albert, Sylvan J.; Kesselring, Juerg</t>
  </si>
  <si>
    <t>Neurorehabilitation of stroke</t>
  </si>
  <si>
    <t>JOURNAL OF NEUROLOGY</t>
  </si>
  <si>
    <t>Stroke rehabilitation; Neurorehabilitation; Motor learning; Recovery; Plasticity; Cortical stimulation</t>
  </si>
  <si>
    <t>INDUCED MOVEMENT THERAPY; THETA-BURST STIMULATION; BODY-WEIGHT SUPPORT; TRANSCRANIAL MAGNETIC STIMULATION; FUNCTIONAL MOTOR RECOVERY; UPPER-LIMB; VIRTUAL-REALITY; PHYSICAL-ACTIVITY; BRAIN PLASTICITY; SUBACUTE STROKE</t>
  </si>
  <si>
    <t>Despite ongoing improvements in the acute treatment of cerebrovascular diseases and organization of stroke services, many stroke survivors are in need of neurorehabilitation, as more than two-thirds show persisting neurologic deficits. While early elements of neurorehabilitation are already taking place on the stroke unit, after the acute treatment, the patient with relevant neurologic deficits usually takes part in an organized inpatient multidisciplinary rehabilitation program and eventually continues with therapies in an ambulatory setting afterwards. A specialized multidisciplinary neurorehabilitation team with structured organization and processes provides a multimodal, intense treatment program for stroke patients which is adapted in detail to the individual goals of rehabilitation. There are many parallels between postlesional neuroplasticity (relearning) and learning in the development of individuals as well as task learning of healthy persons. One key principle of neurorehabilitation is the repetitive creation of specific learning situations to promote mechanisms of neural plasticity in stroke recovery. There is evidence of achieving a better outcome of neurorehabilitation with early initiation of treatment, high intensity, with specific goals and active therapies, and the coordinated work and multimodality of a specialized team. In this context, interdisciplinary goal-setting and regular assessments of the patient are important. Furthermore, several further potential enhancers of neural plasticity, e.g., peripheral and brain stimulation techniques, pharmacological augmentation, and use of robotics, are under evaluation.</t>
  </si>
  <si>
    <t>[Albert, Sylvan J.; Kesselring, Juerg] Rehabil Ctr, Dept Neurol &amp; Neurorehabil, CH-7317 Valens, Switzerland</t>
  </si>
  <si>
    <t>Albert, S (corresponding author), Rehabil Ctr, Dept Neurol &amp; Neurorehabil, CH-7317 Valens, Switzerland.</t>
  </si>
  <si>
    <t>s.albert@klinik-valens.ch</t>
  </si>
  <si>
    <t>0340-5354</t>
  </si>
  <si>
    <t>1432-1459</t>
  </si>
  <si>
    <t>J NEUROL</t>
  </si>
  <si>
    <t>J. Neurol.</t>
  </si>
  <si>
    <t>10.1007/s00415-011-6247-y</t>
  </si>
  <si>
    <t>947RR</t>
  </si>
  <si>
    <t>WOS:000304447900002</t>
  </si>
  <si>
    <t>Pereira, TA; Rust, JO; Bernie, HL</t>
  </si>
  <si>
    <t>Pereira, Thairo A.; Rust, Jacob O.; Bernie, Helen L.</t>
  </si>
  <si>
    <t>Management of Post-RALP SUI and ED - What are and What Should we be Doing?</t>
  </si>
  <si>
    <t>CURRENT UROLOGY REPORTS</t>
  </si>
  <si>
    <t>Stress urinary incontinence; Prostate cancer; Erectile dysfunction; Penile rehabilitation</t>
  </si>
  <si>
    <t>SPARING RADICAL PROSTATECTOMY; ARTIFICIAL URINARY SPHINCTER; ERECTILE DYSFUNCTION; PENILE REHABILITATION; SEXUAL REHABILITATION; INCONTINENCE; RECOVERY; EFFICACY; OUTCOMES; THERAPY</t>
  </si>
  <si>
    <t>Purpose of ReviewAlthough there have been advancements in minimally invasive surgical techniques for radical prostatectomy, surgery can still significantly impact continence and erectile function (EF), resulting in considerable quality-of-life impairment. This review critically evaluates existing treatment options for male stress urinary incontinence (SUI) and erectile dysfunction (ED) post-robotic-assisted laparoscopic prostatectomy (RALP), alongside exploring emerging trends and discussing future directions for managing and preventing both conditions.Recent FindingsPatient history is pivotal in guiding surgical decisions, with the intensity of symptoms and their impact on the patient's life being primary influences for deciding the best treatment options for both SUI and ED. Penile rehabilitation strategies (PR) show promise in mitigating the effects of prostate cancer treatments on EF and improving overall health, though consensus is lacking on specific programs or initiation of timing for optimal recovery post-surgery.SummaryAll patients undergoing RALP should receive preoperative counseling about SUI and early pelvic floor physical therapy. Fixed and adjustable slings effectively treat mild-to-moderate post-RALP SUI, while the artificial urinary sphincter is the gold standard for men with moderate or severe SUI. EF recovery after RALP faces obstacles such as patient characteristics, compliance, and cost, with no standardized PR approach. Future research should prioritize studies aiming to optimize treatment methods and enhance patient compliance.</t>
  </si>
  <si>
    <t>[Pereira, Thairo A.; Rust, Jacob O.; Bernie, Helen L.] Indiana Univ, Dept Urol, 11725 North Illinois St Carmel, Indianapolis, IN 46032 USA</t>
  </si>
  <si>
    <t>Indiana University System; Indiana University Indianapolis</t>
  </si>
  <si>
    <t>Bernie, HL (corresponding author), Indiana Univ, Dept Urol, 11725 North Illinois St Carmel, Indianapolis, IN 46032 USA.</t>
  </si>
  <si>
    <t>hbernie@iuhealth.org</t>
  </si>
  <si>
    <t>Alves Pereira, Thairo/0000-0002-0864-2898; Bernie, Helen L./0000-0002-3665-6074</t>
  </si>
  <si>
    <t>1527-2737</t>
  </si>
  <si>
    <t>1534-6285</t>
  </si>
  <si>
    <t>CURR UROL REP</t>
  </si>
  <si>
    <t>Curr. Urol. Rep.</t>
  </si>
  <si>
    <t>10.1007/s11934-024-01249-x</t>
  </si>
  <si>
    <t>Urology &amp; Nephrology</t>
  </si>
  <si>
    <t>M1J9F</t>
  </si>
  <si>
    <t>WOS:001355184200001</t>
  </si>
  <si>
    <t>Carnevale, A; Raso, A; Antonacci, C; Mancini, L; Corradini, A; Ceccaroli, A; Casciaro, C; Candela, V; de Sire, A; D'Hooghe, P; Longo, UG</t>
  </si>
  <si>
    <t>Carnevale, Arianna; Raso, Alessandra; Antonacci, Carla; Mancini, Letizia; Corradini, Alessandra; Ceccaroli, Alice; Casciaro, Carlo; Candela, Vincenzo; de Sire, Alessandro; D'Hooghe, Pieter; Longo, Umile Giuseppe</t>
  </si>
  <si>
    <t>Exploring the Impact of Socially Assistive Robots in Rehabilitation Scenarios</t>
  </si>
  <si>
    <t>BIOENGINEERING-BASEL</t>
  </si>
  <si>
    <t>socially assistive robots; rehabilitation; robot-assisted therapy; motivation; physical therapy; patient engagement</t>
  </si>
  <si>
    <t>Background: Socially Assistive Robots (SARs) represent an innovative approach in rehabilitation technology, significantly enhancing the support and motivation for individuals across diverse rehabilitation settings. Despite their growing utilization, especially in stroke recovery and pediatric rehabilitation, their potential in musculoskeletal and orthopedic rehabilitation remains largely underexplored. Although there is methodological and outcome variability across the included studies, this review aims to critically evaluate and summarize the research on SARs in rehabilitation, providing a thorough overview of the current evidence and practical applications. Methods: A comprehensive search was conducted across multiple databases, resulting in the selection of 20 studies for analysis. The reviewed papers were categorized into three main classes based on the roles of the robots in rehabilitation: Motivation, Imitation, and Feedback Providers. Results: The analysis highlights that SARs significantly improve adherence to rehabilitation programs, enhance motor function, and increase motivation across clinical and home settings. Robots such as NAO, Pepper, and ZORA demonstrated high efficacy, particularly in stroke recovery and pediatric rehabilitation. Conclusions: SARs offer transformative benefits in rehabilitation, providing scalable, personalized solutions through motivational support, guided exercises, and real-time feedback. Their integration into orthopedic rehabilitation could address critical clinical needs, enhancing precision in exercises, adherence to long-term programs, and overall patient outcomes. Future research should prioritize the development and validation of SAR-based interventions for musculoskeletal disorders to unlock their full potential in this domain.</t>
  </si>
  <si>
    <t>[Carnevale, Arianna; Raso, Alessandra; Antonacci, Carla; Mancini, Letizia; Corradini, Alessandra; Ceccaroli, Alice; Casciaro, Carlo; Candela, Vincenzo; Longo, Umile Giuseppe] Fdn Policlin Univ Campus Biomed, Unit Cardiovasc Sci, Via Alvaro Portillo 200, I-00128 Rome, Italy; [Antonacci, Carla; Mancini, Letizia] Univ Campus Biomed Roma, Dept Engn, Lab Measurement &amp; Biomed Instrumentat, Via Alvaro Portillo 21, I-00128 Rome, Italy; [de Sire, Alessandro] Univ Catanzaro Magna Graecia, Dept Med &amp; Surg Sci, I-88100 Catanzaro, Italy; [de Sire, Alessandro] Univ Catanzaro Magna Graecia, Res Ctr Musculoskeletal Hlth, MusculoSkeletalHealthUMG, I-88100 Catanzaro, Italy; [D'Hooghe, Pieter] Aspetar Hosp, Dept Orthopaed Surg &amp; Sportsmedicine, Doha 29222, Qatar; [Longo, Umile Giuseppe] Univ Campus Biomed Roma, Dept Med &amp; Surg, Res Unit Orthopaed &amp; Trauma Surg, Via Alvaro Portillo 21, I-00128 Rome, Italy</t>
  </si>
  <si>
    <t>Fondazione Policlinico Universitario Campus Bio-Medico; University Campus Bio-Medico - Rome Italy; Magna Graecia University of Catanzaro; Magna Graecia University of Catanzaro; Aspetar Orthopaedic &amp; Sports Medicine Hospital; University Campus Bio-Medico - Rome Italy</t>
  </si>
  <si>
    <t>Longo, UG (corresponding author), Fdn Policlin Univ Campus Biomed, Unit Cardiovasc Sci, Via Alvaro Portillo 200, I-00128 Rome, Italy.;Longo, UG (corresponding author), Univ Campus Biomed Roma, Dept Med &amp; Surg, Res Unit Orthopaed &amp; Trauma Surg, Via Alvaro Portillo 21, I-00128 Rome, Italy.</t>
  </si>
  <si>
    <t>arianna.carnevale@policlinicocampus.it; alessandraraso@hotmail.it; carla.antonacci@unicampus.it; l.mancini@policlinicocampus.it; a.corradini@policlinicocampus.it; a.ceccaroli@policlinicocampus.it; c.casciaro@policlinicocampus.it; v.candela@policlinicocampus.it; alessandro.desire@unicz.it; pieter.dhooghe@aspetar.com; g.longo@unicampus.it</t>
  </si>
  <si>
    <t>Carnevale, Arianna/AAB-5328-2022; Casciaro, Carlo/IUP-3461-2023; Antonacci, Carla/KIJ-0751-2024; Vincenzo, Candela/IQU-2446-2023; Longo, Umile Giuseppe/K-9147-2016</t>
  </si>
  <si>
    <t>de Sire, Alessandro/0000-0002-5541-8346; Longo, Umile Giuseppe/0000-0003-4063-9821</t>
  </si>
  <si>
    <t>Italian Ministry of Research [PNC0000007, CUP: B53C22006980001]</t>
  </si>
  <si>
    <t>Italian Ministry of Research(Ministry of Education, Universities and Research (MIUR))</t>
  </si>
  <si>
    <t>This work was supported by the Italian Ministry of Research under the complementary actions to the NRRP Fit4MedRob-Fit for Medical Robotics Grant (# PNC0000007)-CUP: B53C22006980001.</t>
  </si>
  <si>
    <t>2306-5354</t>
  </si>
  <si>
    <t>Bioengineering-Basel</t>
  </si>
  <si>
    <t>10.3390/bioengineering12020204</t>
  </si>
  <si>
    <t>Biotechnology &amp; Applied Microbiology; Engineering, Biomedical</t>
  </si>
  <si>
    <t>Biotechnology &amp; Applied Microbiology; Engineering</t>
  </si>
  <si>
    <t>Y2L5X</t>
  </si>
  <si>
    <t>WOS:001430506700001</t>
  </si>
  <si>
    <t>Szabo, DA; Neagu, N; Teodorescu, S; Apostu, M; Predescu, C; Pârvu, C; Veres, C</t>
  </si>
  <si>
    <t>Szabo, Dan Alexandru; Neagu, Nicolae; Teodorescu, Silvia; Apostu, Mihaela; Predescu, Corina; Parvu, Carmen; Veres, Cristina</t>
  </si>
  <si>
    <t>The Role and Importance of Using Sensor-Based Devices in Medical Rehabilitation: A Literature Review on the New Therapeutic Approaches</t>
  </si>
  <si>
    <t>medical rehabilitation; sensor-based devices; virtual reality in rehabilitation; rehabilitation robotics; artificial intelligence</t>
  </si>
  <si>
    <t>MULTIPLE-SCLEROSIS; PEOPLE; TECHNOLOGY; STRENGTH</t>
  </si>
  <si>
    <t>Due to the growth of sensor technology, more affordable integrated circuits, and connectivity technologies, the usage of wearable equipment and sensing devices for monitoring physical activities, whether for wellness, sports monitoring, or medical rehabilitation, has exploded. The current literature review was performed between October 2022 and February 2023 using PubMed, Web of Science, and Scopus in accordance with P.R.I.S.M.A. criteria. The screening phase resulted in the exclusion of 69 articles that did not fit the themes developed in all subchapters of the study, 41 articles that dealt exclusively with rehabilitation and orthopaedics, 28 articles whose abstracts were not visible, and 10 articles that dealt exclusively with other sensor-based devices and not medical ones; the inclusion phase resulted in the inclusion of 111 articles. Patients who utilise sensor-based devices have several advantages due to rehabilitating a missing component, which marks the accomplishment of a fundamental goal within the rehabilitation program. As technology moves faster and faster forward, the field of medical rehabilitation has to adapt to the time we live in by using technology and intelligent devices. This means changing every part of rehabilitation and finding the most valuable and helpful gadgets that can be used to regain lost functions, keep people healthy, or prevent diseases.</t>
  </si>
  <si>
    <t>[Szabo, Dan Alexandru; Neagu, Nicolae] George Emil Palade Univ Med Pharm Sci &amp; Technol T, Dept Human Movement Sci, Targu Mures 540139, Romania; [Szabo, Dan Alexandru] George Emil Palade Univ Med Pharm Sci &amp; Technol T, Fac Med English, Dept ME1, Targu Mures 540139, Romania; [Teodorescu, Silvia] Natl Univ Phys Educ &amp; Sports, Dept Doctoral Studies, Bucharest 060057, Romania; [Apostu, Mihaela; Predescu, Corina] Natl Univ Phys Educ &amp; Sports, Dept Special Motor &amp; Rehabil Med, Bucharest 060057, Romania; [Parvu, Carmen] Univ Galatzi, Fac Phys Educ &amp; Sports, 63-65 Garii St, Galati 337347, Romania; [Veres, Cristina] Univ Med Pharm Sci &amp; Technol Targu Mures, Dept Ind Engn &amp; Management, Targu Mures 540142, Romania</t>
  </si>
  <si>
    <t>George Emil Palade University of Medicine, Pharmacy, Science, &amp; Technology of Targu Mures; George Emil Palade University of Medicine, Pharmacy, Science, &amp; Technology of Targu Mures; National University of Physical Education &amp; Sport; National University of Physical Education &amp; Sport; Dunarea De Jos University Galati; George Emil Palade University of Medicine, Pharmacy, Science, &amp; Technology of Targu Mures</t>
  </si>
  <si>
    <t>Szabo, DA (corresponding author), George Emil Palade Univ Med Pharm Sci &amp; Technol T, Dept Human Movement Sci, Targu Mures 540139, Romania.;Szabo, DA (corresponding author), George Emil Palade Univ Med Pharm Sci &amp; Technol T, Fac Med English, Dept ME1, Targu Mures 540139, Romania.</t>
  </si>
  <si>
    <t>dan-alexandru.szabo@umfst.ro; nicolae.neagu@umfst.ro; silvia.teodorescu@unefs.ro; mihaelaapostu@yahoo.com; corina.predescu@yahoo.com; carmen.parvu@ugal.ro; cristina.veres@umfst.ro</t>
  </si>
  <si>
    <t>PARVU, CARMEN/HNT-0589-2023; Apostu, Mihaela/ABF-8883-2021; Veres, Cristina/HZL-9364-2023; teodorescu, silvia violeta/L-9268-2019; Dan-Alexandru, Szabo/AAD-5538-2019</t>
  </si>
  <si>
    <t>Veres, Cristina/0000-0002-1057-808X; PARVU, CARMEN/0000-0002-2910-9494; Dan-Alexandru, Szabo/0000-0002-7326-212X</t>
  </si>
  <si>
    <t>10.3390/s23218950</t>
  </si>
  <si>
    <t>X7QI3</t>
  </si>
  <si>
    <t>WOS:001100347100001</t>
  </si>
  <si>
    <t>Llamas-Ramos, R; Sánchez-González, JL; Llamas-Ramos, I</t>
  </si>
  <si>
    <t>Llamas-Ramos, Rocio; Sanchez-Gonzalez, Juan Luis; Llamas-Ramos, Ines</t>
  </si>
  <si>
    <t>Robotic Systems for the Physiotherapy Treatment of Children with Cerebral Palsy: A Systematic Review</t>
  </si>
  <si>
    <t>robotic systems; children; cerebral palsy; physiotherapy treatments</t>
  </si>
  <si>
    <t>LOCOMOTOR FUNCTION; MOTOR-CONTROL; GAIT PATTERN; REHABILITATION; THERAPY; CLASSIFICATION; SKILLS; INTERVENTION; EPIDEMIOLOGY; DEFINITION</t>
  </si>
  <si>
    <t>Cerebral palsy is a neurological condition that is associated with multiple motor alterations and dysfunctions in children. Robotic systems are new devices that are becoming increasingly popular as a part of the treatment for cerebral palsy. A systematic review of the Pubmed, Web of Science, MEDLINE, Cochrane, Dialnet, CINAHL, Scopus, Lilacs and PEDro databases from November 2021 to February 2022 was conducted to prove the effectiveness of these devices for the treatment of motor dysfunctions in children who were diagnosed with cerebral palsy. Randomized clinical trials in Spanish and English were included. In total, 653 potential manuscripts were selected but only 7 of them met the inclusion criteria. Motor dysfunctions in the lower limbs and those that are specifically related to gait are the main parameters that are affected by cerebral palsy and the robotic systems Lokomat, Innowalk, Robogait and Waltbox-K are the most commonly used. There is no consensus about the effectiveness of these devices. However, it seems clear that they have presented a good complement to conventional physical therapies, although not a therapy as themselves. Unfortunately, the low quality of some of the randomized clinical trials that were reviewed made it difficult to establish conclusive results. More studies are needed to prove and test the extent to which these devices aid in the treatment of children with cerebral palsy.</t>
  </si>
  <si>
    <t>[Llamas-Ramos, Rocio; Sanchez-Gonzalez, Juan Luis; Llamas-Ramos, Ines] Univ Salamanca, Nursing &amp; Physiotherapy Fac, Avda Donantes Sangre S-N, Salamanca 37007, Spain; [Llamas-Ramos, Ines] Univ Hosp Salamanca, Salamanca 37007, Spain</t>
  </si>
  <si>
    <t>University of Salamanca; University of Salamanca</t>
  </si>
  <si>
    <t>Sánchez-González, JL (corresponding author), Univ Salamanca, Nursing &amp; Physiotherapy Fac, Avda Donantes Sangre S-N, Salamanca 37007, Spain.</t>
  </si>
  <si>
    <t>rociollamas@usal.es; juanluissanchez@usal.es; inesllamas@usal.es</t>
  </si>
  <si>
    <t>Sánchez González, Juan Luis/AFV-5136-2022; Llamas-Ramos, Rocio/AFK-1065-2022; Llamas-Ramos, Inés/J-4181-2019</t>
  </si>
  <si>
    <t>Sanchez Gonzalez, Juan Luis/0000-0002-4791-6513; Llamas-Ramos, Ines/0000-0003-0311-898X; Llamas-Ramos, Rocio/0000-0002-5606-261X</t>
  </si>
  <si>
    <t>10.3390/ijerph19095116</t>
  </si>
  <si>
    <t>1E5PX</t>
  </si>
  <si>
    <t>WOS:000794541300001</t>
  </si>
  <si>
    <t>Caleo, M</t>
  </si>
  <si>
    <t>Caleo, M.</t>
  </si>
  <si>
    <t>REHABILITATION AND PLASTICITY FOLLOWING STROKE: INSIGHTS FROM RODENT MODELS</t>
  </si>
  <si>
    <t>NEUROSCIENCE</t>
  </si>
  <si>
    <t>stroke; forelimb motor cortex; plasticity; robotic devices; kinematic analysis; sprouting</t>
  </si>
  <si>
    <t>CHANNELRHODOPSIN-2 TRANSGENIC MICE; USE-DEPENDENT EXAGGERATION; INDUCED MOVEMENT THERAPY; FOCAL CEREBRAL-ISCHEMIA; VAGUS NERVE-STIMULATION; PRIMARY MOTOR CORTEX; FUNCTIONAL RECOVERY; CHONDROITINASE ABC; BRAIN-INJURY; SENSORIMOTOR CORTEX</t>
  </si>
  <si>
    <t>Ischemic injuries within the motor cortex result in functional deficits that may profoundly impact activities of daily living in patients. Current rehabilitation protocols achieve only limited recovery of motor abilities. The brain reorganizes spontaneously after injury, and it is believed that appropriately boosting these neuroplastic processes may restore function via recruitment of spared areas and pathways. Here I review studies on circuit reorganization, neuronal and glial plasticity and axonal sprouting following ischemic damage to the forelimb motor cortex, with a particular focus on rodent models. I discuss evidence pointing to compensatory take-over of lost functions by adjacent perilesional areas and the role of the contralesional hemisphere in recovery. One key issue is the need to distinguish true recovery (i.e. re-establishment of original movement patterns) from compensation in the assessment of post-stroke functional gains. I also consider the effects of physical rehabilitation, including robot-assisted therapy, and the potential mechanisms by which motor training induces recovery. Finally, I describe experimental approaches in which training is coupled with delivery of plasticizing drugs that render the remaining, undamaged pathways more sensitive to experience-dependent modifications. These combinatorial strategies hold promise for the definition of more effective rehabilitation paradigms that can be translated into clinical practice. (C) 2015 IBRO. Published by Elsevier Ltd. All rights reserved.</t>
  </si>
  <si>
    <t>[Caleo, M.] CNR, Neurosci Inst, I-56100 Pisa, Italy</t>
  </si>
  <si>
    <t>Consiglio Nazionale delle Ricerche (CNR)</t>
  </si>
  <si>
    <t>Caleo, M (corresponding author), CNR, Neurosci Inst, Via G Moruzzi 1, I-56100 Pisa, Italy.</t>
  </si>
  <si>
    <t>caleo@in.cnr.it</t>
  </si>
  <si>
    <t>CALEO, MATTEO/0000-0002-4333-6378</t>
  </si>
  <si>
    <t>Fondazione Pisa [158/2011]</t>
  </si>
  <si>
    <t>Fondazione Pisa</t>
  </si>
  <si>
    <t>This work was supported by a grant from Fondazione Pisa (# 158/2011). I thank Silvestro Micera, Carmelo Chisari, and all the members of my laboratory for constructive discussions about the topics covered in this review.</t>
  </si>
  <si>
    <t>0306-4522</t>
  </si>
  <si>
    <t>1873-7544</t>
  </si>
  <si>
    <t>Neuroscience</t>
  </si>
  <si>
    <t>10.1016/j.neuroscience.2015.10.029</t>
  </si>
  <si>
    <t>CY1CJ</t>
  </si>
  <si>
    <t>WOS:000366144000017</t>
  </si>
  <si>
    <t>Yang, J; Lim, KH; Mohabbat, AB; Fokken, SC; Johnson, DE; Calva, JJ; Do, A; Mueller, MR; Chon, TY; Bauer, BA</t>
  </si>
  <si>
    <t>Yang, Juan; Lim, Kia Hui; Mohabbat, Arya B.; Fokken, Shawn C.; Johnson, Devan E.; Calva, Jason J.; Do, Alexander; Mueller, Michael R.; Chon, Tony Y.; Bauer, Brent A.</t>
  </si>
  <si>
    <t>Robotics in Massage: A Systematic Review</t>
  </si>
  <si>
    <t>HEALTH SERVICES RESEARCH AND MANAGERIAL EPIDEMIOLOGY</t>
  </si>
  <si>
    <t>robotic massager; robot; massage; Tuina; review</t>
  </si>
  <si>
    <t>ORAL REHABILITATION ROBOT; SONOGRAPHIC FEATURES; MASSETER; EFFICACY; MUSCLE</t>
  </si>
  <si>
    <t>Background Over the past few years, a growing number of studies have explored massage robots. However, to date, a dedicated systematic review focused solely on robot-assisted massage has not been conducted.Objective To systematically identify and summarize evidence from studies concerning robot-assisted massage in healthcare settings.Methods An extensive literature search, involving electronic databases Ovid and Scopus, was conducted from the inception of the databases up to March 2023. This systematic review adhered to the Preferred Reporting Items for Systematic Reviews and Meta-Analyses statement, and relevant papers were chosen based on the predefined inclusion criteria. Given the substantial methodological diversity among the included studies, a qualitative analysis was conducted.Results Seventeen studies met the inclusion criteria, comprising 15 preliminary trials, one quasi-experimental study, and one randomized controlled trial. Approximately 29% of the studies focused on the application of robotic massage for patients, 24% targeted both healthy volunteers and patients, and the remaining 47% were preclinical trials assessing the effectiveness of robotic massage solely on healthy volunteers. Primary interventions included robotic massage for oral rehabilitation, scalp massage, low back massage, shoulder massage, and full-body massage. All studies provided evidence that robotic massage interventions can enhance health and well-being, indicating a promising future for the integration of robotics in the field of massage therapy.Conclusions In general, robotic massage interventions offer physical and mental health benefits. Robot-assisted massage may be integrated into care provision as an adjunct to enhance human well-being. Nonetheless, further research is needed to confirm these findings.</t>
  </si>
  <si>
    <t>[Yang, Juan; Mohabbat, Arya B.; Fokken, Shawn C.; Johnson, Devan E.; Calva, Jason J.; Do, Alexander; Mueller, Michael R.; Chon, Tony Y.; Bauer, Brent A.] Mayo Clin, Div Gen Internal Med, Rochester, MN USA; [Lim, Kia Hui] Natl Univ Singapore, Yong Loo Lin Sch Med, Singapore, Singapore; [Bauer, Brent A.] Mayo Clin, Div Gen Internal Med, 200 1st St SW, Rochester, MN 55905 USA</t>
  </si>
  <si>
    <t>Mayo Clinic; National University of Singapore; Mayo Clinic</t>
  </si>
  <si>
    <t>Bauer, BA (corresponding author), Mayo Clin, Div Gen Internal Med, 200 1st St SW, Rochester, MN 55905 USA.</t>
  </si>
  <si>
    <t>bauer.brent@mayo.edu</t>
  </si>
  <si>
    <t>National Institutes of Health</t>
  </si>
  <si>
    <t>National Institutes of Health(United States Department of Health &amp; Human ServicesNational Institutes of Health (NIH) - USA)</t>
  </si>
  <si>
    <t>We thank the experienced librarian Larry J. Prokop, M.L.S., Mayo Clinic Rochester Campus for the literature research of this review.</t>
  </si>
  <si>
    <t>2333-3928</t>
  </si>
  <si>
    <t>HEALTH SERV RES MANA</t>
  </si>
  <si>
    <t>Health Serv. Res. Manag. Epidemiol.</t>
  </si>
  <si>
    <t>10.1177/23333928241230948</t>
  </si>
  <si>
    <t>Health Policy &amp; Services</t>
  </si>
  <si>
    <t>IE3V6</t>
  </si>
  <si>
    <t>WOS:001164620900001</t>
  </si>
  <si>
    <t>Moriarty, B; Jacob, T; Sadlowski, M; Fowler, M; Rowan, C; Chavarria, J; Avramis, I; Rizkalla, J</t>
  </si>
  <si>
    <t>Moriarty, Brian; Jacob, Thomas; Sadlowski, Max; Fowler, Michael; Rowan, Colten; Chavarria, Joseph; Avramis, Ioannis; Rizkalla, James</t>
  </si>
  <si>
    <t>The use of exoskeleton robotic training on lower extremity function in spinal cord injuries: A systematic review</t>
  </si>
  <si>
    <t>JOURNAL OF ORTHOPAEDICS</t>
  </si>
  <si>
    <t>Exoskeleton; Robotic assist device; Spinal cord injury; Rehabilitation; Functional outcome; Quality of life; Lower extremity; Improvement</t>
  </si>
  <si>
    <t>QUALITY-OF-LIFE; PHYSICAL-ACTIVITY; WALKING</t>
  </si>
  <si>
    <t>Objective: To perform a systematic review of the utility of exoskeleton robotic therapy on lower extremity recovery in Spinal Cord Injury (SCI) patients. Methods: We used the Embase, Cochrane, and PubMed databases and searched from January 2012 to December 2023 for studies on exoskeleton robotic assist devices used in working with SCI patients. Only articles published in English were evaluated, and the retrieved articles were screened via our inclusion/exclusion criteria. We conducted our meta-analysis with the Cochrane Review Manager 5.4 (RevMan) software. Robotic assisted gait training and conventional gait training methodology were compared using Walking Index for Spinal Cord Injury II (WISCII), Spinal Cord Independence Measure III (SCIM III), and 6 Minute Walk Test (6MWT) as reported outcome measures. Results: Eleven randomized clinical trials (RCTs) involving 552 total participants were included in the meta-analysis. The results of the meta-analysis indicated statistically significant improvement in SCIM III [MD 5.14, 95 % CI = (4.47, 5.810), P &lt; 0.00001], WISCII [MD 2.31, 95 % CI = (2.13, 2.49), P &lt; 0.00001] and 6MWT [MD 37.04, 95 % CI = (32.35, 41.74), P &lt; 0.00001] in patients with SCI as compared to conventional gait training (CGT) therapy. Conclusion: Robotic Therapy could improve ambulation/quality of life in patients with spinal cord injuries compared to the standard treatment only, but future studies should include additional measures addressing quality of life and patient satisfaction.</t>
  </si>
  <si>
    <t>[Moriarty, Brian; Jacob, Thomas; Sadlowski, Max; Chavarria, Joseph; Avramis, Ioannis; Rizkalla, James] Baylor Univ, Med Ctr, Dept Orthopaed, Dallas, TX USA; [Fowler, Michael; Rowan, Colten] Texas A&amp;M Univ, Hlth Sci Ctr, Texas A&amp;M Sch Med, Bryan, TX USA</t>
  </si>
  <si>
    <t>Baylor University Medical Center; Baylor University; Texas A&amp;M University System; Texas A&amp;M University College Station; Texas A&amp;M Health Science Center</t>
  </si>
  <si>
    <t>Rizkalla, J (corresponding author), Gaston Ave Suite 705, Dallas, TX 75246 USA.</t>
  </si>
  <si>
    <t>james.rizkalla@bswhealth.org</t>
  </si>
  <si>
    <t>Fowler, Michael/AFL-3610-2022</t>
  </si>
  <si>
    <t>Rowan, Colten/0009-0001-6510-7541</t>
  </si>
  <si>
    <t>0972-978X</t>
  </si>
  <si>
    <t>J ORTHOP</t>
  </si>
  <si>
    <t>J. Orthop.</t>
  </si>
  <si>
    <t>10.1016/j.jor.2024.10.036</t>
  </si>
  <si>
    <t>Q1B6Y</t>
  </si>
  <si>
    <t>WOS:001382131400001</t>
  </si>
  <si>
    <t>Assylbek, MI; Kocyigit, BF; Yessirkepov, M; Zimba, O</t>
  </si>
  <si>
    <t>Assylbek, Meirgul I.; Kocyigit, Burhan Fatih; Yessirkepov, Marlen; Zimba, Olena</t>
  </si>
  <si>
    <t>Post-stroke rehabilitation in the peri-pandemic COVID-19 era</t>
  </si>
  <si>
    <t>RHEUMATOLOGY INTERNATIONAL</t>
  </si>
  <si>
    <t>COVID-19; SARS-CoV-2 infection; Stroke; Rehabilitation; Neurological rehabilitation; Telerehabilitation; Rheumatic diseases</t>
  </si>
  <si>
    <t>INDUCED MOVEMENT THERAPY; TRANSCRANIAL MAGNETIC STIMULATION; STROKE REHABILITATION; PROGRESSIVE RESISTANCE; AEROBIC EXERCISE; HEALTH; BALANCE; WALKING; PEOPLE; RECOMMENDATIONS</t>
  </si>
  <si>
    <t>The coronavirus disease 2019 (COVID-19), which arose in late 2019, caused extensive destruction, impacting a substantial proportion of the worldwide population and leading to millions of deaths. Although COVID-19 is mainly linked to respiratory and pulmonary complications, it has the potential to affect neurologic structures as well. Neurological involvement may manifest as minimal and reversible; however, a notable proportion of cases have exhibited pronounced neurological consequences, such as strokes. Endothelial inflammation, hypercoagulation, renin-angiotensin-aldosterone system alterations, and cardiogenic embolism are the pathophysiological mechanisms of stroke under COVID-19 circumstances. Physical activity and exercise have improved several aspects of post-stroke recovery, including cardiovascular health, walking capacity, and upper limb strength. They are commonly used to assist stroke survivors in overcoming their motor restrictions. Furthermore, stroke rehabilitation can incorporate a range of specific techniques, including body-weight-supported treadmill applications, constraint-induced movement therapy, robotic rehabilitation interventions, transcranial direct current stimulation, transcranial magnetic stimulation, and prism adaptation training. Under pandemic conditions, there were several barriers to neurological rehabilitation. The most significant of these were individual's fear of infection, which caused them to postpone their rehabilitation applications and rehabilitation areas being converted into COVID-19 units. The primary emphasis had turned to COVID-19 treatment. Several valuable data and views were gained in reorganizing rehabilitation during the pandemic, contributing to establishing future views in this regard.</t>
  </si>
  <si>
    <t>[Assylbek, Meirgul I.] South Kazakhstan Med Acad, Dept Neurol Psychiat Neurosurg &amp; Rehabil, Shymkent, Kazakhstan; [Assylbek, Meirgul I.] South Kazakhstan Med Acad, Dept Social Hlth Insurance &amp; Publ Hlth, Shymkent, Kazakhstan; [Assylbek, Meirgul I.] Med Ctr Mediker, Shymkent, Kazakhstan; [Kocyigit, Burhan Fatih] Univ Hlth Sci, Adana Hlth Practice &amp; Res Ctr, Dept Phys Med &amp; Rehabil, Adana, Turkiye; [Yessirkepov, Marlen] South Kazakhstan Med Acad, Dept Biol &amp; Biochem, Shymkent, Kazakhstan; [Zimba, Olena] Univ Hosp Krakow, Dept Clin Rheumatol &amp; Immunol, Krakow, Poland; [Zimba, Olena] Natl Inst Geriatr Rheumatol &amp; Rehabil, Warsaw, Poland; [Zimba, Olena] Danylo Halytsky Lviv Natl Med Univ, Dept Internal Med N2, Lvov, Ukraine</t>
  </si>
  <si>
    <t>University of Health Sciences Turkey; Jagiellonian University; Collegium Medicum Jagiellonian University; National Institute of Geriatrics, Rheumatology &amp; Rehabilitation; Danylo Halytsky Lviv National Medical University</t>
  </si>
  <si>
    <t>Kocyigit, BF (corresponding author), Univ Hlth Sci, Adana Hlth Practice &amp; Res Ctr, Dept Phys Med &amp; Rehabil, Adana, Turkiye.</t>
  </si>
  <si>
    <t>bfk2701@hotmail.com</t>
  </si>
  <si>
    <t>Kocyigit, Burhan/AAX-4980-2021; Assylbek, Meirgul/KCZ-1728-2024; Zimba, Olena/Q-4031-2017; Yessirkepov, Marlen/ABF-6756-2021</t>
  </si>
  <si>
    <t>Assylbek, Meirgul/0000-0003-0338-3281; Zimba, Olena/0000-0002-4188-8486; Kocyigit, Burhan Fatih/0000-0002-6065-8002; Yessirkepov, Marlen/0000-0003-2511-6918</t>
  </si>
  <si>
    <t>0172-8172</t>
  </si>
  <si>
    <t>1437-160X</t>
  </si>
  <si>
    <t>RHEUMATOL INT</t>
  </si>
  <si>
    <t>Rheumatol. Int.</t>
  </si>
  <si>
    <t>10.1007/s00296-023-05520-1</t>
  </si>
  <si>
    <t>HS3J3</t>
  </si>
  <si>
    <t>WOS:001152248800001</t>
  </si>
  <si>
    <t>Fortunati, M; Febbi, M; Negro, M; Gennaro, F; D'Antona, G; Crisafulli, O</t>
  </si>
  <si>
    <t>Fortunati, Matteo; Febbi, Massimiliano; Negro, Massimo; Gennaro, Federico; D'Antona, Giuseppe; Crisafulli, Oscar</t>
  </si>
  <si>
    <t>Lower-Limb Exoskeletons for Gait Training in Parkinson's Disease: The State of the Art and Future Perspectives</t>
  </si>
  <si>
    <t>low-profile lower-limb exoskeleton; gait training; Parkinson's disease; disease severity; gait function; robot-assisted gait training; dual-task gait</t>
  </si>
  <si>
    <t>6-MINUTE WALK TEST; CLINICALLY IMPORTANT DIFFERENCE; PHYSICAL-THERAPY; EXERCISE THERAPY; FALLS; PEOPLE; METAANALYSIS; GUIDELINES; ASYMMETRY; PATHOLOGY</t>
  </si>
  <si>
    <t>Gait dysfunction (GD) is a common impairment of Parkinson's disease (PD), which negatively impacts patients' quality of life. Among the most recent rehabilitation technologies, a lower-limb powered exoskeleton (LLEXO) arises as a useful instrument for gait training in several neurological conditions, including PD. However, some questions relating to methods of use, achievable results, and usefulness compared to traditional rehabilitation methodologies still require clear answers. Therefore, in this review, we aim to summarise and analyse all the studies that have applied an LLEXO to train gait in PD patients. Literature research on PubMed and Scopus retrieved five articles, comprising 46 PD participants stable on medications (age: 71.7 +/- 3.7 years, 24 males, Hoehn and Yahr: 2.1 +/- 0.6). Compared to traditional rehabilitation, low-profile lower-limb exoskeleton (lp-LLEXO) training brought major improvements towards walking capacity and gait speed, while there are no clear major benefits regarding the dual-task gait cost index and freezing of gait symptoms. Importantly, the results suggest that lp-LLEXO training is more beneficial for patients with an intermediate-to-severe level of disease severity (Hoehn and Yahr &gt; 2.5). This review could provide a novel framework for implementing LLEXO in clinical practise, highlighting its benefits and limitations towards gait training.</t>
  </si>
  <si>
    <t>[Fortunati, Matteo; Febbi, Massimiliano] Univ Tor Vergata, Dept Ind Engn, I-00133 Rome, Italy; [Fortunati, Matteo; Negro, Massimo; D'Antona, Giuseppe; Crisafulli, Oscar] Univ Pavia, Sport Med Ctr Voghera, CRIAMS, I-27058 Voghera, Italy; [Febbi, Massimiliano] Lab Rehabil Med &amp; Sport LARM, I-00133 Rome, Italy; [Gennaro, Federico] Univ Padua, Dept Biomed Sci, I-35131 Padua, Italy; [D'Antona, Giuseppe] Univ Pavia, Dept Publ Hlth Expt &amp; Forens Med, I-27100 Pavia, Italy</t>
  </si>
  <si>
    <t>University of Rome Tor Vergata; University of Pavia; University of Padua; University of Pavia</t>
  </si>
  <si>
    <t>D'Antona, G (corresponding author), Univ Pavia, Sport Med Ctr Voghera, CRIAMS, I-27058 Voghera, Italy.;D'Antona, G (corresponding author), Univ Pavia, Dept Publ Hlth Expt &amp; Forens Med, I-27100 Pavia, Italy.</t>
  </si>
  <si>
    <t>giuseppe.dantona@unipv.it</t>
  </si>
  <si>
    <t>Fortunati, Matteo/KIK-2918-2024; Negro, Massimo/X-4254-2019; Crisafulli, Oscar/GNO-9996-2022; Gennaro, Federico/X-1024-2019</t>
  </si>
  <si>
    <t>D'Antona, Giuseppe/0000-0002-0683-5565; Fortunati, Matteo/0000-0001-5738-2298; Negro, PhD, Massimo/0000-0002-9159-9287; Gennaro, Federico/0000-0003-2203-2858; Crisafulli, Oscar/0000-0002-8586-6465</t>
  </si>
  <si>
    <t>10.3390/healthcare12161636</t>
  </si>
  <si>
    <t>F1F9Z</t>
  </si>
  <si>
    <t>WOS:001307358100001</t>
  </si>
  <si>
    <t>Dixit, S; Tedla, JS</t>
  </si>
  <si>
    <t>Dixit, Snehil; Tedla, Jaya Shanker</t>
  </si>
  <si>
    <t>Effectiveness of robotics in improving upper extremity functions among people with neurological dysfunction: a systematic review</t>
  </si>
  <si>
    <t>INTERNATIONAL JOURNAL OF NEUROSCIENCE</t>
  </si>
  <si>
    <t>Robotic-assisted upper extremity training; stroke; spinal cord injury; multiple sclerosis; motor neuron disease; Parkinson</t>
  </si>
  <si>
    <t>RANDOMIZED CONTROLLED-TRIAL; UPPER-LIMB REHABILITATION; SEVERELY AFFECTED ARM; QUALITY-OF-LIFE; ASSISTED THERAPY; INTERNATIONAL CLASSIFICATION; ACTIVITY LIMITATIONS; MULTIPLE-SCLEROSIS; STROKE PATIENTS; CEREBRAL-PALSY</t>
  </si>
  <si>
    <t>Purpose: The primary focus of this review was to find out the effectiveness of robotics in improving upper extremity functions among people with neurological problems in the arena of physical rehabilitation. Material and methods: Two reviewers independently scrutinized the included studies. The selected studies underwent quality assessment by Physiotherapy Evidence Database (PEDro) scale. Randomized Controlled Trial (RCT) having a score of four or more were included in the review. A search was conducted in PUBMED, MEDLINE, CINAHL, EMBASE, PROQUEST, science direct, Cochrane Library, PEDro and Google Scholar. Results: A total of 202 studies were identified. After removal of duplication, inclusion and exclusion criteria's n = 23 studies were included in the review process. For analysis, only the primary outcome measures of the studies were taken into account. Studies finally included in analysis were n = 21. The included studies were 19 in stroke, 1 in cerebral palsy (CP) and 1 study in multiple sclerosis (MS). No RCTs were reportedly found in spinal cord injury (SCI), Parkinson and motor neuron disease (MND). Conclusions: Studies related to stroke showed a clear definiteness in the improvement of upper extremity functions. On the contrary, there still remains a need for quality trials in CP, MS to establish the efficacy of robotics in upper extremity rehabilitation.</t>
  </si>
  <si>
    <t>[Dixit, Snehil; Tedla, Jaya Shanker] King Khalid Univ, Coll Appl Med Sci, Dept Med Rehabil Sci, Abha 61321, Saudi Arabia</t>
  </si>
  <si>
    <t>King Khalid University</t>
  </si>
  <si>
    <t>Dixit, S (corresponding author), King Khalid Univ, Coll Appl Med Sci, Dept Med Rehabil Sci, Abha 61321, Saudi Arabia.</t>
  </si>
  <si>
    <t>snehildixit83@gmail.com</t>
  </si>
  <si>
    <t>Dixit, Snehil/H-2757-2019; Tedla, Dr. Jaya Shanker/ABG-8394-2020</t>
  </si>
  <si>
    <t>Tedla, Jaya Shanker/0000-0002-2876-4227; Dixit, Snehil/0000-0003-1617-6935</t>
  </si>
  <si>
    <t>0020-7454</t>
  </si>
  <si>
    <t>1563-5279</t>
  </si>
  <si>
    <t>INT J NEUROSCI</t>
  </si>
  <si>
    <t>Int. J. Neurosci.</t>
  </si>
  <si>
    <t>APR 3</t>
  </si>
  <si>
    <t>10.1080/00207454.2018.1536051</t>
  </si>
  <si>
    <t>HO8HJ</t>
  </si>
  <si>
    <t>WOS:000461190500008</t>
  </si>
  <si>
    <t>Intiso, D; Bartolo, M; Santamato, A; Di Rienzo, F</t>
  </si>
  <si>
    <t>Intiso, Domenico; Bartolo, Michelangelo; Santamato, Andrea; Di Rienzo, Filomena</t>
  </si>
  <si>
    <t>The Role of Rehabilitation in Patients With Progressive Supranuclear Palsy: A Narrative Review</t>
  </si>
  <si>
    <t>PARKINSONS-DISEASE; POSTURAL INSTABILITY; EXERCISE THERAPY; IMPROVE GAIT; BALANCE; DIAGNOSIS; PEOPLE; INTERVENTIONS; SYSTEM; LIFE</t>
  </si>
  <si>
    <t>Progressive supranuclear palsy (PSP) is a progressive neurodegenerative disorder caused by the deposition of abnormal proteins in neurons of the basal ganglia that limit motor ability, resulting in disability and reduced quality of life. So far, no pharmacologic therapy has been developed, and the treatment remains symptomatic. The aim of the present study is to perform a systematic investigation of the literature, and to determine the types and effects of rehabilitative interventions used for PSP. A search of all studies was conducted in MEDLINE/PubMed, the Cochrane Central Register of Controlled Trials, CINAHL, and EMBASE. Twelve studies were identified, including 6 case reports, 3 case series, one case-control study, one quasi randomized trial (i.e. not truly random) with crossover design, and one randomized controlled trial, with 88 patients investigated overall. Rehabilitative interventions varied in type, number, frequency, and duration of sessions. The most commonly used clinical measures were the Progressive Supranuclear Palsy Rating Scale (PSPRS) and Unified Parkinson's Disease Rating Scale (UPDRS). Physical exercises were the main rehabilitative strategy but were associated with other interventions and rehabilitative devices, in particular treadmill and robot-assisted gait training. All studies showed an improvement in balance and gait impairment with a reduction of falls after rehabilitation treatment. Because of poor methodological quality and the variety of rehabilitative approaches including different and variable strategies, there was insufficient evidence of the effectiveness of any specific rehabilitation intervention in PSP. Despite this finding, rehabilitation might improve balance and gait, thereby reducing falls in PSP patients.</t>
  </si>
  <si>
    <t>[Intiso, Domenico] Hosp Sci Inst Casa Sollievo Sofferenza, Neurorehabil Unit, Viale Cappuccini, I-71013 San Giovanni Rotondo, FG, Italy; [Bartolo, Michelangelo] Habilita Care &amp; Res, Dept Rehabil, Neurorehabilitat Unit, Bergamo, Italy; [Santamato, Andrea] Univ Foggia, OORR Hosp, Phys Med &amp; Rehabil Sect, Foggia, Italy; [Di Rienzo, Filomena] IRCCS Casa Sollievo Sofferenza, Neurorehabil Unit, San Giovanni Rotondo, FG, Italy</t>
  </si>
  <si>
    <t>IRCCS Casa Sollievo Della Sofferenza; University of Foggia; IRCCS Casa Sollievo Della Sofferenza</t>
  </si>
  <si>
    <t>Intiso, D (corresponding author), Hosp Sci Inst Casa Sollievo Sofferenza, Neurorehabil Unit, Viale Cappuccini, I-71013 San Giovanni Rotondo, FG, Italy.</t>
  </si>
  <si>
    <t>d.intiso@operapadrepio.it</t>
  </si>
  <si>
    <t>santamato, andrea/AAB-9751-2022; Intiso, Domenico/H-2414-2016</t>
  </si>
  <si>
    <t>Intiso, Domenico/0000-0002-6564-5956; Di Rienzo, Filomena/0000-0001-8297-9002</t>
  </si>
  <si>
    <t>10.1016/j.pmrj.2017.12.011</t>
  </si>
  <si>
    <t>GK8UE</t>
  </si>
  <si>
    <t>WOS:000436503700009</t>
  </si>
  <si>
    <t>MacNeil, M; Hirslund, E; Baiocco-Romano, L; Kuspinar, A; Stolee, P</t>
  </si>
  <si>
    <t>MacNeil, Maggie; Hirslund, Emily; Baiocco-Romano, Leonardo; Kuspinar, Ayse; Stolee, Paul</t>
  </si>
  <si>
    <t>A scoping review of the use of intelligent assistive technologies in rehabilitation practice with older adults</t>
  </si>
  <si>
    <t>Intelligent assistive technology; rehabilitation; disability; older adults; prescription</t>
  </si>
  <si>
    <t>LONG-TERM-CARE; ELDERLY-PEOPLE; ENVIRONMENTAL-FACTORS; HEALTH TECHNOLOGIES; ALZHEIMERS-DISEASE; UNIFIED THEORY; ROBOTS; DEMENTIA; MOBILE; EXPERIENCES</t>
  </si>
  <si>
    <t>PurposeThere is growing interest in intelligent assistive technologies (IATs) in the rehabilitation and support of older adults, however, the factors contributing to or preventing their use in practice are not well understood. This study aimed to develop an overview of current knowledge on barriers and facilitators to the use of smart technologies in rehabilitative practice with older adults.Materials and MethodsWe undertook a scoping review following guidelines proposed by Arksey and O'Malley (2005) and Levac et al. (2010). A computerised literature search was conducted using the Scopus and Ovid databases, yielding 7995 citations. Of these, 94 studies met inclusion criteria. Analysis of extracted data identified themes which were explored in semi-structured interviews with a purposefully selected sample of seven clinical rehabilitation practitioners (three physical therapists, two occupational therapists, and two speech-language pathologists).ResultsBarriers and facilitators to using these technologies were associated with accessibility, reported effectiveness, usability, patient-centred considerations, and staff considerations.ConclusionsCollaborative efforts of policy-makers, researchers, manufacturers, rehabilitation professionals, and older persons are needed to improve the design of technologies, develop appropriate funding and reimbursement strategies, and minimise barriers to their appropriate use to support independence and quality of life. Any strategies to improve upon barriers to prescribing smart technologies for older people should leverage the expertise of rehabilitation professionals operating at the interface between older people; their health/mobility; their families; and technology-based solutions.</t>
  </si>
  <si>
    <t>[MacNeil, Maggie] McMaster Univ, Sch Nursing, 1200 Main St West, Hamilton, ON L8S 4K1, Canada; [Hirslund, Emily; Baiocco-Romano, Leonardo; Stolee, Paul] Univ Waterloo, Sch Publ Hlth Sci, Waterloo, ON, Canada; [Kuspinar, Ayse] McMaster Univ, Sch Rehabil Sci, Hamilton, ON, Canada</t>
  </si>
  <si>
    <t>McMaster University; University of Waterloo; McMaster University</t>
  </si>
  <si>
    <t>MacNeil, M (corresponding author), McMaster Univ, Sch Nursing, 1200 Main St West, Hamilton, ON L8S 4K1, Canada.</t>
  </si>
  <si>
    <t>macnem18@mcmaster.ca</t>
  </si>
  <si>
    <t>Stolee, Paul/ABB-2660-2020; Kuspinar, Ayse/ABC-5857-2021</t>
  </si>
  <si>
    <t>Baiocco-Romano, Leonardo/0000-0003-1323-4992; Kuspinar, Ayse/0000-0002-3886-0407; MacNeil, Maggie/0000-0002-8973-3475</t>
  </si>
  <si>
    <t>AGE-WELL Network</t>
  </si>
  <si>
    <t>This study was funded in part by the AGE-WELL Network (www.agewell-nce.ca), which is funded by the Government of Canada's Networks of Centres of Excellence (NCE) Program.</t>
  </si>
  <si>
    <t>JUL 3</t>
  </si>
  <si>
    <t>10.1080/17483107.2023.2239277</t>
  </si>
  <si>
    <t>JUL 2023</t>
  </si>
  <si>
    <t>XP7C2</t>
  </si>
  <si>
    <t>WOS:001034595500001</t>
  </si>
  <si>
    <t>Arroyo-Fernández, R; Menchero-Sánchez, R; Pozuelo-Carrascosa, DP; Romay-Barrero, H; Fernández-Maestra, A; Martínez-Galán, I</t>
  </si>
  <si>
    <t>Arroyo-Fernandez, Ruben; Menchero-Sanchez, Raquel; Pozuelo-Carrascosa, Diana P.; Romay-Barrero, Helena; Fernandez-Maestra, Araceli; Martinez-Galan, Ines</t>
  </si>
  <si>
    <t>Effectiveness of Body Weight-Supported Gait Training on Gait and Balance for Motor-Incomplete Spinal Cord Injuries: A Systematic Review with Meta-Analysis</t>
  </si>
  <si>
    <t>spinal cord injury; body weight-supported; gait; balance; rehabilitation</t>
  </si>
  <si>
    <t>WALKING SPEED; TREADMILL; THERAPY; INDIVIDUALS; PEOPLE; REHABILITATION; OUTCOMES; MUSCLES</t>
  </si>
  <si>
    <t>Objective. This review aims to analyse the effectiveness of body weight-supported gait training for improving gait and balance in patients with motor-incomplete spinal cord injuries. Method. Relevant articles were systematically searched in electronic databases to identify randomised controlled trials of body weight-supported gait training (either with methods of robotic, manual, and functional electrical stimulation assistance) versus conventional physical therapy or no intervention. Subjects were &gt;16 years-old with motor-incomplete spinal cord injury (AIS C or D). Primary outcomes were gait-related parameters (functionality, endurance, and speed) and balance. Quality of life was included as a secondary outcome. Articles were selected up to 31 December 2023. Results. Fifteen studies met the inclusion criteria (n = 673). Nine studies used robotic assistance, four trials performed manual assistance, one study functional electrical stimulation assistance, and one trial performed the intervention without guidance. Robot-assisted body weight-supported gait training improved walking functionality (SMD = 1.74, CI 95%: 1.09 to 2.39), walking endurance (MD = 26.59 m, CI 95% = 22.87 to 30.31), and balance (SMD = 0.63, CI 95% = 0.24 to 1.02). Conclusions. Body weight-supported gait training is not superior to conventional physiotherapy in gait and balance training in patients with motor-incomplete spinal cord injury. However, body weight-supported gait training with robotic assistance does improve walking functionality, walking endurance, and balance, but not walking speed.</t>
  </si>
  <si>
    <t>[Arroyo-Fernandez, Ruben; Menchero-Sanchez, Raquel; Romay-Barrero, Helena; Martinez-Galan, Ines] Univ Castilla La Mancha, Fac Phys Therapy &amp; Nursing, Toledo 45071, Spain; [Arroyo-Fernandez, Ruben; Menchero-Sanchez, Raquel; Romay-Barrero, Helena; Martinez-Galan, Ines] Univ Castilla La Mancha, Water &amp; Hlth Res Grp GIAS, Toledo 45004, Spain; [Arroyo-Fernandez, Ruben] Hosp Gen Univ Nuestra Senora del Prado, Dept Phys Med &amp; Rehabil, Talavera De La Reina 45600, Spain; [Pozuelo-Carrascosa, Diana P.] Univ Castilla La Mancha, Fac Nursing, Cuenca 16071, Spain; [Fernandez-Maestra, Araceli] Natl Hosp Parapleg, Dept Phys Med &amp; Rehabil, Toledo 45004, Spain</t>
  </si>
  <si>
    <t>Universidad de Castilla-La Mancha; Universidad de Castilla-La Mancha; Universidad de Castilla-La Mancha</t>
  </si>
  <si>
    <t>Romay-Barrero, H (corresponding author), Univ Castilla La Mancha, Fac Phys Therapy &amp; Nursing, Toledo 45071, Spain.;Romay-Barrero, H (corresponding author), Univ Castilla La Mancha, Water &amp; Hlth Res Grp GIAS, Toledo 45004, Spain.</t>
  </si>
  <si>
    <t>ruben.arroyo@uclm.es; raquel.menchero@uclm.es; dianap.pozuelo@uclm.es; helena.romay@uclm.es; araceli.fernandez@uclm.es; ines.martinez@uclm.es</t>
  </si>
  <si>
    <t>Arroyo Fernández, Rubén/GLR-8065-2022; Carrascosa, Diana/R-4379-2017; Romay-Barrero, Helena/AAI-5194-2021</t>
  </si>
  <si>
    <t>Menchero, Raquel/0000-0002-6012-3649; Romay Barrero, Helena Maria/0000-0003-2388-2213; Arroyo Fernandez, Ruben/0000-0001-6831-2244</t>
  </si>
  <si>
    <t>Regional Department of Education, Culture and Sports (JCCM) and cofinance by Fondos FEDER</t>
  </si>
  <si>
    <t>10.3390/jcm13041105</t>
  </si>
  <si>
    <t>JS6T8</t>
  </si>
  <si>
    <t>gold, Green Published, Green Submitted</t>
  </si>
  <si>
    <t>WOS:001175199600001</t>
  </si>
  <si>
    <t>Zheng, QB; Lee, JH; Shen, X; Chen, XD; Kim, JK</t>
  </si>
  <si>
    <t>Zheng, Qingbin; Lee, Jeng-hun; Shen, Xi; Chen, Xiaodong; Kim, Jang-Kyo</t>
  </si>
  <si>
    <t>Graphene-based wearable piezoresistive physical sensors</t>
  </si>
  <si>
    <t>MATERIALS TODAY</t>
  </si>
  <si>
    <t>STRETCHABLE STRAIN SENSORS; FLEXIBLE PRESSURE SENSORS; ELECTRONIC SKIN; CARBON NANOTUBES; ELECTRICAL-CONDUCTIVITY; POLYMER NANOCOMPOSITES; HIERARCHICAL STRUCTURE; ULTRAHIGH SENSITIVITY; POTENTIAL APPLICATION; WRINKLED GRAPHENE</t>
  </si>
  <si>
    <t>In the last two decades, wearable piezoresistive physical sensors have attracted tremendous attention due to their broad applications in individual health-monitoring, human-machine interfaces, robotics, sports and therapeutics. Many different nanostructured materials, including nanowires, nanoparticles, nanoribbons, carbon black, carbon nanotubes and graphene, have been explored to construct stretchable piezoresistive sensors on an elastomer substrate. Thanks to its unique two-dimensional geometry, lightweight, flexibility, semi-transparency and outstanding transport and mechanical properties, graphene and its derivatives in particular are considered among the most suitable candidates as wearable sensors. This paper reviews various design strategies established for fabricating flexible, wearable sensors using graphene. The current state-of-the-art developments are discussed of flexible sensors made of 1D fibrous, 2D planar and 3D cellular interconnected graphene architectures for detecting physiological strains, tactile pressures and temperatures. The working mechanisms along with existing applications of flexible sensors are presented. The challenges these sensors are currently facing and potential opportunities for novel applications are revealed to offer new insights into future prospects in this field.</t>
  </si>
  <si>
    <t>[Zheng, Qingbin; Lee, Jeng-hun; Shen, Xi; Kim, Jang-Kyo] Hong Kong Univ Sci &amp; Technol, Dept Mech &amp; Aerosp Engn, Kowloon, Clear Water Bay, Hong Kong, Peoples R China; [Zheng, Qingbin] Chinese Univ Hong Kong, Sch Sci &amp; Engn, Shenzhen 518172, Guangdong, Peoples R China; [Chen, Xiaodong] Nanyang Technol Univ, Innovat Ctr Flexible Devices, Sch Mat Sci &amp; Engn, 50 Nanyang Ave, Singapore 639798, Singapore</t>
  </si>
  <si>
    <t>Hong Kong University of Science &amp; Technology; The Chinese University of Hong Kong, Shenzhen; Nanyang Technological University</t>
  </si>
  <si>
    <t>Kim, JK (corresponding author), Hong Kong Univ Sci &amp; Technol, Dept Mech &amp; Aerosp Engn, Kowloon, Clear Water Bay, Hong Kong, Peoples R China.</t>
  </si>
  <si>
    <t>mejkkim@ust.hk</t>
  </si>
  <si>
    <t>Kim, Jang-Kyo/AHH-7817-2022; Chen, Xiaodong/A-4537-2009; Shen, Xi/J-2673-2014; Zheng, Qingbin/F-9323-2011</t>
  </si>
  <si>
    <t>Shen, Xi/0000-0003-1688-4931; Kim, Jang Kyo/0000-0002-5390-8763; Zheng, Qingbin/0000-0002-7127-7109</t>
  </si>
  <si>
    <t>Research Grants Council (RGC) of Hong Kong [16229216, 16209917, 16205517]</t>
  </si>
  <si>
    <t>Research Grants Council (RGC) of Hong Kong(Hong Kong Research Grants Council)</t>
  </si>
  <si>
    <t>This project was financially supported by the Research Grants Council (RGC) of Hong Kong (GRF projects: 16229216, 16209917 and 16205517).</t>
  </si>
  <si>
    <t>1369-7021</t>
  </si>
  <si>
    <t>1873-4103</t>
  </si>
  <si>
    <t>MATER TODAY</t>
  </si>
  <si>
    <t>Mater. Today</t>
  </si>
  <si>
    <t>10.1016/j.mattod.2019.12.004</t>
  </si>
  <si>
    <t>LY8AO</t>
  </si>
  <si>
    <t>WOS:000540750100028</t>
  </si>
  <si>
    <t>Wei, FA; Zhong, TL; Zhan, ZH; Yao, LG</t>
  </si>
  <si>
    <t>Wei, Fanan; Zhong, Tianliang; Zhan, Ziheng; Yao, Ligang</t>
  </si>
  <si>
    <t>Self-assembled Micro-nanorobots: From Assembly Mechanisms to Applications</t>
  </si>
  <si>
    <t>CHEMNANOMAT</t>
  </si>
  <si>
    <t>micro-nanorobots; self-assembly; largescale manufacture; colloids</t>
  </si>
  <si>
    <t>ROBOT-ASSISTED THERAPY; ELLIPSOIDAL PARTICLES; COLLOIDS; DNA; NANOPARTICLES; SPHERES; FORCES; LOCK; MANIPULATION; FABRICATION</t>
  </si>
  <si>
    <t>Due to the extremely tiny size, micro-nanorobots hold promise in performing tasks at the micro-nanoscale, which is impossible for macroscale robots. However, the massive fabrication of micro-nanorobots is of crucial challenge and has been attracting extensive attention among academics. Active colloids can be self-assembled into ordered structures, and offer a promising solution to this largescale manufacture challenge. Here, we summarize the development and mechanisms of different assembly technologies in the past two decades, and introduce the applications of micro-nanorobots using self-assembly strategies in biomedical and physical fields. For clarification, the self-assembly mechanisms are presented in three categories: chemical, physical and biological. The manufacture of micro-nanorobots through self-assembly not only solves the problem of large-scale manufacturing, but also increases the reconfigurability of structure and improves their adaptability to the environment, which promises further development as microsurgeons and the application of micro-nanorobots in other fields, such as environmental restoration and micro-manipulation.</t>
  </si>
  <si>
    <t>[Wei, Fanan; Zhong, Tianliang; Zhan, Ziheng; Yao, Ligang] Fuzhou Univ, Sch Mech Engn &amp; Automat, 2 Wulongjiang Ave, Fuzhou 350108, Peoples R China</t>
  </si>
  <si>
    <t>Fuzhou University</t>
  </si>
  <si>
    <t>Wei, FA; Yao, LG (corresponding author), Fuzhou Univ, Sch Mech Engn &amp; Automat, 2 Wulongjiang Ave, Fuzhou 350108, Peoples R China.</t>
  </si>
  <si>
    <t>weifanan@fzu.edu.cn; ylgyao@fzu.edu.cn</t>
  </si>
  <si>
    <t>Zhan, Ziheng/0000-0003-1716-2586; Wei, Fanan/0000-0002-4289-786X</t>
  </si>
  <si>
    <t>National Science Foundation of China [61803088]; Natural Science Foundation of Fujian Province, China [2017J01748]; State Key Laboratory of Robotics, Shenyang Institute of Automation, Chinese Academy of Sciences [2017-O02]; Fuzhou University Testing Fund of precious apparatus [2019T015, 2020T016]</t>
  </si>
  <si>
    <t>National Science Foundation of China(National Natural Science Foundation of China (NSFC)); Natural Science Foundation of Fujian Province, China(Natural Science Foundation of Fujian Province); State Key Laboratory of Robotics, Shenyang Institute of Automation, Chinese Academy of Sciences; Fuzhou University Testing Fund of precious apparatus</t>
  </si>
  <si>
    <t>The authors want to thank the funding from the National Science Foundation of China (No. 61803088), the Natural Science Foundation of Fujian Province, China (No. 2017J01748), the Open Project Programs from both the State Key Laboratory of Robotics, Shenyang Institute of Automation, Chinese Academy of Sciences (Grant No: 2017-O02) and Fuzhou University Testing Fund of precious apparatus (No. 2019T015 and No. 2020T016).</t>
  </si>
  <si>
    <t>WILEY-V C H VERLAG GMBH</t>
  </si>
  <si>
    <t>WEINHEIM</t>
  </si>
  <si>
    <t>POSTFACH 101161, 69451 WEINHEIM, GERMANY</t>
  </si>
  <si>
    <t>2199-692X</t>
  </si>
  <si>
    <t>ChemNanoMat</t>
  </si>
  <si>
    <t>10.1002/cnma.202000608</t>
  </si>
  <si>
    <t>Chemistry, Multidisciplinary; Nanoscience &amp; Nanotechnology; Materials Science, Multidisciplinary</t>
  </si>
  <si>
    <t>Chemistry; Science &amp; Technology - Other Topics; Materials Science</t>
  </si>
  <si>
    <t>QR4GJ</t>
  </si>
  <si>
    <t>WOS:000612485600001</t>
  </si>
  <si>
    <t>Raciti, L; Raciti, G; Ammendolia, A; de Sire, A; Onesta, MP; Calabrò, RS</t>
  </si>
  <si>
    <t>Raciti, Loredana; Raciti, Gianfranco; Ammendolia, Antonio; de Sire, Alessandro; Onesta, Maria Pia; Calabro, Rocco Salvatore</t>
  </si>
  <si>
    <t>Improving Spasticity by Using Botulin Toxin: An Overview Focusing on Combined Approaches</t>
  </si>
  <si>
    <t>botulin toxin; spasticity; antispastics; robot-assisted motor training; Lokomat</t>
  </si>
  <si>
    <t>UPPER-LIMB SPASTICITY; CHRONIC STROKE PATIENTS; ANKLE-FOOT ORTHOSIS; POSTSTROKE SPASTICITY; SPINAL-CORD; LONG-TERM; GAIT REHABILITATION; MOTOR RECOVERY; MIRROR THERAPY; BRAIN-INJURY</t>
  </si>
  <si>
    <t>Spasticity is a very common sign in the neurological field. It can be defined as a motor disorder marked by a velocity-dependent increase in muscle tone or tonic stretch reflexes associated with hypertonia. It leads to a high risk of limb deformities and pain that prejudices residual motor function, impairing quality of life. The treatment of spasticity depends on its severity and its location and, in general, it is based on rehabilitation, oral therapies (the gamma-aminobutyric acid b agonist baclofen) and injectable medications (i.e., botulin toxins, acting on polysynaptic reflex mechanisms). The botulin toxin type A (BoNT-A) injection has been effectively used to improve different types of spasticity. However, when BoNT-A is not sufficient, a combination of nonpharmacological approaches could be attempted. Therefore, additional intervention, such as conventional physical therapy by itself or further combined with robotic gait training, may be needed. Indeed, it has been shown that combination of BoNT-A and robotics has a positive effect on activity level and upper limb function in patients with stroke, including those in the chronic phase. The aim of this review is to evaluate the efficacy of pharmacological or nonpharmacological treatment in combination with BoNT-A injections on spasticity. The combined therapy of BoNT with conventional or adjunct activities or robot-assisted training, especially with end-effectors, is a valid tool to improve patients' performance and outcomes. The combined strategies might rise the toxin's effect, lowering its dosages of botulinum and reducing side effects and costs.</t>
  </si>
  <si>
    <t>[Raciti, Loredana; Onesta, Maria Pia] AO Cannizzaro, Unita Spinale Unipolare, I-98102 Catania, Italy; [Raciti, Gianfranco; Ammendolia, Antonio; de Sire, Alessandro] Magna Graecia Univ Catanzaro, Dept Med &amp; Surg Sci, I-88100 Catanzaro, Italy; [Calabro, Rocco Salvatore] IRCCS Ctr Neurolesi Bonino Pulejo, I-98121 Messina, Italy</t>
  </si>
  <si>
    <t>Magna Graecia University of Catanzaro; IRCCS Bonino Pulejo</t>
  </si>
  <si>
    <t>Calabrò, RS (corresponding author), IRCCS Ctr Neurolesi Bonino Pulejo, I-98121 Messina, Italy.</t>
  </si>
  <si>
    <t>loredana.raciti79@gmail.com; gianfranco.raciti@gmail.com; ammendolia@unicz.it; alessandro.desire@unicz.it; mariapia.onesta@gmail.com; salbro77@tiscali.it</t>
  </si>
  <si>
    <t>Calabrò, Rocco/K-7520-2016; Onesta, Maria Pia/NFT-7433-2025; Raciti, Loredana/HLX-5533-2023; Ammendolia, Antonio/K-2155-2016</t>
  </si>
  <si>
    <t>calabro, rocco salvatore/0000-0002-8566-3166; Ammendolia, Antonio/0000-0002-2828-2455; Raciti, Loredana/0000-0003-0564-2320; de Sire, Alessandro/0000-0002-5541-8346</t>
  </si>
  <si>
    <t>Ministry of Health</t>
  </si>
  <si>
    <t>This research has been founded by current research of the Ministry of Health, 2024</t>
  </si>
  <si>
    <t>10.3390/brainsci14070631</t>
  </si>
  <si>
    <t>ZQ0W7</t>
  </si>
  <si>
    <t>WOS:001276653800001</t>
  </si>
  <si>
    <t>Mah, KM; Torres-Espín, A; Hallworth, BW; Bixby, JL; Lemmon, VP; Fouad, K; Fenrich, KK</t>
  </si>
  <si>
    <t>Mah, Kar Men; Torres-Espin, Abel; Hallworth, Ben W.; Bixby, John L.; Lemmon, Vance P.; Fouad, Karim; Fenrich, Keith K.</t>
  </si>
  <si>
    <t>Automation of training and testing motor and related tasks in pre-clinical behavioural and rehabilitative neuroscience</t>
  </si>
  <si>
    <t>EXPERIMENTAL NEUROLOGY</t>
  </si>
  <si>
    <t>Rehabilitation training; Motor task; Behavioural testing; Animal models; Automation; Robotics; Machine learning; Neural plasticity; Nervous system injury; Locomotion; Skilled motor function</t>
  </si>
  <si>
    <t>SPINAL-CORD-INJURY; TRAUMATIC BRAIN-INJURY; INDUCED MOVEMENT THERAPY; ANIMAL-MODELS; FUNCTIONAL RECOVERY; QUALITATIVE IMPAIRMENTS; ENRICHED ENVIRONMENT; CORTICOSPINAL TRACT; LOCOMOTOR RECOVERY; HEMORRHAGIC STROKE</t>
  </si>
  <si>
    <t>Testing and training animals in motor and related tasks is a cornerstone of pre-clinical behavioural and rehabilitative neuroscience. Yet manually testing and training animals in these tasks is time consuming and analyses are often subjective. Consequently, there have been many recent advances in automating both the administration and analyses of animal behavioural training and testing. This review is an in-depth appraisal of the history of, and recent developments in, the automation of animal behavioural assays used in neuroscience. We describe the use of common locomotor and non-locomotor tasks used for motor training and testing before and after nervous system injury. This includes a discussion of how these tasks help us to understand the underlying mechanisms of neurological repair and the utility of some tasks for the delivery of rehabilitative training to enhance recovery. We propose two general approaches to automation: automating the physical administration of behavioural tasks (i.e., devices used to facilitate task training, rehabilitative training, and motor testing) and leveraging the use of machine learning in behaviour analysis to generate large volumes of unbiased and comprehensive data. The advantages and disadvantages of automating various motor tasks as well as the limitations of machine learning analyses are examined. In closing, we provide a critical appraisal of the current state of automation in animal behavioural neuroscience and a prospective on some of the advances in machine learning we believe will dramatically enhance the usefulness of these approaches for behavioural neuroscientists.</t>
  </si>
  <si>
    <t>[Mah, Kar Men; Bixby, John L.; Lemmon, Vance P.] Univ Miami, Miami Project Cure Paralysis, Dept Neurol Surg, Miami, FL 33136 USA; [Bixby, John L.] Univ Miami, Miller Sch Med, Dept Mol &amp; Cellular Pharmacol, Miami, FL 33136 USA; [Torres-Espin, Abel] Univ Calif San Francisco, Dept Neurol Surg, Brain &amp; Spinal Injury Ctr, San Francisco, CA 94143 USA; [Hallworth, Ben W.; Fouad, Karim; Fenrich, Keith K.] Univ Alberta, Neurosci &amp; Mental Hlth Inst, Edmonton, AB, Canada; [Hallworth, Ben W.] Univ Alberta, Dept Mech Engn, Edmonton, AB, Canada; [Fouad, Karim] Univ Alberta, Dept Phys Therapy, Edmonton, AB, Canada; [Fouad, Karim; Fenrich, Keith K.] Univ Alberta, Fac Rehabil Med, 5005 Katz, Edmonton, AB T6G 2E1, Canada</t>
  </si>
  <si>
    <t>University of Miami; University of Miami; University of California System; University of California San Francisco; University of Alberta; University of Alberta; University of Alberta; University of Alberta</t>
  </si>
  <si>
    <t>Fenrich, KK (corresponding author), Univ Alberta, Fac Rehabil Med, 5005 Katz, Edmonton, AB T6G 2E1, Canada.</t>
  </si>
  <si>
    <t>fenrich@ualberta.ca</t>
  </si>
  <si>
    <t>Torres-Espin, Abel/ABD-1354-2020; Fenrich, Keith/AAG-2780-2020</t>
  </si>
  <si>
    <t>Mah, Kar Men/0000-0001-7245-7905</t>
  </si>
  <si>
    <t>ACADEMIC PRESS INC ELSEVIER SCIENCE</t>
  </si>
  <si>
    <t>SAN DIEGO</t>
  </si>
  <si>
    <t>525 B ST, STE 1900, SAN DIEGO, CA 92101-4495 USA</t>
  </si>
  <si>
    <t>0014-4886</t>
  </si>
  <si>
    <t>1090-2430</t>
  </si>
  <si>
    <t>EXP NEUROL</t>
  </si>
  <si>
    <t>Exp. Neurol.</t>
  </si>
  <si>
    <t>10.1016/j.expneurol.2021.113647</t>
  </si>
  <si>
    <t>MAR 2021</t>
  </si>
  <si>
    <t>SB1BR</t>
  </si>
  <si>
    <t>Green Accepted</t>
  </si>
  <si>
    <t>WOS:000649737600010</t>
  </si>
  <si>
    <t>Chung, CS; Wang, HW; Cooper, RA</t>
  </si>
  <si>
    <t>Chung, Cheng-Shiu; Wang, Hongwu; Cooper, Rory A.</t>
  </si>
  <si>
    <t>Functional assessment and performance evaluation for assistive robotic manipulators: Literature review</t>
  </si>
  <si>
    <t>JOURNAL OF SPINAL CORD MEDICINE</t>
  </si>
  <si>
    <t>Spinal cord injuries; Paralysis; Robotics; Wheelchairs; Task performance; Assistive technology; Assistive robotic manipulators; User interfaces; Functional assessment; Outcome measures; Disability; Rehabilitation; Physical; Vocational; Activities of daily living; Muscular dystrophy; Spinal cord injury; Spinal muscular atrophy; Multiple sclerosis; Amyotrophic lateral sclerosis; Cerebral palsy; Rheumatoid arthritis; Postpolio syndrome; Locked-in syndrome</t>
  </si>
  <si>
    <t>WHEELCHAIR; DESIGN; MANUS; ARM</t>
  </si>
  <si>
    <t>Context: The user interface development of assistive robotic manipulators can be traced back to the 1960s. Studies include kinematic designs, cost-efficiency, user experience involvements, and performance evaluation. This paper is to review studies conducted with clinical trials using activities of daily living (ADLs) tasks to evaluate performance categorized using the International Classification of Functioning, Disability, and Health (ICF) frameworks, in order to give the scope of current research and provide suggestions for future studies. Methods: We conducted a literature search of assistive robotic manipulators from 1970 to 2012 in PubMed, Google Scholar, and University of Pittsburgh Library System - PITTCat. Results: Twenty relevant studies were identified. Conclusion: Studies were separated into two broad categories: user task preferences and user-interface performance measurements of commercialized and developing assistive robotic manipulators. The outcome measures and ICF codes associated with the performance evaluations are reported. Suggestions for the future studies include (1) standardized ADL tasks for the quantitative and qualitative evaluation of task efficiency and performance to build comparable measures between research groups, (2) studies relevant to the tasks from user priority lists and ICF codes, and (3) appropriate clinical functional assessment tests with consideration of constraints in assistive robotic manipulator user interfaces. In addition, these outcome measures will help physicians and therapists build standardized tools while prescribing and assessing assistive robotic manipulators.</t>
  </si>
  <si>
    <t>[Chung, Cheng-Shiu; Wang, Hongwu; Cooper, Rory A.] Univ Pittsburgh, Dept Rehabil Sci &amp; Technol, Pittsburgh, PA 15260 USA; [Cooper, Rory A.] Human Engn Res Labs, Dept Vet Affairs, Pittsburgh, PA 15206 USA</t>
  </si>
  <si>
    <t>Pennsylvania Commonwealth System of Higher Education (PCSHE); University of Pittsburgh</t>
  </si>
  <si>
    <t>Chung, CS (corresponding author), Human Engn Res Labs, 6425 Penn Ave,Suite 400, Pittsburgh, PA 15206 USA.</t>
  </si>
  <si>
    <t>Joshua.Grace@gmail.com</t>
  </si>
  <si>
    <t>Wang, Hongwu/AEZ-3848-2022; Wang, Hongwu/J-6133-2013</t>
  </si>
  <si>
    <t>Wang, Hongwu/0000-0002-6567-9144</t>
  </si>
  <si>
    <t>Quality of Life Technology Engineering Research Center, National Science Foundation [0540865]; Directorate For Engineering; Div Of Engineering Education and Centers [0540865] Funding Source: National Science Foundation</t>
  </si>
  <si>
    <t>Quality of Life Technology Engineering Research Center, National Science Foundation; Directorate For Engineering; Div Of Engineering Education and Centers(National Science Foundation (NSF)NSF - Directorate for Engineering (ENG))</t>
  </si>
  <si>
    <t>This material is based on work supported by Quality of Life Technology Engineering Research Center, National Science Foundation (Grant #0540865). The contents of this paper do not represent the views of the Department of Veterans Affairs or the United States Government.</t>
  </si>
  <si>
    <t>1079-0268</t>
  </si>
  <si>
    <t>2045-7723</t>
  </si>
  <si>
    <t>J SPINAL CORD MED</t>
  </si>
  <si>
    <t>J. Spinal Cord. Med.</t>
  </si>
  <si>
    <t>10.1179/2045772313Y.0000000132</t>
  </si>
  <si>
    <t>180DU</t>
  </si>
  <si>
    <t>WOS:000321574200003</t>
  </si>
  <si>
    <t>Mehler-Klamt, AC; Huber, J; Schmidbauer, L; Warmbein, A; Rathgeber, I; Fischer, U; Eberl, I</t>
  </si>
  <si>
    <t>Mehler-Klamt, Amrei C.; Huber, Jana; Schmidbauer, Lena; Warmbein, Angelika; Rathgeber, Ivanka; Fischer, Uli; Eberl, Inge</t>
  </si>
  <si>
    <t>The use of robotic and technical systems for early mobilization of intensive care patients: A scoping review</t>
  </si>
  <si>
    <t>PFLEGE</t>
  </si>
  <si>
    <t>critical care; early ambulation; robotics; technology; scoping review</t>
  </si>
  <si>
    <t>MECHANICALLY VENTILATED PATIENTS; CYCLE ERGOMETRY; REHABILITATION; EQUIPMENT</t>
  </si>
  <si>
    <t>The use of robotic and technical systems for early mobilization of intensive care patients: A scoping review Abstract. Background: Intensive care patients are often subjected to immobility for too long. However, when they are mobilized early, positive effects on patient outcomes, such as improvement in physical function, can be demonstrated. One of the reasons for rare mobilization is that too less therapeutic equipment is available. Aims: This paper provides an overview of previous research on early robot- or technology-assisted mobilization of intensive care patients. Which robotic and technical aids are used in studies on early mobilization of adult intensive care patients by nurses or physiotherapists? What effect of early mobilization using robotic and technical systems on patient outcomes are reported in the studies? Methods: A systematic literature search was undertaken within the Databases Medline, Web of Science, CINAHL, Cochrane Library, Embase, IEEE Xplore, Scopus and WTI between May and July 2020 and in January 2022. In addition, a marginal search was performed via GoogleScolar and ResearchGate in the first search run. Results: 27 publications were included (9 RCTs, 7 texts and opinions, 3 cross-sectional studies, 2 case-control studies, 2 literature reviews, 2 case reports, 2 quasi-experimental intervention studies). It is evident that electronic bed-mounted exercise bicycles and tilt tables are the most commonly used assistive devices. There is an inconsistent data situation with regard to different patient outcomes. Conclusion: Further research on the use of technical and robotic early mobilization is, particularly in relation to different study populations, needed. Early mobilization robotics is not yet part of standard care.</t>
  </si>
  <si>
    <t>[Mehler-Klamt, Amrei C.; Huber, Jana; Schmidbauer, Lena; Eberl, Inge] Katholische Univ Eichstatt Ingolstadt, Eichstatt, Germany; [Warmbein, Angelika; Rathgeber, Ivanka; Fischer, Uli] LMU Klinikum Munchen, Munich, Germany</t>
  </si>
  <si>
    <t>University of Munich</t>
  </si>
  <si>
    <t>Mehler-Klamt, AC (corresponding author), Katholische Univ Eichstatt Ingolstadt, Fak Soziale Arbeit, Pflegewissensch, Kapuzinergasse 2, D-85072 Eichstatt, Germany.</t>
  </si>
  <si>
    <t>amrei.klamt@ku.de</t>
  </si>
  <si>
    <t>Fischer, Uli/ISB-0456-2023; Warmbein, Angelika/HKN-3740-2023</t>
  </si>
  <si>
    <t>Warmbein, Angelika/0000-0001-9636-3583</t>
  </si>
  <si>
    <t>HOGREFE AG-HOGREFE AG SUISSE</t>
  </si>
  <si>
    <t>BERN</t>
  </si>
  <si>
    <t>LANGGASS STRASSE 76, BERN, SWITZERLAND</t>
  </si>
  <si>
    <t>1012-5302</t>
  </si>
  <si>
    <t>1664-283X</t>
  </si>
  <si>
    <t>Pflege</t>
  </si>
  <si>
    <t>10.1024/1012-5302/a000891</t>
  </si>
  <si>
    <t>JUN 2022</t>
  </si>
  <si>
    <t>Nursing</t>
  </si>
  <si>
    <t>H5HE1</t>
  </si>
  <si>
    <t>WOS:000819036500001</t>
  </si>
  <si>
    <t>Erden, YJ; Rainey, S</t>
  </si>
  <si>
    <t>Erden, Yasemin J.; Rainey, Stephen</t>
  </si>
  <si>
    <t>An ethical assessment of powered exoskeletons: Implications from clinical use to industry and military contexts</t>
  </si>
  <si>
    <t>ARTIFICIAL ORGANS</t>
  </si>
  <si>
    <t>assistive devices; autonomy; enhancement technology; ethics; exoskeletons; rehabilitation; social issues; wearable robotics</t>
  </si>
  <si>
    <t>DESIGN; GAIT</t>
  </si>
  <si>
    <t>Exoskeletons are technologies that can help to increase or improve mobility, dexterity, and strength. They can be used as assistive devices, to restore lost affordances, or for rehabilitation. While mechanical exoskeletons are passive and rely on the body's power for movement, powered exoskeletons are active mechanical systems that can assist or enhance a user's capacity, including in strength and performance. They also offer scope to augment or enhance beyond simple medical support, with potential in the future for superhuman power and strength. While these technologies present promising clinical opportunities, including for those who want to regain walking capacity, they also bring ethical questions, such as about data privacy and accessibility. In addition, the physical features of the technology can prove mentally, physically, and financially demanding, and may be deployed in contexts where user choice and autonomy is constrained. In this article, we discuss these issues, and raise some pertinent ethical questions, not all of which can be easily answered. We touch upon medical and therapeutic uses, for industrial and workplace settings, and in military contexts specially, given these are contexts where such technology may be required or even imposed. We argue that reasonable optimism for such technologies needs to be tempered by sufficient ethical assessment to identify and address barriers to research, development, and use. As well as managing any impacts and expectations for the health and wellbeing of users, the potential impact on autonomy and the risk of coercion, we have to consider what kind of data may be recorded or used, and the risk that these technologies could exacerbate existing inequalities or harms. Exploring positive potentials in human-centred wearable robotics while signposting ethical risks.image</t>
  </si>
  <si>
    <t>[Erden, Yasemin J.] Univ Twente, Fac Behav Management &amp; Social Sci BMS, Philosophy, POB 217, NL-7500AE Enschede, Netherlands; [Rainey, Stephen] Delft Univ Technol, Dept Values Technol &amp; Innovat VTI, Philosophy, Delft, Netherlands</t>
  </si>
  <si>
    <t>Delft University of Technology</t>
  </si>
  <si>
    <t>Erden, YJ (corresponding author), Univ Twente, Fac Behav Management &amp; Social Sci BMS, Philosophy, POB 217, NL-7500AE Enschede, Netherlands.</t>
  </si>
  <si>
    <t>y.j.erden@utwente.nl</t>
  </si>
  <si>
    <t>Rainey, Stephen/ABK-2525-2022</t>
  </si>
  <si>
    <t>Rainey, Stephen/0000-0002-5540-6046; Erden, Yasemin J./0000-0001-9958-6643</t>
  </si>
  <si>
    <t>We are grateful to Prof Herman Van Der Kooij (University of Twente) and Prof Massimo Sartori (University of Twente) for helpful and insightful discussion on wearable robotics and their applications. Any and all mistakes in the text remain fully our own.</t>
  </si>
  <si>
    <t>0160-564X</t>
  </si>
  <si>
    <t>1525-1594</t>
  </si>
  <si>
    <t>ARTIF ORGANS</t>
  </si>
  <si>
    <t>Artif. Organs</t>
  </si>
  <si>
    <t>10.1111/aor.14822</t>
  </si>
  <si>
    <t>JUL 2024</t>
  </si>
  <si>
    <t>Engineering, Biomedical; Transplantation</t>
  </si>
  <si>
    <t>Engineering; Transplantation</t>
  </si>
  <si>
    <t>K2F5A</t>
  </si>
  <si>
    <t>WOS:001270682600001</t>
  </si>
  <si>
    <t>Lazzarini, SG; Mosconi, B; Cordani, C; Arienti, C; Cecchi, F</t>
  </si>
  <si>
    <t>Lazzarini, Stefano G.; Mosconi, Bianca; Cordani, Claudio; Arienti, Chiara; Cecchi, Francesca</t>
  </si>
  <si>
    <t>Effectiveness of robot-assisted training in adults with Parkinson's disease: a systematic review and meta-analysis</t>
  </si>
  <si>
    <t>Parkinson's disease; Robot-assisted training; Gait; Upper extremity; Systematic review; Meta-analysis</t>
  </si>
  <si>
    <t>CLINICALLY IMPORTANT DIFFERENCE; POSTURAL INSTABILITY; REHABILITATION; RESPONSIVENESS; DIAGNOSIS; SUPERIOR; THERAPY; BALANCE</t>
  </si>
  <si>
    <t>Aim This work aimed to update and summarize the existing evidence on the effectiveness of robot-assisted training (RAT) in adults with Parkinson's disease (PD). Methods We conducted a systematic review with meta-analysis, reported following the Preferred Reporting Items for Systematic Reviews and Meta-Analyses guidelines (PROSPERO CRD42022371124). Seven databases and two trial registries were searched for randomized-controlled trials (RCTs) addressing RAT alone or in addition to other treatments in adults with PD up to January 2024. Primary outcomes were disease-specific motor impairment, balance, mobility, freezing of gait, falls, number of people who fell at least once, and adverse events. Meta-analysis using a random-effects model was performed. Risk of bias (RoB) and certainty of the evidence for the primary outcomes were assessed using the Cochrane RoB Tool and the Grades of Recommendation Assessment, Development, and Evaluation (GRADE) approach, respectively. Results Fifteen RCTs (629 randomized adults with PD) were included. Our results show that the evidence is very uncertain about the effectiveness of any kind of RAT, either focused on gait, balance or upper limb impairment, compared to any comparator (treadmill training, overground gait training, exercises without the exoskeleton, conventional physical therapy, balance training, and no treatment), mainly because of RoB, inconsistency in individual studies results, and very limited number (less than 200) of participants considered in each comparison. Conclusion In light of the aforementioned very low certainty evidence, clinical considerations should be drawn very carefully. High-quality studies are thus highly needed to investigate potential benefits, risks, and cost/benefit ratio of RAT in adults with PD.</t>
  </si>
  <si>
    <t>[Lazzarini, Stefano G.] Univ Milano Bicocca, Dept Stat &amp; Quantitat Methods, Milan, Italy; [Lazzarini, Stefano G.; Mosconi, Bianca] IRCCS Fdn Don Carlo Gnocchi, Via A Capecelatro 66, I-20148 Milan, Italy; [Cordani, Claudio] Univ La Statale, Dept Biomed Surg &amp; Dent Sci, Milan, Italy; [Cordani, Claudio] IRCCS Ist Ortoped Galeazzi, Milan, Italy; [Arienti, Chiara] Humanitas Univ, Clin Epidemiol &amp; Res Ctr, Dept Biomed Sci, Milan, Italy; [Cecchi, Francesca] Univ Florence, Dept Expt &amp; Clin Med, Florence, Italy; [Cecchi, Francesca] IRCCS Fdn Don Carlo Gnocchi, Florence, Italy</t>
  </si>
  <si>
    <t>University of Milano-Bicocca; IRCCS Fondazione Don Carlo Gnocchi Onlus; IRCCS Istituto Ortopedico Galeazzi; Humanitas University; University of Florence; IRCCS Fondazione Don Carlo Gnocchi Onlus</t>
  </si>
  <si>
    <t>Mosconi, B (corresponding author), IRCCS Fdn Don Carlo Gnocchi, Via A Capecelatro 66, I-20148 Milan, Italy.</t>
  </si>
  <si>
    <t>bmosconi@dongnocchi.it</t>
  </si>
  <si>
    <t>Cordani, Claudio/J-6590-2018; Cecchi, Francesca/M-8266-2019; Lazzarini, Stefano/AHC-0043-2022; Arienti, Chiara/AAC-5302-2022</t>
  </si>
  <si>
    <t>Cordani, Claudio/0000-0002-9014-7887; Lazzarini, Stefano Giuseppe/0000-0002-9576-2459; CECCHI, Francesca/0000-0002-7410-0325</t>
  </si>
  <si>
    <t>Italian Ministry of Health-Ricerca Corrente</t>
  </si>
  <si>
    <t>Italian Ministry of Health-Ricerca Corrente(Ministry of Health, Italy)</t>
  </si>
  <si>
    <t>This work was supported and funded by the Italian Ministry of Health-Ricerca Corrente. The funders had no role in study design, data collection and analysis, decision to publish, or manuscript preparation.</t>
  </si>
  <si>
    <t>10.1007/s00415-024-12798-z</t>
  </si>
  <si>
    <t>P4A0I</t>
  </si>
  <si>
    <t>WOS:001377344900044</t>
  </si>
  <si>
    <t>Sung-U, S; Nisa, BU; Yotsumoto, K; Tanemura, R</t>
  </si>
  <si>
    <t>Sung-U, Sasithorn; Nisa, Badur Un; Yotsumoto, Kayano; Tanemura, Rumi</t>
  </si>
  <si>
    <t>Effectiveness of robotic-assisted therapy for upper extremity function in children and adolescents with cerebral palsy: a systematic review protocol</t>
  </si>
  <si>
    <t>rehabilitation medicine; developmental neurology &amp; neurodisability; protocols &amp; guidelines</t>
  </si>
  <si>
    <t>PHYSICAL-ACTIVITY; REHABILITATION; CLASSIFICATION; PARTICIPATION; INTERVENTION; MOVEMENT; MOBILITY; IMPACT; STATE</t>
  </si>
  <si>
    <t>Introduction The application of advanced technologies in paediatric rehabilitation to improve performance and enhance everyday functioning shows considerable promise. The aims of this systematic review are to investigate the effectiveness of robotic-assisted therapy for upper extremity function in children and adolescents with cerebral palsy and to extend the scope of intervention from empirical evidence. Methods and analysis Multiple databases, including MEDLINE (Ovid), PubMed, CINAHL, Scopus, Web of Science, Cochrane Library and IEEE Xplore, will be comprehensively searched for relevant randomised controlled trials and non-randomised studies. The grey literature will be accessed on the ProQuest Dissertations &amp; Theses Global database, and a hand search from reference lists of previous articles will be performed. The papers written in English language will be considered, with no limitation on publication date. Two independent reviewers will identify eligible studies, evaluate the level of evidence (the Oxford Centre for Evidence-Based Medicine) and appraise methodological quality and risk of bias (the Standard quality assessment criteria for evaluating primary research papers from a variety of fields (QualSyst tool); the Grading of Recommendations Assessment, Development and Evaluation). Data will be appropriately extracted following the Preferred Reporting Items for Systematic Reviews and Meta-Analyses guideline. A narrative synthesis will be provided to summarise the results, and a meta-analysis will be conducted if there is sufficient homogeneity across outcomes. PROSPERO registration number CRD42020205818. Ethics and dissemination Ethical approval is not required for this study. The findings will be disseminated via a peer-reviewed journal and international conferences.</t>
  </si>
  <si>
    <t>[Sung-U, Sasithorn; Nisa, Badur Un; Yotsumoto, Kayano; Tanemura, Rumi] Kobe Univ, Grad Sch Hlth Sci, Dept Rehabil Sci, Kobe, Hyogo, Japan; [Sung-U, Sasithorn] Chiang Mai Univ, Fac Associated Med Sci, Dept Occupat Therapy, Chiang Mai, Thailand</t>
  </si>
  <si>
    <t>Kobe University; Chiang Mai University</t>
  </si>
  <si>
    <t>Sung-U, S (corresponding author), Kobe Univ, Grad Sch Hlth Sci, Dept Rehabil Sci, Kobe, Hyogo, Japan.;Sung-U, S (corresponding author), Chiang Mai Univ, Fac Associated Med Sci, Dept Occupat Therapy, Chiang Mai, Thailand.</t>
  </si>
  <si>
    <t>sasithornsungu@gmail.com</t>
  </si>
  <si>
    <t>Sung-U, Sasithorn/0000-0003-0276-8104</t>
  </si>
  <si>
    <t>Grants-in-Aid for Scientific Research [21K11312] Funding Source: KAKEN</t>
  </si>
  <si>
    <t>Grants-in-Aid for Scientific Research(Ministry of Education, Culture, Sports, Science and Technology, Japan (MEXT)Japan Society for the Promotion of ScienceGrants-in-Aid for Scientific Research (KAKENHI))</t>
  </si>
  <si>
    <t>e045051</t>
  </si>
  <si>
    <t>10.1136/bmjopen-2020-045051</t>
  </si>
  <si>
    <t>ZL9IB</t>
  </si>
  <si>
    <t>WOS:000763981800006</t>
  </si>
  <si>
    <t>Wan, CL; Huang, SS; Wang, X; Ge, PL; Wang, ZX; Zhang, YT; Li, YQ; Su, B</t>
  </si>
  <si>
    <t>Wan, Chunli; Huang, Sisi; Wang, Xue; Ge, Panli; Wang, Zhixiang; Zhang, Yuting; Li, Yongqiang; Su, Bin</t>
  </si>
  <si>
    <t>Effects of robot-assisted gait training on cardiopulmonary function and lower extremity strength in individuals with spinal cord injury: A systematic review and meta-analysis</t>
  </si>
  <si>
    <t>Spinal cord injury; Robotic-assisted gait training; Cardiopulmonary; Static pulmonary; Function; Lower extremity strength; Meta-analysis</t>
  </si>
  <si>
    <t>WALKING; QUALITY; TRIALS</t>
  </si>
  <si>
    <t>ContextRobot-assisted gait training (RAGT) has been increasingly adopted in many rehabilitation facilities for walking function and activity in individuals with spinal cord injury (SCI). However, the effectiveness of RAGT on lower extremity strength and cardiopulmonary function, especially static pulmonary function, have not been clearly outlined.ObjectiveDetermine the effect of RAGT on cardiopulmonary function and lower extremity strength in SCI survivors.MethodsEight databases were systematically searched for randomized controlled trials comparing RAGT with conventional physical therapy or other non-robotic therapies for survivors with SCI. Study selection required lower extremity strength decline after SCI at baseline. The overall effects of RAGT were calculated using a meta-analytic method. Begg's test was used to assess the risk of publication bias.ResultsThe pooled analysis demonstrated that RAGT may have a positive effect for individuals with SCI on lower extremity strength enhancing (n = 408; standardized mean difference [SMD] = 0.81; 95% confidence interval [CI] = 0.14-1.48) and cardiopulmonary endurance(n = 104; standardized mean difference [SMD] = 2.24; 95% confidence interval [CI] = 0.28-4.19). However, no significant effect was established on static pulmonary function. No publication bias was observed according to the Begg's test.ConclusionsRAGT may be a useful technique for improving lower limb strength and cardiovascular endurance in SCI survivors. The usefulness of RAGT in enhancing static pulmonary function was not demonstrated by the study. However, these results should be interpreted with caution, given the low number of selected studies and subjects. Clinical studies with large sample sizes will be necessary in the future.</t>
  </si>
  <si>
    <t>[Wan, Chunli; Huang, Sisi; Wang, Xue; Ge, Panli; Wang, Zhixiang; Zhang, Yuting; Li, Yongqiang] Nanjing Med Univ, Affiliated Hosp Nanjing Med Univ 1, Sch Rehabil Med, Dept Rehabil Med, Nanjing 210029, Jiangsu, Peoples R China; [Su, Bin] Jiangnan Univ, Wuxi Cent Rehabil Hosp, Wuxi Mental Hlth Ctr, Wuxi Sch Med, Wuxi 214151, Jiangsu, Peoples R China; [Su, Bin] Jiangnan Univ, Wuxi Cent Rehabil Hosp, Affiliated Wuxi Mental Hlth Ctr, Wuxi 214151, Jiangsu, Peoples R China; [Li, Yongqiang] Nanjing Med Univ, Affiliated Hosp 1, Ctr Rehabil Med, Nanjing 210029, Jiangsu, Peoples R China</t>
  </si>
  <si>
    <t>Nanjing Medical University; Jiangnan University; Jiangnan University; Nanjing Medical University</t>
  </si>
  <si>
    <t>Su, B (corresponding author), Jiangnan Univ, Wuxi Cent Rehabil Hosp, Affiliated Wuxi Mental Hlth Ctr, Wuxi 214151, Jiangsu, Peoples R China.;Li, YQ (corresponding author), Nanjing Med Univ, Affiliated Hosp 1, Ctr Rehabil Med, Nanjing 210029, Jiangsu, Peoples R China.</t>
  </si>
  <si>
    <t>13951585359@163.com; liyongqiang_1980@163.com</t>
  </si>
  <si>
    <t>Zhang, Yuting/JRW-3937-2023</t>
  </si>
  <si>
    <t>Wan, Chunli/0009-0006-8222-4391; su, bin/0000-0002-7010-680X; Yuting, Zhang/0009-0000-9731-9197; Wang, xue/0009-0004-0529-8261</t>
  </si>
  <si>
    <t>Major Scientific Research Project of Wuxi Health and Family Planning Commission [Z202013]; Wuxi Health and Family Planning Commission Wuxi Taihu Talent Plan [WXTTP2020008]; Jiangsu Provincial Commission of Health and Family Planning [LR2021040]; Wuxi Municipal Bureau on Science and Technology</t>
  </si>
  <si>
    <t>Major Scientific Research Project of Wuxi Health and Family Planning Commission; Wuxi Health and Family Planning Commission Wuxi Taihu Talent Plan; Jiangsu Provincial Commission of Health and Family Planning; Wuxi Municipal Bureau on Science and Technology</t>
  </si>
  <si>
    <t>This study was supported by the Major Scientific Research Project of Wuxi Health and Family Planning Commission [grant number Z202013], Wuxi Health and Family Planning Commission Wuxi Taihu Talent Plan[grant number WXTTP2020008], Jiangsu Provincial Commission of Health and Family Planning [grant number LR2021040] and Wuxi Municipal Bureau on Science and Technology.</t>
  </si>
  <si>
    <t>10.1080/10790268.2023.2188392</t>
  </si>
  <si>
    <t>MAR 2023</t>
  </si>
  <si>
    <t>FD9I2</t>
  </si>
  <si>
    <t>WOS:000956905900001</t>
  </si>
  <si>
    <t>Mizna, S; Arora, S; Saluja, P; Das, G; Alanesi, WA</t>
  </si>
  <si>
    <t>Mizna, Salma; Arora, Suraj; Saluja, Priyanka; Das, Gotam; Alanesi, Waled Abdulmalek</t>
  </si>
  <si>
    <t>An analytic research and review of the literature on practice of artificial intelligence in healthcare</t>
  </si>
  <si>
    <t>EUROPEAN JOURNAL OF MEDICAL RESEARCH</t>
  </si>
  <si>
    <t>Artificial intelligence; Healthcare; Robotics; Surgery; Virtual reality; Rehabilitation; Machine learning</t>
  </si>
  <si>
    <t>Artificial intelligence (AI) has transformed healthcare, particularly in robot-assisted surgery, rehabilitation, medical imaging and diagnostics, virtual patient care, medical research and drug discovery, patient engagement and adherence, and administrative applications. AI enhances pre-operative planning, intraoperative guidance, and post-operative outcomes in robotic surgery. In rehabilitation, AI enables personalized programs, physical therapy using robotics, and in real time monitoring and feedback mechanisms. The integration of AI with emerging technologies like augmented reality, virtual reality, and the Internet of Things holds promise for broader healthcare applications. However, AI adoption faces technical challenges related to data quality and bias, ethical and privacy concerns, regulatory and legal considerations, and issues of cost and accessibility. Future trends include advances in AI algorithms and robotics, integration with emerging technologies, and the potential for wider applications in healthcare and rehabilitation. Addressing ethical and security considerations is crucial for the successful integration of AI in healthcare while upholding patient safety and legal standards. Overcoming regulatory, ethical, and trust-based challenges with effective governance will be critical to the full realization of AI potential in healthcare artificial intelligence (AI)-driven healthcare solutions powered by IoT can enable in real time patient monitoring, enhancing early diagnosis and chronic illness management. AI applications in AR/VR can transform medical education by allowing healthcare professionals to practice intricate procedures in a safe environment. Wearable technology with AI-driven analytics can offer personalized health insights, facilitating proactive interventions and improved patient outcomes. Adopting these innovations can foster progress, enhance patient care, and boost overall healthcare efficiency. Future studies should refine these cross-disciplinary applications, ensure their smooth incorporation into current healthcare systems, and tackle potential ethical and security issues.</t>
  </si>
  <si>
    <t>[Mizna, Salma] Datta Meghe Inst Higher Educ &amp; Res, Datta Megha Coll Pharm, Nagpur, India; [Arora, Suraj] King Khalid Univ, Coll Dent, Dept Restorat Dent Sci, Abha 61421, Saudi Arabia; [Saluja, Priyanka] Univ Alberta, Dept Dent, Edmonton, AB, Canada; [Das, Gotam] King Khalid Univ, Coll Dent, Dept Prosthodont, Abha 61421, Saudi Arabia; [Alanesi, Waled Abdulmalek] Univ Sci &amp; Technol, Fac Dent, Dept Operat Dent, Aden, Yemen</t>
  </si>
  <si>
    <t>King Khalid University; University of Alberta; King Khalid University</t>
  </si>
  <si>
    <t>Alanesi, WA (corresponding author), Univ Sci &amp; Technol, Fac Dent, Dept Operat Dent, Aden, Yemen.</t>
  </si>
  <si>
    <t>salmamizna567@gmail.com; surajarorasgrd@yahoo.co.in; priyanka.salujaarora@gmail.com; drgotam2000@gmail.com; walidalanesi@gmail.com</t>
  </si>
  <si>
    <t>Das, Gotam/GRF-6301-2022; Arora, Suraj/HFZ-9138-2022</t>
  </si>
  <si>
    <t>Deanship of Scientific Research, King Khalid University</t>
  </si>
  <si>
    <t>Deanship of Scientific Research, King Khalid University(King Khalid University)</t>
  </si>
  <si>
    <t>No applicable.</t>
  </si>
  <si>
    <t>0949-2321</t>
  </si>
  <si>
    <t>2047-783X</t>
  </si>
  <si>
    <t>EUR J MED RES</t>
  </si>
  <si>
    <t>Eur. J. Med. Res.</t>
  </si>
  <si>
    <t>MAY 14</t>
  </si>
  <si>
    <t>10.1186/s40001-025-02603-6</t>
  </si>
  <si>
    <t>2PY3M</t>
  </si>
  <si>
    <t>WOS:001488517900001</t>
  </si>
  <si>
    <t>Laparidou, D; Curtis, F; Akanuwe, J; Goher, K; Siriwardena, AN; Kucukyilmaz, A</t>
  </si>
  <si>
    <t>Laparidou, Despina; Curtis, Ffion; Akanuwe, Joseph; Goher, Khaled; Niroshan Siriwardena, A.; Kucukyilmaz, Ayse</t>
  </si>
  <si>
    <t>Patient, carer, and staff perceptions of robotics in motor rehabilitation: a systematic review and qualitative meta-synthesis</t>
  </si>
  <si>
    <t>Robotics; Motor rehabilitation; Patients; Carers; Staff; Perceptions; Experiences; Systematic review; Meta-synthesis</t>
  </si>
  <si>
    <t>SPINAL-CORD-INJURY; STROKE; TECHNOLOGY; EXOSKELETON; DISABILITY; THERAPY; EXPERIENCES; ACCEPTANCE; DESIGN</t>
  </si>
  <si>
    <t>Background In recent years, robotic rehabilitation devices have often been used for motor training. However, to date, no systematic reviews of qualitative studies exploring the end-user experiences of robotic devices in motor rehabilitation have been published. The aim of this study was to review end-users' (patients, carers and healthcare professionals) experiences with robotic devices in motor rehabilitation, by conducting a systematic review and thematic meta-synthesis of qualitative studies concerning the users' experiences with such robotic devices. Methods Qualitative studies and mixed-methods studies with a qualitative element were eligible for inclusion. Nine electronic databases were searched from inception to August 2020, supplemented with internet searches and forward and backward citation tracking from the included studies and review articles. Data were synthesised thematically following the Thomas and Harden approach. The CASP Qualitative Checklist was used to assess the quality of the included studies of this review. Results The search strategy identified a total of 13,556 citations and after removing duplicates and excluding citations based on title and abstract, and full text screening, 30 studies were included. All studies were considered of acceptable quality. We developed six analytical themes: logistic barriers; technological challenges; appeal and engagement; supportive interactions and relationships; benefits for physical, psychological, and social function(ing); and expanding and sustaining therapeutic options. Conclusions Despite experiencing technological and logistic challenges, participants found robotic devices acceptable, useful and beneficial (physically, psychologically, and socially), as well as fun and interesting. Having supportive relationships with significant others and positive therapeutic relationships with healthcare staff were considered the foundation for successful rehabilitation and recovery.</t>
  </si>
  <si>
    <t>[Laparidou, Despina; Akanuwe, Joseph; Niroshan Siriwardena, A.] Univ Lincoln, Sch Hlth &amp; Social Care, Community &amp; Hlth Res Unit, Brayford Pool, Lincoln LN6 7TS, England; [Curtis, Ffion] Leicester Gen Hosp, Coll Med Biol Sci &amp; Psychol, Diabet Res Ctr, Gwendolen Rd, Leicester LE5 4PW, Leics, England; [Goher, Khaled] Univ Lincoln, Sch Engn, Brayford Pool, Lincoln LN6 7DQ, England; [Kucukyilmaz, Ayse] Univ Nottingham, Sch Comp Sci, Jubilee Campus,Wollaton Rd, Nottingham NG8 2DU, England</t>
  </si>
  <si>
    <t>University of Lincoln; University Hospitals of Leicester NHS Trust; Leicester General Hospital; University of Lincoln; University of Nottingham</t>
  </si>
  <si>
    <t>Kucukyilmaz, A (corresponding author), Univ Nottingham, Sch Comp Sci, Jubilee Campus,Wollaton Rd, Nottingham NG8 2DU, England.</t>
  </si>
  <si>
    <t>ayse.kucukyilmaz@nottingham.ac.uk</t>
  </si>
  <si>
    <t>Siriwardena, Aloysius/M-3805-2017; Laparidou, Despina/AAJ-9286-2020; Curtis, Ffion/GNP-7390-2022</t>
  </si>
  <si>
    <t>Kucukyilmaz, Ayse/0000-0003-3202-6750; Akanuwe, Joseph/0000-0002-4322-6742</t>
  </si>
  <si>
    <t>UKRI Engineering and Physical Sciences Research Council (EPSRC) [EP/W000679/1]</t>
  </si>
  <si>
    <t>UKRI Engineering and Physical Sciences Research Council (EPSRC)(UK Research &amp; Innovation (UKRI)Engineering &amp; Physical Sciences Research Council (EPSRC))</t>
  </si>
  <si>
    <t>This work was supported by the UKRI Engineering and Physical Sciences Research Council (EPSRC) [Next Generation Rehabilitation Technologies, EP/W000679/1].</t>
  </si>
  <si>
    <t>DEC 25</t>
  </si>
  <si>
    <t>10.1186/s12984-021-00976-3</t>
  </si>
  <si>
    <t>XU3PE</t>
  </si>
  <si>
    <t>WOS:000734180500001</t>
  </si>
  <si>
    <t>Etoom, M; Khraiwesh, Y; Lena, F; Hawamdeh, M; Hawamdeh, Z; Centonze, D; Foti, C</t>
  </si>
  <si>
    <t>Etoom, Mohammad; Khraiwesh, Yazan; Lena, Francesco; Hawamdeh, Mohannad; Hawamdeh, Ziad; Centonze, Diego; Foti, Calogero</t>
  </si>
  <si>
    <t>Effectiveness of Physiotherapy Interventions on Spasticity in People With Multiple Sclerosis: A Systematic Review and Meta-Analysis</t>
  </si>
  <si>
    <t>AMERICAN JOURNAL OF PHYSICAL MEDICINE &amp; REHABILITATION</t>
  </si>
  <si>
    <t>Multiple Sclerosis; Muscle Spasticity; Physical Therapy Modalities; Rehabilitation; Review [Publication Type]</t>
  </si>
  <si>
    <t>ELECTRICAL NERVE-STIMULATION; SHOCK-WAVE THERAPY; LEG CYCLING EXERCISE; SOLEUS H-REFLEX; MUSCLE SPASTICITY; SOCIAL-CONSEQUENCES; LIMB SPASTICITY; REHABILITATION; VIBRATION; STROKE</t>
  </si>
  <si>
    <t>Objective The aim of the study was to examine the effectiveness of physiotherapy (PT) interventions on spasticity in people with multiple sclerosis. Design A systematic search was performed using PRISMA guidance. Studies evaluate the effect of PT interventions on spasticity were included. People with multiple sclerosis, spasticity, disability and PT interventions characteristics were extracted in included studies. Level of evidence was synthesized by the Grade of Recommendation, Assessment, Development and Evaluation approach. Meta-analyses were performed by calculating Hedges g at 95% confidence interval. Results A total of 29 studies were included in the review, and 25 were included in the meta-analyses. The included PT interventions were exercise therapy, electrical stimulation, radial shock wave therapy, vibration, and standing. The review and meta-analyses showed different evidences of benefits and nonbenefits for PT interventions on some spasticity outcomes. The best quality evidences were for beneficial effects of exercise therapy especially robot gait training and outpatient exercise programs on self-perceived spasticity and muscle tone respectively. The review results were positive regarding the acute effects, follow-up measurements, safety, progressive MS, and nonambulatory people with multiple sclerosis. The included articles were heterogeneous and badly reported in PT interventions and people with multiple sclerosis characteristics. Conclusions Physiotherapy interventions can be a safe and beneficial option for spasticity in people with multiple sclerosis. No firm conclusion can be drawn on overall spasticity. Further researches in different spasticity aspects are needed.</t>
  </si>
  <si>
    <t>[Etoom, Mohammad] Al Isra Univ, Phys Therapy Dept, Amman, Jordan; [Khraiwesh, Yazan] Tor Vergata Univ, Phys Act &amp; Hlth Promot, Rome, Italy; [Lena, Francesco] Fdn Ric &amp; Cura Giovanni Paolo II, Dept Rehabil, Campobasso, Italy; [Hawamdeh, Mohannad] Hashemite Univ, Phys &amp; Occupat Therapy Dept, Zarqa, Jordan; [Hawamdeh, Ziad] Univ Jordan, Phys Med &amp; Rehabil, Amman, Jordan; [Centonze, Diego] Neuromed, INM, Neurorehabil Dept, Pozzilli, Italy; [Foti, Calogero] Tor Vergata Univ, Phys &amp; Rehabil Med, Rome, Italy</t>
  </si>
  <si>
    <t>Isra University; University of Rome Tor Vergata; IRCCS Istituto Tumori Bari Giovanni Paolo II; Hashemite University; University of Jordan; IRCCS Neuromed; University of Rome Tor Vergata</t>
  </si>
  <si>
    <t>Etoom, M (corresponding author), Al Isra Univ, Phys Therapy Dept, Amman, Jordan.</t>
  </si>
  <si>
    <t>Etoom, Mohammad/AAX-3163-2021; HAWAMDEH, ZIAD/AAB-1371-2020; Hawamdeh, Mohannad/ABG-6018-2021; foti, calogero/B-9518-2011; LENA, Francesco/AAE-3229-2020; Centonze, Diego/J-7767-2016</t>
  </si>
  <si>
    <t>Etoom, Mohammad/0000-0002-5607-1030; hawamdeh, mohannad/0000-0002-4701-3349; LENA, Francesco/0000-0001-5528-319X; Centonze, Diego/0000-0002-8390-8545</t>
  </si>
  <si>
    <t>0894-9115</t>
  </si>
  <si>
    <t>1537-7385</t>
  </si>
  <si>
    <t>AM J PHYS MED REHAB</t>
  </si>
  <si>
    <t>Am. J. Phys. Med. Rehabil.</t>
  </si>
  <si>
    <t>10.1097/PHM.0000000000000970</t>
  </si>
  <si>
    <t>GX4UP</t>
  </si>
  <si>
    <t>WOS:000447732700009</t>
  </si>
  <si>
    <t>Wade, SL; Narad, ME; Shultz, EL; Kurowski, BG; Miley, AE; Aguilar, JM; Adlam, ALR</t>
  </si>
  <si>
    <t>Wade, Shari L.; Narad, Megan E.; Shultz, Emily L.; Kurowski, Brad G.; Miley, Aimee E.; Aguilar, Jessica M.; Adlam, Anna-Lynne R.</t>
  </si>
  <si>
    <t>Technology-assisted rehabilitation interventions following pediatric brain injury</t>
  </si>
  <si>
    <t>JOURNAL OF NEUROSURGICAL SCIENCES</t>
  </si>
  <si>
    <t>Brain injuries; Telemedicine; Rehabilitation</t>
  </si>
  <si>
    <t>PARENTING SKILLS PROGRAM; PROBLEM-SOLVING THERAPY; VIRTUAL-REALITY; PRELIMINARY EFFICACY; FAMILY INTERVENTION; PERSONALITY-CHANGE; BEHAVIOR PROBLEMS; RANDOMIZED-TRIAL; EXECUTIVE DYSFUNCTION; ATTENTION PROBLEMS</t>
  </si>
  <si>
    <t>INTRODUCTION: Following traumatic brain injury (TBI), children experience a variety of physical, motor, speech, and cognitive deficits that can have a long-term detrimental impact. The emergence and popularity of new technologies has led to research into the development of various apps, gaming systems, websites, and robotics that might be applied to rehabilitation. The objective of this narrative review was to describe the current literature regarding technologically-assisted interventions for the rehabilitation of motor, neurocognitive, behavioral, and family impairments following pediatric TBI. EVIDENCE ACQUISITION: We conducted a series of searches for peer-reviewed manuscripts published between 2000 and 2017 that included a technology-assisted component in the domains of motor, language/communication, cognition, behavior, social competence/functioning, family, and academic/school-based functioning. EVIDENCE SYNTHESIS: Findings suggested several benefits of utilizing technology in TBI rehabilitation including facilitating engagement/adherence, increasing access to therapies, and improving generalizability across settings. There is fairly robust evidence regarding the efficacy of online family problem-solving therapy in improving behavior problems, executive functioning, and family functioning. There was less compelling, but still promising, evidence regarding the efficacy other technology for motor deficits, apps for social skills, and computerized programs for cognitive skills. Overall, many studies were limited in the rigor of their methodology due to small heterogeneous samples and lack of control groups. CONCLUSIONS: Technology-assisted interventions have the potential to enhance pediatric rehabilitation after TBI. Future research is needed to further support their efficacy with larger controlled trials and to identify characteristics of children who are most likely to benefit.</t>
  </si>
  <si>
    <t>[Wade, Shari L.; Kurowski, Brad G.] Univ Cincinnati, Coll Med, Cincinnati Childrens Hosp Med Ctr, Div Phys Med &amp; Rehabil, Cincinnati, OH USA; [Narad, Megan E.; Shultz, Emily L.; Miley, Aimee E.; Aguilar, Jessica M.] Cincinnati Childrens Hosp Med Ctr, Div Phys Med &amp; Rehabil, 3333 Burnet Ave,MLC 4009, Cincinnati, OH 45229 USA; [Shultz, Emily L.] Univ Cincinnati, Dept Psychol, Cincinnati, OH 45221 USA; [Adlam, Anna-Lynne R.] Univ Exeter, Dept Psychol, Exeter, Devon, England</t>
  </si>
  <si>
    <t>University System of Ohio; University of Cincinnati; Cincinnati Children's Hospital Medical Center; Cincinnati Children's Hospital Medical Center; University System of Ohio; University of Cincinnati; University of Exeter</t>
  </si>
  <si>
    <t>Wade, SL (corresponding author), Cincinnati Childrens Hosp Med Ctr, Div Phys Med &amp; Rehabil, 3333 Burnet Ave,MLC 4009, Cincinnati, OH 45229 USA.</t>
  </si>
  <si>
    <t>shari.wade@cchmc.org</t>
  </si>
  <si>
    <t>Adlam, Anna/F-8400-2010; Narad, Megan/JCE-1165-2023</t>
  </si>
  <si>
    <t>Moscato, Emily/0000-0002-0207-0251</t>
  </si>
  <si>
    <t>Patient-Centered Outcomes Research Institute [PCORI-CER-1306-02435]; National Institute of Child Health and Human Development; NICHD [1F32HD088011-01]</t>
  </si>
  <si>
    <t>Patient-Centered Outcomes Research Institute(Patient-Centered Outcomes Research Institute (PCORI)); National Institute of Child Health and Human Development(United States Department of Health &amp; Human ServicesNational Institutes of Health (NIH) - USANIH Eunice Kennedy Shriver National Institute of Child Health &amp; Human Development (NICHD)); NICHD(United States Department of Health &amp; Human ServicesNational Institutes of Health (NIH) - USANIH Eunice Kennedy Shriver National Institute of Child Health &amp; Human Development (NICHD))</t>
  </si>
  <si>
    <t>The writing of this manuscript was supported by funding from the Patient-Centered Outcomes Research Institute (PCORI-CER-1306-02435) and the National Institute of Child Health and Human Development (R21 Grant info). Dr. Megan Narad was also supported by funds from NICHD 1F32HD088011-01. Its contents are solely the responsibility of the authors and do not necessarily represent the official views of NIH or PCORI.</t>
  </si>
  <si>
    <t>0390-5616</t>
  </si>
  <si>
    <t>1827-1855</t>
  </si>
  <si>
    <t>J NEUROSURG SCI</t>
  </si>
  <si>
    <t>J. Neurosurg. Sci.</t>
  </si>
  <si>
    <t>10.23736/S0390-5616.17.04277-1</t>
  </si>
  <si>
    <t>Clinical Neurology; Surgery</t>
  </si>
  <si>
    <t>GU5DK</t>
  </si>
  <si>
    <t>WOS:000445305500009</t>
  </si>
  <si>
    <t>Cherni, Y; Ziane, C</t>
  </si>
  <si>
    <t>Cherni, Yosra; Ziane, Clara</t>
  </si>
  <si>
    <t>A Narrative Review on Robotic-Assisted Gait Training in Children and Adolescents with Cerebral Palsy: Training Parameters, Choice of Settings, and Perspectives</t>
  </si>
  <si>
    <t>DISABILITIES</t>
  </si>
  <si>
    <t>cerebral palsy; locomotion; robotic rehabilitation; Lokomat; physiotherapy; pediatrics</t>
  </si>
  <si>
    <t>LOCOMOTOR TREADMILL THERAPY; WEIGHT-SUPPORTED TREADMILL; WALKING ABILITIES; STROKE PATIENTS; MUSCLE-ACTIVITY; REHABILITATION; ELECTROMYOGRAPHY; TRIAL; TIME</t>
  </si>
  <si>
    <t>About 70% of children and adolescents with cerebral palsy experience gait impairments which affect their autonomy and well-being. Robotic-assisted gait training using the Lokomat is particularly promising for rehabilitation as it provides a standardized environment favoring the massive repetition of the movement, in which physical demands are low on the therapist and high training loads can be achieved. As no guidelines exist regarding training protocols and Lokomat settings, the goal of this narrative review was to summarize previously published information on the use of RAGT in children and adolescents with cerebral palsy and to provide an opinion on possibilities for improving future research. The thirteen studies reviewed reported both positive and null effects of Lokomat training on gait. Half of the studies combined the Lokomat with other types of training, and only five used a control intervention to assess its benefit. Overall, training was administered 1-5 times per week for 20-60 min, over 1-12 weeks. Although Lokomat settings were not always described, progressively decreasing body weight support and guidance while increasing the treadmill speed appeared to be prioritized. The variety of training protocols and settings used did not allow pooling of the studies to assess the effects of interventions on gait parameters in children and adolescents with cerebral palsy. This narrative review highlights the need for homogenization of interventions so that clear guidelines can emerge and be applied in rehabilitation centers.</t>
  </si>
  <si>
    <t>[Cherni, Yosra] Laval Univ, Fac Med, Dept Rehabil, Quebec City, PQ G1V 0A6, Canada; [Cherni, Yosra] Interdisciplinary Res Ctr Rehabil &amp; Social Integra, Quebec City, PQ G1M 2S8, Canada; [Ziane, Clara] Univ Montreal, Lab Simulat &amp; Modelling Movement, Montreal, PQ H3T 1J4, Canada; [Ziane, Clara] Univ Montreal, Interdisciplinary Ctr Brain &amp; Learning Res, Montreal, PQ H3T 1J4, Canada; [Ziane, Clara] Univ Montreal, Dept Psychol, Int Lab Brain Mus &amp; Sound Res BRAMS, Montreal, PQ H3T 1J4, Canada</t>
  </si>
  <si>
    <t>Laval University; Universite de Montreal; Universite de Montreal; Universite de Montreal</t>
  </si>
  <si>
    <t>Cherni, Y (corresponding author), Laval Univ, Fac Med, Dept Rehabil, Quebec City, PQ G1V 0A6, Canada.;Cherni, Y (corresponding author), Interdisciplinary Res Ctr Rehabil &amp; Social Integra, Quebec City, PQ G1M 2S8, Canada.</t>
  </si>
  <si>
    <t>yosra.cherni@umontreal.ca; clara.ziane@umontreal.ca</t>
  </si>
  <si>
    <t>Cherni, Yosra/AAB-6050-2020; Ziane, Clara/KCK-9023-2024</t>
  </si>
  <si>
    <t>Cherni, Yosra/0000-0001-9574-3453</t>
  </si>
  <si>
    <t>Fonds de recherche du Quebec-Sante (FRQS)</t>
  </si>
  <si>
    <t>Fonds de recherche du Quebec-Sante (FRQS)(Fonds de recherche du Quebec (FRQ)Fonds de recherche du Quebec - Sante (FRQS))</t>
  </si>
  <si>
    <t>Y.C. receives a fellowship from Fonds de recherche du Quebec-Sante (FRQS).</t>
  </si>
  <si>
    <t>2673-7272</t>
  </si>
  <si>
    <t>DISABILITIES-BASEL</t>
  </si>
  <si>
    <t>Disabilities</t>
  </si>
  <si>
    <t>10.3390/disabilities2020021</t>
  </si>
  <si>
    <t>ZI8N9</t>
  </si>
  <si>
    <t>WOS:001274759800001</t>
  </si>
  <si>
    <t>Conner, BC; Remec, NM; Lerner, ZF</t>
  </si>
  <si>
    <t>Conner, Benjamin C.; Remec, Nushka M.; Lerner, Zachary F.</t>
  </si>
  <si>
    <t>Is robotic gait training effective for individuals with cerebral palsy? A systematic review and meta-analysis of randomized controlled trials</t>
  </si>
  <si>
    <t>Cerebral palsy; robotic gait training; mobility; meta-analysis; systematic review</t>
  </si>
  <si>
    <t>WALKING ABILITIES; CHILDREN; REHABILITATION; THERAPY; LOKOMAT</t>
  </si>
  <si>
    <t>Aim To determine if robotic gait training for individuals with cerebral palsy is more effective than the standard of care for improving function. Method PubMed, Embase, Scopus, and Cochrane databases were searched from 1980-January, 2022 for articles that investigated robotic gait training versus standard of care (i.e. physical therapy or standard gait training) for individuals with cerebral palsy. Articles were included if a randomized controlled trial design was used, and excluded if robotic gait training was combined with another neuromuscular intervention, such as functional electrical stimulation. A meta-analysis of outcomes measured in at least four studies was conducted. Results Eight citations met all criteria for full-text review and inclusion in the meta-analysis. A total of 188 individuals with cerebral palsy, ages four to 35, and Gross Motor Function Classification System levels I-IV were studied. Level of evidence ranged from 2b-1b. All studies utilized a tethered, assistive device for robotic gait training. The overall effect was not significantly different between the robotic gait training and control interventions for six minute walk test performance (95% CI: -0.17, 0.73; P = 0.22), free walking speed (95% CI: -0.18, 0.57; P = 0.30), or Gross Motor Function Measures D (Standing) (95% CI: -0.29, 0.39; P = 0.77) and E (Walking, Running and Jumping) (95% CI: -0.11, 0.57; P = 0.19). Conclusion Tethered robotic devices that provide assistive gait training for individuals with cerebral palsy do not provide a greater benefit for improving mobility than the standard of care.</t>
  </si>
  <si>
    <t>[Conner, Benjamin C.; Lerner, Zachary F.] Univ Arizona, Coll Med Phoenix, 435 N 5th St,HSEB Rm B208, Phoenix, AZ 85004 USA; [Remec, Nushka M.] Phoenix Childrens Hosp, Phoenix, AZ USA; [Lerner, Zachary F.] No Arizona Univ, Dept Mech Engn, Flagstaff, AZ 86011 USA</t>
  </si>
  <si>
    <t>University of Arizona; Phoenix Children's Hospital; Northern Arizona University</t>
  </si>
  <si>
    <t>Conner, BC (corresponding author), Univ Arizona, Coll Med Phoenix, 435 N 5th St,HSEB Rm B208, Phoenix, AZ 85004 USA.</t>
  </si>
  <si>
    <t>benjaminconner@email.arizona.edu</t>
  </si>
  <si>
    <t>Conner, Benjamin/0000-0002-9567-9989</t>
  </si>
  <si>
    <t>Eunice Kennedy Shriver National Institute of Child Health &amp; Human Development of the National Institutes of Health [F30HD103318, R03HD094583]</t>
  </si>
  <si>
    <t>Eunice Kennedy Shriver National Institute of Child Health &amp; Human Development of the National Institutes of Health</t>
  </si>
  <si>
    <t>The author(s) disclosed receipt of the following financial support for the research, authorship, and/or publication of this article: This work was supported by the Eunice Kennedy Shriver National Institute of Child Health &amp; Human Development of the National Institutes of Health, (grant number F30HD103318, R03HD094583).</t>
  </si>
  <si>
    <t>10.1177/02692155221087084</t>
  </si>
  <si>
    <t>MAR 2022</t>
  </si>
  <si>
    <t>1Z9PY</t>
  </si>
  <si>
    <t>WOS:000780781300001</t>
  </si>
  <si>
    <t>Nicora, G; Pe, S; Santangelo, G; Billeci, L; Aprile, IG; Germanotta, M; Bellazzi, R; Parimbelli, E; Quaglini, S</t>
  </si>
  <si>
    <t>Nicora, Giovanna; Pe, Samuele; Santangelo, Gabriele; Billeci, Lucia; Aprile, Irene Giovanna; Germanotta, Marco; Bellazzi, Riccardo; Parimbelli, Enea; Quaglini, Silvana</t>
  </si>
  <si>
    <t>Systematic review of AI/ML applications in multi-domain robotic rehabilitation: trends, gaps, and future directions</t>
  </si>
  <si>
    <t>Artificial intelligence; Deep learning; Patient assessment; Physical therapy; Cognitive; Gait; Movement; Trauma; Stroke; Sensor</t>
  </si>
  <si>
    <t>ACTIVE INTERACTION CONTROL; UPPER-LIMB; MYOELECTRIC CONTROL; KNEE EXOSKELETON; RECOGNITION; CLASSIFICATION; MOTOR; MACHINE; ASSISTANCE; PREDICTION</t>
  </si>
  <si>
    <t>Robotic technology is expected to transform rehabilitation settings, by providing precise, repetitive, and task-specific interventions, thereby potentially improving patients' clinical outcomes. Artificial intelligence (AI) and machine learning (ML) have been widely applied in different areas to support robotic rehabilitation, from controlling robot movements to real-time patient assessment. To provide an overview of the current landscape and the impact of AI/ML use in robotics rehabilitation, we performed a systematic review focusing on the use of AI and robotics in rehabilitation from a broad perspective, encompassing different pathologies and body districts, and considering both motor and neurocognitive rehabilitation. We searched the Scopus and IEEE Xplore databases, focusing on the studies involving human participants. After article retrieval, a tagging phase was carried out to devise a comprehensive and easily-interpretable taxonomy: its categories include the aim of the AI/ML within the rehabilitation system, the type of algorithms used, and the location of robots and sensors. The 201 selected articles span multiple domains and diverse aims, such as movement classification, trajectory prediction, and patient evaluation, demonstrating the potential of ML to revolutionize personalized therapy and improve patient engagement. ML is reported as highly effective in predicting movement intentions, assessing clinical outcomes, and detecting compensatory movements, providing insights into the future of personalized rehabilitation interventions. Our analysis also reveals pitfalls in the current use of AI/ML in this area, such as potential explainability issues and poor generalization ability when these systems are applied in real-world settings.</t>
  </si>
  <si>
    <t>[Nicora, Giovanna; Pe, Samuele; Santangelo, Gabriele; Bellazzi, Riccardo; Parimbelli, Enea; Quaglini, Silvana] Univ Pavia, Dept Elect Comp &amp; Biomed Engn, Pavia, Italy; [Billeci, Lucia] Natl Res Council Italy CNR IFC, Inst Clin Physiol, Pisa, Italy; [Aprile, Irene Giovanna; Germanotta, Marco] IRCCS Fdn Don Carlo Gnocchi ONLUS, Neuromotor Rehabil Dept, Florence, Italy</t>
  </si>
  <si>
    <t>University of Pavia</t>
  </si>
  <si>
    <t>Nicora, G (corresponding author), Univ Pavia, Dept Elect Comp &amp; Biomed Engn, Pavia, Italy.</t>
  </si>
  <si>
    <t>giovanna.nicora@unipv.it</t>
  </si>
  <si>
    <t>Parimbelli, Enea/AAE-2140-2020; Billeci, Lucia/J-2667-2016; Germanotta, Marco/J-3893-2018</t>
  </si>
  <si>
    <t>Italian Ministry of Research [PNC0000007]</t>
  </si>
  <si>
    <t>This work was supported by the Italian Ministry of Research, under the complementary actions to the NRRP degrees Fit4MedRob-Fitfor Medical RoboticsGrant (# PNC0000007).</t>
  </si>
  <si>
    <t>APR 9</t>
  </si>
  <si>
    <t>10.1186/s12984-025-01605-z</t>
  </si>
  <si>
    <t>1DU3O</t>
  </si>
  <si>
    <t>WOS:001462636700001</t>
  </si>
  <si>
    <t>Belda-Lois, JM; Mena-del Horno, S; Bermejo-Bosch, I; Moreno, JC; Pons, JL; Farina, D; Iosa, M; Molinari, M; Tamburella, F; Ramos, A; Caria, A; Solis-Escalante, T; Brunner, C; Rea, M</t>
  </si>
  <si>
    <t>Belda-Lois, Juan-Manuel; Mena-del Horno, Silvia; Bermejo-Bosch, Ignacio; Moreno, Juan C.; Pons, Jose L.; Farina, Dario; Iosa, Marco; Molinari, Marco; Tamburella, Federica; Ramos, Ander; Caria, Andrea; Solis-Escalante, Teodoro; Brunner, Clemens; Rea, Massimiliano</t>
  </si>
  <si>
    <t>Rehabilitation of gait after stroke: a review towards a top-down approach</t>
  </si>
  <si>
    <t>BRAIN-COMPUTER-INTERFACE; FUNCTIONAL ELECTRICAL-STIMULATION; BODY-WEIGHT SUPPORT; TRANSCRANIAL MAGNETIC STIMULATION; INFRARED SPECTROSCOPY SIGNALS; SPLIT-BELT TREADMILL; MOTOR IMAGERY; PHYSICAL-THERAPY; WALKING COMPETENCE; IMPROVE WALKING</t>
  </si>
  <si>
    <t>This document provides a review of the techniques and therapies used in gait rehabilitation after stroke. It also examines the possible benefits of including assistive robotic devices and brain-computer interfaces in this field, according to a top-down approach, in which rehabilitation is driven by neural plasticity. The methods reviewed comprise classical gait rehabilitation techniques (neurophysiological and motor learning approaches), functional electrical stimulation (FES), robotic devices, and brain-computer interfaces (BCI). From the analysis of these approaches, we can draw the following conclusions. Regarding classical rehabilitation techniques, there is insufficient evidence to state that a particular approach is more effective in promoting gait recovery than other. Combination of different rehabilitation strategies seems to be more effective than over-ground gait training alone. Robotic devices need further research to show their suitability for walking training and their effects on over-ground gait. The use of FES combined with different walking retraining strategies has shown to result in improvements in hemiplegic gait. Reports on non-invasive BCIs for stroke recovery are limited to the rehabilitation of upper limbs; however, some works suggest that there might be a common mechanism which influences upper and lower limb recovery simultaneously, independently of the limb chosen for the rehabilitation therapy. Functional near infrared spectroscopy (fNIRS) enables researchers to detect signals from specific regions of the cortex during performance of motor activities for the development of future BCIs. Future research would make possible to analyze the impact of rehabilitation on brain plasticity, in order to adapt treatment resources to meet the needs of each patient and to optimize the recovery process.</t>
  </si>
  <si>
    <t>[Belda-Lois, Juan-Manuel; Mena-del Horno, Silvia; Bermejo-Bosch, Ignacio] Univ Politecn Valencia, Inst Biomecan Valencia, E-46022 Valencia, Spain; [Belda-Lois, Juan-Manuel; Bermejo-Bosch, Ignacio] CIBER BBN, Grp Tecnol Sanitaria, IBV, Valencia, Spain; [Moreno, Juan C.; Pons, Jose L.] CSIC, Bioengn Grp, Ctr Automat &amp; Robot, Madrid, Spain; [Farina, Dario] Univ Gottingen, Univ Med Ctr Gottingen, Bernstein Ctr Computat Neurosci, Dept Neurorehabil Engn, Gottingen, Germany; [Iosa, Marco; Molinari, Marco; Tamburella, Federica] Fdn Santa Lucia, Rome, Italy; [Ramos, Ander; Caria, Andrea; Rea, Massimiliano] Univ Tubingen, Tubingen, Germany; [Ramos, Ander] TECNALIA Res &amp; Innovat Germany, Tubingen, Germany; [Solis-Escalante, Teodoro; Brunner, Clemens] Graz Univ Technol, A-8010 Graz, Austria</t>
  </si>
  <si>
    <t>Universitat Politecnica de Valencia; Instituto de Biomecanica de Valencia (IBV); CIBER - Centro de Investigacion Biomedica en Red; CIBERBBN; Consejo Superior de Investigaciones Cientificas (CSIC); Universidad Politecnica de Madrid; CSIC-UPM - Centro de Automatica y Robotica; University of Gottingen; UNIVERSITY GOTTINGEN HOSPITAL; IRCCS Santa Lucia; Eberhard Karls University of Tubingen; Graz University of Technology</t>
  </si>
  <si>
    <t>Belda-Lois, JM (corresponding author), Univ Politecn Valencia, Inst Biomecan Valencia, Camino Vera S-N,Ed 9C, E-46022 Valencia, Spain.</t>
  </si>
  <si>
    <t>juanma.belda@ibv.upv.es</t>
  </si>
  <si>
    <t>Farina, Dario/AAB-2648-2019; Solis-Escalante, Teodoro/ABA-4252-2020; Ramos, Ander/JOZ-4341-2023; Moreno, Juan/G-3622-2016; Belda Lois, Juan Manuel/GXZ-8293-2022; Iosa, Marco/B-9531-2012; Tamburella, Federica/J-9917-2016; Solis-Escalante, Teodoro/H-5605-2016; Molinari, Marco/A-9624-2010</t>
  </si>
  <si>
    <t>Tamburella, Federica/0000-0001-9920-1010; Moreno, Juan C./0000-0001-9561-7764; Bermejo Bosch, Ignacio/0000-0001-8401-6330; Iosa, Marco/0000-0003-2434-3887; Solis-Escalante, Teodoro/0000-0003-1083-3658; Pons, Jose L./0000-0003-0265-0181; Molinari, Marco/0000-0001-9808-9688; Belda Lois, Juan Manuel/0000-0002-7648-799X; Caria, Andrea/0000-0003-2017-7084; Ramos-Murguialday, Dr. Ander/0000-0002-1549-4029</t>
  </si>
  <si>
    <t>European Commission [FP7-ICT-2009-247935]</t>
  </si>
  <si>
    <t>European Commission(European Union (EU)European Commission Joint Research Centre)</t>
  </si>
  <si>
    <t>This review has been carried out with financial support from the European Commission within the Seventh Framework Programme under contract FP7-ICT-2009-247935: BETTER BNCI-driven Robotic Physical Therapies in Stroke Rehabilitation of Gait Disorders.</t>
  </si>
  <si>
    <t>DEC 13</t>
  </si>
  <si>
    <t>10.1186/1743-0003-8-66</t>
  </si>
  <si>
    <t>878NB</t>
  </si>
  <si>
    <t>WOS:000299262700001</t>
  </si>
  <si>
    <t>Zanatta, F; Giardini, A; Pierobon, A; D'Addario, M; Steca, P</t>
  </si>
  <si>
    <t>Zanatta, Francesco; Giardini, Anna; Pierobon, Antonia; D'Addario, Marco; Steca, Patrizia</t>
  </si>
  <si>
    <t>A systematic review on the usability of robotic and virtual reality devices in neuromotor rehabilitation: patients' and healthcare professionals' perspective</t>
  </si>
  <si>
    <t>BMC HEALTH SERVICES RESEARCH</t>
  </si>
  <si>
    <t>Virtual Reality; Robotics; Usability; Systematic Review; Rehabilitation</t>
  </si>
  <si>
    <t>STROKE PATIENTS; BALANCE; THERAPY; GAIT; TELEREHABILITATION; SATISFACTION; VIDEO; HOME; TRANSLATION; EXOSKELETON</t>
  </si>
  <si>
    <t>Background: The application of virtual reality (VR) and robotic devices in neuromotor rehabilitation has provided promising evidence in terms of efficacy, so far. Usability evaluations of these technologies have been conducted extensively, but no overviews on this topic have been reported yet. Methods: A systematic review of the studies on patients' and healthcare professionals' perspective through searching of PubMed, Medline, Scopus, Web of Science, CINAHL, and PsychINFO (2000 to 2021) was conducted. Descriptive data regarding the study design, participants, technological devices, interventions, and quantitative and qualitative usability evaluations were extracted and meta-synthetized. Results: Sixty-eight studies were included. VR devices were perceived as having good usability and as a tool promoting patients' engagement and motivation during the treatment, as well as providing strong potential for customized rehabilitation sessions. By contrast, they suffered from the effect of learnability and were judged as potentially requiring more mental effort. Robotics implementation received positive feedback along with high satisfaction and perceived safety throughout the treatment. Robot-assisted rehabilitation was considered useful as it supported increased treatment intensity and contributed to improved patients' physical independence and psychosocial well-being. Technical and design-related issues may limit the applicability making the treatment difficult and physically straining. Moreover, cognitive and communication deficits were remarked as potential barriers. Conclusions: Overall, VR and robotic devices have been perceived usable so far, reflecting good acceptance in neuromotor rehabilitation programs. The limitations raised by the participants should be considered to further improve devices applicability and maximise technological rehabilitation effectiveness.</t>
  </si>
  <si>
    <t>[Zanatta, Francesco] Univ Milano Bicocca, Dept Psychol, Milan, Italy; [Giardini, Anna] Ist Clin Sci Maugeri IRCCS, Informat Technol Dept, Pavia, Italy; [Pierobon, Antonia] Ist Clin Sci Maugeri IRCCS, Psychol Unit, Montescano Inst, Montescano, Italy; [D'Addario, Marco; Steca, Patrizia] Univ Milano Bicocca, Dept Psychol, Milan, Italy</t>
  </si>
  <si>
    <t>University of Milano-Bicocca; University of Milano-Bicocca</t>
  </si>
  <si>
    <t>Pierobon, A (corresponding author), Ist Clin Sci Maugeri IRCCS, Psychol Unit, Montescano Inst, Montescano, Italy.</t>
  </si>
  <si>
    <t>antonia.pierobon@icsmaugeri.it</t>
  </si>
  <si>
    <t>Pierobon, Antonia/AAA-2859-2021; D'Addario, Marco/HQY-6087-2023; Zanatta, Francesco/KIA-7528-2024; Giardini, Anna/ABI-7610-2020</t>
  </si>
  <si>
    <t>Giardini, Anna/0000-0002-2845-347X; Zanatta, Francesco/0000-0002-6995-4190</t>
  </si>
  <si>
    <t>1472-6963</t>
  </si>
  <si>
    <t>BMC HEALTH SERV RES</t>
  </si>
  <si>
    <t>BMC Health Serv. Res.</t>
  </si>
  <si>
    <t>10.1186/s12913-022-07821-w</t>
  </si>
  <si>
    <t>0P3RE</t>
  </si>
  <si>
    <t>WOS:000784137100004</t>
  </si>
  <si>
    <t>Kiyono, K; Tanabe, S; Hirano, S; Ii, T; Nakagawa, Y; Tan, KK; Saitoh, E; Otaka, Y</t>
  </si>
  <si>
    <t>Kiyono, Kei; Tanabe, Shigeo; Hirano, Satoshi; Ii, Takuma; Nakagawa, Yuki; Tan, Koki; Saitoh, Eiichi; Otaka, Yohei</t>
  </si>
  <si>
    <t>Effectiveness of Robotic Devices for Medical Rehabilitation: An Umbrella Review</t>
  </si>
  <si>
    <t>activities of daily living; electromechanical; physical therapy; occupational therapy; stroke; spinal cord injury; multiple sclerosis; cerebral palsy; Parkinson's disease; brain injury</t>
  </si>
  <si>
    <t>SPINAL-CORD-INJURY; BODY-WEIGHT SUPPORT; UPPER-LIMB; GAIT REHABILITATION; ASSISTED THERAPY; END-EFFECTOR; STROKE PATIENTS; PEOPLE; BALANCE; RULES</t>
  </si>
  <si>
    <t>Background/Objectives: Clinical trials have investigated the efficacy of rehabilitation robotics for various pathological conditions, but the overall impact on rehabilitation practice remains unclear. We comprehensively examined and analyzed systematic reviews (SRs) of randomized controlled trials (RCTs) investigating rehabilitative interventions with robotic devices. Methods: Four databases were searched using term combinations of keywords related to robotic devices, rehabilitation, and SRs. The SR meta-analyses were categorized into convincing, highly suggestive, suggestive, weak, or non-significant depending on evidence strength and validity. Results: Overall, 62 SRs of 341 RCTs involving 14,522 participants were identified. Stroke was most frequently reported (40 SRs), followed by spinal cord injury (eight SRs), multiple sclerosis (four SRs), cerebral palsy (four SRs), Parkinson's disease (three SRs), and neurological disease (any disease causing limited upper- and lower-limb functioning; three SRs). Furthermore, 38, 21, and 3 SRs focused on lower-limb devices, upper-limb devices, and both upper- and lower-limb devices, respectively. Quantitative synthesis of robotic intervention effects was performed by 51 of 62 SRs. Robot-assisted training was effective for various outcome measures per disease. Meta-analyses offering suggestive evidence were limited to studies on stroke. Upper-limb devices were effective for motor control and activities of daily living, and lower-limb devices for walking independence in stroke. Conclusions: Robotic devices are useful for improving impairments and disabilities in several diseases. Further high-quality SRs including RCTs with large sample sizes and meta-analyses of these RCTs, particularly on non-stroke-related diseases, are required. Further research should also ascertain which type of robotic device is the most effective for improving each specific impairment or disability.</t>
  </si>
  <si>
    <t>[Kiyono, Kei; Tanabe, Shigeo; Ii, Takuma] Fujita Hlth Univ, Fac Rehabil, Sch Hlth Sci, Toyoake, Aichi 4701192, Japan; [Hirano, Satoshi; Nakagawa, Yuki; Tan, Koki; Saitoh, Eiichi; Otaka, Yohei] Fujita Hlth Univ, Sch Med, Dept Rehabil Med, Toyoake, Aichi 4701192, Japan; [Nakagawa, Yuki] Fujita Hlth Univ, Grad Sch Hlth Sci, Toyoake, Aichi 4701192, Japan</t>
  </si>
  <si>
    <t>Fujita Health University; Fujita Health University; Fujita Health University</t>
  </si>
  <si>
    <t>Otaka, Y (corresponding author), Fujita Hlth Univ, Sch Med, Dept Rehabil Med, Toyoake, Aichi 4701192, Japan.</t>
  </si>
  <si>
    <t>kkiyono@fujita-hu.ac.jp; tanabes@fujita-hu.ac.jp; sshirano@fujita-hu.ac.jp; takuma@fujita-hu.ac.jp; yuki.nakagawa@fujita-hu.ac.jp; koki.tan@fujita-hu.ac.jp; esaitoh@fujita-hu.ac.jp; otaka119@mac.com</t>
  </si>
  <si>
    <t>Tan, Koki/0009-0000-8365-8606</t>
  </si>
  <si>
    <t>Japan Agency for Medical Research and Development; [19188854]</t>
  </si>
  <si>
    <t>Japan Agency for Medical Research and Development(Japan Agency for Medical Research and Development (AMED));</t>
  </si>
  <si>
    <t>This research was funded by the Japan Agency for Medical Research and Development, grant number 19188854.</t>
  </si>
  <si>
    <t>10.3390/jcm13216616</t>
  </si>
  <si>
    <t>L5U4U</t>
  </si>
  <si>
    <t>WOS:001351367100001</t>
  </si>
  <si>
    <t>Rai, V; Munazzam, SW; Wazir, NU; Javaid, I</t>
  </si>
  <si>
    <t>Rai, Vikramaditya; Munazzam, Shahzad Waqas; Wazir, Noman Ullah; Javaid, Irum</t>
  </si>
  <si>
    <t>Revolutionizing bone tumor management: cutting-edge breakthroughs in limb-saving treatments</t>
  </si>
  <si>
    <t>EUROPEAN JOURNAL OF ORTHOPAEDIC SURGERY AND TRAUMATOLOGY</t>
  </si>
  <si>
    <t>Orthopedic oncology; Limb salvage; 3D printing; Genomic profiling; Molecular imaging</t>
  </si>
  <si>
    <t>CHALLENGES; RADIATION; CANCER</t>
  </si>
  <si>
    <t>Limb salvage surgery has revolutionized the approach to bone tumors in orthopedic oncology, steering away from historical amputations toward preserving limb function and enhancing patient quality of life. This transformative shift underscores the delicate balance between tumor eradication and optimal postoperative function. Primary and metastatic bone tumors present challenges in early detection, differentiation between benign and malignant tumors, preservation of function, and the risk of local recurrence. Conventional methods, including surgery, radiation therapy, chemotherapy, and targeted therapies, have evolved with a heightened focus on personalized medicine. A groundbreaking development in limb salvage surgery is the advent of 3D-printed patient-specific implants, which significantly enhance anatomical precision, stability, and fixation. These implants reduce soft tissue disruption and the associated risks, fostering improved osseointegration and correction of deformities for a more natural and functional postoperative outcome. Biological and molecular research has reshaped the understanding of bone tumors, guiding surgical interventions with advancements such as genomic profiling, targeted intraoperative imaging, precision targeting of molecular pathways, and immunotherapy tailored to individual tumor characteristics. In the realm of imaging technologies, MRI, CT scans, and intraoperative navigation systems have redefined preoperative planning, minimizing collateral damage and optimizing outcomes through accurate resections. Postoperative rehabilitation plays a crucial role in restoring function and improving the quality of life. Emphasizing early mobilization, effective pain management, and a multidisciplinary approach, rehabilitation addresses the physical, psychological, and social aspects of recovery. Looking ahead, future developments may encompass advanced biomaterials, smart implants, AI algorithms, robotics, and regenerative medicine. Challenges lie in standardization, cost-effectiveness, accessibility, long-term outcome assessment, mental health support, and fostering global collaboration. As research progresses, limb salvage surgery emerges not just as a preservation tool but as a transformative approach, restoring functionality, resilience, and hope in the recovery journey. This review summarizes the recent advances in limb salvage therapy for bone tumors over the past decade.</t>
  </si>
  <si>
    <t>[Rai, Vikramaditya] Dr Rajendra Prasad Govt Med Coll &amp; Hosp, Dept Orthoped, Tanda Kangra, Himachal Prades, India; [Munazzam, Shahzad Waqas] Hayatabad Med Complex, Dept Orthoped, Peshawar, Pakistan; [Wazir, Noman Ullah] Peshawar Med Coll, Dept Anat, Peshawar, Pakistan; [Javaid, Irum] Khyber Med Coll, Peshawar, Pakistan</t>
  </si>
  <si>
    <t>Rai, V (corresponding author), Dr Rajendra Prasad Govt Med Coll &amp; Hosp, Dept Orthoped, Tanda Kangra, Himachal Prades, India.</t>
  </si>
  <si>
    <t>raizobiotec@gmail.com; swmwar@gmail.com; dr.noman.wazir@gmail.com; irumabbas89@gmail.com</t>
  </si>
  <si>
    <t>Rai, Vikramaditya/JXN-9271-2024</t>
  </si>
  <si>
    <t>Rai, Vikramaditya/0000-0002-2047-0531; WAZIR, NOMAN ULLAH/0000-0002-1862-7464</t>
  </si>
  <si>
    <t>1633-8065</t>
  </si>
  <si>
    <t>1432-1068</t>
  </si>
  <si>
    <t>EUR J ORTHOP SURG TR</t>
  </si>
  <si>
    <t>Eur. J. Orthop. Surg. Traumatol.</t>
  </si>
  <si>
    <t>10.1007/s00590-024-03876-z</t>
  </si>
  <si>
    <t>MAR 2024</t>
  </si>
  <si>
    <t>Orthopedics; Surgery</t>
  </si>
  <si>
    <t>RJ5C1</t>
  </si>
  <si>
    <t>WOS:001179102600001</t>
  </si>
  <si>
    <t>Esquenazi, A; Talaty, M; Jayaraman, A</t>
  </si>
  <si>
    <t>Esquenazi, Alberto; Talaty, Mukul; Jayaraman, Arun</t>
  </si>
  <si>
    <t>Powered Exoskeletons for Walking Assistance in Persons with Central Nervous System Injuries: A Narrative Review</t>
  </si>
  <si>
    <t>SPINAL-CORD-INJURY; LOWER-LIMB EXOSKELETON; HYBRID ASSISTIVE LIMB; LIFE SATISFACTION; ROBOTIC EXOSKELETONS; LOCOMOTOR WPAL; HEART-DISEASE; GAIT; STROKE; REHABILITATION</t>
  </si>
  <si>
    <t>Individuals with central nervous system injuries are a large and apparently rapidly expanding population as suggested by 2013 statistics from the American Heart Association. Increasing survival rates and lifespans emphasize the need to improve the quality of life for this population. In persons with central nervous system injuries, mobility limitations are among the most important factors contributing to reduced life satisfaction. Decreased mobility and subsequently reduced overall activity levels also contribute to lower levels of physical health. Braces to assist walking are options for greater-functioning individuals but still limit overall mobility as the result of increased energy expenditure and difficulty of use. For individuals with greater levels of mobility impairment, wheelchairs remain the preferred mobility aid yet still fall considerably short compared with upright bipedal walking. Furthermore, the promise of functional electrical stimulation as a means to achieve walking has yet to materialize. None of these options allow individuals to achieve walking at speeds or levels comparable with those seen in individuals with unimpaired gait. Medical exoskeletons hold much promise to fulfill this unmet need and have advanced as a viable option in both therapeutic and personal mobility state, particularly during the past decade. The present review highlights the major developments in this technology, with a focus on exoskeletons for lower limb that may encompass the spine and that aim to allow independent upright walking for those who otherwise do not have this option. Specifically reviewed are powered exoskeletons that are either commercially available or have the potential to restore upright walking function. This paper includes a basic description of how each exoskeleton device works, a summation of key features, their known limitations, and a discussion of current and future clinical applicability.</t>
  </si>
  <si>
    <t>[Esquenazi, Alberto; Talaty, Mukul] MossRehab Einstein Healthcare Network, 60 Township Lane Rd, Elkins Pk, PA 19027 USA; [Jayaraman, Arun] Northwestern Univ, Rehabil Inst Chicago, Chicago, IL 60611 USA</t>
  </si>
  <si>
    <t>Shirley Ryan AbilityLab; Northwestern University</t>
  </si>
  <si>
    <t>Esquenazi, A (corresponding author), MossRehab Einstein Healthcare Network, 60 Township Lane Rd, Elkins Pk, PA 19027 USA.</t>
  </si>
  <si>
    <t>aesquena@einstein.edu</t>
  </si>
  <si>
    <t>Esquenazi, Alberto/AGF-1941-2022; Talaty, Mukul/AAX-7786-2021</t>
  </si>
  <si>
    <t>10.1016/j.pmrj.2016.07.534</t>
  </si>
  <si>
    <t>EI4LC</t>
  </si>
  <si>
    <t>WOS:000392464200008</t>
  </si>
  <si>
    <t>Baur, K; Schättin, A; de Bruin, ED; Riener, R; Duarte, JE; Wolf, P</t>
  </si>
  <si>
    <t>Baur, Kilian; Schattin, Alexandra; de Bruin, Eling D.; Riener, Robert; Duarte, Jaime E.; Wolf, Peter</t>
  </si>
  <si>
    <t>Trends in robot-assisted and virtual reality-assisted neuromuscular therapy: a systematic review of health-related multiplayer games</t>
  </si>
  <si>
    <t>Neurorehabilitation; Multiplayer; Flow; Challenge; Robotic assistance</t>
  </si>
  <si>
    <t>UPPER-LIMB; INTRINSIC MOTIVATION; ENERGY-EXPENDITURE; PHYSICAL-ACTIVITY; STROKE; REHABILITATION; PERFORMANCE; COMPETITION; QUALITY; VALIDITY</t>
  </si>
  <si>
    <t>Multiplayer games have emerged as a promising approach to increase the motivation of patients involved in rehabilitation therapy. In this systematic review, we evaluated recent publications in health-related multiplayer games that involved patients with cognitive and/or motor impairments. The aim was to investigate the effect of multiplayer gaming on game experience and game performance in healthy and non-healthy populations in comparison to individual game play. We further discuss the publications within the context of the theory of flow and the challenge point framework. A systematic search was conducted through EMBASE, Medline, PubMed, Cochrane, CINAHL and PsycINFO. The search was complemented by recent publications in robot-assisted multiplayer neurorehabilitation. The search was restricted to robot-assisted or virtual reality-based training. Thirteen articles met the inclusion criteria. Multiplayer modes used in health-related multiplayer games were: competitive, collaborative and co-active multiplayer modes. Multiplayer modes positively affected game experience in nine studies and game performance in six studies. Two articles reported increased game performance in single-player mode when compared to multiplayer mode. The multiplayer modes of training reviewed improved game experience and game performance compared to single-player modes. However, the methods reviewed were quite heterogeneous and not exhaustive. One important take-away is that adaptation of the game conditions can individualize the difficulty of a game to a player's skill level in competitive multiplayer games. Robotic assistance and virtual reality can enhance individualization by, for example, adapting the haptic conditions, e.g. by increasing haptic support or by providing haptic resistance. The flow theory and the challenge point framework support these results and are used in this review to frame the idea of adapting players' game conditions.</t>
  </si>
  <si>
    <t>[Baur, Kilian; Riener, Robert; Duarte, Jaime E.; Wolf, Peter] Swiss Fed Inst Technol, Dept Hlth Sci &amp; Technol, Sensory Motor Syst Lab, Tannenstr 1, CH-8092 Zurich, Switzerland; [Baur, Kilian; Riener, Robert; Duarte, Jaime E.; Wolf, Peter] Univ Zurich, Univ Hosp Balgrist, Spinal Cord Injury Ctr, Zurich, Switzerland; [Baur, Kilian; Riener, Robert; Duarte, Jaime E.; Wolf, Peter] Forchstr 340, CH-8008 Zurich, Switzerland; [Schattin, Alexandra; de Bruin, Eling D.] Swiss Fed Inst Technol, Inst Human Movement Sci &amp; Sport, Dept Hlth Sci &amp; Technol, Zurich, Switzerland; [Schattin, Alexandra; de Bruin, Eling D.] Leopold Ruzicka Weg 4, CH-8093 Zurich, Switzerland; [de Bruin, Eling D.] Karolinska Inst, Dept Neurobiol Care Sci &amp; Soc, Stockholm, Sweden; [de Bruin, Eling D.] Alfred Nobels Alle 23, S-14183 Huddinge, Sweden; [Duarte, Jaime E.] MyoSwiss AG, Lengghalde 5, CH-8008 Zurich, Switzerland</t>
  </si>
  <si>
    <t>Swiss Federal Institutes of Technology Domain; ETH Zurich; University of Zurich; Swiss Federal Institutes of Technology Domain; ETH Zurich; Karolinska Institutet</t>
  </si>
  <si>
    <t>Baur, K (corresponding author), Swiss Fed Inst Technol, Dept Hlth Sci &amp; Technol, Sensory Motor Syst Lab, Tannenstr 1, CH-8092 Zurich, Switzerland.;Baur, K (corresponding author), Univ Zurich, Univ Hosp Balgrist, Spinal Cord Injury Ctr, Zurich, Switzerland.;Baur, K (corresponding author), Forchstr 340, CH-8008 Zurich, Switzerland.</t>
  </si>
  <si>
    <t>kilian.baur@hest.ethz.ch</t>
  </si>
  <si>
    <t>Duarte, Jaime E/HNC-2042-2023; de Bruin, Eling/A-4751-2011; Riener, Robert/B-9868-2016</t>
  </si>
  <si>
    <t>Riener, Robert/0000-0002-1726-2950; Schattin, Alexandra/0000-0002-0401-3285; Schattin, Alexandra/0000-0003-2831-3781; Wolf, Peter/0000-0003-3616-9038</t>
  </si>
  <si>
    <t>Swiss National Science Foundation through the National Centre of Competence in Research on Robotics (NCCR) [SNF-160313]; ETH Foundation through ETH Research Grant [ETH-17 13-2]</t>
  </si>
  <si>
    <t>Swiss National Science Foundation through the National Centre of Competence in Research on Robotics (NCCR)(Swiss National Science Foundation (SNSF)); ETH Foundation through ETH Research Grant</t>
  </si>
  <si>
    <t>This work was supported by the Swiss National Science Foundation (Grant No. SNF-160313) through the National Centre of Competence in Research on Robotics (NCCR) and by the ETH Foundation through ETH Research Grant ETH-17 13-2.</t>
  </si>
  <si>
    <t>NOV 19</t>
  </si>
  <si>
    <t>10.1186/s12984-018-0449-9</t>
  </si>
  <si>
    <t>HB6VD</t>
  </si>
  <si>
    <t>WOS:000451210400001</t>
  </si>
  <si>
    <t>Basteris, A; Nijenhuis, SM; Stienen, AHA; Buurke, JH; Prange, GB; Amirabdollahian, F</t>
  </si>
  <si>
    <t>Basteris, Angelo; Nijenhuis, Sharon M.; Stienen, Arno H. A.; Buurke, Jaap H.; Prange, Gerdienke B.; Amirabdollahian, Farshid</t>
  </si>
  <si>
    <t>Training modalities in robot-mediated upper limb rehabilitation in stroke: a framework for classification based on a systematic review</t>
  </si>
  <si>
    <t>Therapeutic interaction; Robotics; Stroke; Neurorehabilitation; Arm; Wrist; Hand; Upper extremity</t>
  </si>
  <si>
    <t>ASSISTED THERAPY; OUTCOME MEASURES; MOTOR RECOVERY; AIDED NEUROREHABILITATION; QUANTITATIVE-EVALUATION; FUNCTIONAL RECOVERY; HAND REHABILITATION; REACHING MOVEMENTS; ARM; SUBACUTE</t>
  </si>
  <si>
    <t>Robot-mediated post-stroke therapy for the upper-extremity dates back to the 1990s. Since then, a number of robotic devices have become commercially available. There is clear evidence that robotic interventions improve upper limb motor scores and strength, but these improvements are often not transferred to performance of activities of daily living. We wish to better understand why. Our systematic review of 74 papers focuses on the targeted stage of recovery, the part of the limb trained, the different modalities used, and the effectiveness of each. The review shows that most of the studies so far focus on training of the proximal arm for chronic stroke patients. About the training modalities, studies typically refer to active, active-assisted and passive interaction. Robot-therapy in active assisted mode was associated with consistent improvements in arm function. More specifically, the use of HRI features stressing active contribution by the patient, such as EMG-modulated forces or a pushing force in combination with spring-damper guidance, may be beneficial. Our work also highlights that current literature frequently lacks information regarding the mechanism about the physical human-robot interaction (HRI). It is often unclear how the different modalities are implemented by different research groups (using different robots and platforms). In order to have a better and more reliable evidence of usefulness for these technologies, it is recommended that the HRI is better described and documented so that work of various teams can be considered in the same group and categories, allowing to infer for more suitable approaches. We propose a framework for categorisation of HRI modalities and features that will allow comparing their therapeutic benefits.</t>
  </si>
  <si>
    <t>[Basteris, Angelo; Amirabdollahian, Farshid] Univ Hertfordshire, Sch Comp Sci, Adapt Syst Res Grp, Hatfield AL9 5HX, Herts, England; [Nijenhuis, Sharon M.; Buurke, Jaap H.; Prange, Gerdienke B.] Roessingh Res &amp; Dev, NL-7522 AH Enschede, Netherlands; [Stienen, Arno H. A.; Prange, Gerdienke B.] Univ Twente, Lab Biomech Engn, NL-7522 NB Enschede, Netherlands; [Buurke, Jaap H.] Univ Twente, Dept Biomed Signals &amp; Syst, NL-7522 NB Enschede, Netherlands; [Stienen, Arno H. A.] Northwestern Univ, Chicago, IL 60611 USA</t>
  </si>
  <si>
    <t>University of Hertfordshire; University of Twente; University of Twente; Northwestern University</t>
  </si>
  <si>
    <t>Basteris, A (corresponding author), Univ Hertfordshire, Sch Comp Sci, Adapt Syst Res Grp, Hatfield AL9 5HX, Herts, England.</t>
  </si>
  <si>
    <t>angelobasteris@gmail.com</t>
  </si>
  <si>
    <t>Amirabdollahian, Farshid/MZQ-4686-2025; Basteris, Angelo/H-4525-2019</t>
  </si>
  <si>
    <t>Amirabdolahian, Farshid/0000-0001-7007-2227; Basteris, Angelo/0000-0003-4009-9984; Nijenhuis, Sharon/0000-0003-4960-5919</t>
  </si>
  <si>
    <t>European project 'SCRIPT' [288698]; COST Action European Network on Robotics for NeuroRehabilitation [TD1006]</t>
  </si>
  <si>
    <t>European project 'SCRIPT'; COST Action European Network on Robotics for NeuroRehabilitation</t>
  </si>
  <si>
    <t>The work described in this manuscript was partially funded by the European project 'SCRIPT' Grant agreement no: 288698 (http://scriptproject.eu). SN has been hosted at University of Hertfordshire in a short-term scientific mission funded by the COST Action TD1006 European Network on Robotics for NeuroRehabilitation.</t>
  </si>
  <si>
    <t>JUL 10</t>
  </si>
  <si>
    <t>10.1186/1743-0003-11-111</t>
  </si>
  <si>
    <t>AM0YW</t>
  </si>
  <si>
    <t>WOS:000339574600001</t>
  </si>
  <si>
    <t>Celik, Y; Wall, C; Moore, J; Godfrey, A</t>
  </si>
  <si>
    <t>Celik, Yunus; Wall, Conor; Moore, Jason; Godfrey, Alan</t>
  </si>
  <si>
    <t>Better Understanding Rehabilitation of Motor Symptoms: Insights from the Use of Wearables</t>
  </si>
  <si>
    <t>PRAGMATIC AND OBSERVATIONAL RESEARCH</t>
  </si>
  <si>
    <t>wearable technology; rehabilitation; movement disorders; motor symptoms</t>
  </si>
  <si>
    <t>MODERATE PARKINSONS-DISEASE; VIRTUAL-REALITY PROGRAM; TRAUMATIC BRAIN-INJURY; MULTIPLE-SCLEROSIS; CHRONIC STROKE; DYNAMIC BALANCE; TELEREHABILITATION PROGRAM; IMPROVING BALANCE; POSTURAL CONTROL; MUSCLE STRENGTH</t>
  </si>
  <si>
    <t>Movement disorders present a substantial challenge by adversely affecting daily routines and overall well-being through a diverse spectrum of motor symptoms. Traditionally, motor symptoms have been evaluated through manual observational methods and patient-reported outcomes. While those approaches are valuable, they are limited by their subjectivity. In contrast, wearable technologies (wearables) provide objective assessments while actively supporting rehabilitation through continuous tracking, real-time feedback, and personalized physical therapy-based interventions. The aim of this literature review is to examine current research on the use of wearables in the rehabilitation of motor symptoms, focusing on their features, applications, and impact on improving motor function. By exploring research protocols, metrics, and study findings, this review aims to provide a comprehensive overview of how wearables are being used to support and optimize rehabilitation outcomes. To achieve that aim, a systematic search of the literature was conducted. Findings reveal that gait disturbance and postural balance are the primary motor symptoms extensively studied with tremor and freezing of gait (FoG) also receiving attention. Wearable sensing ranges from bespoke inertial and/or electromyography to commercial units such as personal devices (ie, smartwatch). Interactive (virtual reality, VR and augmented reality, AR) and immersive technologies (headphones), along with wearable robotic systems (exoskeletons), have proven to be effective in improving motor skills. Auditory cueing (via smartwatches or headphones), aids gait training with rhythmic feedback, while visual cues (via VR and AR glasses) enhance balance exercises through real-time feedback. The development of treatment protocols that incorporate personalized cues via wearables could enhance adherence and engagement to potentially lead to long-term improvements. However, evidence on the sustained effectiveness of wearable-based interventions remains limited.</t>
  </si>
  <si>
    <t>[Celik, Yunus; Wall, Conor; Moore, Jason; Godfrey, Alan] Northumbria Univ, Dept Comp &amp; Informat Sci, Newcastle Upon Tyne NE1 8ST, England</t>
  </si>
  <si>
    <t>Northumbria University</t>
  </si>
  <si>
    <t>Godfrey, A (corresponding author), Northumbria Univ, Dept Comp &amp; Informat Sci, Newcastle Upon Tyne NE1 8ST, England.</t>
  </si>
  <si>
    <t>alan.godfey@northumbria.ac.uk</t>
  </si>
  <si>
    <t>Celik, Yunus/V-8564-2017</t>
  </si>
  <si>
    <t>National Institute of Health Research (NIHR) Applied Research Collaboration (ARC) Northeast and North Cumbria (NENC) in the UK; Faculty of Environment and Engineering at Northumbria University</t>
  </si>
  <si>
    <t>CW and JM are co-funded by a grant from the National Institute of Health Research (NIHR) Applied Research Collaboration (ARC) Northeast and North Cumbria (NENC) in the UK. CW and JM are also co-funded by the Faculty of Environment and Engineering at Northumbria University.</t>
  </si>
  <si>
    <t>DOVE MEDICAL PRESS LTD</t>
  </si>
  <si>
    <t>ALBANY</t>
  </si>
  <si>
    <t>PO BOX 300-008, ALBANY, AUCKLAND 0752, NEW ZEALAND</t>
  </si>
  <si>
    <t>1179-7266</t>
  </si>
  <si>
    <t>PRAGMAT OBS RES</t>
  </si>
  <si>
    <t>Pragmat. Obs. Res.</t>
  </si>
  <si>
    <t>10.2147/POR.S396198</t>
  </si>
  <si>
    <t>0HQ9C</t>
  </si>
  <si>
    <t>WOS:001447606500001</t>
  </si>
  <si>
    <t>Washabaugh, EP; Krishnan, C</t>
  </si>
  <si>
    <t>Washabaugh, Edward P.; Krishnan, Chandramouli</t>
  </si>
  <si>
    <t>Functional resistance training methods for targeting patient-specific gait deficits: A review of devices and their effects on muscle activation, neural control, and gait mechanics</t>
  </si>
  <si>
    <t>CLINICAL BIOMECHANICS</t>
  </si>
  <si>
    <t>Physical therapy; Rehabilitation; Spinal cord injury; Stroke; Cerebral palsy; Transcranial magnetic stimulation</t>
  </si>
  <si>
    <t>IMPROVES LOCOMOTOR FUNCTION; STEP LENGTH; CORTICOSPINAL EXCITABILITY; POSTSTROKE HEMIPARESIS; OVERGROUND WALKING; PRISM ADAPTATION; HEALTHY-ADULTS; CHRONIC STROKE; BACKPACK LOAD; FORCE-FIELD</t>
  </si>
  <si>
    <t>Background: Injuries to the neuromusculoskeletal system often result in weakness and gait impairments. Functional resistance training during walking-where patients walk while a device increases loading on the leg-is an emerging approach to combat these symptoms. However, there are many methods that can be used to resist the patient, which may alter the biomechanics of the training. Thus, all methods may not address patient-specific deficits. Methods: We performed a comprehensive electronic database search to identify articles that acutely (i.e., after a single training session) examined how functional resistance training during walking alters muscle activation, gait biomechanics, and neural plasticity. Only articles that examined these effects during training or following the removal of resistance (i.e., aftereffects) were included. Findings: We found 41 studies that matched these criteria. Most studies (24) used passive devices (e.g., weighted cuffs or resistance bands) while the remainder used robotic devices. Devices varied on if they were wearable (14) or externally tethered, and the type of resistance they applied (i.e., inertial [14], elastic [8], viscous [7], or customized [12]). Notably, these methods provided device-specific changes in muscle activation, biomechanics, and spatiotemporal and kinematic aftereffects. Some evidence suggests this training results in task-specific increases in neural excitability. Interpretation: These findings suggest that careful selection of resistive strategies could help target patient-specific strength deficits and gait impairments. Also, many approaches are low-cost and feasible for clinical or in-home use. The results provide new insights for clinicians on selecting an appropriate functional resistance training strategy to target patient-specific needs.</t>
  </si>
  <si>
    <t>[Washabaugh, Edward P.] Wayne State Univ, Dept Biomed Engn, Detroit, MI USA; [Washabaugh, Edward P.; Krishnan, Chandramouli] Univ Michigan, Michigan Med Dept Phys Med &amp; Rehabil, Ann Arbor, MI 48109 USA; [Krishnan, Chandramouli] Univ Michigan, Michigan Robot, Ann Arbor, MI USA</t>
  </si>
  <si>
    <t>Wayne State University; University of Michigan System; University of Michigan; University of Michigan System; University of Michigan</t>
  </si>
  <si>
    <t>Krishnan, C (corresponding author), Univ Michigan, Michigan Med Dept Phys Med &amp; Rehabil, Ann Arbor, MI 48109 USA.</t>
  </si>
  <si>
    <t>mouli@umich.edu</t>
  </si>
  <si>
    <t>National Institutes of Health [R21 HD092614]; National Science Foundation [1804053, DGE 1256260]; UM-BICI Collaboratory Initiative</t>
  </si>
  <si>
    <t>National Institutes of Health(United States Department of Health &amp; Human ServicesNational Institutes of Health (NIH) - USA); National Science Foundation(National Science Foundation (NSF)); UM-BICI Collaboratory Initiative</t>
  </si>
  <si>
    <t>This work was supported in part by the National Institutes of Health (Grant R21 HD092614) , the National Science Foundation (Grants 1804053, and DGE 1256260) , and the UM-BICI Collaboratory Initiative. Any opinions, findings, and conclusions or recommendations expressed in this material are those of the authors and do not necessarily reflect the views of the funding sources.</t>
  </si>
  <si>
    <t>0268-0033</t>
  </si>
  <si>
    <t>1879-1271</t>
  </si>
  <si>
    <t>CLIN BIOMECH</t>
  </si>
  <si>
    <t>Clin. Biomech.</t>
  </si>
  <si>
    <t>10.1016/j.clinbiomech.2022.105629</t>
  </si>
  <si>
    <t>Engineering, Biomedical; Orthopedics; Sport Sciences</t>
  </si>
  <si>
    <t>Engineering; Orthopedics; Sport Sciences</t>
  </si>
  <si>
    <t>1C5LD</t>
  </si>
  <si>
    <t>WOS:000793159600006</t>
  </si>
  <si>
    <t>Kulkarni, P; Sikander, S; Biswas, P; Frawley, S; Song, SE</t>
  </si>
  <si>
    <t>Kulkarni, Pankaj; Sikander, Sakura; Biswas, Pradipta; Frawley, Shawn; Song, Sang-Eun</t>
  </si>
  <si>
    <t>Review of Robotic Needle Guide Systems for Percutaneous Intervention</t>
  </si>
  <si>
    <t>Image guided; MRI; Needle insertion; Percutaneous therapy; Biopsy; Robotics</t>
  </si>
  <si>
    <t>PROSTATE BIOPSY; BREAST BIOPSY; PARALLEL MANIPULATOR; GENERAL-PURPOSE; PNEUMATIC ROBOT; SAFE ROBOT; DESIGN; CT; INSERTION; ACTUATION</t>
  </si>
  <si>
    <t>Numerous research groups in the past have designed and developed robotic needle guide systems that improve the targeting accuracy and precision by either providing a physical guidance for manual insertion or enabling a complete automated intervention. Here we review systems that have been reported in the last 11 years and limited to straight line needle interventions. Most systems fall under the category of image guided systems as they either use magnetic resonance image, computed tomography, ultrasound or a combination of these modalities for real time image feedback of the intervention path being followed. Actuation and control technology along with materials used for construction are the main aspects that differentiate these systems from each other and have been reviewed here. Image compatibility test details and results are also reviewed as they are used to ensure proper functioning of these systems under the respective imaging environments. We have also reviewed needle guide systems which either don't use any image feedback or have not reported any but provide physical guidance. Throughout this paper, we provide a comprehensive review of the technological aspects and trends in the field of robotic, straight line, needle guide intervention systems.</t>
  </si>
  <si>
    <t>[Kulkarni, Pankaj; Sikander, Sakura; Biswas, Pradipta; Frawley, Shawn; Song, Sang-Eun] Univ Cent Florida, Dept Mech &amp; Aerosp Engn, 12760 Pegasus Dr,ENGR 1,Room 307, Orlando, FL 32816 USA</t>
  </si>
  <si>
    <t>State University System of Florida; University of Central Florida</t>
  </si>
  <si>
    <t>Song, SE (corresponding author), Univ Cent Florida, Dept Mech &amp; Aerosp Engn, 12760 Pegasus Dr,ENGR 1,Room 307, Orlando, FL 32816 USA.</t>
  </si>
  <si>
    <t>s.song@ucf.edu</t>
  </si>
  <si>
    <t>Biswas, Pradipta/IST-4185-2023</t>
  </si>
  <si>
    <t>Biswas, Pradipta/0000-0001-6053-2525; Sikander, Sakura/0000-0001-5059-7464</t>
  </si>
  <si>
    <t>10.1007/s10439-019-02319-9</t>
  </si>
  <si>
    <t>KH7TG</t>
  </si>
  <si>
    <t>WOS:000510851900013</t>
  </si>
  <si>
    <t>Morawietz, C; Moffat, F</t>
  </si>
  <si>
    <t>Morawietz, Christina; Moffat, Fiona</t>
  </si>
  <si>
    <t>Effects of Locomotor Training After Incomplete Spinal Cord Injury: A Systematic Review</t>
  </si>
  <si>
    <t>Gait; Locomotion; Physical therapy modalities; Rehabilitation; Spinal cord injuries</t>
  </si>
  <si>
    <t>BODY-WEIGHT SUPPORT; FUNCTIONAL ELECTRIC-STIMULATION; TREADMILL WALKING; IMPROVE WALKING; GAIT; RECOVERY; REHABILITATION; PLASTICITY; INDIVIDUALS; NEUROPLASTICITY</t>
  </si>
  <si>
    <t>Objective: To provide an overview of, and evaluate the current evidence on, locomotor training approaches for gait rehabilitation in individuals with incomplete spinal cord injury to identify the most effective therapies. Data Sources: The following electronic databases were searched systematically from first date of publication until May 2013: Allied and Complementary Medicine Database, Cumulative Index to Nursing and Allied Health Literature, Cochrane Database of Systematic Reviews, MEDLINE, Physiotherapy Evidence Database, and PubMed. References of relevant clinical trials and systematic reviews were also hand searched. Study Selection: Only randomized controlled trials evaluating locomotor therapies after incomplete spinal cord injury in an adult population were included. Full-text versions of all relevant articles were selected and evaluated by both authors. Data Extraction: Eligible studies were identified, and methodologic quality was assessed with the Physiotherapy Evidence Database scale. Articles scoring &lt;4 points on the scale were excluded. Sample population, interventions, outcome measures, and findings were evaluated with regard to walking capacity, velocity, duration, and quality of gait. Data Synthesis: Data were analyzed by systematic comparison of findings. Eight articles were included in this review. Five compared body-weight supported treadmill training (BWSTT) or robotic-assisted BWSTT with conventional gait training in acute/subacute subjects (&lt;= 1y postinjury). The remaining studies each compared 3 or 4 different locomotor interventions in chronic participants (&gt;1y postinjury). Sample sizes were small, and study designs differed considerably impeding comparison. Only minor differences in outcomes measures were found between groups. Gait parameters improved slightly more after BWSTT and robotic gait training for acute participants. For chronic participants, improvements were greater after BWSTT with functional electrical stimulation and overground training with functional electrical stimulation/body-weight support compared with BWSTT with manual assistance, robotic gait training, or conventional physiotherapy. Conclusions: Evidence on the effectiveness of locomotor therapy is limited. All approaches show some potential for improvement of ambulatory function without superiority of 1 approach over another. More research on this topic is required. (C) 2013 by the American Congress of Rehabilitation Medicine</t>
  </si>
  <si>
    <t>[Morawietz, Christina; Moffat, Fiona] Glasgow Caledonian Univ, Dept Psychol &amp; Allied Hlth Sci, Sch Hlth &amp; Life Sci, Glasgow G4 0BA, Lanark, Scotland</t>
  </si>
  <si>
    <t>Glasgow Caledonian University</t>
  </si>
  <si>
    <t>Moffat, F (corresponding author), Cowcaddens Rd, Glasgow G4 0BA, Lanark, Scotland.</t>
  </si>
  <si>
    <t>f.moffat@gcu.ac.uk</t>
  </si>
  <si>
    <t>10.1016/j.apmr.2013.06.023</t>
  </si>
  <si>
    <t>250KV</t>
  </si>
  <si>
    <t>WOS:000326852600036</t>
  </si>
  <si>
    <t>Minzatanu, D; Roman, NA; Manaila, AI; Baseanu, ICC; Tuchel, VI; Basalic, EB; Miclaus, RS</t>
  </si>
  <si>
    <t>Minzatanu, Diana; Roman, Nadinne Alexandra; Manaila, Adina Ionelia; Baseanu, Ionut Cristian Cozmin; Tuchel, Vlad Ionut; Basalic, Elena Bianca; Miclaus, Roxana Steliana</t>
  </si>
  <si>
    <t>Virtual Reality Associated with Functional Electrical Stimulation for Upper Extremity in Post-Stroke Rehabilitation: A Systematic Review</t>
  </si>
  <si>
    <t>stroke rehabilitation; virtual reality; functional electrical stimulation; upper extremity; motor function; physical therapy modalities; systematic review</t>
  </si>
  <si>
    <t>FUGL-MEYER ASSESSMENT; STROKE REHABILITATION; MOTOR RECOVERY; SCALE</t>
  </si>
  <si>
    <t>Background: This systematic literature review aims to explore the impact of rehabilitation in post-stroke patients, particularly highlighting the roles of virtual reality (VR) technology and functional electrical stimulation (FES). Methods: To ensure all relevant studies were included, a thorough search was conducted in PubMed and Web of Science databases using keywords such as 'post-stroke', 'FES', 'functional electrical stimulation', 'virtual reality', and 'VR'. Studies on rehabilitating upper limb function through VR and FES in post-stroke patients were included, regardless of publication year. Studies had to compare this combination therapy with conventional methods and report outcomes related to upper limb coordination, functional mobility, and daily activities. Studies not meeting these criteria were excluded. The selection process involved screening titles, abstracts, and full texts by four independent reviewers. The quality and risk of bias of the included studies were assessed using the PEDro scale and Robvis tool. Results: The review included four studies involving 135 post-stroke patients. Two articles examined the effectiveness of an approach involving virtual reality, robotic therapy, and functional electrical stimulation in rehabilitating upper limbs in post-stroke patients, showing significant improvements in motor function and quality of life. The other two studies explored the effects of rehabilitation therapy using virtual reality combined with functional electrical stimulation on upper limb function in stroke patients, finding that combined therapy (FES with VR) was superior to functional electrical stimulation or robotic therapy. Discussion: The review was limited by the small number of studies and participants, which may affect the generalizability of the results. Variations in intervention protocols and outcome measures across studies posed challenges in synthesis. Integrating these technologies brings benefits and increases the potential for personalizing and optimizing the rehabilitation process, enhancing patient engagement and satisfaction, and promoting a holistic approach to post-stroke management. Future research should focus on larger, more standardized trials to confirm these findings and optimize intervention protocols.</t>
  </si>
  <si>
    <t>[Minzatanu, Diana; Roman, Nadinne Alexandra; Manaila, Adina Ionelia; Baseanu, Ionut Cristian Cozmin; Tuchel, Vlad Ionut; Basalic, Elena Bianca; Miclaus, Roxana Steliana] Transilvania Univ Brasov, Fac Med, Dept Fundamental Prevent &amp; Clin Disciplines, Brasov 500036, Romania; [Roman, Nadinne Alexandra; Manaila, Adina Ionelia; Baseanu, Ionut Cristian Cozmin; Tuchel, Vlad Ionut; Basalic, Elena Bianca; Miclaus, Roxana Steliana] Clin Hosp Psychiat &amp; Neurol, Neuroreahabilitat Dept, Brasov 500036, Romania</t>
  </si>
  <si>
    <t>Transylvania University of Brasov</t>
  </si>
  <si>
    <t>Roman, NA (corresponding author), Transilvania Univ Brasov, Fac Med, Dept Fundamental Prevent &amp; Clin Disciplines, Brasov 500036, Romania.;Roman, NA (corresponding author), Clin Hosp Psychiat &amp; Neurol, Neuroreahabilitat Dept, Brasov 500036, Romania.</t>
  </si>
  <si>
    <t>nadinneroman@unitbv.ro</t>
  </si>
  <si>
    <t>Miclaus, Roxana/AAW-3209-2020; Roman, Nadinne/B-9750-2016</t>
  </si>
  <si>
    <t>Roman, Nadinne/0000-0002-4263-2589</t>
  </si>
  <si>
    <t>This research received no external funding.</t>
  </si>
  <si>
    <t>10.3390/app14188248</t>
  </si>
  <si>
    <t>H5D9L</t>
  </si>
  <si>
    <t>WOS:001323656400001</t>
  </si>
  <si>
    <t>Rabadi, MH</t>
  </si>
  <si>
    <t>Rabadi, Meheroz H.</t>
  </si>
  <si>
    <t>Review of the randomized clinical stroke rehabilitation trials in 2009</t>
  </si>
  <si>
    <t>MEDICAL SCIENCE MONITOR</t>
  </si>
  <si>
    <t>stroke; rehabilitation; RCT's</t>
  </si>
  <si>
    <t>CONSTRAINT-INDUCED MOVEMENT; TIME PRESSURE MANAGEMENT; UPPER EXTREMITY FUNCTION; QUALITY-OF-LIFE; ELECTRICAL-STIMULATION; MOTOR-PERFORMANCE; SINGLE-BLIND; THERAPY; WALKING; NEGLECT</t>
  </si>
  <si>
    <t>Background: Recent review of the available evidence on interventions for motor recovery after stroke, showed that improvements in recovery of arm function were seen for constraint-induced movement therapy, electromyographic biofeedback, mental practice with motor imagery, and robotics. Similar improvement in transfer ability or balance were seen with repetitive task training, biofeedback, and training with a moving platform. Walking speed was improved by physical fitness training, high-intensity physiotherapy and repetitive task training. However, most of these trials were small and had design limitations. Material/Methods: In this article, randomized control trials (RCT's) published in 2009 of rehabilitation therapies for acute (&lt;= 2 weeks), sub-acute (2 to 12 weeks) and chronic (&gt;= 12 weeks) stroke was reviewed. A Medline search was performed to identify all RCT's in stroke rehabilitation in the year 2009. The search strategy that was used for PubMed is presented in the Appendix 1. The objective was to examine the effectiveness of these treatment modalities in stroke rehabilitation. Results: This generated 35 RCT's under 5 categories which were found and analyzed. The methodological quality was assessed by using the PEDro scale for external and internal validity. Conclusions: These trials were primarily efficacy studies. Most of these studies enrolled small numbers of patient which precluded their clinical applicability (limited external validity). However, the constraint induced movement therapy (CIT), regularly used in chronic stroke patients did not improve affected arm-hand function when used in acute stroke patients at &lt;= 4weeks. Intensive CIT did not lead to motor improvement in arm-hand function. Robotic arm treatment helped decrease motor impairment and improved function in chronic stroke patients only. Therapist provided exercise programs (when self-administered by patients during their off-therapy time in a rehabilitation setting) did improve arm-hand function. Tai Chi exercises helped improve balance and weight bearing. Exercise programs for community dwelling stroke patient helped maintain and even improve their functional state.</t>
  </si>
  <si>
    <t>Univ Oklahoma, Dept Neurol, Vet Affairs Med Ctr, Oklahoma City, OK 73104 USA</t>
  </si>
  <si>
    <t>US Department of Veterans Affairs; Veterans Health Administration (VHA); University of Oklahoma System; University of Oklahoma Health Sciences Center</t>
  </si>
  <si>
    <t>Rabadi, MH (corresponding author), Univ Oklahoma, Dept Neurol, Vet Affairs Med Ctr, 921 NE 13th St, Oklahoma City, OK 73104 USA.</t>
  </si>
  <si>
    <t>mhrabadi@gmail.com</t>
  </si>
  <si>
    <t>Rabadi, Meheroz/W-9953-2019</t>
  </si>
  <si>
    <t>Rabadi, Meheroz/0000-0002-8950-6600</t>
  </si>
  <si>
    <t>INT SCIENTIFIC INFORMATION, INC</t>
  </si>
  <si>
    <t>MELVILLE</t>
  </si>
  <si>
    <t>150 BROADHOLLOW RD, STE 114, MELVILLE, NY 11747 USA</t>
  </si>
  <si>
    <t>1643-3750</t>
  </si>
  <si>
    <t>MED SCI MONITOR</t>
  </si>
  <si>
    <t>Med. Sci. Monitor</t>
  </si>
  <si>
    <t>RA25</t>
  </si>
  <si>
    <t>RA43</t>
  </si>
  <si>
    <t>10.12659/MSM.881382</t>
  </si>
  <si>
    <t>724TS</t>
  </si>
  <si>
    <t>Green Published, Green Submitted</t>
  </si>
  <si>
    <t>WOS:000287599700020</t>
  </si>
  <si>
    <t>Yang, JC; Gong, Y; Yu, L; Peng, LY; Cui, YF; Huang, HL</t>
  </si>
  <si>
    <t>Yang, Jinchao; Gong, Yu; Yu, Lei; Peng, Laiying; Cui, Yuanfen; Huang, Hailong</t>
  </si>
  <si>
    <t>Effect of exoskeleton robot-assisted training on gait function in chronic stroke survivors: a systematic review of randomised controlled trials</t>
  </si>
  <si>
    <t>Exoskeleton; Robot-assisted training; Gait; Chronic stroke; Systematic review</t>
  </si>
  <si>
    <t>REHABILITATION</t>
  </si>
  <si>
    <t>ObjectivesNumbers of research have reported the usage of robot-assisted gait training for walking restoration post-stroke. However, no consistent conclusion has been reached yet about the efficacy of exoskeleton robot-assisted training (ERAT) on gait function of stroke survivors, especially during the chronic period. We conducted a systematic review to investigate the efficacy of ERAT on gait function for chronic stroke survivors.DesignThis review followed the Participant, Intervention, Comparison and Outcome principle.Data sourcesPubMed, Cochrane Library, Web of Science, Embase and Cumulative Index to Nursing and Allied Health Literature databases were systematically searched until December 2022.Eligibility criteriaOnly randomised controlled trials (RCTs) were included and these RCTs took patients who had a chronic stroke as participants, exoskeleton robot-assisted gait training as intervention, regular rehabilitation therapy as comparison and gait-related functional assessments as outcomes.Data extraction and synthesisData extraction and synthesis used the reporting checklist for systematic review based on the Preferred Reporting Items for Systematic Reviews and Meta-Analyses guidelines. The risk of bias and methodological quality of included studies were evaluated by two independent investigators under the guidance of Cochrane risk of bias.ResultsOut of 278 studies, a total of 10 studies (n=323, mean age 57.6 years, 63.2% males) were identified in this systematic review. According to the Cochrane risk of bias, the quality of these studies was assessed as low risk. Six studies reported favourable effects of ERAT on gait function involving gait performance, balance function and physical endurance, and the ERAT group was significantly superior when compared with the control group. In contrast, the other four trials showed equal or negative effects of ERAT considering different study designs. All the included studies did not claim any serious adverse events.ConclusionERAT could be an efficient intervention to improve gait function for individuals who had a chronic stroke. However, more rigorously designed trials are required to draw more solid evidence.PROSPERO registration numberCRD42023410796.</t>
  </si>
  <si>
    <t>[Yang, Jinchao; Gong, Yu; Yu, Lei; Peng, Laiying; Huang, Hailong] Wuhan Univ, Zhongnan Hosp, Dept Rehabil Med, Wuhan, Peoples R China; [Cui, Yuanfen] Wuhan No 1 Hosp, Dept Pain Management, Wuhan, Peoples R China</t>
  </si>
  <si>
    <t>Wuhan University</t>
  </si>
  <si>
    <t>Huang, HL (corresponding author), Wuhan Univ, Zhongnan Hosp, Dept Rehabil Med, Wuhan, Peoples R China.</t>
  </si>
  <si>
    <t>hailong.huang@whu.edu.cn</t>
  </si>
  <si>
    <t>Jinchao, Yang/0000-0002-2791-1950; Huang, Hailong/0000-0002-2535-5516; Cui, Yuanfen/0009-0002-1962-6444</t>
  </si>
  <si>
    <t>e074481</t>
  </si>
  <si>
    <t>10.1136/bmjopen-2023-074481</t>
  </si>
  <si>
    <t>CS2I9</t>
  </si>
  <si>
    <t>WOS:001127161700036</t>
  </si>
  <si>
    <t>Samuelkamaleshkumar, S; Annpatriciacatherine, S; Jithu, A; Jeromedanypraveenraj, J; Senthilvelkumar, T; Augustine, TA; Chalageri, PH; George, J; Thomas, R</t>
  </si>
  <si>
    <t>Samuelkamaleshkumar, Selvaraj; Annpatriciacatherine, Suresh; Jithu, Abrahamalex; Jeromedanypraveenraj, Jones; Senthilvelkumar, Thangavelu; Augustine, Thomas Anand; Chalageri, Prashanth H.; George, Jacob; Thomas, Raji</t>
  </si>
  <si>
    <t>Comparative Scoping Review: Robot-Assisted Upper Limb Stroke Rehabilitation in Low- and Middle-Income Countries Versus High-Income Nations</t>
  </si>
  <si>
    <t>Developing countries; Rehabilitation; Robotics; Stroke; Upper extremity</t>
  </si>
  <si>
    <t>THERAPY</t>
  </si>
  <si>
    <t>Objective: To examine robotic interventions for upper limb rehabilitation poststroke, focusing on geographic distribution, stroke chronicity, outcome measures, outcomes of robotic interventions, and publication trends in low- and middle-income countries (LMICs) compared with high- income countries (HICs). Data Sources: Using Joanna Briggs Institute methodology and Preferred Reporting Items for Systematic Reviews and Meta-Analyses Extension for Scoping Reviews guidelines, PubMed, CENTRAL, Embase, CINAHL, and PEDro databases were searched for studies on upper extremity rehabilitation with robotics poststroke. Study Selection: This review focused on randomized controlled trials (RCTs) published between 2012 and 2024 that examined rehabilitation robots for upper limb impairments caused by stroke. The studies included adults aged &gt;= 18 years in the acute, subacute, or chronic recovery phases. Eligible trials involved using robotic devices, independently or combined with other interventions. Only RCTs with 2 or more arms were considered, and all included studies were published in English. Data Extraction: Reviewers independently extracted data on study characteristics, stroke chronicity, outcome measures, outcomes of robotic interventions, and temporal trends. Data Synthesis: Of 129 articles meeting the criteria, 107 were from HICs, and 22 were from LMICs. Major contributors from HICs included Italy, Taiwan, and the USA, whereas China was a significant contributor among LMICs. Most studies focused on patients with chronic stroke, with varying assessment tools, the most common being the Fugl-Meyer Upper Extremity Evaluation. Positive outcomes were reported across studies, and recent research activity has increased in both settings. Conclusions: This review underscores the expanding research on robotic therapy for upper limb rehabilitation in patients with stroke, primarily from HICs with limited input from low- and middle-income nations. Although positive outcomes were frequently observed, disparities between high-income and low-and middle-income countries were clear. The growing research indicates rising interest and advancements in this domain. Archives of Physical Medicine and Rehabilitation 2025;106:424-32 (c) 2024 by the American Congress of Rehabilitation Medicine.</t>
  </si>
  <si>
    <t>[Samuelkamaleshkumar, Selvaraj; Annpatriciacatherine, Suresh; Jithu, Abrahamalex; Jeromedanypraveenraj, Jones; Senthilvelkumar, Thangavelu; Augustine, Thomas Anand; Chalageri, Prashanth H.; George, Jacob; Thomas, Raji] Christian Med Coll &amp; Hosp, Dept Phys Med &amp; Rehabil, Vellore 632002, Tamil Nadu, India</t>
  </si>
  <si>
    <t>Christian Medical College &amp; Hospital (CMCH) Vellore</t>
  </si>
  <si>
    <t>Samuelkamaleshkumar, S (corresponding author), Christian Med Coll &amp; Hosp, Dept Phys Med &amp; Rehabil, Vellore 632002, Tamil Nadu, India.</t>
  </si>
  <si>
    <t>stopatsams@rediffmail.com</t>
  </si>
  <si>
    <t>samuelkamaleshkumar, selvaraj/AAQ-9744-2020; Senthilvelkumar, Thangavelu/U-8474-2019</t>
  </si>
  <si>
    <t>Jones, Jerome Dany Praveen Raj/0000-0002-6748-7664; Senthilvelkumar, Thangavelu/0000-0002-1632-3264; Samuelkamaleshkumar, Selvaraj/0000-0002-0981-2406</t>
  </si>
  <si>
    <t>10.1016/j.apmr.2024.09.014</t>
  </si>
  <si>
    <t>FEB 2025</t>
  </si>
  <si>
    <t>Z1Y0V</t>
  </si>
  <si>
    <t>WOS:001436936400001</t>
  </si>
  <si>
    <t>Mahmoud, H; Aljaldi, F; El-Fiky, A; Battecha, K; Thabet, A; Alayat, M; ABD Elkafy, E; Ebid, A; Ibrahim, A</t>
  </si>
  <si>
    <t>Mahmoud, H.; Aljaldi, F.; El-Fiky, A.; Battecha, K.; Thabet, A.; Alayat, M.; ABD Elkafy, E.; Ebid, A.; Ibrahim, A.</t>
  </si>
  <si>
    <t>Artificial Intelligence machine learning and conventional physical therapy for upper limb outcome in patients with stroke: a systematic review and meta-analysis</t>
  </si>
  <si>
    <t>EUROPEAN REVIEW FOR MEDICAL AND PHARMACOLOGICAL SCIENCES</t>
  </si>
  <si>
    <t>Artificial intelligence; Robotics; Stroke; Upper extremity rehabilitation; Virtual reality; Armeo; Rehabilitation</t>
  </si>
  <si>
    <t>FUNCTIONAL ELECTRICAL-STIMULATION; ROBOT-ASSISTED REHABILITATION; DYSFUNCTION; EFFICACY</t>
  </si>
  <si>
    <t>OBJECTIVE: The goal of this study was to compare the effect of different ar-tificial intelligence (AI) machine learning and conventional therapy (CT) on upper limb impair-ments in patients with stroke.MATERIALS AND METHODS: PubMed, PubMed Central, Google Scholar, MEDLINE, Cochrane Li-brary, Web of Science, Research Gate, and Wi-ley Online Library were searched. Descriptive statistics about variables were reported to cal-culate standardized mean differences in out-comes of motor control (the primary outcome), functional independence, upper extremity per-formance, and muscle tone. The Physiothera-py Evidence Database (PEDro) Scale was used to assess qualitative papers. The primary out-comes of AI and CT have been included in the meta-analyses.RESULTS: Ten papers with a total of 481 stroke patients were included and upper limb rehabilitation, upper limb functioning, and ba-sic manual dexterity were examined. The het-erogeneity test of the whole included measures (I2=45%) was medium. There were significant dif-ferences between the included measures (p-val-ue=0.03) with a total SMD of 0.10 [0.01, 0.19]. Ac-cording to the test for subgroup difference, it was found that there was a highly significant dif-ference between the subgroups of the included measures (p-value=0.01) and the heterogeneity test (I2=59.8%). CONCLUSIONS: AI is a feasible and safe method in post-stroke rehabilitation and im-proves upper-extremity function compared to CT. Significant AI post-treatment effects on up-per-limb impairments have been observed. The findings showed that higher-quality evidence was detected in six assessment scales. Howev-er, a lower quality of evidence was detected in other scales. This indicated large or very large and consistent estimates of the treatment ef-fects, and researchers were confident about the results. Therefore, the included studies are like-ly to provide an overestimate of the true effect.</t>
  </si>
  <si>
    <t>[Mahmoud, H.; El-Fiky, A.; Battecha, K.; Thabet, A.; Alayat, M.; ABD Elkafy, E.; Ebid, A.; Ibrahim, A.] Umm Al Qura Univ, Fac Appl Med Sci, Dept Phys Therapy, Mecca, Saudi Arabia; [Aljaldi, F.] Matern &amp; Children Hosp, Madinah, Saudi Arabia; [Mahmoud, H.; El-Fiky, A.] Cairo Univ, Fac Phys Therapy, Dept Phys Therapy Neurol, Cairo, Egypt; [Battecha, K.; Alayat, M.; Ibrahim, A.] Cairo Univ, Fac Phys Therapy, Dept Basic Sci, Cairo, Egypt; [ABD Elkafy, E.] Cairo Univ, Fac Phys Therapy, Dept Phys Therapy Pediat, Cairo, Egypt; [Ebid, A.] Cairo Univ, Fac Phys Therapy, Dept Surg, Cairo, Egypt</t>
  </si>
  <si>
    <t>Umm Al-Qura University; Egyptian Knowledge Bank (EKB); Cairo University; Egyptian Knowledge Bank (EKB); Cairo University; Egyptian Knowledge Bank (EKB); Cairo University; Egyptian Knowledge Bank (EKB); Cairo University</t>
  </si>
  <si>
    <t>Mahmoud, H (corresponding author), Umm Al Qura Univ, Fac Appl Med Sci, Dept Phys Therapy, Mecca, Saudi Arabia.;Mahmoud, H (corresponding author), Cairo Univ, Fac Phys Therapy, Dept Phys Therapy Neurol, Cairo, Egypt.</t>
  </si>
  <si>
    <t>hmmehmoud@uqu.edu.sa</t>
  </si>
  <si>
    <t>El-Fiky, Amir/HCH-8565-2022; Mahmoud, Hayam/C-1452-2019; Kafy, Ehab/C-2973-2019; Alayat, Mohamed/F-8233-2019; Alayat, Mohamed/Q-7086-2016</t>
  </si>
  <si>
    <t>Alayat, Mohamed/0000-0003-1039-7550; R. Ibrahim, Abeer/0000-0002-9106-520X</t>
  </si>
  <si>
    <t>VERDUCI PUBLISHER</t>
  </si>
  <si>
    <t>ROME</t>
  </si>
  <si>
    <t>VIA GREGORIO VII, ROME, 186-00165, ITALY</t>
  </si>
  <si>
    <t>1128-3602</t>
  </si>
  <si>
    <t>EUR REV MED PHARMACO</t>
  </si>
  <si>
    <t>Eur. Rev. Med. Pharmacol. Sci.</t>
  </si>
  <si>
    <t>L3UG6</t>
  </si>
  <si>
    <t>WOS:001022537400001</t>
  </si>
  <si>
    <t>Yang, JF; Musselman, KE</t>
  </si>
  <si>
    <t>Yang, Jaynie F.; Musselman, Kristin E.</t>
  </si>
  <si>
    <t>Training to achieve over ground walking after spinal cord injury: A review of who, what, when, and how</t>
  </si>
  <si>
    <t>Rehabilitation; Spinal cord injuries; Locomotion; Physical therapy; Ambulation; Body-weight supported therapy; Robotic-assisted therapy; Exoskeleton; Lokomat; Paraplegia</t>
  </si>
  <si>
    <t>BODY-WEIGHT SUPPORT; FUNCTIONAL ELECTRIC-STIMULATION; DRIVEN GAIT ORTHOSIS; MUSCLE-ACTIVITY; IMPROVE WALKING; TREADMILL; PEOPLE; INDIVIDUALS; LOCOMOTION; REHABILITATION</t>
  </si>
  <si>
    <t>Objectives: (1) To provide clinicians with the best evidence for effective retraining of walking after spinal cord injury (SCI) to achieve over ground walking. (2) To identify gaps in our knowledge to guide future research. Methods: Articles that addressed the retraining of walking in adults with SCI and reported outcome measures of over ground walking ability were identified through a non-systematic search of the PubMed, Scopus, and CINAHL databases. No restriction was applied to the method of training. Selected articles were appraised using the Physiotherapy Evidence Database scale. Information was synthesized to answer who best responds to what type of treatment, how that treatment should be delivered, and at what stage after injury. Results: Individuals with motor incomplete SCI (American Spinal Injury Association (ASIA) Impairment scale (AIS) C and D) are most likely to regain walking over ground. The effective methods of training all involved a substantial component of walking in the training, and if assistance was provided, partial assistance was more effective than total assistance. Walking training resulted in a change in over ground walking speed of 0.06-0.77 m/s, and 6 minute walk distance of 24-357 m. The effective training schedules ranged from 10 to 130 sessions, with a density of sessions ranging from 2 per week to 5 per week. Earlier training led to superior results both in the subacute (&lt;6 months) and chronic phases (&gt;6 months) after injury, but even individuals with chronic injuries of long duration can improve. Conclusions: Frequent, early treatment for individuals with motor incomplete SCI using walking as the active ingredient whether on the treadmill or over ground, generally leads to improved walking over ground. Much work remains for the future, including better quantification of treatment intensity, better outcome measures to quantify a broader range of walking skills, and better ways to retrain individuals with more severe lesions (AIS A and B).</t>
  </si>
  <si>
    <t>[Yang, Jaynie F.] Univ Alberta, Dept Phys Therapy, Edmonton, AB T6G 2G4, Canada; [Yang, Jaynie F.] Univ Alberta, Ctr Neurosci, Edmonton, AB T6G 2G4, Canada; [Musselman, Kristin E.] Johns Hopkins Sch Med, Dept Neurosci, Baltimore, MD USA; [Musselman, Kristin E.] Kennedy Krieger Inst, Mot Anal Lab, Baltimore, MD USA</t>
  </si>
  <si>
    <t>University of Alberta; University of Alberta; Johns Hopkins University; Johns Hopkins Medicine; Kennedy Krieger Institute</t>
  </si>
  <si>
    <t>Yang, JF (corresponding author), Univ Alberta, Dept Phys Therapy, 2-50 Corbett Hall, Edmonton, AB T6G 2G4, Canada.</t>
  </si>
  <si>
    <t>jaynie.yang@ualberta.ca</t>
  </si>
  <si>
    <t>Yang, Jaynie/0000-0002-7507-8924; Musselman, Kristin/0000-0001-8336-8211</t>
  </si>
  <si>
    <t>Christopher and Dana Reeve Foundation; Alberta Paraplegic Foundation; Rick Hansen Foundation; Canadian Institutes of Health Research (CIHR)</t>
  </si>
  <si>
    <t>Christopher and Dana Reeve Foundation; Alberta Paraplegic Foundation; Rick Hansen Foundation; Canadian Institutes of Health Research (CIHR)(Canadian Institutes of Health Research (CIHR))</t>
  </si>
  <si>
    <t>This article is based on a keynote presention at the fifth National Spinal Cord Injury Conference held in Toronto, Ontario, Canada in 2012. The authors thank the following individuals for their thoughtful comments: Elizabeth Ardolin, PT, PhD, Andrea Behrman, PT, PhD, Susan Harkema, PhD, Jennifer Keller, PT, Donna Livingstone, PT, Jay Nair, PT, Martina Spiess, PT. J. Yang's work on spinal cord injury has been supported by the Christopher and Dana Reeve Foundation, the Alberta Paraplegic Foundation, the Rick Hansen Foundation, and the Canadian Institutes of Health Research (CIHR). K. Musselman's fellowship is supported by the CIHR.</t>
  </si>
  <si>
    <t>10.1179/2045772312Y.0000000036</t>
  </si>
  <si>
    <t>022GF</t>
  </si>
  <si>
    <t>WOS:000309945000005</t>
  </si>
  <si>
    <t>Svane, C; Nielsen, JB; Lorentzen, J</t>
  </si>
  <si>
    <t>Svane, Christian; Nielsen, Jens Bo; Lorentzen, Jakob</t>
  </si>
  <si>
    <t>Nonsurgical Treatment Options for Muscle Contractures in Individuals With Neurologic Disorders: A Systematic Review With Meta-Analysis</t>
  </si>
  <si>
    <t>ARCHIVES OF REHABILITATION RESEARCH AND CLINICAL TRANSLATION</t>
  </si>
  <si>
    <t>Contracture; Nervous System Diseases; Range of motion, articular; Rehabilitation</t>
  </si>
  <si>
    <t>SHOCK-WAVE THERAPY; TOXIN TYPE-A; NEUROMUSCULAR ELECTRICAL-STIMULATION; PROGRESSIVE RESISTANCE EXERCISE; RANDOMIZED CONTROLLED-TRIAL; SPINAL-CORD-INJURY; CEREBRAL-PALSY; MOTOR RECOVERY; CHRONIC STROKE; POSITIONING PROGRAM</t>
  </si>
  <si>
    <t>Objective: To investigate whether nonsurgical treatment can reduce muscle contractures in individuals with neurologic disorders. The primary outcome measure was muscle contractures measured as joint mobility or passive stiffness.Data Sources: Embase, MEDLINE, Cumulative Index to Nursing and Allied Health, and Physiotherapy Evidence Database in June-July 2019 and again in July 2020.Study Selection: The search resulted in 8020 records, which were screened by 2 authors based on our patient, intervention, comparison, outcome criteria. We included controlled trials of nonsurgical interventions administered to treat muscle contractures in individuals with neurologic disorders.Data Extraction: Authors, participant characteristics, intervention details, and joint mobility/passive stiffness before and after intervention were extracted. We assessed trials for risk of bias using the Downs and Black checklist. We conducted meta-analyses investigating the short-term effect on joint mobility using a random-effects model with the pooled effect from randomized controlled trials (RCTs) as the primary outcome. The minimal clinically important effect was set at 5 degrees.Data Synthesis: A total of 70 trials (57 RCTs) were eligible for inclusion. Stretch had a pooled effect of 3 degrees (95% CI, 1-4 degrees; prediction interval (PI)=-2 to 7 degrees; I-2 =66%; P&lt;.001), and robot-assisted rehabilitation had an effect of 1 (95% CI, 0-2; PI=-8 to 9; I-2=73%; P=.03). We found no effect of shockwave therapy (P=.56), physical activity (P=.27), electrical stimulation (P=.11), or botulinum toxin (P=.13). Although trials were generally of moderate to high quality according to the Downs and Black checklist, only 18 of the 70 trials used objective measures of muscle contractures. In 23 trials, nonobjective measures were used without use of assessor-blinding.Conclusions: We did not find convincing evidence supporting the use of any nonsurgical treatment option. We recommend that controlled trials using objective measures of muscle contractures and a sufficiently large number of participants be performed.</t>
  </si>
  <si>
    <t>[Svane, Christian; Nielsen, Jens Bo; Lorentzen, Jakob] Univ Copenhagen, Dept Neurosci, Copenhagen, Denmark; [Svane, Christian; Nielsen, Jens Bo; Lorentzen, Jakob] Elsass Fdn, Charlottenlund, Denmark; [Svane, Christian] Univ Copenhagen, Dept Neurosci, Blegdamsvej 3, DK-2200 Copenhagen N, Denmark</t>
  </si>
  <si>
    <t>University of Copenhagen; University of Copenhagen</t>
  </si>
  <si>
    <t>Svane, C (corresponding author), Univ Copenhagen, Dept Neurosci, Blegdamsvej 3, DK-2200 Copenhagen N, Denmark.</t>
  </si>
  <si>
    <t>christian.svane@sund.ku.dk</t>
  </si>
  <si>
    <t>Nielsen, Jens/Q-1347-2017; Nielsen, Jens Bo/C-7632-2015</t>
  </si>
  <si>
    <t>Lorentzen, Jakob/0000-0002-7634-0218; Svane, Christian/0000-0002-7816-3921; Nielsen, Jens Bo/0000-0001-5568-2916</t>
  </si>
  <si>
    <t>Elsass Foundation</t>
  </si>
  <si>
    <t>Supported by a grant from the Elsass Foundation.</t>
  </si>
  <si>
    <t>2590-1095</t>
  </si>
  <si>
    <t>ARCH REHAB RES CLIN</t>
  </si>
  <si>
    <t>Arch. Rehabil. Res. Clin. Transl.</t>
  </si>
  <si>
    <t>10.1016/j.arrct.2021.100104</t>
  </si>
  <si>
    <t>DV9O5</t>
  </si>
  <si>
    <t>WOS:001134976600014</t>
  </si>
  <si>
    <t>Choi, HK; Lee, SH</t>
  </si>
  <si>
    <t>Choi, Hee Kyung; Lee, Seon Heui</t>
  </si>
  <si>
    <t>Trends and Effectiveness of ICT Interventions for the Elderly to Reduce Loneliness: A Systematic Review</t>
  </si>
  <si>
    <t>aging; ICT-based care service; social isolation; loneliness; systematic review</t>
  </si>
  <si>
    <t>OLDER-ADULTS; SOCIAL-ISOLATION; CO-CREATION; TECHNOLOGY; PEOPLE; CONNECTEDNESS; RESIDENTS; THERAPY; SUPPORT; SENIORS</t>
  </si>
  <si>
    <t>Elderly people are sensitive to loneliness, which may contribute to mental and physical health, serious illness, and increased mortality. This study investigates the development trend of information communication technology (ICT) interventions designed for the elderly to reduce loneliness and synthesize its effect. We searched relevant articles on 23 May 2020 using three databases: Ovid-Medline, Ovid-EMBASE, and the Cochrane library. Data extraction and quality assessment were independently performed by two authors. The development is changing from animal robots to online social platforms and from simple emotional support to a multifaceted system that promotes social participation, cognition, physical activity, and nutrition. Our systematic review reported that ICT interventions are being developed to alleviate loneliness and increase social participation. Our study revealed an increase in the use of ICT interventions among the elderly and a positive change in their attitude toward ICT interventions. ICT interventions in the field of nursing should continue to be developed in the future to meet social, health, and safety needs. In the context of coronavirus disease 2019 (COVID-19), ICT interventions are needed to respond effectively to the needs of the elderly. This study is expected to provide basic knowledge for the development of ICT interventions for the elderly.</t>
  </si>
  <si>
    <t>[Choi, Hee Kyung; Lee, Seon Heui] Gachon Univ, Coll Nursing, Dept Nursing Sci, Incheon 21936, South Korea</t>
  </si>
  <si>
    <t>Gachon University</t>
  </si>
  <si>
    <t>Lee, SH (corresponding author), Gachon Univ, Coll Nursing, Dept Nursing Sci, Incheon 21936, South Korea.</t>
  </si>
  <si>
    <t>hcgsf0910@naver.com; sunarea87@gachon.ac.kr</t>
  </si>
  <si>
    <t>Lee, SeonHeui/0000-0002-2175-9361; Choi, Hee Kyung/0000-0003-1393-2985</t>
  </si>
  <si>
    <t>Gachon University [GCU-202002510001]</t>
  </si>
  <si>
    <t>This work was supported by the Gachon University research fund of 2020 (GCU-202002510001).</t>
  </si>
  <si>
    <t>10.3390/healthcare9030293</t>
  </si>
  <si>
    <t>RD8EC</t>
  </si>
  <si>
    <t>WOS:000633702900001</t>
  </si>
  <si>
    <t>Raju, R; Linder, BJ</t>
  </si>
  <si>
    <t>Raju, Rubin; Linder, Brian J.</t>
  </si>
  <si>
    <t>Evaluation and Management of Pelvic Organ Prolapse</t>
  </si>
  <si>
    <t>MAYO CLINIC PROCEEDINGS</t>
  </si>
  <si>
    <t>URINARY-INCONTINENCE; COLPOCLEISIS; WOMEN; TERMINOLOGY; SUPPORT</t>
  </si>
  <si>
    <t>Pelvic organ prolapse (POP) is a common clinical entity that can have a significant impact on a patient's quality of life secondary to symptoms of pelvic pressure, vaginal bulge, urinary and bowel dysfunction, or sexual dysfunction. It is highly prevalent, with roughly 13% of women undergoing surgery for prolapse in their lifetime. Vaginal prolapse is diagnosed by history and physical examination. Additional testing may be indicated for evaluation of bowel and bladder symptoms. On examination, prolapse can represent descent of the anterior vaginal wall, vaginal apex (cervix/uterus or vaginal cuff scar after hysterectomy), or posterior vaginal wall, although it represents a combination of these in many cases. Treatment options for POP include observation, pelvic floor physical therapy, pessary use, and surgery. In patients with asymptomatic POP, observation is typically used. In those not desiring or medically unfit for surgery, pessaries are an effective nonsurgical option. When it is indicated, surgery can be performed through transvaginal, laparoscopic/robotic, or open approaches, using either the patient's own tissue or mesh augmentation. Deciding between these is based on the compartments involved, extent of prolapse, medical and surgical comorbidities, differences in durability and risk between operations, and shared decision-making with the patient. Here, we review pertinent clinical considerations in the evaluation and management of POP. (C) 2021 Mayo Foundation for Medical Education and Research</t>
  </si>
  <si>
    <t>[Raju, Rubin; Linder, Brian J.] Mayo Clin, Dept Obstet &amp; Gynecol, Rochester, MN 55905 USA; [Linder, Brian J.] Mayo Clin, Dept Urol, Rochester, MN 55905 USA</t>
  </si>
  <si>
    <t>Mayo Clinic; Mayo Clinic</t>
  </si>
  <si>
    <t>Linder, BJ (corresponding author), Mayo Clin, 200 First St SW, Rochester, MN 55905 USA.</t>
  </si>
  <si>
    <t>Linder.Brian@mayo.edu</t>
  </si>
  <si>
    <t>Linder, Brian/AAF-7356-2020</t>
  </si>
  <si>
    <t>Raju, Rubin/0000-0002-6984-5592</t>
  </si>
  <si>
    <t>ELSEVIER SCIENCE INC</t>
  </si>
  <si>
    <t>STE 800, 230 PARK AVE, NEW YORK, NY 10169 USA</t>
  </si>
  <si>
    <t>0025-6196</t>
  </si>
  <si>
    <t>1942-5546</t>
  </si>
  <si>
    <t>MAYO CLIN PROC</t>
  </si>
  <si>
    <t>Mayo Clin. Proc.</t>
  </si>
  <si>
    <t>10.1016/j.mayocp.2021.09.005</t>
  </si>
  <si>
    <t>XJ3NM</t>
  </si>
  <si>
    <t>WOS:000726699200026</t>
  </si>
  <si>
    <t>Yin, J; Hinchet, R; Shea, H; Majidi, C</t>
  </si>
  <si>
    <t>Yin, Jessica; Hinchet, Ronan; Shea, Herbert; Majidi, Carmel</t>
  </si>
  <si>
    <t>Wearable Soft Technologies for Haptic Sensing and Feedback</t>
  </si>
  <si>
    <t>ADVANCED FUNCTIONAL MATERIALS</t>
  </si>
  <si>
    <t>augmented reality; haptics; sensing; soft electronics; soft robotics; virtual reality; wearable computing</t>
  </si>
  <si>
    <t>VIRTUAL-REALITY; STRAIN SENSORS; KINESTHETIC FEEDBACK; AUGMENTED REALITY; DESIGN; ELECTRONICS; FABRICATION; ACTUATORS; SENSATIONS; SIMULATION</t>
  </si>
  <si>
    <t>Virtual reality (VR) and augmented reality (AR) systems have garnered recent widespread attention due to increased accessibility, functionality, and affordability. These systems sense user inputs and typically provide haptic, audio, and visual feedback to blend interactive virtual environments with the real world for an enhanced or simulated reality experience. With applications ranging from immersive entertainment, to teleoperation, to physical therapy, further development of this technology has the potential for impact across multiple disciplines. However, VR/AR devices still face critical challenges that hinder integration into everyday life and additional applications; namely, the rigid and cumbersome form factor of current technology that is incompatible with the dynamic movements and pliable limbs of the human body. Recent advancements in the field of soft materials are uniquely suited to provide solutions to this challenge. Devices fabricated from flexible and elastic bio-compatible materials have significantly greater compatibility with the human body and could lead to a more natural VR/AR experience. This review reports state-of-the-art experimental studies in soft materials for wearable sensing and haptic feedback in VR/AR applications, explores emerging soft technologies for on-body devices, and identifies current challenges and future opportunities toward seamless integration of the virtual and physical world.</t>
  </si>
  <si>
    <t>[Yin, Jessica; Majidi, Carmel] Carnegie Mellon Univ, Soft Machines Lab, Pittsburgh, PA 15213 USA; [Hinchet, Ronan; Shea, Herbert] Ecole Polytech Fed Lausanne, Soft Transducers Lab, CH-2000 Neuchatel, Switzerland</t>
  </si>
  <si>
    <t>Carnegie Mellon University; Swiss Federal Institutes of Technology Domain; Ecole Polytechnique Federale de Lausanne</t>
  </si>
  <si>
    <t>Majidi, C (corresponding author), Carnegie Mellon Univ, Soft Machines Lab, Pittsburgh, PA 15213 USA.</t>
  </si>
  <si>
    <t>cmajidi@andrew.cmu.edu</t>
  </si>
  <si>
    <t>Shea, Herbert/C-4744-2008; Hinchet, Ronan/D-8101-2015</t>
  </si>
  <si>
    <t>Majidi, Carmel/0000-0002-6469-9645; Hinchet, Ronan/0000-0003-3356-8930</t>
  </si>
  <si>
    <t>1616-301X</t>
  </si>
  <si>
    <t>1616-3028</t>
  </si>
  <si>
    <t>ADV FUNCT MATER</t>
  </si>
  <si>
    <t>Adv. Funct. Mater.</t>
  </si>
  <si>
    <t>10.1002/adfm.202007428</t>
  </si>
  <si>
    <t>Chemistry, Multidisciplinary; Chemistry, Physical; Nanoscience &amp; Nanotechnology; Materials Science, Multidisciplinary; Physics, Applied; Physics, Condensed Matter</t>
  </si>
  <si>
    <t>Chemistry; Science &amp; Technology - Other Topics; Materials Science; Physics</t>
  </si>
  <si>
    <t>UU2WC</t>
  </si>
  <si>
    <t>WOS:000603655900001</t>
  </si>
  <si>
    <t>Alici, G</t>
  </si>
  <si>
    <t>Alici, Gursel</t>
  </si>
  <si>
    <t>Towards soft robotic devices for site-specific drug delivery</t>
  </si>
  <si>
    <t>capsule endoscope; gastrointestinal tract; magnetic drug carriers; robotic capsules; robotic drug delivery systems; site-specific drug delivery; soft robotics</t>
  </si>
  <si>
    <t>CAPSULE ENDOSCOPY; MAGNETIC NANOPARTICLES; MEMS DEVICE; IN-VITRO; SYSTEMS; DESIGN; CHALLENGES; MICROROBOTS; PUMP</t>
  </si>
  <si>
    <t>Considerable research efforts have recently been dedicated to the establishment of various drug delivery systems (DDS) that are mechanical/physical, chemical and biological/molecular DDS. In this paper, we report on the recent advances in site-specific drug delivery (site-specific, controlled, targeted or smart drug delivery are terms used interchangeably in the literature, to mean to transport a drug or a therapeutic agent to a desired location within the body and release it as desired with negligibly small toxicity and side effect compared to classical drug administration means such as peroral, parenteral, transmucosal, topical and inhalation) based on mechanical/physical systems consisting of implantable and robotic drug delivery systems. While we specifically focus on the robotic or autonomous DDS, which can be reprogrammable and provide multiple doses of a drug at a required time and rate, we briefly cover the implanted DDS, which are well-developed relative to the robotic DDS, to highlight the design and performance requirements, and investigate issues associated with the robotic DDS. Critical research issues associated with both DDSs are presented to describe the research challenges ahead of us in order to establish soft robotic devices for clinical and biomedical applications.</t>
  </si>
  <si>
    <t>[Alici, Gursel] Univ Wollongong, Sch Mech Mat &amp; Mechatron Engn, Wollongong, NSW 2522, Australia; [Alici, Gursel] Univ Wollongong, ARC Ctr Excellence Electromat Sci, Wollongong, NSW 2522, Australia</t>
  </si>
  <si>
    <t>University of Wollongong; University of Wollongong; ARC Centre of Excellence for Electromaterials Science</t>
  </si>
  <si>
    <t>Alici, G (corresponding author), Univ Wollongong, Sch Mech Mat &amp; Mechatron Engn, Wollongong, NSW 2522, Australia.</t>
  </si>
  <si>
    <t>gursel@uow.edu.au</t>
  </si>
  <si>
    <t>ALICI, Gursel/D-6752-2012</t>
  </si>
  <si>
    <t>ALICI, Gursel/0000-0001-6527-2881</t>
  </si>
  <si>
    <t>ARC Centre of Excellence for Electromaterials (ACES) [CE140100012]</t>
  </si>
  <si>
    <t>ARC Centre of Excellence for Electromaterials (ACES)(Australian Research Council)</t>
  </si>
  <si>
    <t>This work is partly supported by the ARC Centre of Excellence for Electromaterials (ACES) (Grant No. CE140100012) received by G Alici. The author has no other relevant affiliations or financial involvement with any organization or entity with a financial interest in or financial conflict with the subject matter or materials discussed in the manuscript apart from those disclosed.</t>
  </si>
  <si>
    <t>10.1586/17434440.2015.1091722</t>
  </si>
  <si>
    <t>DD4CZ</t>
  </si>
  <si>
    <t>WOS:000369871400007</t>
  </si>
  <si>
    <t>Spanakis, M; Xylouri, I; Patelarou, E; Patelarou, A</t>
  </si>
  <si>
    <t>Spanakis, Marios; Xylouri, Ioanna; Patelarou, Evridiki; Patelarou, Athina</t>
  </si>
  <si>
    <t>A Literature Review of High-Tech Physiotherapy Interventions in the Elderly with Neurological Disorders</t>
  </si>
  <si>
    <t>physiotherapy; neurological disorders; cognitive aging; stroke; Parkinson's disease; e-health; patient empowerment</t>
  </si>
  <si>
    <t>RANDOMIZED CONTROLLED-TRIAL; DIRECT-CURRENT STIMULATION; INDUCED MOVEMENT THERAPY; RECOVERY POST STROKE; BODY-WEIGHT SUPPORT; HOME-BASED EXERCISE; PARKINSONS-DISEASE; SUBACUTE STROKE; ELECTRICAL-STIMULATION; COGNITIVE IMPAIRMENT</t>
  </si>
  <si>
    <t>Neurological physiotherapy adopts a problem-based approach for each patient as determined by a thorough evaluation of the patient's physical and mental well-being. This work aims to provide a literature review of physical therapy interventions in the elderly with neurological diseases (NDs) and discuss physiotherapy procedures and methods that utilize cutting-edge technologies for which clinical studies are available. Hence, the review focuses on acute NDs (stroke), deteriorating NDs (Parkinson's disease), and age-related cognitive impairment. The most used physiotherapy procedures on which clinical data are available are balance and gait training (robot-assisted or not), occupational therapy, classical physiotherapy, walking and treadmill training, and upper limb robot-assisted therapy. Respectively, the most often-used equipment are types of treadmills, robotic-assisted equipment (Lokomat (R) and Gait Trainer GT1), and portable walkway systems (GAITRite (R)), along with state-of-the-art technologies of virtual reality, virtual assistants, and smartphones. The findings of this work summarize the core standard tools and procedures, but more importantly, provide a glimpse of the new era in physiotherapy with the utilization of innovative equipment tools for advanced patient monitoring and empowerment.</t>
  </si>
  <si>
    <t>[Spanakis, Marios; Xylouri, Ioanna; Patelarou, Evridiki; Patelarou, Athina] Hellen Mediterranean Univ, Sch Hlth Sci, Dept Nursing, GR-71004 Iraklion, Crete, Greece; [Spanakis, Marios] Fdn Res &amp; Technol Hellas FORTH, Inst Comp Sci, Computat Biomed Lab, GR-70013 Iraklion, Crete, Greece</t>
  </si>
  <si>
    <t>Hellenic Mediterranean University</t>
  </si>
  <si>
    <t>Spanakis, M (corresponding author), Hellen Mediterranean Univ, Sch Hlth Sci, Dept Nursing, GR-71004 Iraklion, Crete, Greece.;Spanakis, M (corresponding author), Fdn Res &amp; Technol Hellas FORTH, Inst Comp Sci, Computat Biomed Lab, GR-70013 Iraklion, Crete, Greece.</t>
  </si>
  <si>
    <t>mspanakis@hmu.gr; iwannaxyl@hotmail.gr; epatelarou@hmu.gr; apatelarou@hmu.gr</t>
  </si>
  <si>
    <t>Spanakis, Marios/I-3143-2019; Patelarou, Athina/AAZ-5643-2020; Patelarou, Evridiki/ABE-8373-2020</t>
  </si>
  <si>
    <t>Patelarou, Athina/0000-0002-0300-0650; Spanakis, Marios/0000-0003-2163-0653</t>
  </si>
  <si>
    <t>10.3390/ijerph19159233</t>
  </si>
  <si>
    <t>3S1LR</t>
  </si>
  <si>
    <t>WOS:000839364800001</t>
  </si>
  <si>
    <t>Bowman, T; Gervasoni, E; Amico, AP; Antenucci, R; Benanti, P; Boldrini, P; Bonaiuti, D; Burini, A; Castelli, E; Draicchio, F; Falabella, V; Galeri, S; Gimigliano, F; Grigioni, M; Mazzon, S; Mazzoleni, S; Mestanza Mattos, FG; Molteni, F; Morone, G; Petrarca, M; Picelli, A; Posteraro, F; Senatore, M; Turchetti, G; Crea, S; Cattaneo, D; Carrozza, MC</t>
  </si>
  <si>
    <t>Bowman, Thomas; Gervasoni, Elisa; Amico, Angelo P.; Antenucci, Roberto; Benanti, Paolo; Boldrini, Paolo; Bonaiuti, Donatella; Burini, Angelo; Castelli, Enrico; Draicchio, Francesco; Falabella, Vincenzo; Galeri, Silvia; Gimigliano, Francesca; Grigioni, Mauro; Mazzon, Stefano; Mazzoleni, Stefano; Mestanza Mattos, Fabiola G.; Molteni, Franco; Morone, Giovanni; Petrarca, Maurizio; Picelli, Alessandro; Posteraro, Federico; Senatore, Michele; Turchetti, Giuseppe; Crea, Simona; Cattaneo, Davide; Carrozza, Maria C.</t>
  </si>
  <si>
    <t>CICERONE Italian Consensus Grp Rob</t>
  </si>
  <si>
    <t>What is the impact of robotic rehabilitation on balance and gait outcomes in people with multiple sclerosis? A systematic review of randomized control trials</t>
  </si>
  <si>
    <t>Rehabilitation; Robotics; Multiple sclerosis; Gait</t>
  </si>
  <si>
    <t>BODY-WEIGHT SUPPORT; VIRTUAL-REALITY; RATING QUALITY; ADULTS; MOTOR; TECHNOLOGY; DIFFERENCE; MOBILITY; DISEASE; WALKING</t>
  </si>
  <si>
    <t>INTRODUCTION: In recent years, robot-assisted gait training (RAGT) has been proposed as therapy for balance and gait dysfunctions in people with multiple sclerosis (PwMS). Through this systematic review, we aimed to discuss the impact of RAGT on balance and gait outcomes. Furthermore, characteristics of the training in terms of robots used, participants characteristics, protocols and combined therapeutic approaches have been described. EVIDENCE ACQUISITION: As part of the Italian Consensus on robotic rehabilitation CICERONE a systematic search was provided in PubMed, the Cochrane Library and PEDro to identify relevant studies published before December 2019. Only randomized control trials (RCT) involving RAGT for PwMS were included. PEDro scale was used to assess the risk of bias and the Oxford Center for Evidence-Based Medicine (OCEBM) was used to assess level of evidence of included studies. EVIDENCE SYNTHESIS: The search on databases resulted in 336 records and, finally, 12 studies were included. RAGT was provided with Exoskeleton in ten studies (6-40 session, 2-5 per week) and with end-effector in two studies (12 sessions, 2-3 per week) with large variability in terms of participants' disability. All the exoskeletons were combined with bodyweight support treadmill and movement assistance varied from 0% to 100% depending on participants' disability, two studies combined exoskeleton with virtual reality. The end-effector speed ranged between 1.3 and 1.8 km/h, with bodyweight support starting from 50% and progressively reduced. In seven out of twelve studies RAGT was provided in a multimodal rehabilitation program or in combination with standard physical therapy. There is level 2 evidence that RAGT has positive impact in PwMS, reaching the minimally clinically importance difference in Berg Balance Scale, six-minute walking test and gait speed. CONCLUSIONS: In available RCT, RAGT is mostly provided with exoskeleton devices and improves balance and gait outcomes in a clinically meaningful way. Considering several advantages in terms of safety, motor assistance and intensity of training provided, RAGT should be promoted for PwMS with severe disability in a multimodal rehabilitation context as an opportunity to maximize recovery.</t>
  </si>
  <si>
    <t>[Bowman, Thomas; Gervasoni, Elisa; Galeri, Silvia; Mestanza Mattos, Fabiola G.; Crea, Simona; Cattaneo, Davide; Carrozza, Maria C.] IRCCS Fdn Don Carlo Gnocchi ONLUS, Milan, Italy; [Bowman, Thomas; Mazzoleni, Stefano; Crea, Simona; Carrozza, Maria C.] Scuola Super Sant Anna, BioRobot Inst, Pisa, Italy; [Amico, Angelo P.] Policlin Bari Univ Hosp, Spinal Unit, Bari, Italy; [Antenucci, Roberto] AUSL, Unit Rehabil Med, Hosp Castelsangiovanni, Piacenza, Italy; [Benanti, Paolo] Pontifical Gregorian Univ, Dept Moral Theol, Rome, Italy; [Boldrini, Paolo; Bonaiuti, Donatella] Italian Soc Phys &amp; Rehabil Med SIMFER, Rome, Italy; [Boldrini, Paolo] Gen Secretary European Soc Phys &amp; Rehabil Med ESP, Rotterdam, Netherlands; [Burini, Angelo] Confapi, Humantech, Milan, Italy; [Castelli, Enrico] Bambino Gesu Pediat Hosp, Dept Intens Neurorehabil &amp; Robot, Rome, Italy; [Draicchio, Francesco] INAIL, Epidemiol &amp; Hyg, Dept Occupat &amp; Environm Med, Rome, Italy; [Falabella, Vincenzo] Italian Federat Persons Spinal Cord Injuries Faip, Rome, Italy; [Gimigliano, Francesca] Luigi Vanvitelli Univ Campania, Dept Mental &amp; Phys Hlth &amp; Prevent Med, Naples, Italy; [Grigioni, Mauro] Italian Natl Inst Hlth, Natl Ctr Innovat Technol Publ Hlth, Rome, Italy; [Mazzon, Stefano] Euganea Camposampiero Hosp, ULSS Local Hlth Author, Unit Rehabil, Padua, Italy; [Mazzoleni, Stefano] Polytech Univ Bari, Dept Elect &amp; Informat Engn DEI, Bari, Italy; [Molteni, Franco] Valduce Villa Beretta Hosp, Costa Masnaga, Lecco, Italy; [Morone, Giovanni] Santa Lucia Fdn IRCCS, Rome, Italy; [Petrarca, Maurizio] Bambino Gesu Pediat Hosp, IRCCS, Movement Anal &amp; Robot Lab MARlab, Dept Neurorehabil &amp; Robot, Rome, Italy; [Picelli, Alessandro] Univ Verona, Dept Neurosci Biomed &amp; Movement Sci, Verona, Italy; [Posteraro, Federico] AUSL Toscana Nord Ovest, Versilia Hosp, Dept Rehabil, Camaiore, Lucca, Italy; [Senatore, Michele] Italian Assoc Occupat Therapists AITO, Rome, Italy; [Turchetti, Giuseppe] Scuola Super Sant Anna, Inst Management, Pisa, Italy</t>
  </si>
  <si>
    <t>Scuola Superiore Sant'Anna; Universita degli Studi di Bari Aldo Moro; IRCCS Bambino Gesu; Istituto Nazionale per l'Assicurazione Contro gli Infortuni sul Lavoro (INAIL); Universita della Campania Vanvitelli; Istituto Superiore di Sanita (ISS); Politecnico di Bari; IRCCS Santa Lucia; IRCCS Bambino Gesu; University of Verona; Ospedale Versilia; Scuola Superiore Sant'Anna</t>
  </si>
  <si>
    <t>Bowman, T (corresponding author), IRCCS Fdn Don Carlo Gnocchi ONLUS, Gait &amp; Balance Disorders Lab, LaRiCE Lab, Dept Neurorehabil, Via Capecelatro 66, I-20148 Milan, Italy.</t>
  </si>
  <si>
    <t>tbowman@dongnocchi.it</t>
  </si>
  <si>
    <t>Picelli, Alessandro/K-5610-2016; Morone, Giovanni/AAN-2666-2020; Oddo, Calogero/B-7798-2009; Antenucci, Roberto/AAA-8195-2020; Cattaneo, Davide/J-2911-2012; Gervasoni, Elisa/J-1723-2018; Mazzoleni, Stefano/AAM-8581-2020; Molteni, Franco/J-4455-2016; bowman, thomas/AAC-1223-2019; Gimigliano, Francesca/B-6735-2013; Francesco, Draicchio/AAC-7681-2022; Mestanza Mattos, Fabiola Giovanna/GRJ-8406-2022; Petrarca, Maurizio/B-4181-2019; Mazzoleni, Stefano/B-5875-2011; Morone, Giovanni/A-9561-2013; Jonsdottir, Johanna/X-9348-2019; NARDONE, Antonio/J-8733-2016; Turchetti, Giuseppe/K-5393-2018</t>
  </si>
  <si>
    <t>Cavalli, Loredana/0000-0003-4075-933X; Capecci, Marianna/0000-0002-1472-606X; bowman, thomas/0000-0002-9268-3915; Mestanza Mattos, Fabiola Giovanna/0000-0001-8143-2814; BARICICH, Alessio/0000-0001-8440-6283; Petrarca, Maurizio/0000-0002-7330-3569; Mazzoleni, Stefano/0000-0002-9528-3239; Taglione, Elisa/0000-0002-0284-9011; Morone, Giovanni/0000-0003-3602-4197; Antenucci, Roberto/0000-0002-7205-8995; Gimigliano, Francesca/0000-0002-1905-6405; Jonsdottir, Johanna/0000-0002-8287-4881; NARDONE, Antonio/0000-0002-9547-1774; Turchetti, Giuseppe/0000-0002-1877-5459</t>
  </si>
  <si>
    <t>10.23736/S1973-9087.21.06692-2</t>
  </si>
  <si>
    <t>SB8CN</t>
  </si>
  <si>
    <t>WOS:000650215100009</t>
  </si>
  <si>
    <t>Gassert, R; Dietz, V</t>
  </si>
  <si>
    <t>Gassert, Roger; Dietz, Volker</t>
  </si>
  <si>
    <t>Rehabilitation robots for the treatment of sensorimotor deficits: a neurophysiological perspective</t>
  </si>
  <si>
    <t>Robot-assisted therapy; Neurorehabilitation technology; Assist-as-needed; Stroke; Spinal cord injury; Locomotion; Upper limb function; Sensorimotor neurophysiology; Neuroplasticity</t>
  </si>
  <si>
    <t>SPINAL-CORD-INJURY; LIMB STROKE REHABILITATION; WEIGHT-SUPPORTED TREADMILL; COOPERATIVE HAND MOVEMENTS; ASSISTED THERAPY; MOTOR RECOVERY; LOCOMOTOR-ACTIVITY; UPPER-EXTREMITY; DOSE-RESPONSE; PROPORTIONAL RECOVERY</t>
  </si>
  <si>
    <t>The past decades have seen rapid and vast developments of robots for the rehabilitation of sensorimotor deficits after damage to the central nervous system (CNS). Many of these innovations were technology-driven, limiting their clinical application and impact. Yet, rehabilitation robots should be designed on the basis of neurophysiological insights underlying normal and impaired sensorimotor functions, which requires interdisciplinary collaboration and background knowledge. Recovery of sensorimotor function after CNS damage is based on the exploitation of neuroplasticity, with a focus on the rehabilitation of movements needed for self-independence. This requires a physiological limb muscle activation that can be achieved through functional arm/hand and leg movement exercises and the activation of appropriate peripheral receptors. Such considerations have already led to the development of innovative rehabilitation robots with advanced interaction control schemes and the use of integrated sensors to continuously monitor and adapt the support to the actual state of patients, but many challenges remain. For a positive impact on outcome of function, rehabilitation approaches should be based on neurophysiological and clinical insights, keeping in mind that recovery of function is limited. Consequently, the design of rehabilitation robots requires a combination of specialized engineering and neurophysiological knowledge. When appropriately applied, robot-assisted therapy can provide a number of advantages over conventional approaches, including a standardized training environment, adaptable support and the ability to increase therapy intensity and dose, while reducing the physical burden on therapists. Rehabilitation robots are thus an ideal means to complement conventional therapy in the clinic, and bear great potential for continued therapy and assistance at home using simpler devices. This review summarizes the evolution of the field of rehabilitation robotics, as well as the current state of clinical evidence. It highlights fundamental neurophysiological factors influencing the recovery of sensorimotor function after a stroke or spinal cord injury, and discusses their implications for the development of effective rehabilitation robots. It thus provides insights on essential neurophysiological mechanisms to be considered for a successful development and clinical inclusion of robots in rehabilitation.</t>
  </si>
  <si>
    <t>[Gassert, Roger] Swiss Fed Inst Technol, Dept Hlth Sci &amp; Technol, CH-8092 Zurich, Switzerland; [Dietz, Volker] Balgrist Univ Hosp, Spinal Cord Injury Ctr, CH-8008 Zurich, Switzerland</t>
  </si>
  <si>
    <t>Gassert, R (corresponding author), Swiss Fed Inst Technol, Dept Hlth Sci &amp; Technol, CH-8092 Zurich, Switzerland.</t>
  </si>
  <si>
    <t>roger.gassert@hest.ethz.ch</t>
  </si>
  <si>
    <t>Gassert, Roger/I-1591-2019; Gassert, Roger/B-6351-2011</t>
  </si>
  <si>
    <t>Gassert, Roger/0000-0002-6373-8518</t>
  </si>
  <si>
    <t>ETH Zurich Foundation; Hocoma AG</t>
  </si>
  <si>
    <t>ETH Zurich Foundation(ETH Zurich); Hocoma AG</t>
  </si>
  <si>
    <t>The chair in Rehabilitation Engineering (RG) is supported by the ETH Zurich Foundation in collaboration with Hocoma AG.</t>
  </si>
  <si>
    <t>JUN 5</t>
  </si>
  <si>
    <t>10.1186/s12984-018-0383-x</t>
  </si>
  <si>
    <t>GI3RC</t>
  </si>
  <si>
    <t>Green Published, Green Accepted, gold</t>
  </si>
  <si>
    <t>WOS:000434287800001</t>
  </si>
  <si>
    <t>Lin, IH; Tsai, HT; Wang, CY; Hsu, CY; Liou, TH; Lin, YN</t>
  </si>
  <si>
    <t>Lin, I-Hsien; Tsai, Han-Ting; Wang, Chien-Yung; Hsu, Chih-Yang; Liou, Tsan-Hon; Lin, Yen-Nung</t>
  </si>
  <si>
    <t>Effectiveness and Superiority of Rehabilitative Treatments in Enhancing Motor Recovery Within 6 Months Poststroke: A Systemic Review</t>
  </si>
  <si>
    <t>Occupational therapy; Physical therapy modalities; Recovery of function; Rehabilitation; Stroke</t>
  </si>
  <si>
    <t>CONSTRAINT-INDUCED MOVEMENT; FUNCTIONAL ELECTRICAL-STIMULATION; RANDOMIZED CONTROLLED-TRIAL; SUBACUTE STROKE PATIENTS; UPPER-EXTREMITY FUNCTION; ROBOT-ASSISTED THERAPY; WHOLE-BODY VIBRATION; UPPER-LIMB RECOVERY; MIRROR THERAPY; VIRTUAL-REALITY</t>
  </si>
  <si>
    <t>Objective: To investigate the effects of various rehabilitative interventions aimed at enhancing poststroke motor recovery by assessing their effectiveness when compared with no treatment or placebo and their superiority when compared with conventional training program (CTP). Data Source: A literature search was based on 19 Cochrane reviews and 26 other reviews. We also updated the searches in PubMed up to September 30, 2017. Study Selection: Randomized controlled trials associated with 18 experimented training programs (ETP) were included if they evaluated the effects of the programs on either upper extremity (UE) or lower extremity (LE) motor recovery among adults within 6 months poststroke; included &gt;= 10 participants in each arm; and had an intervention duration of &gt;= 10 consecutive weekdays. Data Extraction: Four reviewers evaluated the eligibility and quality of literature. Methodological quality was assessed using the PEDro scale. Data Synthesis: Among the 178 included studies, 129 including 7450 participants were analyzed in this meta-analysis. Six ETPs were significantly effective in enhancing UE motor recovery, with the standard mean differences (SMDs) and 95% confidence intervals outlined as follow: constraint-induced movement therapy (0.82, 0.45-1.19), electrostimulation (ES)-motor (0.42, 0.22-0.63), mirror therapy (0.71, 0.22-1.20), mixed approach (0.21, 0.01-0.41), robot-assisted training (0.51, 0.22-0.80), and task-oriented training (0.57, 0.16-0.99). Six ETPs were significantly effective in enhancing LE motor recovery: body-weight-supported treadmill training (0.27, 0.01-0.52), caregiver-mediated training (0.64, 0.20-1.08), ES-motor (0.55, 0.27-0.83), mixed approach (0.35, 0.15-0.54), mirror therapy (0.56, 0.13-1.00), and virtual reality (0.60, 0.15-1.05). However, compared with CTPs, almost none of the ETPs exhibited significant SMDs for superiority. Conclusions: Certain experimented interventions were effective in enhancing poststroke motor recovery, but little evidence supported the superiority of experimented interventions over conventional rehabilitation. (C) 2018 by the American Congress of Rehabilitation Medicine</t>
  </si>
  <si>
    <t>[Lin, I-Hsien; Tsai, Han-Ting; Wang, Chien-Yung; Lin, Yen-Nung] Taipei Med Univ, Wan Fang Hosp, Dept Phys Med &amp; Rehabil, 111 Hsing Long Rd,Sect 3, Taipei 116, Taiwan; [Hsu, Chih-Yang; Liou, Tsan-Hon] Taipei Med Univ, Shuang Ho Hosp, Dept Phys Med &amp; Rehabil, New Taipei, Taiwan; [Lin, Yen-Nung] Taipei Med Univ, Inst Injury Prevent &amp; Control, Taipei, Taiwan</t>
  </si>
  <si>
    <t>Taipei Medical University; Taipei Municipal WanFang Hospital; Taipei Medical University; Shuang Ho Hospital; Taipei Medical University</t>
  </si>
  <si>
    <t>Lin, YN (corresponding author), Taipei Med Univ, Wan Fang Hosp, Dept Phys Med &amp; Rehabil, 111 Hsing Long Rd,Sect 3, Taipei 116, Taiwan.</t>
  </si>
  <si>
    <t>semitune@gmail.com</t>
  </si>
  <si>
    <t>Liou, Tsan-Hon/I-8808-2019; Wang, Shengfan/JPA-1676-2023; Lin, Yen-Nung/J-5278-2019</t>
  </si>
  <si>
    <t>Tsai, HanTing/0000-0001-6775-848X; Lin, Yen-Nung/0000-0002-7350-503X; Liou, Tsan-Hon/0000-0002-0959-4023</t>
  </si>
  <si>
    <t>Wan Fang Medical Center, Taipei Medical University [106-eva-07]</t>
  </si>
  <si>
    <t>Wan Fang Medical Center, Taipei Medical University</t>
  </si>
  <si>
    <t>Supported by Wan Fang Medical Center, Taipei Medical University (grant no. 106-eva-07).</t>
  </si>
  <si>
    <t>10.1016/j.apmr.2018.09.123</t>
  </si>
  <si>
    <t>HL3EZ</t>
  </si>
  <si>
    <t>WOS:000458597000019</t>
  </si>
  <si>
    <t>van Delden, AEQ; Peper, CE; Harlaar, J; Daffertshofer, A; Zijp, NI; Nienhuys, K; Koppe, P; Kwakkel, G; Beek, PJ</t>
  </si>
  <si>
    <t>van Delden, A. (Lex) E. Q.; Peper, C. (Lieke) E.; Harlaar, Jaap; Daffertshofer, Andreas; Zijp, Nienke I.; Nienhuys, Kirsten; Koppe, Peter; Kwakkel, Gert; Beek, Peter J.</t>
  </si>
  <si>
    <t>Comparing unilateral and bilateral upper limb training: The ULTRA-stroke program design</t>
  </si>
  <si>
    <t>BMC NEUROLOGY</t>
  </si>
  <si>
    <t>INDUCED MOVEMENT THERAPY; UPPER EXTREMITY FUNCTION; CONSTRAINT-INDUCED THERAPY; MOTOR CORTEX ACTIVATION; ACTIVE FINGER EXTENSION; FUNCTIONAL REORGANIZATION; CORTICAL REORGANIZATION; PHASE-TRANSITIONS; ARM FUNCTION; PHYSICAL REHABILITATION</t>
  </si>
  <si>
    <t>Background: About 80% of all stroke survivors have an upper limb paresis immediately after stroke, only about a third of whom (30 to 40%) regain some dexterity within six months following conventional treatment programs. Of late, however, two recently developed interventions constraint-induced movement therapy (CIMT) and bilateral arm training with rhythmic auditory cueing (BATRAC) - have shown promising results in the treatment of upper limb paresis in chronic stroke patients. The ULTRA-stroke (acronym for Upper Limb TRaining After stroke) program was conceived to assess the effectiveness of these interventions in subacute stroke patients and to examine how the observed changes in sensori-motor functioning relate to changes in stroke recovery mechanisms associated with peripheral stiffness, interlimb interactions, and cortical inter- and intrahemispheric networks. The present paper describes the design of this single-blinded randomized clinical trial (RCT), which has recently started and will take several years to complete. Methods/Design: Sixty patients with a first ever stroke will be recruited. Patients will be stratified in terms of their remaining motor ability at the distal part of the arm (i.e., wrist and finger movements) and randomized over three intervention groups receiving modified CIMT, modified BATRAC, or an equally intensive (i.e., dose-matched) conventional treatment program for 6 weeks. Primary outcome variable is the score on the Action Research Arm test (ARAT), which will be assessed before, directly after, and 6 weeks after the intervention. During those test sessions all patients will also undergo measurements aimed at investigating the associated recovery mechanisms using haptic robots and magneto-encephalography (MEG). Discussion: ULTRA-stroke is a 3-year translational research program which aims (1) to assess the relative effectiveness of the three interventions, on a group level but also as a function of patient characteristics, and (2) to delineate the functional and neurophysiological changes that are induced by those interventions. The outcome on the ARAT together with information about changes in the associated mechanisms will provide a better understanding of how specific therapies influence neurobiological changes, and which post-stroke conditions lend themselves to specific treatments.</t>
  </si>
  <si>
    <t>[van Delden, A. (Lex) E. Q.; Peper, C. (Lieke) E.; Daffertshofer, Andreas; Beek, Peter J.] Vrije Univ Amsterdam, Fac Human Movement Sci, Res Inst MOVE, NL-1081 BT Amsterdam, Netherlands; [Harlaar, Jaap; Kwakkel, Gert] Vrije Univ Amsterdam, Med Ctr, Dept Rehabil Med, Res Inst MOVE, NL-1081 HV Amsterdam, Netherlands; [Zijp, Nienke I.; Nienhuys, Kirsten; Koppe, Peter] Rehabil Ctr Amsterdam, NL-1054 HW Amsterdam, Netherlands</t>
  </si>
  <si>
    <t>Vrije Universiteit Amsterdam; Vrije Universiteit Amsterdam</t>
  </si>
  <si>
    <t>van Delden, AEQ (corresponding author), Vrije Univ Amsterdam, Fac Human Movement Sci, Res Inst MOVE, Boechorststr 9, NL-1081 BT Amsterdam, Netherlands.</t>
  </si>
  <si>
    <t>l.vandelden@fbw.vu.nl; c_e_peper@fbw.vu.nl; j.harlaar@vumc.nl; a.daffertshofer@fbw.vu.nl; n.zijp@rcamsterdam.nl; k.nienhuys@rcamsterdam.nl; p.koppe@rcamsterdam.nl; g.kwakkel@vumc.nl; p.beek@fbw.vu.nl</t>
  </si>
  <si>
    <t>Beek, Peter/0000-0002-0917-8548; Kwakkel, Gert/0000-0002-4041-4043; Harlaar, Jaap/0000-0003-2889-271X; Daffertshofer, Andreas/0000-0001-9107-3552</t>
  </si>
  <si>
    <t>Research Institute MOVE; VU University Amsterdam</t>
  </si>
  <si>
    <t>This research is funded by the Research Institute MOVE, VU University Amsterdam. The authors thank Bert Clairbois, Bert Coolen, and Hans Agricola and the department of Physics and Medical Technology for their technical support in developing and producing the BATRAC exercise apparatuses and the equipment to measure interlimb interactions.</t>
  </si>
  <si>
    <t>1471-2377</t>
  </si>
  <si>
    <t>BMC NEUROL</t>
  </si>
  <si>
    <t>BMC Neurol.</t>
  </si>
  <si>
    <t>10.1186/1471-2377-9-57</t>
  </si>
  <si>
    <t>523EO</t>
  </si>
  <si>
    <t>WOS:000272055100001</t>
  </si>
  <si>
    <t>Forbrigger, S; DePaul, VG; Davies, TC; Morin, E; Hashtrudi-Zaad, K</t>
  </si>
  <si>
    <t>Forbrigger, Shane; DePaul, Vincent G.; Davies, T. Claire; Morin, Evelyn; Hashtrudi-Zaad, Keyvan</t>
  </si>
  <si>
    <t>Home-based upper limb stroke rehabilitation mechatronics: challenges and opportunities</t>
  </si>
  <si>
    <t>Rehabilitation robotics; Physical patient-robot interaction; Design methods</t>
  </si>
  <si>
    <t>INTERNATIONAL CLASSIFICATION; ROBOT; DESIGN; EXOSKELETON; DISABILITY; THERAPY; DEVICE; WRIST; HAND; TIME</t>
  </si>
  <si>
    <t>Interest in home-based stroke rehabilitation mechatronics, which includes both robots and sensor mechanisms, has increased over the past 12 years. The COVID-19 pandemic has exacerbated the existing lack of access to rehabilitation for stroke survivors post-discharge. Home-based stroke rehabilitation devices could improve access to rehabilitation for stroke survivors, but the home environment presents unique challenges compared to clinics. The present study undertakes a scoping review of designs for at-home upper limb stroke rehabilitation mechatronic devices to identify important design principles and areas for improvement. Online databases were used to identify papers published 2010-2021 describing novel rehabilitation device designs, from which 59 publications were selected describing 38 unique designs. The devices were categorized and listed according to their target anatomy, possible therapy tasks, structure, and features. Twenty-two devices targeted proximal (shoulder and elbow) anatomy, 13 targeted distal (wrist and hand) anatomy, and three targeted the whole arm and hand. Devices with a greater number of actuators in the design were more expensive, with a small number of devices using a mix of actuated and unactuated degrees of freedom to target more complex anatomy while reducing the cost. Twenty-six of the device designs did not specify their target users' function or impairment, nor did they specify a target therapy activity, task, or exercise. Twenty-three of the devices were capable of reaching tasks, 6 of which included grasping capabilities. Compliant structures were the most common approach of including safety features in the design. Only three devices were designed to detect compensation, or undesirable posture, during therapy activities. Six of the 38 device designs mention consulting stakeholders during the design process, only two of which consulted patients specifically. Without stakeholder involvement, these designs risk being disconnected from user needs and rehabilitation best practices. Devices that combine actuated and unactuated degrees of freedom allow a greater variety and complexity of tasks while not significantly increasing their cost. Future home-based upper limb stroke rehabilitation mechatronic designs should provide information on patient posture during task execution, design with specific patient capabilities and needs in mind, and clearly link the features of the design to users' needs.</t>
  </si>
  <si>
    <t>[Forbrigger, Shane; Morin, Evelyn; Hashtrudi-Zaad, Keyvan] Queens Univ, Dept Elect &amp; Comp Engn, Kingston, ON, Canada; [DePaul, Vincent G.] Queens Univ, Sch Rehabil Therapy, Kingston, ON, Canada; [Davies, T. Claire] Queens Univ, Dept Mech &amp; Mat Engn, Kingston, ON, Canada</t>
  </si>
  <si>
    <t>Queens University - Canada; Queens University - Canada; Queens University - Canada</t>
  </si>
  <si>
    <t>Hashtrudi-Zaad, K (corresponding author), Queens Univ, Dept Elect &amp; Comp Engn, Kingston, ON, Canada.</t>
  </si>
  <si>
    <t>khz@queensu.ca</t>
  </si>
  <si>
    <t>DePaul, Vincent/K-3053-2015; Forbrigger, Shane/AAF-8619-2020</t>
  </si>
  <si>
    <t>Forbrigger, Shane/0000-0002-7131-9823</t>
  </si>
  <si>
    <t>Queen's University Faculty of Engineering and Applied Science Dean's Research Fund [12063]; Natural Sciences and Engineering Research Council of Canada [RGPIN-05609]</t>
  </si>
  <si>
    <t>Queen's University Faculty of Engineering and Applied Science Dean's Research Fund; Natural Sciences and Engineering Research Council of Canada(Natural Sciences and Engineering Research Council of Canada (NSERC)CGIAR)</t>
  </si>
  <si>
    <t>This work was supported through funding from the Queen's University Faculty of Engineering and Applied Science Dean's Research Fund [12063], and the Natural Sciences and Engineering Research Council of Canada [RGPIN-05609].</t>
  </si>
  <si>
    <t>JUL 9</t>
  </si>
  <si>
    <t>10.1186/s12938-023-01133-8</t>
  </si>
  <si>
    <t>L7OQ7</t>
  </si>
  <si>
    <t>WOS:001025120800001</t>
  </si>
  <si>
    <t>Baronchelli, F; Zucchella, C; Serrao, M; Intiso, D; Bartolo, M</t>
  </si>
  <si>
    <t>Baronchelli, Federica; Zucchella, Chiara; Serrao, Mariano; Intiso, Domenico; Bartolo, Michelangelo</t>
  </si>
  <si>
    <t>The Effect of Robotic Assisted Gait Training With Lokomat® on Balance Control After Stroke: Systematic Review and Meta-Analysis</t>
  </si>
  <si>
    <t>balance; Lokomat (R); exoskeleton; robotics; stroke; neurorehabilitation; gait</t>
  </si>
  <si>
    <t>GROWTH-ASSOCIATED GENE; QUALITY-OF-LIFE; COMMUNITY AMBULATION; ELDERLY-PATIENTS; LOWER-EXTREMITY; SINGLE-BLIND; REHABILITATION; SCALE; INDIVIDUALS; EXPRESSION</t>
  </si>
  <si>
    <t>Introduction: Disturbances of balance control are common after stroke, affecting the quality of gait and increasing the risk of falls. Because balance and gait disorders may persist also in the chronic stage, reducing individual independence and participation, they represent primary goals of neurorehabilitation programs. For this purpose, in recent years, numerous technological devices have been developed, among which one of the most widespread is the Lokomat (R), an actuated exoskeleton that guide the patient's limbs, simulating a symmetrical bilateral gait. Preliminary evidence suggests that beyond gait parameters, robotic assisted gait training may also improve balance. Therefore, the aim of this systematic review was to summarize evidence about the effectiveness of Lokomat (R) in improving balance in stroke patients. Methods: Randomized controlled trials published between January 1989 and August 2020, comparing Lokomat (R) training to conventional therapy for stroke patients, were retrieved from seven electronic databases. Balance, assessed by means of validated clinical scales, was considered as outcome measure. The Physiotherapy Evidence Database (PEDro) scale was used to evaluate the methodological quality of the studies. The study protocol was registered on PROSPERO (no. CRD42020197531). Results: After the removal of the duplicates, according to the inclusion criteria, 13 studies were selected, involving 445 subacute or chronic stroke patients. Eleven papers contributed to three meta-analyses. Favorable results for recovery of balance in stroke survivors treated with Lokomat (R) were shown using Timed Up and Go (pooled mean difference = -3.40, 95% CI -4.35 to -2.44; p &lt; 0.00001) and Rivermead Mobility Index as outcome measures (pooled mean difference = 0.40, 95% CI 0.26-0.55; p &lt; 0.00001). Inconclusive results were found when balance was measured by means of the Berg Balance Scale (pooled mean difference = 0.17, 95% CI -0.26 to 0.60; p = 0.44). Conclusions: Overall, most studies have shown beneficial effects of Lokomat (R) on balance recovery for stroke survivors, at least comparable to conventional physical therapy. However, due to the limited number of studies and their high heterogeneity, further research is needed to draw more solid and definitive conclusions.</t>
  </si>
  <si>
    <t>[Baronchelli, Federica] Physiotherapy Ctr Kine, Cremona, Italy; [Zucchella, Chiara] Univ Hosp Verona, Neurol Unit, Verona, Italy; [Serrao, Mariano] Sapienza Univ Rome Polo Pontino, Dept Medicosurg Sci &amp; Biotechnol, Latina, Italy; [Intiso, Domenico] Ist Ricovero &amp; Cura Carattere Sci IRCCS, Unit Neuro Rehabil &amp; Rehabil Med, San Giovanni Rotondo, Italy; [Bartolo, Michelangelo] HABILITA Zingonia, Dept Rehabil, Neurorehabil Unit, Ciserano, Italy</t>
  </si>
  <si>
    <t>University of Verona; Azienda Ospedaliera Universitaria Integrata Verona; Sapienza University Rome</t>
  </si>
  <si>
    <t>Bartolo, M (corresponding author), HABILITA Zingonia, Dept Rehabil, Neurorehabil Unit, Ciserano, Italy.</t>
  </si>
  <si>
    <t>bartolomichelangelo@gmail.com</t>
  </si>
  <si>
    <t>Serrao, Mariano/K-6972-2016; Intiso, Domenico/H-2414-2016</t>
  </si>
  <si>
    <t>Zucchella, Chiara/0000-0002-5383-0468</t>
  </si>
  <si>
    <t>JUL 6</t>
  </si>
  <si>
    <t>10.3389/fneur.2021.661815</t>
  </si>
  <si>
    <t>TK9IA</t>
  </si>
  <si>
    <t>WOS:000674467000001</t>
  </si>
  <si>
    <t>Robinson, MO; Linder, BJ</t>
  </si>
  <si>
    <t>Robinson, Maraika O.; Linder, Brian J.</t>
  </si>
  <si>
    <t>Evaluation and treatment of pelvic organ prolapse</t>
  </si>
  <si>
    <t>MINERVA MEDICA</t>
  </si>
  <si>
    <t>Pelvic organ prolapse; Cystocele; Hernia; Rectocele; Hysterectomy; Surgical mesh</t>
  </si>
  <si>
    <t>PERIOPERATIVE BEHAVIORAL-THERAPY; STRESS URINARY-INCONTINENCE; VAGINAL PROLAPSE; FLOOR DISORDERS; PESSARY USE; OVERACTIVE BLADDER; NATURAL-HISTORY; PREVALENCE; OUTCOMES; SURGERY</t>
  </si>
  <si>
    <t>Pelvic organ prolapse is a common condition that can have a large impact on a patient's quality of life. Patients with prolapse may present with a vaginal bulge or pressure, bladder, bowel, or sexual symptoms. The diagnosis is confirmed on physical examination which may show descent of the anterior vaginal wall, vaginal apex (cervix/uterus or vaginal cuff in those with a prior hysterectomy), posterior vaginal wall, or a combination of these. Patients with asymptomatic prolapse can typically be reassured that it may be managed with observation, though might gradually progress with time. In patients with symptomatic prolapse, management options include conservative measures, pessary use, or surgical intervention. Pessaries can successfully be fitted for most patients that prefer this line of therapy. Surgical interventions include native tissue transvaginal surgeries or a transabdominal (laparoscopic or robotic) approach with use of polypro-pylene mesh. The choice of surgical procedure includes consideration of an individual's medical and surgical history, physical exam findings, differences in the risks and durability of the operations, and the patient's preference. Ultimately, the surgical plan is based on shared decision making with the patient to best achieve their treatment goals. In this article we will review pertinent clinical considerations in the diagnosis, evaluation, and management of pelvic organ prolapse.</t>
  </si>
  <si>
    <t>[Robinson, Maraika O.; Linder, Brian J.] Mayo Clin, Dept Urol, Rochester, MN USA; [Linder, Brian J.] Mayo Clin, Dept Obstet &amp; Gynecol, Rochester, MN USA; [Linder, Brian J.] Mayo Clin, Dept Urol, First St SW 200, Rochester, MN 55905 USA</t>
  </si>
  <si>
    <t>Mayo Clinic; Mayo Clinic; Mayo Clinic</t>
  </si>
  <si>
    <t>Linder, BJ (corresponding author), Mayo Clin, Dept Urol, First St SW 200, Rochester, MN 55905 USA.</t>
  </si>
  <si>
    <t>linder.brian@mayo.edu</t>
  </si>
  <si>
    <t>Muavha, Dakalo/0000-0002-8673-6638</t>
  </si>
  <si>
    <t>0026-4806</t>
  </si>
  <si>
    <t>1827-1669</t>
  </si>
  <si>
    <t>MINERVA MED</t>
  </si>
  <si>
    <t>Minerva Med.</t>
  </si>
  <si>
    <t>10.23736/S0026-4806.22.08396-3</t>
  </si>
  <si>
    <t>O9BM0</t>
  </si>
  <si>
    <t>WOS:001046699100010</t>
  </si>
  <si>
    <t>Zhao, YW; Ran, B; Lee, D; Liao, JF</t>
  </si>
  <si>
    <t>Zhao, Yiwen; Ran, Bei; Lee, Dashiell; Liao, Jinfeng</t>
  </si>
  <si>
    <t>Photo-Controllable Smart Hydrogels for Biomedical Application: A Review</t>
  </si>
  <si>
    <t>SMALL METHODS</t>
  </si>
  <si>
    <t>photo-controllable hydrogels; antibacterial therapy; tissue regeneration; disease diagnosis; disease monitoring</t>
  </si>
  <si>
    <t>INSPIRED SOFT ROBOTICS; DRUG-DELIVERY; EXTRACELLULAR-MATRIX; PHOTOTHERMAL THERAPY; PHASE-TRANSITION; LIGHT; NANOPARTICLES; SCAFFOLDS; RELEASE; ACID</t>
  </si>
  <si>
    <t>Nowadays, smart hydrogels are being widely studied by researchers because of their advantages such as simple preparation, stable performance, response to external stimuli, and easy control of response behavior. Photo-controllable smart hydrogels (PCHs) are a class of responsive hydrogels whose physical and chemical properties can be changed when stimulated by light at specific wavelengths. Since the light source is safe, clean, simple to operate, and easy to control, PCHs have broad application prospects in the biomedical field. Therefore, this review timely summarizes the latest progress in the PCHs field, with an emphasis on the design principles of typical PCHs and their multiple biomedical applications in tissue regeneration, tumor therapy, antibacterial therapy, diseases diagnosis and monitoring, etc. Meanwhile, the challenges and perspectives of widespread practical implementation of PCHs are presented in biomedical applications. This study hopes that PCHs will flourish in the biomedical field and this review will provide useful information for interested researchers. Photo-controllable smart hydrogels are a class of responsive hydrogels whose physical and chemical properties can be changed under the light stimulation. This review timely presents the latest progress in the PCHs field, with an emphasis on the design principles of typical PCHs and their biomedical applications in tissue regeneration, tumor therapy, antibacterial therapy, disease diagnosis, and monitoring.image</t>
  </si>
  <si>
    <t>[Zhao, Yiwen; Lee, Dashiell; Liao, Jinfeng] Sichuan Univ, West China Hosp Stomatol, State Key Lab Oral Dis, Chengdu 610041, Sichuan, Peoples R China; [Zhao, Yiwen; Lee, Dashiell; Liao, Jinfeng] Sichuan Univ, West China Hosp Stomatol, Natl Ctr Stomatol, Chengdu 610041, Sichuan, Peoples R China; [Zhao, Yiwen; Lee, Dashiell; Liao, Jinfeng] Sichuan Univ, West China Hosp Stomatol, Natl Clin Res Ctr Oral Dis, Chengdu 610041, Sichuan, Peoples R China; [Ran, Bei] Sichuan Univ, Inst Regulatory Sci Med Devices, Chengdu 610041, Sichuan, Peoples R China</t>
  </si>
  <si>
    <t>Sichuan University; Sichuan University; Sichuan University; Sichuan University</t>
  </si>
  <si>
    <t>Liao, JF (corresponding author), Sichuan Univ, West China Hosp Stomatol, State Key Lab Oral Dis, Chengdu 610041, Sichuan, Peoples R China.;Liao, JF (corresponding author), Sichuan Univ, West China Hosp Stomatol, Natl Ctr Stomatol, Chengdu 610041, Sichuan, Peoples R China.;Liao, JF (corresponding author), Sichuan Univ, West China Hosp Stomatol, Natl Clin Res Ctr Oral Dis, Chengdu 610041, Sichuan, Peoples R China.</t>
  </si>
  <si>
    <t>liaojinfeng.762@scu.edu.cn</t>
  </si>
  <si>
    <t>Zhao, Yiwen/KHC-9907-2024</t>
  </si>
  <si>
    <t>Zhao, Yiwen/0000-0002-7346-9307</t>
  </si>
  <si>
    <t>Y.Z. and B.R. contributed equally to this work. This work was financially supported by the National Natural Science Foundation of China (32171354, 22378279), and the Fundamental Research Funds for the Central Universities (YJ2022077). [32171354, 22378279]; National Natural Science Foundation of China [YJ2022077]; Fundamental Research Funds for the Central Universities</t>
  </si>
  <si>
    <t>Y.Z. and B.R. contributed equally to this work. This work was financially supported by the National Natural Science Foundation of China (32171354, 22378279), and the Fundamental Research Funds for the Central Universities (YJ2022077).; National Natural Science Foundation of China(National Natural Science Foundation of China (NSFC)); Fundamental Research Funds for the Central Universities(Fundamental Research Funds for the Central Universities)</t>
  </si>
  <si>
    <t>Y.Z. and B.R. contributed equally to this work. This work was financially supported by the National Natural Science Foundation of China (32171354, 22378279), and the Fundamental Research Funds for the Central Universities (YJ2022077).</t>
  </si>
  <si>
    <t>2366-9608</t>
  </si>
  <si>
    <t>Small Methods</t>
  </si>
  <si>
    <t>10.1002/smtd.202301095</t>
  </si>
  <si>
    <t>Chemistry, Physical; Nanoscience &amp; Nanotechnology; Materials Science, Multidisciplinary</t>
  </si>
  <si>
    <t>GC6M9</t>
  </si>
  <si>
    <t>WOS:001090512500001</t>
  </si>
  <si>
    <t>Maura, RM; Parra, SR; Stevens, RE; Weeks, DL; Wolbrecht, ET; Perry, JC</t>
  </si>
  <si>
    <t>Maura, Rene M. M.; Parra, Sebastian Rueda; Stevens, Richard E. E.; Weeks, Douglas L. L.; Wolbrecht, Eric T. T.; Perry, Joel C. C.</t>
  </si>
  <si>
    <t>Literature review of stroke assessment for upper-extremity physical function via EEG, EMG, kinematic, and kinetic measurements and their reliability</t>
  </si>
  <si>
    <t>Stroke; Reliability; Robot-assisted therapy; Exoskeleton; Neurological assessment; Biomechanical assessment; Rehabilitation; Motor function; Electroencephalography; Multimodal</t>
  </si>
  <si>
    <t>CORTICO-MUSCULAR COHERENCE; DIRECTED TRANSFER-FUNCTION; TEST-RETEST RELIABILITY; ACUTE ISCHEMIC-STROKE; QUANTITATIVE EEG; MOTOR RECOVERY; CORTICOMUSCULAR COHERENCE; DELTA/ALPHA RATIO; CONNECTIVITY; LIMB</t>
  </si>
  <si>
    <t>BackgroundSignificant clinician training is required to mitigate the subjective nature and achieve useful reliability between measurement occasions and therapists. Previous research supports that robotic instruments can improve quantitative biomechanical assessments of the upper limb, offering reliable and more sensitive measures. Furthermore, combining kinematic and kinetic measurements with electrophysiological measurements offers new insights to unlock targeted impairment-specific therapy. This review presents common methods for analyzing biomechanical and neuromuscular data by describing their validity and reporting their reliability measures.MethodsThis paper reviews literature (2000-2021) on sensor-based measures and metrics for upper-limb biomechanical and electrophysiological (neurological) assessment, which have been shown to correlate with clinical test outcomes for motor assessment. The search terms targeted robotic and passive devices developed for movement therapy. Journal and conference papers on stroke assessment metrics were selected using PRISMA guidelines. Intra-class correlation values of some of the metrics are recorded, along with model, type of agreement, and confidence intervals, when reported.ResultsA total of 60 articles are identified. The sensor-based metrics assess various aspects of movement performance, such as smoothness, spasticity, efficiency, planning, efficacy, accuracy, coordination, range of motion, and strength. Additional metrics assess abnormal activation patterns of cortical activity and interconnections between brain regions and muscle groups; aiming to characterize differences between the population who had a stroke and the healthy population.ConclusionRange of motion, mean speed, mean distance, normal path length, spectral arc length, number of peaks, and task time metrics have all demonstrated good to excellent reliability, as well as provide a finer resolution compared to discrete clinical assessment tests. EEG power features for multiple frequency bands of interest, specifically the bands relating to slow and fast frequencies comparing affected and non-affected hemispheres, demonstrate good to excellent reliability for populations at various stages of stroke recovery. Further investigation is needed to evaluate the metrics missing reliability information. In the few studies combining biomechanical measures with neuroelectric signals, the multi-domain approaches demonstrated agreement with clinical assessments and provide further information during the relearning phase. Combining the reliable sensor-based metrics in the clinical assessment process will provide a more objective approach, relying less on therapist expertise. This paper suggests future work on analyzing the reliability of metrics to prevent biasedness and selecting the appropriate analysis.</t>
  </si>
  <si>
    <t>[Maura, Rene M. M.; Wolbrecht, Eric T. T.; Perry, Joel C. C.] Univ Idaho, Mech Engn Dept, Moscow, ID 83844 USA; [Stevens, Richard E. E.] Whitworth Univ, Engn &amp; Phys Dept, Spokane, WA USA; [Weeks, Douglas L. L.] Washington State Univ, Coll Med, Spokane, WA USA; [Parra, Sebastian Rueda] Univ Idaho, Elect Engn Dept, Moscow, ID USA</t>
  </si>
  <si>
    <t>University of Idaho; Whitworth University; Washington State University; University of Idaho</t>
  </si>
  <si>
    <t>Maura, RM (corresponding author), Univ Idaho, Mech Engn Dept, Moscow, ID 83844 USA.</t>
  </si>
  <si>
    <t>maur9504@vandals.uidaho.edu</t>
  </si>
  <si>
    <t>Wolbrecht, Eric/KOC-8376-2024</t>
  </si>
  <si>
    <t>Wolbrecht, Eric/0000-0001-6368-6247; Rueda Parra, Sebastian/0000-0002-1613-1967; Maura, Rene/0000-0001-6023-9038</t>
  </si>
  <si>
    <t>FEB 15</t>
  </si>
  <si>
    <t>10.1186/s12984-023-01142-7</t>
  </si>
  <si>
    <t>9A5MB</t>
  </si>
  <si>
    <t>WOS:000934101100002</t>
  </si>
  <si>
    <t>Mehrholz, J; Werner, C; Kugler, J; Pohl, M</t>
  </si>
  <si>
    <t>Mehrholz, J.; Werner, C.; Kugler, J.; Pohl, M.</t>
  </si>
  <si>
    <t>Electromechanical-assisted training for walking after stroke</t>
  </si>
  <si>
    <t>COCHRANE DATABASE OF SYSTEMATIC REVIEWS</t>
  </si>
  <si>
    <t>RANDOMIZED CONTROLLED-TRIAL; GAIT TRAINER; SUBACUTE STROKE; PHYSICAL-THERAPY; REHABILITATION; RELIABILITY; ORTHOSIS; RECOVERY</t>
  </si>
  <si>
    <t>Background Electromechanical and robotic-assisted gait training devices are used in rehabilitation and might help to improve walking after stroke. Objectives To investigate the effect of automated electromechanical and robotic-assisted gait training devices for improving walking after stroke. Search strategy We searched the Cochrane Stroke Group Trials Register ( last searched September 2006), the Cochrane Central Register of Controlled Trials ( CENTRAL) ( The Cochrane Library, Issue 3, 2006), MEDLINE ( 1966 to September 2006), EMBASE ( 1980 to September 2006), CINAHL ( 1982 to October 2006), AMED ( 1985 to October 2006), SPORTDiscus ( 1949 to August 2006), the Physiotherapy Evidence Database (PEDro, searched September 2006) and the engineering databases COMPENDEX ( 1972 to October 2006) and INSPEC ( 1969 to October 2006). We handsearched relevant conference proceedings, searched trials and research registers, checked reference lists and contacted authors in an effort to identify further published, unpublished and ongoing trials. Selection criteria We included studies using random assignment. Data collection and analysis Two review authors independently selected trials for inclusion, assessed trial quality and extracted the data. The primary outcome was the proportion of patients walking independently ( without assistance or help of a person) at follow up. Main results Eight trials ( 414 participants) were included in this review. Electromechanical-assisted gait training in combination with physiotherapy increased the odds of becoming independent in walking ( odds ratio ( OR) 3.06, 95% confidence interval (CI) 1.85 to 5.06; P &lt; 0.001), and increased walking capacity ( mean difference ( MD) = 34 metres walked in six minutes, 95% CI 8 to 60; P = 0.010), but did not increase walking velocity significantly ( MD = 0.08 m/sec, 95% CI -0.01 to 0.17; P = 0.08). However, the results must be interpreted with caution because ( 1) variations between the trials were found with respect to duration and frequency of treatment and differences in ambulatory status of patients, and ( 2) some trials tested electromechanical devices in combination with functional electrical stimulation. Authors' conclusions Patients who receive electromechanical-assisted gait training in combination with physiotherapy after stroke are more likely to achieve independent walking than patients receiving gait training without these devices. However, further research should address specific questions, for example, which frequency or duration of electromechanical-assisted gait training might be most effective and at what time after stroke, and follow-up studies are needed to find out how long the benefit lasts. Future research should include estimates of the costs ( or savings) due to electromechanical gait training.</t>
  </si>
  <si>
    <t>Dept Early Rehabilitat, Klin Bavaria Kreischa, D-01731 Kreischa, Germany</t>
  </si>
  <si>
    <t>Mehrholz, J (corresponding author), Dept Early Rehabilitat, Klin Bavaria Kreischa, An Der Wolfsschlucht 1-2, D-01731 Kreischa, Germany.</t>
  </si>
  <si>
    <t>jan.mehrholz@klinik-bavaria.de</t>
  </si>
  <si>
    <t>Kugler, Joachim/IST-6529-2023; Elsner, Bernhard/K-5951-2015; Werner, Carsten/F-8127-2010</t>
  </si>
  <si>
    <t>Werner, Carsten/0000-0003-0189-3448; Elsner, Bernhard/0000-0002-2519-5030</t>
  </si>
  <si>
    <t>Chief Scientist Office [CZB/4/784] Funding Source: Medline</t>
  </si>
  <si>
    <t>Chief Scientist Office(Chief Scientist Office - Scotland)</t>
  </si>
  <si>
    <t>WILEY-BLACKWELL</t>
  </si>
  <si>
    <t>1469-493X</t>
  </si>
  <si>
    <t>1361-6137</t>
  </si>
  <si>
    <t>COCHRANE DB SYST REV</t>
  </si>
  <si>
    <t>Cochrane Database Syst Rev.</t>
  </si>
  <si>
    <t>CD006185</t>
  </si>
  <si>
    <t>10.1002/14651858.CD006185.pub2</t>
  </si>
  <si>
    <t>220WT</t>
  </si>
  <si>
    <t>WOS:000250188700076</t>
  </si>
  <si>
    <t>Wu, LN; Xu, G; Wu, QF</t>
  </si>
  <si>
    <t>Wu, Lina; Xu, Gui; Wu, Qiaofeng</t>
  </si>
  <si>
    <t>The effect of the Lokomat® robotic-orthosis system on lower extremity rehabilitation in patients with stroke: a systematic review and meta-analysis</t>
  </si>
  <si>
    <t>Lokomat (R); stroke; lower extremity function; rehabilitation; meta-analysis</t>
  </si>
  <si>
    <t>PEDRO SCALE; GAIT; SUBACUTE; PILOT; BALANCE; QUALITY</t>
  </si>
  <si>
    <t>Background: The Lokomat (R) is a device utilized for gait training in post-stroke patients. Through a systematic review, the objective was to determine whether robot-assisted gait training with the Lokomat (R) is more effective in enhancing lower extremity rehabilitation in patients with stroke in comparison to conventional physical therapy (CPT).Methods: In this study, a systematic search was conducted in various databases, including CINAHL, MEDLINE, PubMed, Embase, Cochrane Library, Scopus, Web of Science, and Physiotherapy Evidence Database (PEDro), as well as bibliographies of previous meta-analyses, to identify all randomized controlled trials that investigated the use of Lokomat (R) devices in adult stroke patients. The study aimed to derive pooled estimates of standardized mean differences for six outcomes, namely, Fugl-Meyer Assessment lower-extremity subscale (FMA-LE), Berg Balance Scale (BBS), gait speed, functional ambulation category scale (FAC), timed up and go (TUG), and functional independence measure (FIM), through random effects meta-analyses.Results: The review analyzed 21 studies with a total of 709 participants and found that the use of Lokomat (R) in stroke patients resulted in favorable outcomes for the recovery of balance as measured by the BBS (mean difference = 2.71, 95% CI 1.39 to 4.03; p &lt; 0.0001). However, the FAC showed that Lokomat (R) was less effective than the CPT group (mean difference = -0.28, 95% CI -0.45 to 0.11, P = 0.001). There were no significant differences in FMA-LE (mean difference = 1.27, 95% CI -0.88 to 3.42, P = 0.25), gait speed (mean difference = 0.02, 95% CI -0.03 to 0.07, P = 0.44), TUG (mean difference = -0.12, 95% CI -0.71 to 0.46, P = 0.68), or FIM (mean difference = 2.12, 95% CI -2.92 to 7.16, P = 0.41) between the Lokomat (R) and CPT groups for stroke patients.Conclusion: Our results indicate that, with the exception of more notable improvements in balance, robot-assisted gait training utilizing the Lokomat (R) was not superior to CPT based on the current literature. Considering its ability to reduce therapists' work intensity and burden, the way in which Lokomat (R) is applied should be strengthened, or future randomized controlled trial studies should use more sensitive assessment criteria.</t>
  </si>
  <si>
    <t>[Wu, Lina; Xu, Gui; Wu, Qiaofeng] Foresea Life Insurance Nanning Hosp, Dept Rehabil, Nanning, Guangxi, Peoples R China</t>
  </si>
  <si>
    <t>Wu, LN (corresponding author), Foresea Life Insurance Nanning Hosp, Dept Rehabil, Nanning, Guangxi, Peoples R China.</t>
  </si>
  <si>
    <t>wulina820731@163.com</t>
  </si>
  <si>
    <t>WU, QIAOFENG/AAE-5945-2019; Wu, Lina/HJB-3013-2022</t>
  </si>
  <si>
    <t>DEC 6</t>
  </si>
  <si>
    <t>10.3389/fneur.2023.1260652</t>
  </si>
  <si>
    <t>CT7F6</t>
  </si>
  <si>
    <t>WOS:001127549000001</t>
  </si>
  <si>
    <t>Xu, J; Chen, M; Wang, X; Cai, ZJ; Wang, YJ; Luo, XB</t>
  </si>
  <si>
    <t>Xu, Jie; Chen, Meng; Wang, Xin; Cai, Zijuan; Wang, Yanjie; Luo, Xiaobing</t>
  </si>
  <si>
    <t>Global research hotspots and trends in constraint-induced movement therapy in rehabilitation over the past 30 years: a bibliometric and visualization study</t>
  </si>
  <si>
    <t>CIMT; constraint-induced movement therapy; stroke; exercise rehabilitation; Citespace; bibliometrics</t>
  </si>
  <si>
    <t>RANDOMIZED CONTROLLED-TRIAL; UNILATERAL CEREBRAL-PALSY; INDUCED APHASIA THERAPY; ROBOT-ASSISTED THERAPY; ULNAR NERVE INJURIES; UPPER-LIMB FUNCTION; UPPER-EXTREMITY; SUBACUTE STROKE; SYNAPTIC PLASTICITY; FUNCTIONAL OUTCOMES</t>
  </si>
  <si>
    <t>Background: Stroke is a cerebrovascular disease with high prevalence and mortality, and upper limb hemiparesis is a major factor limiting functional recovery in stroke patients. Improvement of motor function in stroke patients through various forms of constraint-induced movement therapy (CITM) has been recognized as safe and effective in recent years. This research field lacks a comprehensive systematic and clear vein combing analysis, analyzing the literature research of CIMT in the field of rehabilitation in the past three decades, summarizing the research hotspots and cutting-edge trends in this field, in an effort to offer ideas and references for subsequent researchers. Methods: Relevant literature on CIMT in rehabilitation was collected from 1996 to 2024 within the Web of Science database's core dataset by using CiteSpace6.1, VOSviewer1.6.18, R-bibliometrix4.6.1, Pajek5.16, Scimago Graphica 1.0.26 software for visualization and analysis. Results: There were 970 papers in all United States was ranked first with 401 papers. Alabama Univ was ranked first for institutions with 53 papers. Neurorehabilitation and Neural Repair was ranked first for journals with 78 papers, and Taub E was ranked first for author publications with 64 papers. Research keywords were CIMT, stroke rehabilitation, upper extremity function, lower extremity gait balance, randomized controlled trials, physical therapy techniques (transcranial magnetic stimulation and sensory amplitude electrical stimulation), primary motor cortex plasticity, lateral dominance (spatial behaviors), cerebral vascular accidents, activities of daily living, hand function, disability, functional restoration, bimanual training, aphasia, acquired invalidity, type A Botulinum toxin and joystick riding toys. Conclusion: The current state of research shows that CIMT still has a vast potential for development in the field of rehabilitation research. The research hotspots are the clinical efficacy of CIMT combined with other therapies (botulinum toxin type A, transcranial direct current stimulation, virtual reality, mirror therapy, robotic-assisted) to enhance the functionality of upper limb hemiparesis in stroke patients, the mechanism of CIMT to improve the plasticity of the motor cortex through electrophysiological and imaging methods, and improvement of lower limb gait balance function in stroke patients and aphasia applications, the optimal intervention time and dose, and exploration of CIMT in new settings such as robot-assisted, telemedicine, and home rehabilitation.</t>
  </si>
  <si>
    <t>[Xu, Jie; Wang, Yanjie; Luo, Xiaobing] Sichuan Prov Orthoped Hosp, Dept Sports Med, Chengdu, Peoples R China; [Chen, Meng] Nanchong Hosp Tradit Chinese Med, Dept Emergency Med, Nanchong, Peoples R China; [Wang, Xin] Peking Univ, Hlth Sci Ctr, Beijing, Peoples R China; [Cai, Zijuan] Geely Univ China, Coll Phys Educ &amp; Hlth, Chengdu, Peoples R China</t>
  </si>
  <si>
    <t>Peking University; Geely University of China</t>
  </si>
  <si>
    <t>Luo, XB (corresponding author), Sichuan Prov Orthoped Hosp, Dept Sports Med, Chengdu, Peoples R China.</t>
  </si>
  <si>
    <t>202230470060@mail.scut.edu.cn</t>
  </si>
  <si>
    <t>Sichuan Provincial Science and 26 Technology Support Program [2015SZ0055]</t>
  </si>
  <si>
    <t>Sichuan Provincial Science and 26 Technology Support Program</t>
  </si>
  <si>
    <t>The author(s) declare financial support was received for the research, authorship, and/or publication of this article. This work was supported by the Sichuan Provincial Science and 26 Technology Support Program (2015SZ0055).</t>
  </si>
  <si>
    <t>JUN 14</t>
  </si>
  <si>
    <t>10.3389/fneur.2024.1375855</t>
  </si>
  <si>
    <t>WW6H3</t>
  </si>
  <si>
    <t>WOS:001257941900001</t>
  </si>
  <si>
    <t>Dorsch, S; Carling, C; Cao, Z; Fanayan, E; Graham, PL; McCluskey, A; Schurr, K; Scrivener, K; Tyson, S</t>
  </si>
  <si>
    <t>Dorsch, Simone; Carling, Cameron; Cao, Zheng; Fanayan, Emma; Graham, Petra L.; McCluskey, Annie; Schurr, Karl; Scrivener, Katharine; Tyson, Sarah</t>
  </si>
  <si>
    <t>Bobath therapy is inferior to task-specific training and not superior to other interventions in improving arm activity and arm strength outcomes after stroke: a systematic review</t>
  </si>
  <si>
    <t>JOURNAL OF PHYSIOTHERAPY</t>
  </si>
  <si>
    <t>Stroke; Physical therapy; Occupational therapy; Upper extremity; Rehabilitation</t>
  </si>
  <si>
    <t>UPPER-LIMB; MOTOR FUNCTION; REHABILITATION; RECOVERY</t>
  </si>
  <si>
    <t>Question: What is the effect of Bobath therapy on arm activity and arm strength compared with a dose-matched comparison intervention or no intervention after stroke?Design: Systematic review of rando-mised trials with meta-analysis. Participants: Adults after stroke.Intervention: Bobath therapy compared with no intervention or other interventions delivered at the same dose as the Bobath therapy. Outcome measures: Arm activity outcomes and arm strength outcomes. Trial quality was assessed with the PEDro scale. Results: Thirteen trials were included; all compared Bobath with another intervention, which were categorised as: task-specific training (five trials), arm movements (five trials), robotics (two trials) and mental practice (one trial). The PEDro scale scores ranged from 5 to 8. Pooled data from five trials indicated that Bobath therapy was less effective than task-specific training for improving arm activities (SMD -1.07, 95% CI -1.59 to -0.55). Pooled data from five trials indicated that Bobath therapy was similar to or less effective than arm movements for improving arm activities (SMD -0.18, 95% CI -0.44 to 0.09). One trial indicated that Bobath therapy was less effective than robotics for improving arm activities and one trial indicated similar effects of Bobath therapy and mental practice on arm activities. For strength outcomes, pooled data from two trials indicated a large benefit of task-specific training over Bobath therapy (SMD -1.08); however, this estimate had substantial uncertainty (95% CI -3.17 to 1.01). The pooled data of three trials indicated that Bobath therapy was less effective than task-specific training for improving Fugl-Meyer scores (MD -7.84, 95% CI -12.99 to -2.69). The effects of Bobath therapy relative to other interventions on strength outcomes remained uncertain.Conclusions: After stroke, Bobath therapy is less effective than task-specific training and robotics in improving arm activity and less effective than task-specific training on the Fugl-Meyer score. Registration: PROSPERO CRD42021251630. [Dorsch S, Carling C, Cao Z, Fanayan E, Graham PL, McCluskey A, Schurr K, Scrivener K, Tyson S (2023) Bobath therapy is inferior to task-specific training and not superior to other interventions in improving arm activity and arm strength outcomes after stroke: a systematic review. Journal of Physiotherapy 69:15-22] (c) 2022 Australian Physiotherapy Association. Published by Elsevier B.V. This is an open access article under the CC BY-NC-ND license (http://creativecommons.org/licenses/by-nc-nd/4.0/).</t>
  </si>
  <si>
    <t>[Dorsch, Simone; Fanayan, Emma] Australian Catholic Univ, Fac Hlth Sci, Sydney, Australia; [Dorsch, Simone; McCluskey, Annie; Schurr, Karl; Scrivener, Katharine] StrokeEd Collaborat, Sydney, Australia; [Carling, Cameron] Concentr Rehabil Serv, Perth, Australia; [Cao, Zheng] Concentr Rehabil Serv, Sydney, Australia; [Graham, Petra L.] Macquarie Univ, Sch Math &amp; Phys Sci, Sydney, Australia; [McCluskey, Annie] Univ Sydney, Fac Med &amp; Hlth, Sydney, Australia; [Scrivener, Katharine] Macquarie Univ, Dept Hlth Sci, Sydney, Australia; [Tyson, Sarah] Univ Manchester, Sch Hlth Sci, Manchester, England; [Dorsch, Simone] Australian Catholic Univ, Sch Allied Hlth, Sydney, Australia</t>
  </si>
  <si>
    <t>Australian Catholic University; Macquarie University; University of Sydney; Macquarie University; University of Manchester; Australian Catholic University</t>
  </si>
  <si>
    <t>Dorsch, S (corresponding author), Australian Catholic Univ, Sch Allied Hlth, Sydney, Australia.</t>
  </si>
  <si>
    <t>simone.dorsch@acu.edu.au</t>
  </si>
  <si>
    <t>Graham, Petra/V-8136-2019; Tyson, Sarah/J-3874-2014</t>
  </si>
  <si>
    <t>Fanayan, Emma/0009-0007-5098-6583; Scrivener, Katharine/0000-0003-0851-7023; Graham, Petra/0000-0003-2890-2447</t>
  </si>
  <si>
    <t>AUSTRALIAN PHYSIOTHERAPY ASSOC</t>
  </si>
  <si>
    <t>ST KILDA</t>
  </si>
  <si>
    <t>LEVEL 3, 201 FITZROY ST, ST KILDA, 3182, AUSTRALIA</t>
  </si>
  <si>
    <t>1836-9553</t>
  </si>
  <si>
    <t>1836-9561</t>
  </si>
  <si>
    <t>J PHYSIOTHER</t>
  </si>
  <si>
    <t>J. Physiother.</t>
  </si>
  <si>
    <t>10.1016/j.jphys.2022.11.008</t>
  </si>
  <si>
    <t>Orthopedics; Rehabilitation</t>
  </si>
  <si>
    <t>8L1SJ</t>
  </si>
  <si>
    <t>WOS:000923568500001</t>
  </si>
  <si>
    <t>Kaelin, VC; Valizadeh, M; Salgado, Z; Parde, N; Khetani, MA</t>
  </si>
  <si>
    <t>Kaelin, Vera C.; Valizadeh, Mina; Salgado, Zurisadai; Parde, Natalie; Khetani, Mary A.</t>
  </si>
  <si>
    <t>Artificial Intelligence in Rehabilitation Targeting the Participation of Children and Youth With Disabilities: Scoping Review</t>
  </si>
  <si>
    <t>health care; pediatric rehabilitation; technology; young persons; robotics; human-machine interaction; personalization; customization; goal-setting; natural language processing; machine learning</t>
  </si>
  <si>
    <t>AUTISM SPECTRUM DISORDERS; ROBOT-ASSISTED THERAPY; VIRTUAL-REALITY; CEREBRAL-PALSY; HUMANOID ROBOT; BLACK-BOX; IMPROVING PARTICIPATION; PHYSICAL-DISABILITIES; ADOLESCENTS; ENVIRONMENT</t>
  </si>
  <si>
    <t>Background: In the last decade, there has been a rapid increase in research on the use of artificial intelligence (AI) to improve child and youth participation in daily life activities, which is a key rehabilitation outcome. However, existing reviews place variable focus on participation, are narrow in scope, and are restricted to select diagnoses, hindering interpretability regarding the existing scope of AI applications that target the participation of children and youth in a pediatric rehabilitation setting. Objective: The aim of this scoping review is to examine how AI is integrated into pediatric rehabilitation interventions targeting the participation of children and youth with disabilities or other diagnosed health conditions in valued activities. Methods: We conducted a comprehensive literature search using established Applied Health Sciences and Computer Science databases. Two independent researchers screened and selected the studies based on a systematic procedure. Inclusion criteria were as follows: participation was an explicit study aim or outcome or the targeted focus of the AI application; AI was applied as part of the provided and tested intervention; children or youth with a disability or other diagnosed health conditions were the focus of either the study or AI application or both; and the study was published in English. Data were mapped according to the types of AI, the mode of delivery, the type of personalization, and whether the intervention addressed individual goal-setting. Results: The literature search identified 3029 documents, of which 94 met the inclusion criteria. Most of the included studies used multiple applications of AI with the highest prevalence of robotics (72/94, 77%) and human-machine interaction (51/94, 54%). Regarding mode of delivery, most of the included studies described an intervention delivered in-person (84/94, 89%), and only 11% (10/94) were delivered remotely. Most interventions were tailored to groups of individuals (93/94, 99%). Only 1% (1/94) of interventions was tailored to patients' individually reported participation needs, and only one intervention (1/94, 1%) described individual goal-setting as part of their therapy process or intervention planning. Conclusions: There is an increasing amount of research on interventions using AI to target the participation of children and youth with disabilities or other diagnosed health conditions, supporting the potential of using AI in pediatric rehabilitation. On the basis of our results, 3 major gaps for further research and development were identified: a lack of remotely delivered participation-focused interventions using AI; a lack of individual goal-setting integrated in interventions; and a lack of interventions tailored to individually reported participation needs of children, youth, or families.</t>
  </si>
  <si>
    <t>[Kaelin, Vera C.; Khetani, Mary A.] Univ Illinois, Coll Appl Hlth Sci, Rehabil Sci, Chicago, IL 60612 USA; [Kaelin, Vera C.; Salgado, Zurisadai; Khetani, Mary A.] Univ Illinois, Childrens Participat Environm Res Lab, Chicago, IL 60612 USA; [Valizadeh, Mina; Parde, Natalie] Univ Illinois, Coll Engn, Comp Sci, Chicago, IL 60612 USA; [Valizadeh, Mina; Parde, Natalie] Univ Illinois, Nat Language Proc Lab, Chicago, IL 60612 USA; [Salgado, Zurisadai; Khetani, Mary A.] Univ Illinois, Coll Appl Hlth Sci, Occupat Therapy, 1919 West Taylor St,Room 316A, Chicago, IL 60612 USA; [Khetani, Mary A.] McMaster Univ, CanChild Ctr Childhood Disabil Res, Hamilton, ON, Canada</t>
  </si>
  <si>
    <t>University of Illinois System; University of Illinois Chicago; University of Illinois Chicago Hospital; University of Illinois System; University of Illinois Chicago; University of Illinois Chicago Hospital; University of Illinois System; University of Illinois Chicago; University of Illinois Chicago Hospital; University of Illinois System; University of Illinois Chicago; University of Illinois Chicago Hospital; University of Illinois System; University of Illinois Chicago; University of Illinois Chicago Hospital; McMaster University</t>
  </si>
  <si>
    <t>Khetani, MA (corresponding author), Univ Illinois, Coll Appl Hlth Sci, Occupat Therapy, 1919 West Taylor St,Room 316A, Chicago, IL 60612 USA.</t>
  </si>
  <si>
    <t>mkhetani@uic.edu</t>
  </si>
  <si>
    <t>Kaelin, Vera C./AFT-5293-2022</t>
  </si>
  <si>
    <t>Kaelin, Vera C./0000-0003-1290-9441; Parde, Natalie/0000-0003-0072-7499; Valizadeh, Mina/0000-0002-7881-1503</t>
  </si>
  <si>
    <t>University of Illinois at Chicago; Research Open Access Publishing Fund of the University of Illinois at Chicago</t>
  </si>
  <si>
    <t>The authors acknowledge Kyle A Truevillian for assisting with full-text screening of documents for this review and Amelia Brunskill at the University of Illinois at Chicago library for guidance on search strategies for undertaking this review. The authors also thank Vivian Villegas and Varun Maheshwari from the Children's Participation and Environment Research Lab at the University of Illinois at Chicago for critical feedback on prior drafts. This work was conducted in partial fulfillment of the requirements for a PhD in Rehabilitation Sciences and was funded by the University of Illinois at Chicago, through their Dean's Scholar Fellowship (principal investigator: VCK) and Chancellor's Undergraduate Research Award (ZS). We acknowledge the Research Open Access Publishing Fund of the University of Illinois at Chicago for financial support toward the open access publishing fee for this study.</t>
  </si>
  <si>
    <t>NOV 1</t>
  </si>
  <si>
    <t>e25745</t>
  </si>
  <si>
    <t>10.2196/25745</t>
  </si>
  <si>
    <t>XI4UE</t>
  </si>
  <si>
    <t>WOS:000726107800004</t>
  </si>
  <si>
    <t>Qian, GP; Cai, XY; Xu, K; Tian, H; Meng, Q; Ossowski, Z; Liang, JH</t>
  </si>
  <si>
    <t>Qian, Guoping; Cai, Xiaoye; Xu, Kai; Tian, Hao; Meng, Qiao; Ossowski, Zbigniew; Liang, Jinghong</t>
  </si>
  <si>
    <t>Which gait training intervention can most effectively improve gait ability in patients with cerebral palsy? A systematic review and network meta-analysis</t>
  </si>
  <si>
    <t>gait; walking speed; rehabilitation; motor skills disorders; randomized controlled trials</t>
  </si>
  <si>
    <t>GROSS MOTOR FUNCTION; BODY-WEIGHT SUPPORT; OVERGROUND WALKING; CHILDREN; REHABILITATION; ADOLESCENTS; EFFICACY; THERAPY; PROGRAM; MUSCLE</t>
  </si>
  <si>
    <t>Background: A vital objective to treat people with cerebral palsy (CP) is to increase gait velocity and improve gross motor function. This study aimed to evaluate the relative effectiveness of gait training interventions for persons with CP. Methods: Studies published up to October 26, 2022 were searched from four electronic databases [including Medline (via PubMed), Web of Science, Embase and Cochrane]. Studies with randomized controlled trials (RCTs), people with CP, comparisons of different gait training interventions and outcomes of gait velocity and gross motor function measures (GMFM) were included in this study. The quality of the literature was evaluated using the risk of bias tool in the Cochrane Handbook, the extracted data were analyzed through network meta-analysis (NMA) using Stata16.0 and RevMan5.4 software. Results: Twenty RCTs with a total of 516 individuals with CP were included in accordance with the criteria of this study. The results of the NMA analysis indicated that both external cues treadmill training (ECTT) [mean difference (MD) = 0.10, 95% confidence interval CI (0.04, 0.17), P &lt; 0.05] and partial body weight supported treadmill training (BWSTT) [MD = 0.12, 95% CI (0.01, 0.23), P &lt; 0.05] had better gait velocity than over ground gait training (OGT), BWSTT [MD = 0.09, 95%CI(0.01,0.18), P &lt; 0.05] had a better gait velocity than robot-assisted gait training (RAGT), BWSTT [MD = 0.09, 95% CI (0.06, 0.13) P &lt; 0.05] had a better gait velocity than treadmill training (TT), and BWSTT [MD = 0.14, 95% CI (0.07, 0.21), P &lt; 0.05] had a better gait velocity than conventional physical therapy (CON). The SUCRA ranking indicated that BWSTT optimally improved the gait velocity, and the other followed an order of BWSTT (91.7%) &gt; ECTT (80.9%) &gt; RAGT (46.2%) &gt; TT (44%) &gt; OGT (21.6%) &gt; CON (11.1%). In terms of GMFM, for dimension D (GMFM-D), there was no statistical difference between each comparison; for dimension E (GMFM-E), RAGT [MD = 10.45, 95% CI (2.51, 18.40), P &lt; 0.05] was significantly more effective than CON. Both SUCRA ranking results showed that RAGT improved GMFM-D/E optimally, with rankings of RAGT (69.7%) &gt; TT (69.3%) &gt; BWSTT (67.7%) &gt; OGT (24%) &gt; CON (20.3%), and RAGT (86.1%) &gt; BWSTT (68.2%) &gt; TT (58%) &gt; CON (20.1%) &gt; OGT (17.6%) respectively. Conclusion: This study suggested that BWSTT was optimal in increasing the gait velocity and RAGT was optimal in optimizing GMFM in persons with CP. Impacted by the limitations of the number and quality of studies, randomized controlled trials with larger sample sizes, multiple centers, and high quality should be conducted to validate the above conclusion. Further studies will be required to focus on the total duration of the intervention, duration and frequency of sessions, and intensity that are optimal for the promotion of gait ability in this population.</t>
  </si>
  <si>
    <t>[Qian, Guoping; Xu, Kai; Tian, Hao; Meng, Qiao; Ossowski, Zbigniew] Gdansk Univ Phys Educ &amp; Sport, Dept Sport, Gdansk, Poland; [Cai, Xiaoye] Shanghai Normal Univ Tianhua Coll, Dept Gen Educ, Shanghai, Peoples R China; [Xu, Kai] Huanghe Sci &amp; Technol Univ, Dept Art &amp; Sports, Zhengzhou, Henan, Peoples R China; [Tian, Hao] Nanjing Sport Inst, Dept Phys Educ &amp; Humanities, Nanjing, Peoples R China; [Liang, Jinghong] Sun Yat Sen Univ, Med Coll, Sch Publ Hlth, Dept Maternal &amp; Child Hlth, Guangzhou, Peoples R China</t>
  </si>
  <si>
    <t>Gdansk University of Physical Education &amp; Sport; Shanghai Normal University Tianhua College; Nanjing Sport Institute; Sun Yat Sen University</t>
  </si>
  <si>
    <t>Ossowski, Z (corresponding author), Gdansk Univ Phys Educ &amp; Sport, Dept Sport, Gdansk, Poland.;Liang, JH (corresponding author), Sun Yat Sen Univ, Med Coll, Sch Publ Hlth, Dept Maternal &amp; Child Hlth, Guangzhou, Peoples R China.</t>
  </si>
  <si>
    <t>zbigniew.ossowski@awf.gda.pl; liangjh78@mail2.sysu.edu.cn</t>
  </si>
  <si>
    <t>Ossowski, Zbigniew/E-3560-2017; Liang, Jinghong/AAE-7171-2022; Cai, Xiaoye/ABG-6845-2020</t>
  </si>
  <si>
    <t>Tian, Hao/0000-0001-5558-3600; Qian, GuoPing/0000-0002-0472-7130</t>
  </si>
  <si>
    <t>JAN 10</t>
  </si>
  <si>
    <t>10.3389/fneur.2022.1005485</t>
  </si>
  <si>
    <t>8I5XZ</t>
  </si>
  <si>
    <t>WOS:000921807700001</t>
  </si>
  <si>
    <t>McDowell, L; Rischin, D; Gough, K; Henson, C</t>
  </si>
  <si>
    <t>McDowell, Lachlan; Rischin, Danny; Gough, Karla; Henson, Christina</t>
  </si>
  <si>
    <t>Health-Related Quality of Life, Psychosocial Distress and Unmet Needs in Older Patients With Head and Neck Cancer</t>
  </si>
  <si>
    <t>FRONTIERS IN ONCOLOGY</t>
  </si>
  <si>
    <t>radiation therapy; head neck cancer; surgery; chemotherapy; quality of life; psychosocial distress; sleep; unmet need</t>
  </si>
  <si>
    <t>FREE-FLAP RECONSTRUCTION; SQUAMOUS-CELL CARCINOMA; TRANSORAL ROBOTIC SURGERY; ELDERLY-PATIENTS; OROPHARYNGEAL CANCER; GERIATRIC ASSESSMENT; ORAL-CANCER; PSYCHOLOGICAL DISTRESS; EUROPEAN-ORGANIZATION; PREDICTIVE FACTORS</t>
  </si>
  <si>
    <t>Head and neck squamous cell carcinoma (HNSCC) is the most common cancer involving the mucosal surfaces of the head and neck and is associated with a number of etiological factors, including cigarette smoking, alcohol and betel nut consumption and exposure to high-risk human papillomavirus. The risk of HNSCC increases with age, peaking in the seventh and eighth decade, but this varies by anatomical and histological subtype. While several advancements have been made in the treatment of head and neck cancer (HNC) in recent decades, undertaking curative treatment still subjects the majority of HNSCC patients to substantial treatment-related toxicity requiring patients to tolerate a gamut of physical, psychological, and emotional demands on their reserves. In conjunction with other patient-related factors, clinicians involved in treating patients with HNSCC may incorporate advancing chronological age into their decision-making process when determining treatment recommendations. While advancing chronological age may be associated with increased concerns regarding physical treatment tolerability, clinicians may also be concerned about heightened vulnerability in various health and wellbeing outcomes. The available literature, however, does not provide evidence of this vulnerability in patients with advancing age, and, in many instances, older patients self-report greater resilience compared to their younger counterparts. While this data is reassuring it is limited by selection bias and heterogeneity in trial and study design and the absence of a consistent definition of the elderly patient with HNSCC. This narrative review article also includes a review of the measures used to assess HRQL, psychosocial outcomes and unmet needs in elderly or older patients with HNSCC.</t>
  </si>
  <si>
    <t>[McDowell, Lachlan] Peter MacCallum Canc Ctr, Dept Radiat Oncol, Melbourne, Vic, Australia; [McDowell, Lachlan; Rischin, Danny] Univ Melbourne, Sir Peter MacCallum Dept Oncol, Melbourne, Vic, Australia; [Rischin, Danny] Peter MacCallum Canc Ctr, Dept Med Oncol, Melbourne, Vic, Australia; [Gough, Karla] Peter MacCallum Canc Ctr, Dept Hlth Serv Res, Melbourne, Vic, Australia; [Gough, Karla] Univ Melbourne, Fac Med Dent &amp; Hlth Sci, Dept Nursing, Carlton, Vic, Australia; [Henson, Christina] Univ Oklahoma, Dept Radiat Oncol, Stephenson Canc Ctr, Oklahoma City, OK USA</t>
  </si>
  <si>
    <t>Peter Maccallum Cancer Center; University of Melbourne; Peter Maccallum Cancer Center; Peter Maccallum Cancer Center; Peter Maccallum Cancer Center; University of Melbourne; University of Oklahoma System; University of Oklahoma Health Sciences Center</t>
  </si>
  <si>
    <t>McDowell, L (corresponding author), Peter MacCallum Canc Ctr, Dept Radiat Oncol, Melbourne, Vic, Australia.;McDowell, L (corresponding author), Univ Melbourne, Sir Peter MacCallum Dept Oncol, Melbourne, Vic, Australia.</t>
  </si>
  <si>
    <t>Lachlan.mcdowell@petermac.org</t>
  </si>
  <si>
    <t>McDowell, Lachlan/H-7022-2019</t>
  </si>
  <si>
    <t>McDowell, Lachlan/0000-0002-4268-3079; Gough, Karla/0000-0003-2819-4217</t>
  </si>
  <si>
    <t>2234-943X</t>
  </si>
  <si>
    <t>FRONT ONCOL</t>
  </si>
  <si>
    <t>Front. Oncol.</t>
  </si>
  <si>
    <t>10.3389/fonc.2022.834068</t>
  </si>
  <si>
    <t>Oncology</t>
  </si>
  <si>
    <t>ZL4SH</t>
  </si>
  <si>
    <t>WOS:000763667700001</t>
  </si>
  <si>
    <t>Yu, XL; Lin, CS; Yu, J; Qi, QS; Wang, Q</t>
  </si>
  <si>
    <t>Yu, Xiaoli; Lin, Changsen; Yu, Jing; Qi, Qingsheng; Wang, Qian</t>
  </si>
  <si>
    <t>Bioengineered Escherichia coli Nissle 1917 for tumour-targeting therapy</t>
  </si>
  <si>
    <t>MICROBIAL BIOTECHNOLOGY</t>
  </si>
  <si>
    <t>ENZYME-PRODRUG THERAPY; SALMONELLA-TYPHIMURIUM; BACTERIOLYTIC THERAPY; DESIGNER PROBIOTICS; DRUG-DELIVERY; BREAST-TUMORS; PHASE-I; GENE; COLONIZATION; COMBINATION</t>
  </si>
  <si>
    <t>Bacterial vectors, as microscopic living 'robotic factories', can be reprogrammed into microscopic living 'robotic factories', using a top-down bioengineering approach to produce and deliver anticancer agents. Most of the current research has focused on bacterial species such as Salmonella typhimurium or Clostridium novyi. However, Escherichia coli Nissle 1917 (EcN) is another promising candidate with probiotic properties. EcN offers increased applicability for cancer treatment with the development of new molecular biology and complete genome sequencing techniques. In this review, we discuss the genetics and physical properties of EcN. We also summarize and analyse recent studies regarding tumour therapy mediated by EcN. Many challenges remain in the development of more promising strategies for combatting cancer with EcN.</t>
  </si>
  <si>
    <t>[Yu, Xiaoli] Weifang Med Univ, Sch Publ Hlth &amp; Management, Weifang 261053, Shandong, Peoples R China; [Lin, Changsen; Qi, Qingsheng; Wang, Qian] Shandong Univ, State Key Lab Microbial Technol, Natl Glycoengn Res Ctr, Qingdao 266237, Shandong, Peoples R China; [Lin, Changsen; Yu, Jing] Shandong Univ Tradit Chinese Med, Affiliated Hosp, Jinan 250014, Shandong, Peoples R China</t>
  </si>
  <si>
    <t>Shandong Second Medical University; Shandong University; Shandong University of Traditional Chinese Medicine</t>
  </si>
  <si>
    <t>Qi, QS; Wang, Q (corresponding author), Shandong Univ, State Key Lab Microbial Technol, Natl Glycoengn Res Ctr, Qingdao 266237, Shandong, Peoples R China.</t>
  </si>
  <si>
    <t>qiqingsheng@sdu.edu.cn; qiqi20011983@sdu.edu.cn</t>
  </si>
  <si>
    <t>Wang, Qian/LMN-5907-2024</t>
  </si>
  <si>
    <t>National Natural Science Foundation of China [31670047]</t>
  </si>
  <si>
    <t>National Natural Science Foundation of China(National Natural Science Foundation of China (NSFC))</t>
  </si>
  <si>
    <t>This work was supported by grants from the National Natural Science Foundation of China 31670047.</t>
  </si>
  <si>
    <t>1751-7915</t>
  </si>
  <si>
    <t>MICROB BIOTECHNOL</t>
  </si>
  <si>
    <t>Microb. Biotechnol.</t>
  </si>
  <si>
    <t>10.1111/1751-7915.13523</t>
  </si>
  <si>
    <t>DEC 2019</t>
  </si>
  <si>
    <t>Biotechnology &amp; Applied Microbiology; Microbiology</t>
  </si>
  <si>
    <t>KY4UT</t>
  </si>
  <si>
    <t>WOS:000503646200001</t>
  </si>
  <si>
    <t>Fan, YW; Xu, LC; Liu, S; Li, JH; Xia, JL; Qin, XP; Li, YF; Gao, TX; Tang, XY</t>
  </si>
  <si>
    <t>Fan, Yingwei; Xu, Liancheng; Liu, Shuai; Li, Jinhua; Xia, Jialu; Qin, Xingping; Li, Yafeng; Gao, Tianxin; Tang, Xiaoying</t>
  </si>
  <si>
    <t>The State-of-the-Art and Perspectives of Laser Ablation for Tumor Treatment</t>
  </si>
  <si>
    <t>CYBORG AND BIONIC SYSTEMS</t>
  </si>
  <si>
    <t>INTERSTITIAL THERMAL THERAPY; OPTICAL-COHERENCE-TOMOGRAPHY; PROSTATE-CANCER; DIODE-LASER; ARTIFICIAL-INTELLIGENCE; BIOLOGICAL TISSUES; ULTRASOUND FUSION; SURGERY; THERMOTHERAPY; DESIGN</t>
  </si>
  <si>
    <t>Tumors significantly impact individuals' physical well-being and quality of life. With the ongoing advancements in optical technology, information technology, robotic technology, etc., laser technology is being increasingly utilized in the field of tumor treatment, and laser ablation (LA) of tumors remains a prominent area of research interest. This paper presents an overview of the recent progress in tumor LA therapy, with a focus on the mechanisms and biological effects of LA, commonly used ablation lasers, image-guided LA, and robotic-assisted LA. Further insights and future prospects are discussed in relation to these aspects, and the paper proposed potential future directions for the development of tumor LA techniques.</t>
  </si>
  <si>
    <t>[Fan, Yingwei; Xu, Liancheng; Liu, Shuai; Li, Jinhua; Gao, Tianxin; Tang, Xiaoying] Beijing Inst Technol, Sch Med Technol, Beijing 100081, Peoples R China; [Xia, Jialu] Hefei Univ Technol, Sch Mat Sci &amp; Engn, Hefei 230009, Peoples R China; [Qin, Xingping] Harvard TH Chan Sch Publ Hlth, John B Little Ctr Radiat Sci, Boston, MA 02115 USA; [Li, Yafeng] China Elect Harvest Technol Co Ltd, Beijing, Peoples R China</t>
  </si>
  <si>
    <t>Beijing Institute of Technology; Hefei University of Technology; Harvard University; Harvard T.H. Chan School of Public Health</t>
  </si>
  <si>
    <t>Fan, YW (corresponding author), Beijing Inst Technol, Sch Med Technol, Beijing 100081, Peoples R China.</t>
  </si>
  <si>
    <t>fanyingwei@bit.edu.cn</t>
  </si>
  <si>
    <t>Yafeng, Li/GWQ-5263-2022; Zhang, Lu/KHE-5879-2024; Fan, Yingwei/ABD-8557-2020</t>
  </si>
  <si>
    <t>Fan, Yingwei/0000-0003-4535-3451</t>
  </si>
  <si>
    <t>National Natural Science Foundation of China (NSFC) [82172112, 81901907]; Beijing Institute of Technology Research Fund Program for Young Scholars [XSQD-202123006]; Fundamental Research Funds for the Central Universities [2022LY-22]</t>
  </si>
  <si>
    <t>National Natural Science Foundation of China (NSFC)(National Natural Science Foundation of China (NSFC)); Beijing Institute of Technology Research Fund Program for Young Scholars; Fundamental Research Funds for the Central Universities(Fundamental Research Funds for the Central Universities)</t>
  </si>
  <si>
    <t>Funding: This research was partially funded by the National Natural Science Foundation of China (NSFC) under grant nos. 82172112 and 81901907, the Beijing Institute of Technology Research Fund Program for Young Scholars under grant no. XSQD-202123006, and the Fundamental Research Funds for the Central Universities under grant no. 2022LY-22.</t>
  </si>
  <si>
    <t>AMER ASSOC ADVANCEMENT SCIENCE</t>
  </si>
  <si>
    <t>WASHINGTON</t>
  </si>
  <si>
    <t>1200 NEW YORK AVE, NW, WASHINGTON, DC 20005 USA</t>
  </si>
  <si>
    <t>2692-7632</t>
  </si>
  <si>
    <t>CYBORG BIONIC SYST</t>
  </si>
  <si>
    <t>Cyborg Bionic Syst.</t>
  </si>
  <si>
    <t>JAN 5</t>
  </si>
  <si>
    <t>10.34133/cbsystems.0062</t>
  </si>
  <si>
    <t>HX4B1</t>
  </si>
  <si>
    <t>WOS:001162783900001</t>
  </si>
  <si>
    <t>Mehrholz, J; Kugler, J; Pohl, M</t>
  </si>
  <si>
    <t>Mehrholz, Jan; Kugler, Joachim; Pohl, Marcus</t>
  </si>
  <si>
    <t>Locomotor training for walking after spinal cord injury</t>
  </si>
  <si>
    <t>Locomotion; Walking; Randomized Controlled Trials as Topic; Spinal Cord Injuries [rehabilitation]; Humans</t>
  </si>
  <si>
    <t>WEIGHT-SUPPORTED TREADMILL; FUNCTIONAL ELECTRICAL-STIMULATION; II HYBRID ORTHOSIS; PARAPLEGIC PATIENTS; CLINICAL-TRIALS; IMPROVE WALKING; ICCP PANEL; FOLLOW-UP; GAIT; THERAPY</t>
  </si>
  <si>
    <t>Background A traumatic spinal cord injury (SCI) is a lesion of neural elements of the spinal cord that can result in any degree of sensory and motor deficit, autonomic or bowel dysfunction. Improvement of locomotor function is one of the primary goals for people with SCI. Locomotor training for walking is therefore used in rehabilitation after SCI and might help to improve a person's ability to walk. However, a systematic review of the evidence is required to assess the effects and acceptability of locomotor training after SCI. Objectives To assess the effects of locomotor training on improvement in walking for people with traumatic SCI. Search methods We searched the Cochrane Injuries Group's Specialised Register (searched November 2011); the Cochrane Central Register of Controlled Trials (CENTRAL) (The Cochrane Library 2011, Issue 4); MEDLINE (Ovid) (1966 to November 2011); EMBASE (Ovid) (1980 to November 2011); CINAHL (1982 to November 2011); AMED (Allied and Complementary Medicine Database) (1985 to November 2011); SPORTDiscus (1949 to November 2011); PEDro (the Physiotherapy Evidence database) (searched November 2011); COMPENDEX (engineering databases) (1972 to November 2011); and INSPEC (1969 to November 2011). We also searched the online trials databases Current Controlled Trials (www.controlled-trials.com/isrctn) and Clinical Trials (www.clinicaltrials.gov). We handsearched relevant conference proceedings, checked reference lists of relevant published papers and contacted study authors in an effort to identify published, unpublished and ongoing trials. Selection criteria We included randomised controlled trials (RCTs) involving people with SCI that compared locomotor training to a control of any other exercise or no treatment. Data collection and analysis Two review authors independently selected trials for inclusion, assessed trial quality and extracted data. The primary outcomes were the speed of walking and walking capacity at final follow-up. Main results Five RCTs involving 309 people are included in this review. Overall, the results were inconclusive. There was no statistically significant superior effect of any locomotor training approach onwalking function after SCI comparedwith any other kind of physical rehabilitation. The use of bodyweight supported treadmill training as locomotor training for people after SCI did not significantly increase walking velocity (0.03 m/sec with a 95% confidence interval (CI) -0.05 to 0.11; P = 0.52; I-2 = 22%) nor did it increase walking capacity (-1.3 metres (95% CI -41 to 40); P = 0.95; I-2 = 62%). However, in one study involving 74 people the group receiving robotic-assisted locomotor training had reduced walking capacity compared with people receiving any other intervention, a finding which needs further investigation. In all five studies there were no differences in adverse events or drop-outs between study groups. Authors' conclusions There is insufficient evidence from RCTs to conclude that any one locomotor training strategy improves walking function more than another for people with SCI. The effects especially of robotic-assisted locomotor training are not clear, therefore research in the form of large RCTs, particularly for robotic training, is needed. Specific questions about which type of locomotor training might be most effective in improving walking function for people with SCI need to be explored.</t>
  </si>
  <si>
    <t>[Mehrholz, Jan] Klin Bavaria Kreischa, Private European Med Acad, Kreischa, Germany; [Kugler, Joachim] Univ Dresden, Dresden Med Sch, Dept Publ Hlth, Dresden, Germany; [Pohl, Marcus] Klin Bavaria Kreischa, Dept Neurol &amp; Multidisciplinary Rehabil, Kreischa, Germany</t>
  </si>
  <si>
    <t>Technische Universitat Dresden</t>
  </si>
  <si>
    <t>Mehrholz, J (corresponding author), Klin Bavaria Kreischa, Private European Med Acad, Kreischa, Germany.</t>
  </si>
  <si>
    <t>Kugler, Joachim/IST-6529-2023</t>
  </si>
  <si>
    <t>Klinik Bavaria Kreischa, Germany; Technical University Dresden, Germany; SRH FH fur Gesundheit Gera, Germany; ZVK Stiftung, Germany; Wissenschaftliches Institut der Privaten Europaischen Medizinischen Akademie fur Rehabilitation der Klinik BAVARIA, Kreischa, Germany</t>
  </si>
  <si>
    <t>Internal sourcesKlinik Bavaria Kreischa, Germany.Technical University Dresden, Germany.SRH FH fur Gesundheit Gera, Germany.ZVK Stiftung, Germany.Wissenschaftliches Institut der Privaten Europaischen Medizinischen Akademie fur Rehabilitation der Klinik BAVARIA, Kreischa, Germany.</t>
  </si>
  <si>
    <t>CD006676</t>
  </si>
  <si>
    <t>10.1002/14651858.CD006676.pub3</t>
  </si>
  <si>
    <t>052LS</t>
  </si>
  <si>
    <t>WOS:000312199800028</t>
  </si>
  <si>
    <t>Ying, BB; Huang, H; Su, YY; Howarth, JG; Gu, Z; Nan, KW</t>
  </si>
  <si>
    <t>Ying, Binbin; Huang, Hao; Su, Yuyan; Howarth, Julia G.; Gu, Zhen; Nan, Kewang</t>
  </si>
  <si>
    <t>Theranostic gastrointestinal residence systems</t>
  </si>
  <si>
    <t>DEVICE</t>
  </si>
  <si>
    <t>DRUG-DELIVERY SYSTEMS; IN-VITRO; PHYSICAL-PROPERTIES; POLYMER NETWORKS; SOFT MATERIALS; NANOPARTICLES; DESIGN; HYDROGELS; DEVICE; MUCUS</t>
  </si>
  <si>
    <t>Gastrointestinal (GI) residence systems that integrate functions such as sensing, stimulation, and drug delivery hold promise for intervening in and treating chronic GI conditions. However, extending device retention beyond 24 h remains challenging. In this review, we present current engineering approaches that extend GI retention across various spatiotemporal scales. We then summarize their applications in drug delivery, sensing, and stimulation within the GI tract that benefit from prolonged device residency. Finally, we outline emerging strategies that leverage breakthroughs in materials, mechanics, and robotics to enable the development of next-generation GI residence systems. This review aims to present a future of GI residence systems that enable long-term, autonomous, and closed-loop therapies and are thus indispensable in next-generation healthcare.</t>
  </si>
  <si>
    <t>[Ying, Binbin; Howarth, Julia G.] MIT, Dept Mech Engn, Cambridge, MA 02139 USA; [Huang, Hao; Su, Yuyan; Gu, Zhen; Nan, Kewang] Zhejiang Univ, Coll Pharmaceut Sci, Hangzhou 310058, Peoples R China; [Huang, Hao] Zhejiang Univ, Coll Chem &amp; Biol Engn, Hangzhou 310058, Peoples R China</t>
  </si>
  <si>
    <t>Massachusetts Institute of Technology (MIT); Zhejiang University; Zhejiang University</t>
  </si>
  <si>
    <t>Gu, Z; Nan, KW (corresponding author), Zhejiang Univ, Coll Pharmaceut Sci, Hangzhou 310058, Peoples R China.</t>
  </si>
  <si>
    <t>guzhen@zju.edu.cn; knan@zju.edu.cn</t>
  </si>
  <si>
    <t>Nan, Kewang/AGE-1294-2022; GU, ZHEN/Y-3413-2019; Ying, Binbin/AAE-2469-2020</t>
  </si>
  <si>
    <t>Su, Yuyan/0009-0005-8323-6469</t>
  </si>
  <si>
    <t>Zhejiang University [ZJU100]; Natural Sciences and Engineering Research Council of Canada [PDF-557493-2021]; Banting Postdoctoral Fellowships program [489413]; National Key R&amp;D Program of China [2021YFA0909900]; National Natural Science Foundation of China [52233013]</t>
  </si>
  <si>
    <t>Zhejiang University; Natural Sciences and Engineering Research Council of Canada(Natural Sciences and Engineering Research Council of Canada (NSERC)CGIAR); Banting Postdoctoral Fellowships program; National Key R&amp;D Program of China; National Natural Science Foundation of China(National Natural Science Foundation of China (NSFC))</t>
  </si>
  <si>
    <t>K.N. acknowledges support from start-up funding for the ZJU100 professorship from Zhejiang University. B.Y. acknowledges support from both the Natural Sciences and Engineering Research Council of Canada (PDF-557493-2021) and the Banting Postdoctoral Fellowships program (application no. 489413) , which are administered by the government of Canada. We also thank Dr. Giovanni Traverso, Dr. Ziliang Kang, and Mr. James C. McRae from MIT for insightful discussions on the manuscript. Z.G. acknowledges grant support from the National Key R&amp;D Program of China (2021YFA0909900) and the National Natural Science Foundation of China (52233013) .</t>
  </si>
  <si>
    <t>CELL PRESS</t>
  </si>
  <si>
    <t>CAMBRIDGE</t>
  </si>
  <si>
    <t>50 HAMPSHIRE ST, FLOOR 5, CAMBRIDGE, MA 02139 USA</t>
  </si>
  <si>
    <t>2666-9986</t>
  </si>
  <si>
    <t>Device</t>
  </si>
  <si>
    <t>AUG 25</t>
  </si>
  <si>
    <t>10.1016/j.device.2023.100053</t>
  </si>
  <si>
    <t>J8H5X</t>
  </si>
  <si>
    <t>WOS:001339419000003</t>
  </si>
  <si>
    <t>Suarez-Escobar, M; Rendon-Velez, E</t>
  </si>
  <si>
    <t>Suarez-Escobar, Marian; Rendon-Velez, Elizabeth</t>
  </si>
  <si>
    <t>An overview of robotic/mechanical devices for post-stroke thumb rehabilitation</t>
  </si>
  <si>
    <t>Mechanical device; robot-assisted rehabilitation; stroke; thumb anatomy; thumb motion</t>
  </si>
  <si>
    <t>ROBOT-ASSISTED THERAPY; UPPER-LIMB; HAND EXOSKELETON; STROKE SURVIVORS; MOTOR RECOVERY; METACARPOPHALANGEAL JOINT; TRAPEZIOMETACARPAL JOINT; BIOMECHANICAL ANALYSIS; FUNCTIONAL-ANATOMY; METACARPAL JOINT</t>
  </si>
  <si>
    <t>Purpose: This article aims to clarify the current state-of-the-art of robotic/mechanical devices for post-stroke thumb rehabilitation as well as the anatomical characteristics and motions of the thumb that are crucial for the development of any device that aims to support its motion. Methods: A systematic literature search was conducted to identify robotic/mechanical devices for post-stroke thumb rehabilitation. Specific electronic databases and well-defined search terms and inclusion/exclusion criteria were used for such purpose. A reasoning model was devised to support the structured abstraction of relevant data from the literature of interest. Results: Following the main search and after removing duplicated and other non-relevant studies, 68 articles (corresponding to 32 devices) were left for further examination. These articles were analyzed to extract data relative to (i) the motions assisted/permitted - either actively or passively - by the device per anatomical joint of the thumb and (ii) mechanical-related aspects (i.e., architecture, connections to thumb, other fingers supported, adjustability to different hand sizes, actuators - type, quantity, location, power transmission and motion trajectory). Conclusions: Most articles describe preliminary design and testing of prototypes, rather than the thorough evaluation of commercially ready devices. Defining appropriate kinematic models of the thumb upon which to design such devices still remains a challenging and unresolved task. Further research is needed before these devices can actually be implemented in clinical environments to serve their intended purpose of complementing the labour of therapists by facilitating intensive treatment with precise and repeatable exercises. IMPLICATIONS FOR REHABILITATION Post-stroke functional disability of the hand, and particularly of the thumb, significantly affects the capability to perform activities of daily living, threatening the independence and quality of life of the stroke survivors. The latest studies show that a high-dose intensive therapy (in terms of frequency, duration and intensity/effort) is the key to effectively modify neural organization and recover the motor skills that were lost after a stroke. Conventional therapy based on manual interaction with physical therapists makes the procedure labour intensive and increases the costs. Robotic/mechanical devices hold promise for complementing conventional post-stroke therapy. Specifically, these devices can provide reliable and accurate therapy for long periods of time without the associated fatigue. Also, they can be used as a means to assess patients' performance and progress in an objective and consistent manner. The full potential of robot-assisted therapy is still to be unveiled. Further exploration will surely lead to devices that can be well accepted equally by therapists and patients and that can be useful both in clinical and home-based rehabilitation practice such that motor recovery of the hand becomes a common outcome in stroke survivors. This overview provides the reader, possibly a designer of such a device, with a complete overview of the state-of-the-art of robotic/mechanical devices consisting of or including features for the rehabilitation of the thumb. Also, we clarify the anatomical characteristics and motions of the thumb that are crucial for the development of any device that aims to support its motion. Hopefully, this-combined with the outlined opportunities for further research-leads to the improvement of current devices and the development of new technology and knowledge in the field.</t>
  </si>
  <si>
    <t>[Suarez-Escobar, Marian; Rendon-Velez, Elizabeth] Univ EAFIT, Dept Prod Design Engn, Design Engn Res Grp GRID, Medellin, Colombia</t>
  </si>
  <si>
    <t>Universidad EAFIT</t>
  </si>
  <si>
    <t>Rendon-Velez, E (corresponding author), Carrera 49 7 Sur 50,Of 19-519, Medellin, Colombia.</t>
  </si>
  <si>
    <t>msuareze@eafit.edu.co; erendonv@eafit.edu.co</t>
  </si>
  <si>
    <t>Rendon-Velez, Elizabeth/K-8774-2015</t>
  </si>
  <si>
    <t>Rendon-Velez, Elizabeth/0000-0001-6624-5930</t>
  </si>
  <si>
    <t>Colciencias (Departamento Administrativo de Ciencia, Tecnologia e Innovacion); Universidad EAFIT</t>
  </si>
  <si>
    <t>Colciencias (Departamento Administrativo de Ciencia, Tecnologia e Innovacion)(Departamento Administrativo de Ciencia, Tecnologia e Innovacion Colciencias); Universidad EAFIT</t>
  </si>
  <si>
    <t>The authors acknowledge the support of Colciencias (Departamento Administrativo de Ciencia, Tecnologia e Innovacion) and Universidad EAFIT.</t>
  </si>
  <si>
    <t>10.1080/17483107.2018.1425746</t>
  </si>
  <si>
    <t>GR6FJ</t>
  </si>
  <si>
    <t>WOS:000442740900010</t>
  </si>
  <si>
    <t>Mehrholz, J; Thomas, S; Werner, C; Kugler, J; Pohl, M; Elsner, B</t>
  </si>
  <si>
    <t>Mehrholz, Jan; Thomas, Simone; Werner, Cordula; Kugler, Joachim; Pohl, Marcus; Elsner, Bernhard</t>
  </si>
  <si>
    <t>BODY-WEIGHT SUPPORT; SPATIOTEMPORAL GAIT PARAMETERS; SUBACUTE STROKE; FLOOR WALKING; PHYSICAL-THERAPY; SINGLE-BLIND; PILOT; ROBOT; RECOVERY; REHABILITATION</t>
  </si>
  <si>
    <t>Background Electromechanical-and robotic-assisted gait-training devices are used in rehabilitation and might help to improve walking after stroke. This is an update of a Cochrane Review first published in 2007. Objectives To investigate the effects of automated electromechanical-and robotic-assisted gait-training devices for improving walking after stroke. Search methods We searched the Cochrane Stroke Group Trials Register (last searched 9 August 2016), the Cochrane Central Register of Controlled Trials (CENTRAL) (the Cochrane Library 2016, Issue 8), MEDLINE in Ovid (1950 to 15 August 2016), Embase (1980 to 15 August 2016), CINAHL (1982 to 15 August 2016), AMED (1985 to 15 August 2016), Web of Science (1899 to 16 August 2016), SPORTDiscus (1949 to 15 September 2012), the Physiotherapy Evidence Database (PEDro) (searched 16 August 2016), and the engineering databases COMPENDEX (1972 to 16 November 2012) and Inspec (1969 to 26 August 2016). We handsearched relevant conference proceedings, searched trials and research registers, checked reference lists, and contacted authors in an effort to identify further published, unpublished, and ongoing trials. Selection criteria We included all randomised controlled trials and randomised controlled cross-over trials in people over the age of 18 years diagnosed with stroke of any severity, at any stage, in any setting, evaluating electromechanical-and robotic-assisted gait training versus normal care. Data collection and analysis Two review authors independently selected trials for inclusion, assessed methodological quality and risk of bias, and extracted the data. The primary outcome was the proportion of participants walking independently at follow-up. Main results We included 36 trials involving 1472 participants in this review update. Electromechanical-assisted gait training in combination with physiotherapy increased the odds of participants becoming independent in walking (odds ratio (random effects) 1.94, 95% confidence interval (CI) 1.39 to 2.71; P &lt; 0.001; I-2 = 8%; moderate-quality evidence) but did not significantly increase walking velocity (mean difference (MD) 0.04 m/s, 95% CI 0.00 to 0.09; P = 0.08; I-2 = 65%; low-quality evidence) or walking capacity (MD 5.84 metres walked in 6 minutes, 95% CI-16.73 to 28.40; P = 0.61; I-2 = 53%; very low-quality evidence). The results must be interpreted with caution because 1) some trials investigated people who were independent in walking at the start of the study, 2) we found variations between the trials with respect to devices used and duration and frequency of treatment, and 3) some trials included devices with functional electrical stimulation. Our planned subgroup analysis suggested that people in the acute phase may benefit, but people in the chronic phase may not benefit from electromechanical-assisted gait training. Post hoc analysis showed that people who are non-ambulatory at intervention onset may benefit, but ambulatory people may not benefit from this type of training. Post hoc analysis showed no differences between the types of devices used in studies regarding ability to walk, but significant differences were found between devices in terms of walking velocity. Authors' conclusions People who receive electromechanical-assisted gait training in combination with physiotherapy after stroke are more likely to achieve independent walking than people who receive gait training without these devices. We concluded that seven patients need to be treated to prevent one dependency in walking. Specifically, people in the first three months after stroke and those who are not able to walk seem to benefit most from this type of intervention. The role of the type of device is still not clear. Further research should consist of large definitive pragmatic phase III trials undertaken to address specific questions about the most effective frequency and duration of electromechanical-assisted gait training as well as how long any benefit may last.</t>
  </si>
  <si>
    <t>[Mehrholz, Jan; Kugler, Joachim] Tech Univ Dresden, Dresden Med Sch, Dept Publ Hlth, Dresden, Germany; [Thomas, Simone] Klin Bavaria Kreischa, Wissensch Inst, Kreischa, Germany; [Werner, Cordula] Schlaganfallzentrum Berlin, Medicalpk, D-13507 Berlin, Germany; [Pohl, Marcus] Helios Klin Schloss Pulsnitz, Neurol Rehabil, Pulsnitz, Germany; [Elsner, Bernhard] Tech Univ Dresden, Dresden Med Sch, Dept Publ Hlth, Dresden, Germany</t>
  </si>
  <si>
    <t>Technische Universitat Dresden; Helios Kliniken; Technische Universitat Dresden</t>
  </si>
  <si>
    <t>Mehrholz, J (corresponding author), Tech Univ Dresden, Dresden Med Sch, Dept Publ Hlth, Dresden, Germany.</t>
  </si>
  <si>
    <t>jan.mehrholz@tu-dresden.de</t>
  </si>
  <si>
    <t>Kugler, Joachim/IST-6529-2023; Werner, Carsten/F-8127-2010; Elsner, Bernhard/K-5951-2015</t>
  </si>
  <si>
    <t>Elsner, Bernhard/0000-0002-2519-5030</t>
  </si>
  <si>
    <t>Klinik Bavaria Kreischa, Wissenschaftliches Institut, Germany; Technical University Dresden, Lehrstuhl Public Health, Germany; SRH Fachhochschule Gera, Lehrstuhl Therapiewissenschaften, Germany</t>
  </si>
  <si>
    <t>Klinik Bavaria Kreischa, Wissenschaftliches Institut, Germany. Technical University Dresden, Lehrstuhl Public Health, Germany. SRH Fachhochschule Gera, Lehrstuhl Therapiewissenschaften, Germany.</t>
  </si>
  <si>
    <t>10.1002/14651858.CD006185.pub4</t>
  </si>
  <si>
    <t>EW5BL</t>
  </si>
  <si>
    <t>WOS:000402520100039</t>
  </si>
  <si>
    <t>Mehrholz, J; Elsner, B; Werner, C; Kugler, J; Pohl, M</t>
  </si>
  <si>
    <t>Mehrholz, Jan; Elsner, Bernhard; Werner, Cordula; Kugler, Joachim; Pohl, Marcus</t>
  </si>
  <si>
    <t>Orthotic Devices; Walking; Equipment Design; Gait; Randomized Controlled Trials as Topic; Robotics [instrumentation]; Stroke [rehabilitation]; Humans</t>
  </si>
  <si>
    <t>BODY-WEIGHT SUPPORT; GAIT TRAINER; SUBACUTE STROKE; FLOOR WALKING; PHYSICAL-THERAPY; ROBOT; REHABILITATION; STIMULATION; RECOVERY; TRIAL</t>
  </si>
  <si>
    <t>Background Electromechanical and robotic-assisted gait training devices are used in rehabilitation and might help to improve walking after stroke. This is an update of a Cochrane Review first published in 2007. Objectives To investigate the effects of automated electromechanical and robotic-assisted gait training devices for improving walking after stroke. Search methods We searched the Cochrane Stroke Group Trials Register (last searched April 2012), the Cochrane Central Register of Controlled Trials (CENTRAL) (The Cochrane Library 2012, Issue 2), MEDLINE (1966 to November 2012), EMBASE (1980 to November 2012), CINAHL (1982 to November 2012), AMED(1985 to November 2012), SPORTDiscus (1949 to September 2012), the Physiotherapy Evidence Database (PEDro, searched November 2012) and the engineering databases COMPENDEX (1972 to November 2012) and INSPEC (1969 to November 2012). We handsearched relevant conference proceedings, searched trials and research registers, checked reference lists and contacted authors in an effort to identify further published, unpublished and ongoing trials. Selection criteria We included all randomised and randomised cross-over trials consisting of people over 18 years old diagnosed with stroke of any severity, at any stage, or in any setting, evaluating electromechanical and robotic-assisted gait training versus normal care. Data collection and analysis Two review authors independently selected trials for inclusion, assessed methodological quality and extracted the data. The primary outcome was the proportion of participants walking independently at follow-up. Main results In this update of our review, we included 23 trials involving 999 participants. Electromechanical-assisted gait training in combination with physiotherapy increased the odds of participants becoming independent in walking (odds ratio (OR) (random effects) 2.39, 95% confidence interval (CI) 1.67 to 3.43; P &lt; 0.00001; I-2 = 0%) but did not significantly increase walking velocity (mean difference (MD) = 0.04 metres/s, 95% CI -0.03 to 0.11; P = 0.26; I-2 = 73%) or walking capacity (MD = 3 metres walked in six minutes, 95% CI - 29 to 35; P = 0.86; I-2 = 70%). The results must be interpreted with caution because (1) some trials investigated people who were independent in walking at the start of the study, (2) we found variations between the trials with respect to devices used and duration and frequency of treatment, and (3) some trials included devices with functional electrical stimulation. Our planned subgroup analysis suggests that people in the acute phase may benefit but people in the chronic phase may not benefit from electromechanical-assisted gait training. Post hoc analysis showed that people who are non-ambulatory at intervention onset may benefit but ambulatory people may not benefit from this type of training. Post hoc analysis showed no differences between the types of devices used in studies regarding ability to walk, but significant differences were found between devices in terms of walking velocity. Authors' conclusions People who receive electromechanical-assisted gait training in combination with physiotherapy after stroke are more likely to achieve independent walking than people who receive gait training without these devices. Specifically, people in the first three months after stroke and those who are not able to walk seem to benefit most from this type of intervention. The role of the type of device is still not clear. Further research should consist of a large definitive, pragmatic, phase III trial undertaken to address specific questions such as the following: What frequency or duration of electromechanical-assisted gait training might be most effective? How long does the benefit last?</t>
  </si>
  <si>
    <t>[Mehrholz, Jan] Klin Bavaria Kreischa GmbH, Wissensch Inst, Private Europa Med Akad, Kreischa, Germany; [Mehrholz, Jan; Elsner, Bernhard; Kugler, Joachim] Tech Univ Dresden, Dresden Med Sch, Dept Publ Hlth, D-01062 Dresden, Germany; [Werner, Cordula] Schlaganfallzentrum Berlin, D-13507 Berlin, Germany; [Pohl, Marcus] Klin Bavaria Kreischa, Abt Neurol &amp; Fachubergreifende Rehabil, Kreischa, Germany</t>
  </si>
  <si>
    <t>Mehrholz, J (corresponding author), Klin Bavaria Kreischa GmbH, Wissensch Inst, Private Europa Med Akad, Kreischa, Germany.</t>
  </si>
  <si>
    <t>Klinik Bavaria Kreischa, Wissenschaftliches Institut, Germany; Technical University Dresden, Lehrstuhl Public Health, Germany; SRH Fachhochschule Gera, Lehrstuhl Therapiewissenschaften, Germany; Chief Scientist Office [CZB/4/784] Funding Source: Medline</t>
  </si>
  <si>
    <t>Klinik Bavaria Kreischa, Wissenschaftliches Institut, Germany; Technical University Dresden, Lehrstuhl Public Health, Germany; SRH Fachhochschule Gera, Lehrstuhl Therapiewissenschaften, Germany; Chief Scientist Office(Chief Scientist Office - Scotland)</t>
  </si>
  <si>
    <t>Internal sourcesKlinik Bavaria Kreischa, Wissenschaftliches Institut, Germany.Technical University Dresden, Lehrstuhl Public Health, Germany.SRH Fachhochschule Gera, Lehrstuhl Therapiewissenschaften, Germany.</t>
  </si>
  <si>
    <t>10.1002/14651858.CD006185.pub3</t>
  </si>
  <si>
    <t>193OB</t>
  </si>
  <si>
    <t>WOS:000322568100042</t>
  </si>
  <si>
    <t>Xu, TC; Xia, YB</t>
  </si>
  <si>
    <t>Xu, Tiancheng; Xia, Youbing</t>
  </si>
  <si>
    <t>Guidance for Acupuncture Robot with Potentially Utilizing Medical Robotic Technologies</t>
  </si>
  <si>
    <t>EVIDENCE-BASED COMPLEMENTARY AND ALTERNATIVE MEDICINE</t>
  </si>
  <si>
    <t>TRANSCRANIAL DOPPLER SONOGRAPHY; INSERTION; NEEDLES; POINTS; ACUBOT; PROBES; MODEL</t>
  </si>
  <si>
    <t>Acupuncture is gaining increasing attention and recognition all over the world. However, a lot of physical labor is paid by acupuncturists. It is natural to resort to a robot which can improve the accuracy as well as the efficacy of therapy. Several teams have separately developed real acupuncture robots or related technologies and even went to the stage of clinical trial and then achieved success commercially. A completed clinical practical acupuncture robot is not far from reach with the combination of existing mature medical robotic technologies. A hand-eye-brain coordination framework is proposed in this review to integrate the potential utilizing technologies including force feedback, binocular vision, and automatic prescription. We should take acupuncture prescription with artificial intelligence and future development trends into account and make a feasible choice in development of modern acupuncture.</t>
  </si>
  <si>
    <t>[Xu, Tiancheng; Xia, Youbing] Nanjing Univ Chinese Med, Key Lab Acupuncture &amp; Med Res, Minist Educ, Nanjing, Peoples R China; [Xia, Youbing] Xuzhou Med Univ, Affiliated Hosp, Xuzhou, Jiangsu, Peoples R China</t>
  </si>
  <si>
    <t>Ministry of Education - China; Nanjing University of Chinese Medicine; Xuzhou Medical University</t>
  </si>
  <si>
    <t>Xia, YB (corresponding author), Nanjing Univ Chinese Med, Key Lab Acupuncture &amp; Med Res, Minist Educ, Nanjing, Peoples R China.;Xia, YB (corresponding author), Xuzhou Med Univ, Affiliated Hosp, Xuzhou, Jiangsu, Peoples R China.</t>
  </si>
  <si>
    <t>xtc24203@163.com; xybd1968@sina.com</t>
  </si>
  <si>
    <t>Xu, Tiancheng/ABF-5569-2021</t>
  </si>
  <si>
    <t>Xu, Tiancheng/0000-0003-0089-0712</t>
  </si>
  <si>
    <t>National Natural Science Foundation of China [81873371]; Jiangsu Postgraduate Research Innovation Program [KYCX20_1472]; Leading Talents of Traditional Chinese Medicine in Jiangsu [SLJ0225]; Research project of Nanjing University of Chinese Medicine [XT202001]</t>
  </si>
  <si>
    <t>National Natural Science Foundation of China(National Natural Science Foundation of China (NSFC)); Jiangsu Postgraduate Research Innovation Program; Leading Talents of Traditional Chinese Medicine in Jiangsu; Research project of Nanjing University of Chinese Medicine</t>
  </si>
  <si>
    <t>This work was supported in part by the National Natural Science Foundation of China under grant 81873371, Jiangsu Postgraduate Research Innovation Program under grant KYCX20_1472, Leading Talents of Traditional Chinese Medicine in Jiangsu under grant SLJ0225, and Research project of Nanjing University of Chinese Medicine under grant XT202001.</t>
  </si>
  <si>
    <t>1741-427X</t>
  </si>
  <si>
    <t>1741-4288</t>
  </si>
  <si>
    <t>EVID-BASED COMPL ALT</t>
  </si>
  <si>
    <t>Evid.-based Complement Altern. Med.</t>
  </si>
  <si>
    <t>MAR 31</t>
  </si>
  <si>
    <t>10.1155/2021/8883598</t>
  </si>
  <si>
    <t>RN3VC</t>
  </si>
  <si>
    <t>WOS:000640280100002</t>
  </si>
  <si>
    <t>Ghanim, R; Kaushik, A; Park, J; Abramson, A</t>
  </si>
  <si>
    <t>Ghanim, Ramy; Kaushik, Anika; Park, Jihoon; Abramson, Alex</t>
  </si>
  <si>
    <t>Communication protocols integrating wearables, ingestibles, and implantables for closed-loop therapies</t>
  </si>
  <si>
    <t>DRUG-DELIVERY SYSTEM; INSULIN DELIVERY; EXTENDED-RELEASE; WIRELESS POWER; GLUCOSE; ANESTHESIA; HYDROGEL; DEVICE; SENSOR; SKIN</t>
  </si>
  <si>
    <t>Body-conformal sensors and tissue-interfacing robotic therapeutics enable the real-time monitoring and treatment of diabetes, wound healing, and other critical conditions. By integrating sensors and drug-delivery devices, scientists and engineers have developed closed-loop drug-delivery systems with on-demand therapeutic capabilities to provide just-in-time treatments that correspond to chemical, electrical, and physical signals of a target morbidity. To enable closed-loop functionality in vivo, engineers utilize various low-power means of communication that reduce the size of implants by orders of magnitude, increase device lifetime from hours to months, and ensure the secure high-speed transfer of data. In this review, we highlight how communication protocols used to integrate sensors and drug-delivery devices, such as radio-frequency communication (e.g., Bluetooth, near-field communication), in-body communication, and ultrasound, enable improved treatment outcomes.</t>
  </si>
  <si>
    <t>[Ghanim, Ramy; Kaushik, Anika; Park, Jihoon; Abramson, Alex] Georgia Inst Technol, Sch Chem &amp; Biomol Engn, Atlanta, GA 30332 USA; [Abramson, Alex] Georgia Inst Technol, Wallace H Coulter Dept Biomed Engn, Atlanta, GA 30332 USA; [Abramson, Alex] Emory Univ, Sch Med, Div Digest Dis, Atlanta, GA 30322 USA</t>
  </si>
  <si>
    <t>University System of Georgia; Georgia Institute of Technology; University System of Georgia; Georgia Institute of Technology; Emory University</t>
  </si>
  <si>
    <t>Abramson, A (corresponding author), Georgia Inst Technol, Sch Chem &amp; Biomol Engn, Atlanta, GA 30332 USA.;Abramson, A (corresponding author), Georgia Inst Technol, Wallace H Coulter Dept Biomed Engn, Atlanta, GA 30332 USA.;Abramson, A (corresponding author), Emory Univ, Sch Med, Div Digest Dis, Atlanta, GA 30322 USA.</t>
  </si>
  <si>
    <t>aabramson6@gatech.edu</t>
  </si>
  <si>
    <t>Abramson, Alex/HJH-1046-2023</t>
  </si>
  <si>
    <t>Park, Jihoon/0009-0005-5616-4009</t>
  </si>
  <si>
    <t>Georgia Tech IEN; National Institutes of Health [R35GM150689]</t>
  </si>
  <si>
    <t>Georgia Tech IEN; National Institutes of Health(United States Department of Health &amp; Human ServicesNational Institutes of Health (NIH) - USA)</t>
  </si>
  <si>
    <t>All images in the figures were collected from open-source scientific articles un-der CC-BY licenses that enable the free reproduction of images in future sci-entific articles. Photo credits for the images are as follows: Figure 1, Changwei Yang and Medtronic; Figure 2, clockwise from bottom left, Zixuan Zhang, Gre-gor Schwartz, Wenjing Fan, KKPCW, Sjo , Shinjae Kwon, Joohee Kim, Manu S. Mannoor, Lu Li, Hyunjae Lee, and Song Li; Figure 2 (right) , clockwise from bot-tom left, Alex Abramson (1-3) , Hongpeng Shi, Jmarchn, Yinqchao Zhang, Seungho Lee, Mconnell, Chong Zhang, and William Whyte. Parts of all figures were drawn using pictures from Servier Medical Art. Servier Medical Art by Servier is licensed under a Creative Commons Attribution 3.0 Unported Li-cense (https://creativecommons.org/licenses/by/3.0/) . A.A. acknowledges funding from the Georgia Tech IEN (1000x Seed Grant) and from the National Institutes of Health (R35GM150689) .</t>
  </si>
  <si>
    <t>SEP 22</t>
  </si>
  <si>
    <t>10.1016/j.device.2023.100092</t>
  </si>
  <si>
    <t>J9W9T</t>
  </si>
  <si>
    <t>WOS:001340506500007</t>
  </si>
  <si>
    <t>Zhu, J; Dexheimer, M; Cheng, HY</t>
  </si>
  <si>
    <t>Zhu, Jia; Dexheimer, Michael; Cheng, Huanyu</t>
  </si>
  <si>
    <t>Reconfigurable systems for multifunctional electronics</t>
  </si>
  <si>
    <t>NPJ FLEXIBLE ELECTRONICS</t>
  </si>
  <si>
    <t>THIN-FILM; EPIDERMAL ELECTRONICS; HIGH-PERFORMANCE; LOGIC-CIRCUITS; DESIGNS; METAMATERIAL; POLYMER; ARRAYS; PROPAGATION; TRANSISTORS</t>
  </si>
  <si>
    <t>Reconfigurable systems complement the existing efforts of miniaturizing integrated circuits to provide a new direction for the development of future electronics. Such systems can integrate low dimensional materials and metamaterials to enable functional transformation from the deformation to changes in multiple physical properties, including mechanical, electric, optical, and thermal. Capable of overcoming the mismatch in geometries and forms between rigid electronics and soft tissues, bio-integrated electronics enabled by reconfigurable systems can provide continuous monitoring of physiological signals. The new opportunities also extend beyond to human-computer interfaces, diagnostic/therapeutic platforms, and soft robotics. In the development of these systems, biomimicry has been a long lasting inspiration for the novel yet simple designs and technological innovations. As interdisciplinary research becomes evident in such development, collaboration across scientists and physicians from diverse backgrounds would be highly encouraged to tackle grand challenges in this field.</t>
  </si>
  <si>
    <t>[Zhu, Jia; Dexheimer, Michael; Cheng, Huanyu] Penn State Univ, Dept Engn Sci &amp; Mech, 227 Hammond Bldg, University Pk, PA 16802 USA; [Cheng, Huanyu] Penn State Univ, Mat Res Inst, University Pk, PA 16802 USA</t>
  </si>
  <si>
    <t>Pennsylvania Commonwealth System of Higher Education (PCSHE); Pennsylvania State University; Pennsylvania State University - University Park; Penn State Behrend; Pennsylvania Commonwealth System of Higher Education (PCSHE); Pennsylvania State University; Pennsylvania State University - University Park; Penn State Behrend</t>
  </si>
  <si>
    <t>Cheng, HY (corresponding author), Penn State Univ, Dept Engn Sci &amp; Mech, 227 Hammond Bldg, University Pk, PA 16802 USA.;Cheng, HY (corresponding author), Penn State Univ, Mat Res Inst, University Pk, PA 16802 USA.</t>
  </si>
  <si>
    <t>huanyu.cheng@psu.edu</t>
  </si>
  <si>
    <t>Zhu, Jia/GQP-8593-2022; Cheng, Huanyu/J-7379-2015</t>
  </si>
  <si>
    <t>Dexheimer, Michael/0000-0003-3424-9173; Cheng, Huanyu/0000-0001-6075-4208</t>
  </si>
  <si>
    <t>Engineering Science and Mechanics Department, College of Engineering, and Materials Research Institute at The Pennsylvania State University; NSFC [11572161, 11272260]; ASME Haythornthwaite Foundation Research Initiation Grant; Dorothy Quiggle Career Development Professorship in Engineering at Penn State</t>
  </si>
  <si>
    <t>Engineering Science and Mechanics Department, College of Engineering, and Materials Research Institute at The Pennsylvania State University; NSFC(National Natural Science Foundation of China (NSFC)); ASME Haythornthwaite Foundation Research Initiation Grant; Dorothy Quiggle Career Development Professorship in Engineering at Penn State</t>
  </si>
  <si>
    <t>The work is supported by the start-up fund provided by the Engineering Science and Mechanics Department, College of Engineering, and Materials Research Institute at The Pennsylvania State University. The authors also acknowledge the support from NSFC (Grant Nos. 11572161 and 11272260), ASME Haythornthwaite Foundation Research Initiation Grant, and Dorothy Quiggle Career Development Professorship in Engineering at Penn State.</t>
  </si>
  <si>
    <t>NATURE PORTFOLIO</t>
  </si>
  <si>
    <t>HEIDELBERGER PLATZ 3, BERLIN, 14197, GERMANY</t>
  </si>
  <si>
    <t>2397-4621</t>
  </si>
  <si>
    <t>NPJ FLEX ELECTRON</t>
  </si>
  <si>
    <t>npj Flex. Electron.</t>
  </si>
  <si>
    <t>NOV 2</t>
  </si>
  <si>
    <t>10.1038/s41528-017-0009-6</t>
  </si>
  <si>
    <t>Engineering, Electrical &amp; Electronic; Materials Science, Multidisciplinary</t>
  </si>
  <si>
    <t>Engineering; Materials Science</t>
  </si>
  <si>
    <t>VJ5FX</t>
  </si>
  <si>
    <t>WOS:000605499700001</t>
  </si>
  <si>
    <t>Yang, Y; Wang, GT; Zhang, SK; Wang, H; Zhou, WS; Ren, FF; Liang, HM; Wu, DD; Ji, XY; Hashimoto, M; Wei, JS</t>
  </si>
  <si>
    <t>Yang, Yong; Wang, Guotuan; Zhang, Shikun; Wang, Huan; Zhou, Wensheng; Ren, Feifei; Liang, Huimin; Wu, Dongdong; Ji, Xinying; Hashimoto, Makoto; Wei, Jianshe</t>
  </si>
  <si>
    <t>Efficacy and evaluation of therapeutic exercises on adults with Parkinson's disease: a systematic review and network meta-analysis</t>
  </si>
  <si>
    <t>BMC GERIATRICS</t>
  </si>
  <si>
    <t>Physical activity; Exercise; Parkinson' s disease; Quality of life; Evidence-based medicine</t>
  </si>
  <si>
    <t>HEALTH-CARE INTERVENTIONS; OLDER-ADULTS; FUNCTIONAL PERFORMANCE; RESISTANCE EXERCISE; PHYSICAL-ACTIVITY; MUSCLE POWER; FALL RISK; TAI CHI; BALANCE; STRENGTH</t>
  </si>
  <si>
    <t>Background Exercises are an effective treatment in Parkinson's disease (PD), but there is still controversy over which types should be used. We aimed to compare and rank the types of exercise that improve PD symptoms by quantifying information from randomised controlled trials. Methods We performed a systematic review and network meta-analysis and searched PubMed, MEDLINE, Embase, PsycINFO, Cochrane Central Register of Controlled Trials (CENTRAL), Web of Science, and China National Knowledge Infrastructure (CNKI) from their inception date to June 30, 2022. We included randomized controlled trials of 24 types of exercise for the interventional treatment of adults (&gt;= 50 years old) with PD. Effect size measures were standardized mean differences (SMDs) with 95% credible intervals (CrIs). The confidence of evidence was examined using Confidence in Network Meta-Analysis (CINeMA). Results We identified 10 474 citations and included 250 studies involving 13 011 participants. Results of NMA showed that power training (PT) had the best benefits for motor symptoms compared with the control group (CON), with SMDs (95% CrI) (-1.46, [-2.18 to -0.74]). Body weight support treadmill training (BWS_TT) showed the best improvement in balance (1.55, [0.72 to 2.37]), gait velocity (1.15 [0.57 to 1.31]) and walking distance (1.96, [1.18 to 2.73]), and robotic assisted gait training (RA_GT) had the most benefits for freezing of gait (-1.09, [-1.80 to -0.38]). For non-motor symptoms, Dance showed the best benefits for depression (-1.71, [-2.79 to -0.73]). Only Yoga significantly reduced anxiety symptom compared with CON (-0.53, [0.96 to -0.11]). Only resistance training (RT) significantly enhanced sleep quality and cognition (-1.42, [-2.60 to -0.23]; 0.51, [0.09 to 0.94]). For muscle strength, PT showed the best advance (1.04, [0.64 to 1.44]). For concern of falling, five types of exercise were more effective than CON. Conclusions There is low quality evidence that PT, Yoga, BWS_TT, Dance, and RT are the most effective treatments, pending outcome of interest, for adults with PD.</t>
  </si>
  <si>
    <t>[Yang, Yong; Liang, Huimin; Wu, Dongdong; Ji, Xinying; Wei, Jianshe] Henan Univ, Sch Life Sci, Inst Brain Sci Res, 85 Minglun Rd, Kaifeng City 475001, Peoples R China; [Yang, Yong; Wang, Guotuan; Wei, Jianshe] Henan Univ, Sch Phys Educ &amp; Sport, Lab Kinesiol &amp; Rehabil, Kaifeng 475001, Peoples R China; [Zhang, Shikun] Jiangsu Police Inst, Dept Police Phys Educ, Nanjing, Peoples R China; [Wang, Huan] Air Force Med Univ, Affiliated Hosp 2, Dept Orthoped, Xian, Peoples R China; [Zhou, Wensheng] Nanjing Xiao Zhuang Univ, Coll Phys Educ, Nanjing, Peoples R China; [Ren, Feifei] Beijing Language &amp; Culture Univ, Dept Phys Educ, Beijing, Peoples R China; [Liang, Huimin; Wei, Jianshe] Henan Univ, Parkinsons Dis Res Ctr, Henan Med Sch, Kaifeng, Peoples R China; [Wu, Dongdong; Ji, Xinying; Wei, Jianshe] Henan Univ, Henan Med Sch, Henan Int Joint Lab Nucl Prot Regulat, Kaifeng, Peoples R China; [Hashimoto, Makoto] Tokyo Metropolitan Inst Med Sci, Setagaya Ku, 2-1-6 Kamikitazawa, Tokyo 1560057, Japan</t>
  </si>
  <si>
    <t>Henan University; Henan University; Jiangsu Police Institute; Air Force Medical University; Nanjing Xiaozhuang University; Beijing Language &amp; Culture University; Henan University; Henan University; Tokyo Metropolitan Institute of Medical Science</t>
  </si>
  <si>
    <t>Wei, JS (corresponding author), Henan Univ, Sch Life Sci, Inst Brain Sci Res, 85 Minglun Rd, Kaifeng City 475001, Peoples R China.;Wei, JS (corresponding author), Henan Univ, Sch Phys Educ &amp; Sport, Lab Kinesiol &amp; Rehabil, Kaifeng 475001, Peoples R China.;Wei, JS (corresponding author), Henan Univ, Parkinsons Dis Res Ctr, Henan Med Sch, Kaifeng, Peoples R China.;Wei, JS (corresponding author), Henan Univ, Henan Med Sch, Henan Int Joint Lab Nucl Prot Regulat, Kaifeng, Peoples R China.</t>
  </si>
  <si>
    <t>jswei@henu.edu.cn</t>
  </si>
  <si>
    <t>Liang, Huimin/IUP-9632-2023; Ji, Xin-Ying/AEM-2318-2022; Ren, Fei-Fei/HKE-1814-2023; Wu, Dong-Dong/GQP-4472-2022</t>
  </si>
  <si>
    <t>Ren, Fei-fei/0000-0002-1785-6556; Wu, Dong-Dong/0000-0001-6739-8437; Wang, Guotuan/0000-0002-9213-3155</t>
  </si>
  <si>
    <t>National Natural Science Foundation of China [81271410]; Henan Science and Technology Development Project [182300410313]; Bio-Med Interdisciplinary Innovative Program of Henan University [CJ1205A0240018]</t>
  </si>
  <si>
    <t>National Natural Science Foundation of China(National Natural Science Foundation of China (NSFC)); Henan Science and Technology Development Project; Bio-Med Interdisciplinary Innovative Program of Henan University</t>
  </si>
  <si>
    <t>This research was funded by the National Natural Science Foundation of China (grant number: 81271410), the Henan Science and Technology Development Project (grant number: 182300410313), and Bio-Med Interdisciplinary Innovative Program of Henan University (grant number: CJ1205A0240018).</t>
  </si>
  <si>
    <t>1471-2318</t>
  </si>
  <si>
    <t>BMC GERIATR</t>
  </si>
  <si>
    <t>BMC Geriatr.</t>
  </si>
  <si>
    <t>OCT 21</t>
  </si>
  <si>
    <t>10.1186/s12877-022-03510-9</t>
  </si>
  <si>
    <t>Geriatrics &amp; Gerontology; Gerontology</t>
  </si>
  <si>
    <t>Geriatrics &amp; Gerontology</t>
  </si>
  <si>
    <t>5M4GA</t>
  </si>
  <si>
    <t>WOS:000871054600005</t>
  </si>
  <si>
    <t>Wang, Y; Zhu, MY; Chen, X; Liu, RB; Ge, JN; Song, YX; Yu, GL</t>
  </si>
  <si>
    <t>Wang, Yue; Zhu, Mengying; Chen, Xi; Liu, Ruibin; Ge, Jinnian; Song, Yuxuan; Yu, Guilin</t>
  </si>
  <si>
    <t>The application of metaverse in healthcare</t>
  </si>
  <si>
    <t>FRONTIERS IN PUBLIC HEALTH</t>
  </si>
  <si>
    <t>metaverse; healthcare; virtual reality; artificial intelligence; augmented reality</t>
  </si>
  <si>
    <t>While metaverse is widely discussed, comprehension of its intricacies remains limited to a select few. Conceptually akin to a three-dimensional embodiment of the Internet, the metaverse facilitates simultaneous existence in both physical and virtual domains. Fundamentally, it embodies a visually immersive virtual environment, striving for authenticity, where individuals engage in real-world activities such as commerce, gaming, social interaction, and leisure pursuits. The global pandemic has accelerated digital innovations across diverse sectors. Beyond strides in telehealth, payment systems, remote monitoring, and secure data exchange, substantial advancements have been achieved in artificial intelligence (AI), virtual reality (VR), augmented reality (AR), and blockchain technologies. Nevertheless, the metaverse, in its nascent stage, continues to evolve, harboring significant potential for revolutionizing healthcare. Through integration with the Internet of Medical Devices, quantum computing, and robotics, the metaverse stands poised to redefine healthcare systems, offering enhancements in surgical precision and therapeutic modalities, thus promising profound transformations within the industry.</t>
  </si>
  <si>
    <t>[Wang, Yue; Zhu, Mengying; Chen, Xi; Liu, Ruibin; Song, Yuxuan; Yu, Guilin] China Med Univ, Canc Hosp, Liaoning Canc Hosp &amp; Inst, Dept Gen Surg, Shenyang, Peoples R China; [Zhu, Mengying; Chen, Xi; Liu, Ruibin] Liaoning Univ Tradit Chinese Med, Dept Clin Integrat Tradit Chinese &amp; Western Med, Shenyang, Peoples R China; [Ge, Jinnian] China Med Univ, Hosp 1, Dept Gen Surg, Shenyang, Peoples R China; [Song, Yuxuan] China Med Univ Queens Univ Belfast Joint Coll, Pharmaceut Sci, Shenyang, Peoples R China</t>
  </si>
  <si>
    <t>China Medical University; Liaoning University of Traditional Chinese Medicine; China Medical University</t>
  </si>
  <si>
    <t>Song, YX; Yu, GL (corresponding author), China Med Univ, Canc Hosp, Liaoning Canc Hosp &amp; Inst, Dept Gen Surg, Shenyang, Peoples R China.;Song, YX (corresponding author), China Med Univ Queens Univ Belfast Joint Coll, Pharmaceut Sci, Shenyang, Peoples R China.</t>
  </si>
  <si>
    <t>yxsong333@163.com; yuguilin3088@163.com</t>
  </si>
  <si>
    <t>Liu, Ruibin/AAS-4097-2021; 朱, 梦影/HJB-3751-2022; song, yuxuan/HNI-6044-2023</t>
  </si>
  <si>
    <t>National Natural Science Cultivation Foundation of China of Liaoning Cancer Hospital [2021-ZLLH-18]; Natural Science Foundation of Liaoning [2024-MS-266]</t>
  </si>
  <si>
    <t>National Natural Science Cultivation Foundation of China of Liaoning Cancer Hospital; Natural Science Foundation of Liaoning(Natural Science Foundation of Liaoning Province)</t>
  </si>
  <si>
    <t>The author(s) declare that financial support was received for the research, authorship, and/or publication of this article. This work was supported by the National Natural Science Cultivation Foundation of China of Liaoning Cancer Hospital (grant number 2021-ZLLH-18) and the Natural Science Foundation of Liaoning (grant number 2024-MS-266).</t>
  </si>
  <si>
    <t>2296-2565</t>
  </si>
  <si>
    <t>FRONT PUBLIC HEALTH</t>
  </si>
  <si>
    <t>Front. Public Health</t>
  </si>
  <si>
    <t>JUL 29</t>
  </si>
  <si>
    <t>10.3389/fpubh.2024.1420367</t>
  </si>
  <si>
    <t>C4C8R</t>
  </si>
  <si>
    <t>gold, Green Accepted</t>
  </si>
  <si>
    <t>WOS:001288864900001</t>
  </si>
  <si>
    <t>L'Abbate, D; Prescott, K; Geraghty, B; Kearns, VR; Steel, DHW</t>
  </si>
  <si>
    <t>L'Abbate, Dario; Prescott, Kia; Geraghty, Brendan; Kearns, Victoria R.; Steel, David H. W.</t>
  </si>
  <si>
    <t>Biomechanical considerations for optimising subretinal injections</t>
  </si>
  <si>
    <t>SURVEY OF OPHTHALMOLOGY</t>
  </si>
  <si>
    <t>Retina; Vitrectomy; Subretinal injection; Subretinal bleb; Retinal trauma; Gene therapy; Robotic assistance; Reflux</t>
  </si>
  <si>
    <t>RETINAL-PIGMENT EPITHELIUM; GENE-THERAPY; MACULAR DETACHMENT; DRUSENOID DEPOSITS; ADHESIVE FORCE; IN-VIVO; DELIVERY; RABBIT; DEGENERATION; EYES</t>
  </si>
  <si>
    <t>Subretinal injection is the preferred delivery technique for various novel ocular therapies and is widely used because of its precision and efficient delivery of gene and cell therapies; however, choosing an injection point and defining delivery parameters to target a specified retinal location and area is an inexact science. We provide an overview of the key factors that play important roles during subretinal injections to refine the technique, enhance patient outcomes, and minimise risks. We describe the role of anatomical and physical variables that affect subretinal bleb propagation and shape and their impact on retinal integrity. We highlight the risks associated with subretinal injections and consider strategies to mitigate reflux and retinal trauma. Finally, we explore the emerging field of robotic assistance in improving intraocular manouvrability and precision to facilitate the injection procedure.</t>
  </si>
  <si>
    <t>[L'Abbate, Dario; Prescott, Kia; Kearns, Victoria R.; Steel, David H. W.] Univ Liverpool, Inst Life Course &amp; Med Sci, Dept Eye &amp; Vis Sci, Liverpool, England; [Geraghty, Brendan] Univ Liverpool, Inst Life Course &amp; Med Sci, Musculoskeletal &amp; Ageing Sci, Liverpool, England; [Steel, David H. W.] Sunderland Eye Infirm, Sunderland, England; [Steel, David H. W.] Newcastle Univ, Biosci Inst, Newcastle Upon Tyne, England</t>
  </si>
  <si>
    <t>University of Liverpool; University of Liverpool; Newcastle University - UK</t>
  </si>
  <si>
    <t>Kearns, VR (corresponding author), William Henry Duncan Bldg,6 West Derby St, Liverpool L7 8TX, England.</t>
  </si>
  <si>
    <t>vkearns@liverpool.ac.uk</t>
  </si>
  <si>
    <t>Steel, David/I-8053-2015; Kearns, Victoria/I-3271-2012</t>
  </si>
  <si>
    <t>L'Abbate, Dario/0009-0007-1537-854X; Kearns, Victoria/0000-0003-1426-6048</t>
  </si>
  <si>
    <t>Liverpool Doctoral Training Network in Technologies for Healthy Ageing; Engineering and Physical Sciences Research Council [EP/R024839/1]; Dunhill Medical Trust [PDM2006\7]</t>
  </si>
  <si>
    <t>Liverpool Doctoral Training Network in Technologies for Healthy Ageing; Engineering and Physical Sciences Research Council(UK Research &amp; Innovation (UKRI)Engineering &amp; Physical Sciences Research Council (EPSRC)); Dunhill Medical Trust(Dunhill Medical Trust)</t>
  </si>
  <si>
    <t>This work was supported by Liverpool Doctoral Training Network in Technologies for Healthy Ageing. VK's contribution was supported by the Engineering and Physical Sciences Research Council grant EP/R024839/1. KP's contribution was supported by the Dunhill Medical Trust grant PDM2006\7.</t>
  </si>
  <si>
    <t>0039-6257</t>
  </si>
  <si>
    <t>1879-3304</t>
  </si>
  <si>
    <t>SURV OPHTHALMOL</t>
  </si>
  <si>
    <t>Surv. Ophthalmol.</t>
  </si>
  <si>
    <t>SEP-OCT</t>
  </si>
  <si>
    <t>10.1016/j.survophthal.2024.05.004</t>
  </si>
  <si>
    <t>SEP 2024</t>
  </si>
  <si>
    <t>Ophthalmology</t>
  </si>
  <si>
    <t>F2N9Y</t>
  </si>
  <si>
    <t>WOS:001308252100001</t>
  </si>
  <si>
    <t>Cao, QH; Chen, WJ; Zhong, Y; Ma, X; Wang, B</t>
  </si>
  <si>
    <t>Cao, Qinghua; Chen, Wenjun; Zhong, Ying; Ma, Xing; Wang, Bo</t>
  </si>
  <si>
    <t>Biomedical Applications of Deformable Hydrogel Microrobots</t>
  </si>
  <si>
    <t>MICROMACHINES</t>
  </si>
  <si>
    <t>hydrogel robots; biological applications; shape deformation; stimuli-responsive</t>
  </si>
  <si>
    <t>SOFT; TOUGH; ACTUATORS; POLYMERS; DELIVERY; THERAPY</t>
  </si>
  <si>
    <t>Hydrogel, a material with outstanding biocompatibility and shape deformation ability, has recently become a hot topic for researchers studying innovative functional materials due to the growth of new biomedicine. Due to their stimulus responsiveness to external environments, hydrogels have progressively evolved into smart responsive (such as to pH, light, electricity, magnetism, temperature, and humidity) materials in recent years. The physical and chemical properties of hydrogels have been used to construct hydrogel micro-nano robots which have demonstrated significant promise for biomedical applications. The different responsive deformation mechanisms in hydrogels are initially discussed in this study; after which, a number of preparation techniques and a variety of structural designs are introduced. This study also highlights the most recent developments in hydrogel micro-nano robots' biological applications, such as drug delivery, stem cell treatment, and cargo manipulation. On the basis of the hydrogel micro-nano robots' current state of development, current difficulties and potential future growth paths are identified.</t>
  </si>
  <si>
    <t>[Cao, Qinghua; Wang, Bo] Shanghai Univ Engn Sci, Sch Mat Engn, Shanghai 201620, Peoples R China; [Chen, Wenjun; Zhong, Ying; Ma, Xing] Harbin Inst Technol Shenzhen, Sch Mat Sci &amp; Engn, Shenzhen 518055, Peoples R China; [Chen, Wenjun; Zhong, Ying; Ma, Xing] Harbin Inst Technol Shenzhen, Sauvage Lab Smart Mat, Shenzhen 518055, Peoples R China</t>
  </si>
  <si>
    <t>Shanghai University of Engineering Science; Harbin Institute of Technology; Harbin Institute of Technology</t>
  </si>
  <si>
    <t>Wang, B (corresponding author), Shanghai Univ Engn Sci, Sch Mat Engn, Shanghai 201620, Peoples R China.;Chen, WJ (corresponding author), Harbin Inst Technol Shenzhen, Sch Mat Sci &amp; Engn, Shenzhen 518055, Peoples R China.;Chen, WJ (corresponding author), Harbin Inst Technol Shenzhen, Sauvage Lab Smart Mat, Shenzhen 518055, Peoples R China.</t>
  </si>
  <si>
    <t>cqh971201@163.com; chenwenjun@hit.edu.cn; zhongy@hit.edu.cn; maxing@hit.edu.cn; wangbo@sues.edu.cn</t>
  </si>
  <si>
    <t>Wang, Bo/D-9351-2013</t>
  </si>
  <si>
    <t>Chen, Wenjun/0000-0001-7282-199X</t>
  </si>
  <si>
    <t>National Natural Science Foundation of China [52202347]; Shenzhen Science and Technology Program [RCBS20210609103646022]; Guangdong Basic and Applied Basic Research Foundation [2021A1515110272]</t>
  </si>
  <si>
    <t>National Natural Science Foundation of China(National Natural Science Foundation of China (NSFC)); Shenzhen Science and Technology Program; Guangdong Basic and Applied Basic Research Foundation</t>
  </si>
  <si>
    <t>This research was funded by the National Natural Science Foundation of China grantnumber 52202347, Shenzhen Science and Technology Program grant number RCBS20210609103646022,Guangdong Basic and Applied Basic Research Foundation grant number 2021A1515110272</t>
  </si>
  <si>
    <t>2072-666X</t>
  </si>
  <si>
    <t>MICROMACHINES-BASEL</t>
  </si>
  <si>
    <t>Micromachines</t>
  </si>
  <si>
    <t>10.3390/mi14101824</t>
  </si>
  <si>
    <t>Chemistry, Analytical; Nanoscience &amp; Nanotechnology; Instruments &amp; Instrumentation; Physics, Applied</t>
  </si>
  <si>
    <t>Chemistry; Science &amp; Technology - Other Topics; Instruments &amp; Instrumentation; Physics</t>
  </si>
  <si>
    <t>X0HY8</t>
  </si>
  <si>
    <t>WOS:001095360700001</t>
  </si>
  <si>
    <t>Stangel-Wójcikiewicz, K; Basta, A; Piwowar, M; Petko, M; Karpiel, G; Panek, D; Ludwin, I; Jach, R</t>
  </si>
  <si>
    <t>Stangel-Wojcikiewicz, Klaudia; Basta, Antoni; Piwowar, Monika; Petko, Maciej; Karpiel, Grzegorz; Panek, Daria; Ludwin, Inga; Jach, Robert</t>
  </si>
  <si>
    <t>Operative procedures supported with robotics systems and available endoscope procedures in operative gynecology</t>
  </si>
  <si>
    <t>BIO-ALGORITHMS AND MED-SYSTEMS</t>
  </si>
  <si>
    <t>e-learning; gynecology; robotic surgery</t>
  </si>
  <si>
    <t>Minimally invasive surgery revolutionized operative procedures in the last 20 years. Much of the progress in minimally invasive surgery can be attributed to the development of robot-based systems. The most apparent changes are found in laparoscopy procedures. Procedures in which only small skin incisions are made have revolutionized operating theaters. The learning curve, although long in itself, allows for the development of procedures with reduced perioperative risk (i.e., bleeding, pain) or shorter postoperative period. Convalescence after endoscopy procedures is significantly shorter compared with classic laparotomy. However, certain limitations apply to laparoscopy. Apart from the long learning curve, movements executed with long and rigid tools cannot strictly translate the precision of an operator's hand. The body position of the surgeon is often forced by the reach of the endoscope instrument. It is related to a significant physical load of personnel, especially during long operating procedures. For this reason, some therapeutic procedures are still executed using the laparotomy approach.</t>
  </si>
  <si>
    <t>[Stangel-Wojcikiewicz, Klaudia; Basta, Antoni; Ludwin, Inga; Jach, Robert] Jagiellonian Univ, Med Coll, Dept Gynecol &amp; Oncol, Ul Kopernika 23, PL-31501 Krakow, Poland; [Piwowar, Monika] Jagiellonian Univ, Med Coll, Dept Bioinformat &amp; Telemed, Krakow, Poland; [Petko, Maciej; Karpiel, Grzegorz] AGH Univ Sci &amp; Technol, Fac Mech Engn &amp; Robot, Krakow, Poland; [Panek, Daria] AGH Univ Sci &amp; Technol, Dept Measurement &amp; Elect, Krakow, Poland</t>
  </si>
  <si>
    <t>Jagiellonian University; Collegium Medicum Jagiellonian University; Jagiellonian University; Collegium Medicum Jagiellonian University; AGH University of Krakow; AGH University of Krakow</t>
  </si>
  <si>
    <t>Stangel-Wójcikiewicz, K (corresponding author), Jagiellonian Univ, Med Coll, Dept Gynecol &amp; Oncol, Ul Kopernika 23, PL-31501 Krakow, Poland.</t>
  </si>
  <si>
    <t>ksw@cm-uj.krakow.pl</t>
  </si>
  <si>
    <t>Piwowar, Monika/L-5452-2013; Petko, Maciej/K-2292-2014; Ludwin, Inga/AGE-6164-2022</t>
  </si>
  <si>
    <t>Karpiel, Grzegorz/0000-0002-0435-9112; Petko, Maciej/0000-0001-7307-6389; Ludwin, Inga/0000-0002-8702-7163; Stangel-Wojcikiewicz, Klaudia/0000-0001-9773-6767</t>
  </si>
  <si>
    <t>National Centre for Research and Development</t>
  </si>
  <si>
    <t>The project was funded by the National Centre for Research and Development.</t>
  </si>
  <si>
    <t>1895-9091</t>
  </si>
  <si>
    <t>1896-530X</t>
  </si>
  <si>
    <t>BIO-ALGORITHMS MED-S</t>
  </si>
  <si>
    <t>Bio-Algorithms Med-Syst.</t>
  </si>
  <si>
    <t>10.1515/bams-2014-0008</t>
  </si>
  <si>
    <t>Mathematical &amp; Computational Biology</t>
  </si>
  <si>
    <t>VH4WH</t>
  </si>
  <si>
    <t>WOS:000453243700004</t>
  </si>
  <si>
    <t>Schaal, S</t>
  </si>
  <si>
    <t>Schaal, Stefan</t>
  </si>
  <si>
    <t>The New Robotics - towards human-centered machines</t>
  </si>
  <si>
    <t>HFSP JOURNAL</t>
  </si>
  <si>
    <t>MAMMALIAN SKELETAL-MUSCLE; IMPEDANCE CONTROL; MODELED PROPERTIES; VISUAL-ATTENTION; MOTOR CONTROL; INVERSE; IMITATION; KINEMATICS; FRAMEWORK; DYNAMICS</t>
  </si>
  <si>
    <t>Research in robotics has moved away from its primary focus on industrial applications. The New Robotics is a vision that has been developed in past years by our own university and many other national and international research institutions and addresses how increasingly more human-like robots can live among us and take over tasks where our current society has shortcomings. Elder care, physical therapy, child education, search and rescue, and general assistance in daily life situations are some of the examples that will benefit from the New Robotics in the near future. With these goals in mind, research for the New Robotics has to embrace a broad interdisciplinary approach, ranging from traditional mathematical issues of robotics to novel issues in psychology, neuroscience, and ethics. This paper outlines some of the important research problems that will need to be resolved to make the New Robotics a reality.</t>
  </si>
  <si>
    <t>[Schaal, Stefan] Univ So Calif, Los Angeles, CA 90089 USA; [Schaal, Stefan] ATR Computat Neurosci Labs, Kyoto 61902, Japan</t>
  </si>
  <si>
    <t>University of Southern California</t>
  </si>
  <si>
    <t>Schaal, S (corresponding author), Univ So Calif, 3710 S McClintock Ave,RTH 401, Los Angeles, CA 90089 USA.</t>
  </si>
  <si>
    <t>sschaal@usc.edu</t>
  </si>
  <si>
    <t>HFSP PUBLISHING</t>
  </si>
  <si>
    <t>STRASBOURG</t>
  </si>
  <si>
    <t>12 QUAI ST JEAN, STRASBOURG, 67000, FRANCE</t>
  </si>
  <si>
    <t>1955-2068</t>
  </si>
  <si>
    <t>1955-205X</t>
  </si>
  <si>
    <t>HFSP J</t>
  </si>
  <si>
    <t>HFSP J.</t>
  </si>
  <si>
    <t>10.2976/1.2748612</t>
  </si>
  <si>
    <t>336LX</t>
  </si>
  <si>
    <t>Green Published, Bronze</t>
  </si>
  <si>
    <t>WOS:000258366400005</t>
  </si>
  <si>
    <t>Martel, S</t>
  </si>
  <si>
    <t>Martel, Sylvain</t>
  </si>
  <si>
    <t>Targeting active cancer cells with smart bullets</t>
  </si>
  <si>
    <t>THERAPEUTIC DELIVERY</t>
  </si>
  <si>
    <t>cancer translational research; clinical MRI scanner; high therapeutic index; magnetic fields; magnetotactic bacteria; nonsystemic therapeutic delivery; robotic functionalities; smart delivery agents; targeting active cancer cells; tumor hypoxic zones; vascular navigation</t>
  </si>
  <si>
    <t>TUMOR; NANOLIPOSOMES; MECHANISMS; BACTERIA; HYPOXIA</t>
  </si>
  <si>
    <t>Paul Ehrlich's 'magic bullet' concept has stimulated research for therapeutic agents with the capability to go straight to their intended targets. The 'magic bullet' concept is still considered the ultimate approach to maximize the therapeutic effects of a given therapeutic agent without affecting nontargeted tissues. But so far, there has never been a therapeutic agent or a delivery system that goes straight to the target in the body, and no approach has provided anything better than just a few percents of the total administered dose reaching the intended target sites. But engineering principles can transform systematically circulating vectors that so far were based primarily on physical characteristics and biochemical principles alone, as smart therapeutic agents with the required propulsion-navigation-homing capabilities to enable them to go straight to their intended targets.</t>
  </si>
  <si>
    <t>[Martel, Sylvain] Polytech Montreal, NanoRobot Lab, Dept Comp &amp; Software Engn, Inst Biomed Engn, Montreal, PQ, Canada</t>
  </si>
  <si>
    <t>Martel, S (corresponding author), Polytech Montreal, NanoRobot Lab, Dept Comp &amp; Software Engn, Inst Biomed Engn, Montreal, PQ, Canada.</t>
  </si>
  <si>
    <t>sylvain.martel@polymtl.ca</t>
  </si>
  <si>
    <t>Polytechnique Montreal; Univalor; Consortium Quebecois sur la Decouverte du Medicaments; Canada Research Chair Program; Natural Sciences and Engineering Research Council of Canada; Government of Quebec; Mitacs; Canadian Foundation for Innovation; National Institute of Health</t>
  </si>
  <si>
    <t>Polytechnique Montreal; Univalor; Consortium Quebecois sur la Decouverte du Medicaments; Canada Research Chair Program(Canada Research Chairs); Natural Sciences and Engineering Research Council of Canada(Natural Sciences and Engineering Research Council of Canada (NSERC)CGIAR); Government of Quebec; Mitacs; Canadian Foundation for Innovation(Canada Foundation for Innovation); National Institute of Health(United States Department of Health &amp; Human ServicesNational Institutes of Health (NIH) - USA)</t>
  </si>
  <si>
    <t>Polytechnique Montreal, Univalor, Consortium Quebecois sur la Decouverte du Medicaments, Canada Research Chair Program, Natural Sciences and Engineering Research Council of Canada, Government of Quebec, Mitacs, Canadian Foundation for Innovation, National Institute of Health, and several other organizations contributed financially to the author's research, and associated collaborators and students. The author has no other relevant affiliations or financial involvement with any organization or entity with a financial interest in or financial conflict with the subject matter or materials discussed in the manuscript apart from those disclosed.</t>
  </si>
  <si>
    <t>FUTURE SCI LTD</t>
  </si>
  <si>
    <t>UNITED HOUSE, 2 ALBERT PL, LONDON, N3 1QB, ENGLAND</t>
  </si>
  <si>
    <t>2041-5990</t>
  </si>
  <si>
    <t>2041-6008</t>
  </si>
  <si>
    <t>THER DELIV</t>
  </si>
  <si>
    <t>Ther. Deliv.</t>
  </si>
  <si>
    <t>10.4155/tde-2016-0088</t>
  </si>
  <si>
    <t>ER4XF</t>
  </si>
  <si>
    <t>Green Published, Green Accepted, Green Submitted, hybrid</t>
  </si>
  <si>
    <t>WOS:000398804800007</t>
  </si>
  <si>
    <t>Huang, GJ; Yin, T; Zhang, BZ; Ma, AQ; Kang, TF; He, YR; Long, YL; Zheng, SD; Pan, H; Cai, LT</t>
  </si>
  <si>
    <t>Huang, Guojun; Yin, Ting; Zhang, Baozhen; Ma, Aiqing; Kang, Tianfang; He, Yiran; Long, Yanlan; Zheng, Sidi; Pan, Hong; Cai, Lintao</t>
  </si>
  <si>
    <t>Cell-based intelligent micro/nanorobots for precise regulation and active biotherapy</t>
  </si>
  <si>
    <t>MATTER</t>
  </si>
  <si>
    <t>DRUG-DELIVERY; STEM-CELLS; IN-VIVO; NANOPARTICLES; MICROROBOTS; MACROPHAGES; THERAPY; CARGO</t>
  </si>
  <si>
    <t>Precision medicine has shown great promise in the field of individual biomedicine and its clinical application. However, accurate and effi-cient treatment remains challenging due to complex biological bar-riers and microenvironmental resistance in vivo. As bioinspired hybrid organisms, cell-based micro/nanorobots integrated by living cells with functional materials have attracted extensive attention and research interest. Here, we systematically review recent ad-vances in the directional assembly of cell-based micro/nanorobots with various biological, chemical, or physical actuators. After pre-senting the basic modules of cellular and synthetic materials, the actuation techniques and locomotion modalities of cell micro/nano-robots are clarified and summarized. We then focus on their recent progress in biomedical field, mainly including barrier penetration, functional regulation, and active treatments of disease. Finally, the challenges and prospects for the future development of cell -based micro/nanorobots are presented, outlining that these mi-cro/nanorobots will become increasingly powerful tools for intelli-gent cell therapies, especially CAR-T cells and TCR-T cells, in clinical practice.</t>
  </si>
  <si>
    <t>[Huang, Guojun; Yin, Ting; Zhang, Baozhen; Ma, Aiqing; Kang, Tianfang; He, Yiran; Long, Yanlan; Zheng, Sidi; Pan, Hong; Cai, Lintao] Chinese Acad Sci, Inst Biomed &amp; Biotechnol, Shenzhen Inst Adv Technol SIAT, Guangdong Key Lab Nanomed,CAS HK Joint Lab Biomat,, Shenzhen 518055, Peoples R China; [Zhang, Baozhen; Kang, Tianfang; He, Yiran; Pan, Hong; Cai, Lintao] Univ Chinese Acad Sci, Beijing 100049, Peoples R China; [Cai, Lintao] Sino Euro Ctr Biomed &amp; Hlth, Shenzhen 518024, Peoples R China</t>
  </si>
  <si>
    <t>Chinese Academy of Sciences; Shenzhen Institute of Advanced Technology, CAS; Chinese Academy of Sciences; University of Chinese Academy of Sciences, CAS</t>
  </si>
  <si>
    <t>Pan, H; Cai, LT (corresponding author), Chinese Acad Sci, Inst Biomed &amp; Biotechnol, Shenzhen Inst Adv Technol SIAT, Guangdong Key Lab Nanomed,CAS HK Joint Lab Biomat,, Shenzhen 518055, Peoples R China.;Pan, H; Cai, LT (corresponding author), Univ Chinese Acad Sci, Beijing 100049, Peoples R China.;Cai, LT (corresponding author), Sino Euro Ctr Biomed &amp; Hlth, Shenzhen 518024, Peoples R China.</t>
  </si>
  <si>
    <t>hong.pan@siat.ac.cn; lt.cai@siat.ac.cn</t>
  </si>
  <si>
    <t>Pan, Hong/X-1029-2019; Zhang, Baozhen/KFB-0562-2024</t>
  </si>
  <si>
    <t>Cai, Lintao/0000-0002-2461-6390</t>
  </si>
  <si>
    <t>National Key Research and Development Program of China [2022YFC2402400]; Guangdong Provincial Key Area RD Program [2020B1111540001]; National Natural Science Foundation of China [81971749, 82303768, 82302374]; Natural Science Foundation of Guangdong Province [2022A1515010780, 2021A1515010131, 2022A1515011337]; Shenzhen Science and Technology Program [JCYJ20200109114616534, JCYJ20210324101807020]; Guangdong Basic and Applied Basic Research Foundation [2022A1515111168]; Guangdong Province Universities and Colleges Characteristic Innovation [2021KTSX036, 20221206]; Traditional Chinese Medicine Research Project of Guangdong Province Traditional Chinese Medicine Bureau [E2542]; Interinstitutional Joint Youth Team Project of SIAT; [2021KTSCX035]</t>
  </si>
  <si>
    <t>National Key Research and Development Program of China(National Key Research &amp; Development Program of China); Guangdong Provincial Key Area RD Program; National Natural Science Foundation of China(National Natural Science Foundation of China (NSFC)); Natural Science Foundation of Guangdong Province(National Natural Science Foundation of Guangdong Province); Shenzhen Science and Technology Program; Guangdong Basic and Applied Basic Research Foundation; Guangdong Province Universities and Colleges Characteristic Innovation; Traditional Chinese Medicine Research Project of Guangdong Province Traditional Chinese Medicine Bureau; Interinstitutional Joint Youth Team Project of SIAT;</t>
  </si>
  <si>
    <t>This work was supported by the National Key Research and Development Program of China (2022YFC2402400) , Guangdong Provincial Key Area R &amp; D Program (2020B1111540001) , the National Natural Science Foundation of China (81971749, 82303768, 82302374) , the Natural Science Foundation of Guangdong Province (2022A1515010780, 2021A1515010131, 2022A1515011337) , Shenzhen Science and Technology Program (JCYJ20200109114616534, JCYJ20210324101807020) , Guangdong Basic and Applied Basic Research Foundation (2022A1515111168) , Interinstitutional Joint Youth Team Project of SIAT (E2542) , Guangdong Province Universities and Colleges Characteristic Innovation (2021KTSCX035, 2021KTSX036) , and Traditional Chinese Medicine Research Project of Guangdong Province Traditional Chinese Medicine Bureau (20221206) .</t>
  </si>
  <si>
    <t>2590-2393</t>
  </si>
  <si>
    <t>2590-2385</t>
  </si>
  <si>
    <t>MATTER-US</t>
  </si>
  <si>
    <t>Matter</t>
  </si>
  <si>
    <t>10.1016/j.matt.2023.09.013</t>
  </si>
  <si>
    <t>DEC 2023</t>
  </si>
  <si>
    <t>EN2W3</t>
  </si>
  <si>
    <t>WOS:001139548700001</t>
  </si>
  <si>
    <t>Kim, M; Nicholas, JD; Puigmartí-Luis, J; Nelson, BJ; Pané, S</t>
  </si>
  <si>
    <t>Kim, Minsoo; Nicholas, James D.; Puigmarti-Luis, Josep; Nelson, Bradley J.; Pane, Salvador</t>
  </si>
  <si>
    <t>Targeted Drug Delivery From Chemistry to Robotics at Small Scales</t>
  </si>
  <si>
    <t>ANNUAL REVIEW OF CONTROL ROBOTICS AND AUTONOMOUS SYSTEMS</t>
  </si>
  <si>
    <t>targeted drug delivery; actively motile micro-and nanodevices; micro-and; nanorobots; targeted therapy</t>
  </si>
  <si>
    <t>HYALURONIC-ACID; CARGO DELIVERY; MICROROBOTS; FABRICATION; THERAPY; NANOMOTORS; ACTUATION; LIPOSOME; BARRIERS; RELEASE</t>
  </si>
  <si>
    <t>The limited bioavailability, susceptibility to degradation, and adverse side effects of novel drugs often hinder their effective administration. Nanoparticles, with customizable properties and small size, have emerged as potential carriers, though their delivery efficiency remains low. With their ability to navigate fluid environments, micro- and nanorobots offer promising solutions to improve the delivery and retention of drugs at targeted tissues. The design and composition of these motile devices, often inspired by natural locomotion mechanisms, are currently being refined for improved biocompatibility, adaptability, and collective task performance. Recent research has focused on loading these devices with therapeutic agents and evaluating their efficacy in living organisms. While chemotherapy has been predominant, micro- and nanorobots also show significant potential for biological and physical therapies, and hybrid methods combining multiple therapies have demonstrated synergistic benefits. This review identifies major challenges, including the need for application-specific solutions, standardized performance evaluation methods, and the integration of engineering with pharmacology.</t>
  </si>
  <si>
    <t>[Kim, Minsoo; Nelson, Bradley J.; Pane, Salvador] Swiss Fed Inst Technol, Inst Robot &amp; Intelligent Syst, Zurich, Switzerland; [Nicholas, James D.; Puigmarti-Luis, Josep] Univ Barcelona, Inst Quim Teor &amp; Computac, Dept Ciencia Mat &amp; Quim Fis, Barcelona, Spain; [Puigmarti-Luis, Josep] Inst Catalana Recerca &amp; Estudis Avancats ICREA, Barcelona, Spain</t>
  </si>
  <si>
    <t>Swiss Federal Institutes of Technology Domain; ETH Zurich; University of Barcelona; ICREA</t>
  </si>
  <si>
    <t>Kim, M (corresponding author), Swiss Fed Inst Technol, Inst Robot &amp; Intelligent Syst, Zurich, Switzerland.</t>
  </si>
  <si>
    <t>minkim@ethz.ch; james.nicholas@ub.edu; josep.puigmarti@ub.edu; bnelson@ethz.ch; vidalp@ethz.ch</t>
  </si>
  <si>
    <t>Puigmarti-Luis, Josep/A-5302-2015; Nicholas, James/AAW-5921-2020; Kim, Minsoo/GQZ-6747-2022</t>
  </si>
  <si>
    <t>Kim, Minsoo/0000-0002-3478-1277</t>
  </si>
  <si>
    <t>European Union [952152]; Swiss National Science Foundation [200021L_197017]; Agencia Estatal de Investigacion for Maria de Maeztu [CEX2021-001202-M]; MCIN/AEI/ [PID2020-116612RB-C33]; Swiss National Science Foundation (SNF) [200021L_197017] Funding Source: Swiss National Science Foundation (SNF)</t>
  </si>
  <si>
    <t>European Union(European Union (EU)); Swiss National Science Foundation(Swiss National Science Foundation (SNSF)); Agencia Estatal de Investigacion for Maria de Maeztu; MCIN/AEI/; Swiss National Science Foundation (SNF)(Swiss National Science Foundation (SNSF))</t>
  </si>
  <si>
    <t>This work was supported by the European Union's Horizon 2020 Proactive Open program under FETPROACT-EIC-05-2019 ANGIE (grant number 952152) and the Swiss National Science Foundation under project 200021L_197017. J.P.-L. acknowledges the Agencia Estatal de Investigacion for Maria de Maeztu project number CEX2021-001202-M and grant PID2020-116612RB-C33 funded by MCIN/AEI/10.13039/501100011033.</t>
  </si>
  <si>
    <t>ANNUAL REVIEWS</t>
  </si>
  <si>
    <t>PALO ALTO</t>
  </si>
  <si>
    <t>4139 EL CAMINO WAY, PO BOX 10139, PALO ALTO, CA 94303-0139 USA</t>
  </si>
  <si>
    <t>2573-5144</t>
  </si>
  <si>
    <t>ANNU REV CONTR ROBOT</t>
  </si>
  <si>
    <t>Annu. Rev. Contr. Robot. Autonom. Syst.</t>
  </si>
  <si>
    <t>10.1146/annurev-control-022823-034402</t>
  </si>
  <si>
    <t>Automation &amp; Control Systems; Robotics</t>
  </si>
  <si>
    <t>2QD4I</t>
  </si>
  <si>
    <t>WOS:001488650100015</t>
  </si>
  <si>
    <t>Peñas-Núñez, SJ; Rai, R; Criado-Gonzalez, M</t>
  </si>
  <si>
    <t>Penas-Nunez, Sergio J.; Rai, Rajat; Criado-Gonzalez, Miryam</t>
  </si>
  <si>
    <t>Key Trends and Insights in Smart Polymeric Skin Wearable Patches</t>
  </si>
  <si>
    <t>ADVANCED ENGINEERING MATERIALS</t>
  </si>
  <si>
    <t>3D printing; biomedical applications; nanostructured films; smart gels; stimuli-responsive polymers; wearable patches</t>
  </si>
  <si>
    <t>STIMULI-RESPONSIVE POLYMERS; ELECTROCHEMICAL SENSOR; CONTROLLED-RELEASE; ELECTRONIC SKIN; HYDROGEL; TOUGH; NANOPARTICLES; SYSTEM; ENZYME</t>
  </si>
  <si>
    <t>Smart polymers, also known as intelligent or stimuli-responsive polymers, play a crucial role in the development of advanced wearable patches due to their versatility and softness. There exist numerous intelligent polymers, whose ability to respond to a wide variety of physical and biological stimuli makes them highly valuable in the design of smart wearable skin patches. Such patches can mimic biological processes and respond to specific biological conditions, enabling less invasive clinical therapies. This review article collects examples of polymers with response to temperature, pH, light, electrical and magnetic fields, mechanical forces, ultrasound, reactive oxygen species, and enzymatic stimuli. Furthermore, the processing of these intelligent polymers using clinically relevant additive manufacturing methods, such as 3D printing, to engineer conformable and personalized wearable patches is also addressed. Finally, the cutting-edge applications and future prospects of smart polymer patches in the biomedical field (i.e., soft robotics, wound healing, cancer treatment, etc.) are highlighted.</t>
  </si>
  <si>
    <t>[Penas-Nunez, Sergio J.; Rai, Rajat; Criado-Gonzalez, Miryam] POLYMAT Univ Basque Country UPV EHU, Joxe Mari Korta Ctr, Avda Tolosa 72, San Sebastian 20018, Spain; [Criado-Gonzalez, Miryam] CSIC, Inst Polymer Sci &amp; Technol ICTP, C Juan Cierva 3, Madrid 28006, Spain</t>
  </si>
  <si>
    <t>University of Basque Country; Consejo Superior de Investigaciones Cientificas (CSIC)</t>
  </si>
  <si>
    <t>Criado-Gonzalez, M (corresponding author), POLYMAT Univ Basque Country UPV EHU, Joxe Mari Korta Ctr, Avda Tolosa 72, San Sebastian 20018, Spain.;Criado-Gonzalez, M (corresponding author), CSIC, Inst Polymer Sci &amp; Technol ICTP, C Juan Cierva 3, Madrid 28006, Spain.</t>
  </si>
  <si>
    <t>mcriado@ictp.csic.es</t>
  </si>
  <si>
    <t>MICIU/AEI [PID2023-149734NB-C21, MICIU/AEI/10.13039/501100011033]; FEDER, UE - European Union's Horizon Europe research and innovation program [MICIU/AEI/10.13039/501100011033, 101070112]; POLYMAT (UPV/EHU)</t>
  </si>
  <si>
    <t>MICIU/AEI; FEDER, UE - European Union's Horizon Europe research and innovation program; POLYMAT (UPV/EHU)</t>
  </si>
  <si>
    <t>The authors thank the project PID2023-149734NB-C21 funded by MICIU/AEI/10.13039/501100011033 and by FEDER, UE. R.R. thanks the SUINK project funded by the European Union's Horizon Europe research and innovation program under Grant Agreement No. 101070112. M.C.-G. thanks Ayuda RYC2022-036380-I financiada por MICIU/AEI/10.13039/501100011033 y por el FSE+ and the Emakiker program of POLYMAT (UPV/EHU).</t>
  </si>
  <si>
    <t>1438-1656</t>
  </si>
  <si>
    <t>1527-2648</t>
  </si>
  <si>
    <t>ADV ENG MATER</t>
  </si>
  <si>
    <t>Adv. Eng. Mater.</t>
  </si>
  <si>
    <t>2025 JUN 10</t>
  </si>
  <si>
    <t>10.1002/adem.202500823</t>
  </si>
  <si>
    <t>JUN 2025</t>
  </si>
  <si>
    <t>3PQ5O</t>
  </si>
  <si>
    <t>WOS:001506015900001</t>
  </si>
  <si>
    <t>Gingold, JA; Gueye, NA; Falcone, T</t>
  </si>
  <si>
    <t>Gingold, Julian A.; Gueye, Ndeye-Aicha; Falcone, Tommaso</t>
  </si>
  <si>
    <t>Minimally Invasive Approaches to Myoma Management</t>
  </si>
  <si>
    <t>JOURNAL OF MINIMALLY INVASIVE GYNECOLOGY</t>
  </si>
  <si>
    <t>Laparoscopic myomectomy; Laparoscopy; Minimally invasive myomectomy; Myoma; Robotic-assisted myomectomy; Robotic surgery; Surgical technique</t>
  </si>
  <si>
    <t>GUIDED FOCUSED ULTRASOUND; ASSISTED LAPAROSCOPIC MYOMECTOMY; VOLUMETRIC THERMAL ABLATION; REDUCING BLOOD-LOSS; UTERINE FIBROID EMBOLIZATION; ABDOMINAL MYOMECTOMY; ADHESION FORMATION; RANDOMIZED-TRIAL; BARBED SUTURE; MINILAPAROTOMY MYOMECTOMY</t>
  </si>
  <si>
    <t>Patients affected by the presence of leiomyomas may incur a substantial physical, emotional, social, and financial toll as well as losses in their quality of life. Although many myomas are not amenable to medical therapy or hysteroscopic resection, many others are amenable to minimally invasive surgical approaches. In patients who prefer to retain their fertility, laparoscopic myomectomy should be considered the intervention of choice. In this review, we expand on the surgical techniques of both conventional laparoscopic and robotic-assisted myomectomies. We discuss port placement, enucleation of myomas, tissue extraction, minimization of blood loss, adhesion prevention, and the technique for closure of uterine incisions. Finally, we discuss the available data supporting the use of these 2 approaches as the preferred, safe, and effective fertility-sparing surgical option. We also briefly discuss the emerging technologies of uterine artery embolization, ultrasound surgery, and radiofrequency ablation. (C) 2017 AAGL. All rights reserved.</t>
  </si>
  <si>
    <t>[Gingold, Julian A.; Gueye, Ndeye-Aicha; Falcone, Tommaso] Cleveland Clin Fdn, Obstet Gynecol &amp; Womens Hlth Inst, 9500 Euclid Ave,Desk A81, Cleveland, OH 44195 USA</t>
  </si>
  <si>
    <t>Cleveland Clinic Foundation</t>
  </si>
  <si>
    <t>Falcone, T (corresponding author), Cleveland Clin Fdn, Obstet Gynecol &amp; Womens Hlth Inst, 9500 Euclid Ave,Desk A81, Cleveland, OH 44195 USA.</t>
  </si>
  <si>
    <t>falcont@ccf.org</t>
  </si>
  <si>
    <t>Gingold, Julian/AAD-7321-2020</t>
  </si>
  <si>
    <t>Gingold, Julian/0000-0002-0354-5933</t>
  </si>
  <si>
    <t>1553-4650</t>
  </si>
  <si>
    <t>1553-4669</t>
  </si>
  <si>
    <t>J MINIM INVAS GYN</t>
  </si>
  <si>
    <t>J. Minim. Invasive Gynecol.</t>
  </si>
  <si>
    <t>10.1016/j.jmig.2017.07.007</t>
  </si>
  <si>
    <t>Obstetrics &amp; Gynecology</t>
  </si>
  <si>
    <t>FW5BS</t>
  </si>
  <si>
    <t>WOS:000425331700007</t>
  </si>
  <si>
    <t>Langhorne, P; Coupar, F; Pollock, A</t>
  </si>
  <si>
    <t>Langhorne, Peter; Coupar, Fiona; Pollock, Alex</t>
  </si>
  <si>
    <t>Motor recovery after stroke: a systematic review</t>
  </si>
  <si>
    <t>LANCET NEUROLOGY</t>
  </si>
  <si>
    <t>INDUCED MOVEMENT THERAPY; ANKLE-FOOT ORTHOSIS; CONSTRAINT-INDUCED THERAPY; FUNCTIONAL ELECTRICAL-STIMULATION; TRIGGERED NEUROMUSCULAR STIMULATION; ELECTROMECHANICAL GAIT TRAINER; RANDOMIZED CONTROLLED-TRIAL; IMPROVES MUSCLE STRENGTH; UPPER EXTREMITY MOTOR; BODY-WEIGHT SUPPORT</t>
  </si>
  <si>
    <t>Loss of functional movement is a common consequence of stroke for which a wide range of interventions has been developed. In this Review, we aimed to provide an overview of the available evidence on interventions for motor recovery after stroke through the evaluation of systematic reviews, supplemented by recent randomised controlled trials. Most trials were small and had some design limitations. Improvements in recovery of arm function were seen for constraint-induced movement therapy, electromyographic biofeedback, mental practice with motor imagery, and robotics. Improvements in transfer ability or balance were seen with repetitive task training, biofeedback, and training with a moving platform. Physical fitness training, high-intensity therapy (usually physiotherapy), and repetitive task training improved walking speed. Although the existing evidence is limited by poor trial designs, some treatments do show promise for improving motor recovery, particularly those that have focused on high-intensity and repetitive task-specific practice.</t>
  </si>
  <si>
    <t>[Langhorne, Peter; Coupar, Fiona] Royal Infirm, Acad Sect Geriatr Med, Cardiovasc &amp; Med Sci Div, Stroke Therapy Evaluat Programme, Glasgow G33 2ER, Lanark, Scotland; [Pollock, Alex] Glasgow Caledonian Univ, Nursing Midwifery &amp; Allied Hlth Profess Res Unit, Glasgow G4 0BA, Lanark, Scotland</t>
  </si>
  <si>
    <t>Royal Infirmary of Edinburgh; Glasgow Caledonian University</t>
  </si>
  <si>
    <t>Langhorne, P (corresponding author), Royal Infirm, Acad Sect Geriatr Med, Cardiovasc &amp; Med Sci Div, Stroke Therapy Evaluat Programme, Level 3,Univ Block, Glasgow G33 2ER, Lanark, Scotland.</t>
  </si>
  <si>
    <t>p.langhorne@clinmed.gla.ac.uk</t>
  </si>
  <si>
    <t>Todhunter-Brown, Alex/0000-0003-4941-7985</t>
  </si>
  <si>
    <t>Chief Scientist Office</t>
  </si>
  <si>
    <t>FC has a research fellowship from the Chief Scientist Office. AP is employed by the Nursing, Midwifery and Allied Health Professions Research Unit, which is funded by the Chief Scientist Office. Much of the background work for this Review was carried out under grants from the Chest, Heart and Stroke Scotland charity to the Stroke Therapy Evaluation Programme (STEP). We are indebted to former members of the STEP project and to the Cochrane Stroke Group for invaluable methodological support and advice. We are grateful to DH Saunders (University of Edinburgh, UK) for allowing us to use currently unpublished data from the updated version of reference 110.</t>
  </si>
  <si>
    <t>1474-4422</t>
  </si>
  <si>
    <t>1474-4465</t>
  </si>
  <si>
    <t>LANCET NEUROL</t>
  </si>
  <si>
    <t>Lancet Neurol.</t>
  </si>
  <si>
    <t>10.1016/S1474-4422(09)70150-4</t>
  </si>
  <si>
    <t>477YV</t>
  </si>
  <si>
    <t>WOS:000268555800016</t>
  </si>
  <si>
    <t>Cai, PQ; Hu, BH; Leow, WR; Wang, XY; Loh, XJ; Wu, YL; Chen, XD</t>
  </si>
  <si>
    <t>Cai, Pingqiang; Hu, Benhui; Leow, Wan Ru; Wang, Xiaoyuan; Loh, Xian Jun; Wu, Yun-Long; Chen, Xiaodong</t>
  </si>
  <si>
    <t>Biomechano-Interactive Materials and Interfaces</t>
  </si>
  <si>
    <t>ADVANCED MATERIALS</t>
  </si>
  <si>
    <t>drug delivery; flexible devices; mechanoresponsive materials; soft robotics; tissue engineering</t>
  </si>
  <si>
    <t>LOW-FREQUENCY SONOPHORESIS; ULTRASOUND-TRIGGERED DRUG; HEMODYNAMIC SHEAR-STRESS; STEM-CELL BEHAVIOR; TRANSDERMAL DELIVERY; EFFICIENT CAPTURE; SUCTION CUPS; CANCER; FORCE; HYDROGELS</t>
  </si>
  <si>
    <t>The reciprocal mechanical interaction of engineered materials with biointerfaces have long been observed and exploited in biomedical applications. It contributes to the rise of biomechano-responsive materials and biomechano-stimulatory materials, constituting the biomechano-interactive interfaces. Here, endogenous and exogenous biomechanical stimuli available for mechanoresponsive interfaces are briefed and their mechanistic responses, including deformation and volume change, mechanomanipulation of physical and chemical bonds, dissociation of assemblies, and coupling with thermoresponsiveness are summarized. The mechanostimulatory materials, however, are capable of delivering mechanical cues, including stiffness, viscoelasticity, geometrical constraints, and mechanical loads, to modulate physiological and pathological behaviors of living tissues through the adaptive cellular mechanotransduction. The biomechano-interactive materials and interfaces are widely implemented in such fields as mechanotriggered therapeutics and diagnosis, adaptive biophysical sensors, biointegrated soft actuators, and mechanorobust tissue engineering, which have offered unprecedented opportunities for precision and personalized medicine. Pending challenges are also addressed to shed a light on future advances with respect to translational implementations.</t>
  </si>
  <si>
    <t>[Cai, Pingqiang; Hu, Benhui; Leow, Wan Ru; Chen, Xiaodong] Nanyang Technol Univ, Sch Mat Sci &amp; Engn, Innovat Ctr Flexible Devices iFLEX, 50 Nanyang Ave, Singapore 639798, Singapore; [Wang, Xiaoyuan; Wu, Yun-Long] Xiamen Univ, Sch Pharmaceut Sci, Fujian Prov Key Lab Innovat Drug Target Res, Xiamen 361102, Peoples R China; [Wang, Xiaoyuan; Wu, Yun-Long] Xiamen Univ, Sch Pharmaceut Sci, State Key Lab Cellular Stress Biol, Xiamen 361102, Peoples R China; [Loh, Xian Jun] ASTAR, Inst Mat Res &amp; Engn, 2 Fusionopolis Way, Singapore 138634, Singapore</t>
  </si>
  <si>
    <t>Nanyang Technological University; Xiamen University; Xiamen University; Agency for Science Technology &amp; Research (A*STAR); A*STAR - Institute of Materials Research &amp; Engineering (IMRE)</t>
  </si>
  <si>
    <t>Chen, XD (corresponding author), Nanyang Technol Univ, Sch Mat Sci &amp; Engn, Innovat Ctr Flexible Devices iFLEX, 50 Nanyang Ave, Singapore 639798, Singapore.</t>
  </si>
  <si>
    <t>chenxd@ntu.edu.sg</t>
  </si>
  <si>
    <t>Leow, Wan/AAV-7717-2021; Wu, Yun-Long/J-2769-2019; Cai, Pingqiang/T-5289-2019; Loh, Xian Jun/H-6260-2013; Chen, Xiaodong/A-4537-2009</t>
  </si>
  <si>
    <t>Cai, Pingqiang/0000-0002-2665-5932; Loh, Xian Jun/0000-0001-8118-6502; Chen, Xiaodong/0000-0002-3312-1664</t>
  </si>
  <si>
    <t>National Research Foundation, Prime Minister's Office, Singapore, under its Competitive Research Programme Funding Scheme [NRF2016NRF-NRF1001-21]; Singapore Ministry of Education [MOE2015-T2-2-060]</t>
  </si>
  <si>
    <t>National Research Foundation, Prime Minister's Office, Singapore, under its Competitive Research Programme Funding Scheme(National Research Foundation, Singapore); Singapore Ministry of Education(Ministry of Education, Singapore)</t>
  </si>
  <si>
    <t>The authors thank the financial support from the National Research Foundation, Prime Minister's Office, Singapore, under its Competitive Research Programme Funding Scheme (NRF2016NRF-NRF1001-21), and Singapore Ministry of Education (MOE2015-T2-2-060). This article is part of the Advanced Materials Hall of Fame article series, which recognizes the excellent contributions of leading researchers to the field of materials science.</t>
  </si>
  <si>
    <t>0935-9648</t>
  </si>
  <si>
    <t>1521-4095</t>
  </si>
  <si>
    <t>ADV MATER</t>
  </si>
  <si>
    <t>Adv. Mater.</t>
  </si>
  <si>
    <t>AUG 2</t>
  </si>
  <si>
    <t>10.1002/adma.201800572</t>
  </si>
  <si>
    <t>GS6LI</t>
  </si>
  <si>
    <t>WOS:000443807400006</t>
  </si>
  <si>
    <t>Cano, S; González, CS; Gil-Iranzo, RM; Albiol-Pérez, S</t>
  </si>
  <si>
    <t>Cano, Sandra; Gonzalez, Carina S.; Gil-Iranzo, Rosa Maria; Albiol-Perez, Sergio</t>
  </si>
  <si>
    <t>Affective Communication for Socially Assistive Robots (SARs) for Children with Autism Spectrum Disorder: A Systematic Review</t>
  </si>
  <si>
    <t>affective computing; autism spectrum disorders; affective human-robot interaction; socially assistive robots; therapeutic intervention</t>
  </si>
  <si>
    <t>EMOTIONAL INTERACTION; MODEL; DETERMINANTS; ARCHITECTURE; INDIVIDUALS; RECOGNITION; PERCEPTION; INSIGHTS; DRIVEN; AGENT</t>
  </si>
  <si>
    <t>Research on affective communication for socially assistive robots has been conducted to enable physical robots to perceive, express, and respond emotionally. However, the use of affective computing in social robots has been limited, especially when social robots are designed for children, and especially those with autism spectrum disorder (ASD). Social robots are based on cognitive-affective models, which allow them to communicate with people following social behaviors and rules. However, interactions between a child and a robot may change or be different compared to those with an adult or when the child has an emotional deficit. In this study, we systematically reviewed studies related to computational models of emotions for children with ASD. We used the Scopus, WoS, Springer, and IEEE-Xplore databases to answer different research questions related to the definition, interaction, and design of computational models supported by theoretical psychology approaches from 1997 to 2021. Our review found 46 articles; not all the studies considered children or those with ASD.</t>
  </si>
  <si>
    <t>[Cano, Sandra] Pontificia Univ Catolica Valparaiso, Sch Comp Engn, Valparaiso 2340000, Chile; [Gonzalez, Carina S.] Univ La Laguna, Dept Comp Engn &amp; Syst, San Cristobal la Laguna 38204, Spain; [Gil-Iranzo, Rosa Maria] Univ Lleida, Dept Comp Engn &amp; Ind, Lleida 25001, Spain; [Albiol-Perez, Sergio] Univ Zaragoza, Aragon Hlth Res Inst IIS Aragon, Cdad Escolar 4, Teruel 44003, Spain</t>
  </si>
  <si>
    <t>Pontificia Universidad Catolica de Valparaiso; Universidad de la Laguna; Universitat de Lleida; University of Zaragoza</t>
  </si>
  <si>
    <t>Cano, S (corresponding author), Pontificia Univ Catolica Valparaiso, Sch Comp Engn, Valparaiso 2340000, Chile.</t>
  </si>
  <si>
    <t>sandra.cano@pucv.cl; cjgonza@ull.edu.es; rgil@diei.udl.cat; salbiol@unizar.es</t>
  </si>
  <si>
    <t>Cano, Sandra/AAQ-7605-2020; Gonzalez-Gonzalez, Carina Soledad/L-6486-2014; Gil Iranzo, Rosa Maria/I-5452-2012</t>
  </si>
  <si>
    <t>Gonzalez-Gonzalez, Carina Soledad/0000-0001-5939-9544; Gil Iranzo, Rosa Maria/0000-0001-6304-9635; cano, sandra/0000-0001-9583-8532; Albiol Perez, Sergio/0000-0002-6280-1474</t>
  </si>
  <si>
    <t>VRIEA-PUCV [039.358/2021]</t>
  </si>
  <si>
    <t>VRIEA-PUCV</t>
  </si>
  <si>
    <t>This research was funded by VRIEA-PUCV, grant number 039.358/2021.</t>
  </si>
  <si>
    <t>10.3390/s21155166</t>
  </si>
  <si>
    <t>TW1TY</t>
  </si>
  <si>
    <t>WOS:000682192900001</t>
  </si>
  <si>
    <t>Venkat, R; Guerrero, MA</t>
  </si>
  <si>
    <t>Venkat, Raghunandan; Guerrero, Marlon A.</t>
  </si>
  <si>
    <t>Recent Advances in the Surgical Treatment of Differentiated Thyroid Cancer: A Comprehensive Review</t>
  </si>
  <si>
    <t>SCIENTIFIC WORLD JOURNAL</t>
  </si>
  <si>
    <t>CENTRAL NECK DISSECTION; VIDEO-ASSISTED THYROIDECTOMY; LYMPH-NODE INVOLVEMENT; TALL CELL VARIANT; ENDOSCOPIC THYROIDECTOMY; PROGNOSTIC-SIGNIFICANCE; PAPILLARY; CARCINOMA; MANAGEMENT; THERAPY</t>
  </si>
  <si>
    <t>Differentiated thyroid cancers have become one of the fastest growing malignancies in the world. While surgery has remained the cornerstone of management of these tumors, the surgical approach has seen numerous innovations over the past few decades. The use of video-assistance and robotics has revolutionized thyroid surgery. This paper provides a comprehensive evaluation of the different approaches to thyroid surgery, the utility of prophylactic and therapeutic lymph node dissection, and evidence-based guidelines in the treatment of differentiated thyroid cancers. Minimally invasive video-ssisted thyroidectomy is both safe and effective in the hands of the trained surgeon and, in selected patient populations, has comparative perioperative morbidity and better cosmesis as compared to conventional open thyroidectomy. It is universally accepted that therapeutic central lymph node dissection should be performed when metastatic lymph nodes are identified on physical exam, ultrasound, or intraoperatively. In the absence of overt nodal metastasis, the role of elective prophylactic central lymph node dissection remains a matter of debate and prospective, randomized studies are warranted to evaluate the utility of this procedure.</t>
  </si>
  <si>
    <t>[Venkat, Raghunandan; Guerrero, Marlon A.] Univ Arizona, Dept Surg, Div Surg Oncol, Tucson, AZ 85724 USA; [Guerrero, Marlon A.] Arizona Canc Ctr, Div Surg Oncol, Tucson, AZ 85719 USA</t>
  </si>
  <si>
    <t>University of Arizona; Arizona Center Cancer Care</t>
  </si>
  <si>
    <t>Guerrero, MA (corresponding author), Univ Arizona, Dept Surg, Div Surg Oncol, POB 245131, Tucson, AZ 85724 USA.</t>
  </si>
  <si>
    <t>mguerrero@surgery.arizona.edu</t>
  </si>
  <si>
    <t>1537-744X</t>
  </si>
  <si>
    <t>SCI WORLD J</t>
  </si>
  <si>
    <t>Sci. World J.</t>
  </si>
  <si>
    <t>10.1155/2013/425136</t>
  </si>
  <si>
    <t>073HN</t>
  </si>
  <si>
    <t>Green Submitted, Green Published, gold</t>
  </si>
  <si>
    <t>WOS:000313734200001</t>
  </si>
  <si>
    <t>Olmos-Gómez, R; Gómez-Conesa, A; Calvo-Muñoz, I; López-López, JA</t>
  </si>
  <si>
    <t>Olmos-Gomez, Raquel; Gomez-Conesa, Antonia; Calvo-Munoz, Inmaculada; Lopez-Lopez, Jose A.</t>
  </si>
  <si>
    <t>Effects of Robotic-Assisted Gait Training in Children and Adolescents with Cerebral Palsy: A Network Meta-Analysis</t>
  </si>
  <si>
    <t>cerebral palsy; robotic; gait; children; adolescents; network meta-analysis</t>
  </si>
  <si>
    <t>GROSS MOTOR FUNCTION; TREADMILL THERAPY; CLASSIFICATION; RELIABILITY; ABILITIES</t>
  </si>
  <si>
    <t>Gait disturbances are common in children and adolescents with cerebral palsy (CP). Robotic-assisted gait training (RAGT) is becoming increasingly widespread, and hence it is important to examine its effectiveness. A network meta-analysis (NMA) of clinical trials comparing treatments with RAGT vs. other physical therapy treatments was carried out. This study was conducted according to the NMA version of the Preferred Reporting Items for Systematic Reviews and Meta-Analyses (PRISMA-NMA) guidelines and following the recommendations of the Cochrane Handbook for Systematic Reviews of Interventions. The outcome variables used were the D and E dimensions of the Gross Motor Function Measure (GMFM), gait speed, resistance, and stride length. Among 120 records, 8 trials were included. This NMA did not find statistically significant results for any of the comparisons examined in any of the outcomes studied and the magnitude of the effect size estimates was low or very low. Our NMA results should be interpreted with caution due to the high clinical heterogeneity of the studies included.</t>
  </si>
  <si>
    <t>[Olmos-Gomez, Raquel] Univ Murcia, Int Doctoral Sch Univ Murcia EIDUM, Murcia 30100, Spain; [Gomez-Conesa, Antonia] Univ Murcia, Res Grp Res Methods &amp; Evaluat Social Sci, Mare Nostrum Campus Int Excellence, Murcia 30100, Spain; [Calvo-Munoz, Inmaculada] Catholic Univ San Antonio Murcia, Fac Hlth Sci, Dept Physiotherapy, Murcia 30100, Spain; [Lopez-Lopez, Jose A.] Univ Murcia, Fac Psychol, Dept Basic Psychol &amp; Methodol, Murcia 30100, Spain</t>
  </si>
  <si>
    <t>University of Murcia; University of Murcia; Universidad Catolica de Murcia; University of Murcia</t>
  </si>
  <si>
    <t>Olmos-Gómez, R (corresponding author), Univ Murcia, Int Doctoral Sch Univ Murcia EIDUM, Murcia 30100, Spain.</t>
  </si>
  <si>
    <t>raquel.o.g@um.es; agomez@um.es; inmaculada.calvo@um.es; josealopezlopez@um.es</t>
  </si>
  <si>
    <t>López-López, José/A-2865-2013; Calvo-Munoz, Inmaculada/U-2487-2019</t>
  </si>
  <si>
    <t>Calvo-Munoz, Inmaculada/0000-0001-6213-4424; Lopez, Jose/0000-0002-9655-3616</t>
  </si>
  <si>
    <t>Agencia Estatal de Investigacion (Government of Spain) [AEI/10.13039/501100011033]; FEDER Funds [PID2019-104033GA-I00]</t>
  </si>
  <si>
    <t>Agencia Estatal de Investigacion (Government of Spain); FEDER Funds(European Union (EU))</t>
  </si>
  <si>
    <t>This study was funded by Agencia Estatal de Investigacion (Government of Spain) AEI/10.13039/501100011033 and FEDER Funds: grant no. PID2019-104033GA-I00.</t>
  </si>
  <si>
    <t>10.3390/jcm10214908</t>
  </si>
  <si>
    <t>WW8IQ</t>
  </si>
  <si>
    <t>WOS:000718153500001</t>
  </si>
  <si>
    <t>Rodriguez-Merchan, EC</t>
  </si>
  <si>
    <t>Carlos Rodriguez-Merchan, E.</t>
  </si>
  <si>
    <t>The current role of artificial intelligence in hemophilia</t>
  </si>
  <si>
    <t>EXPERT REVIEW OF HEMATOLOGY</t>
  </si>
  <si>
    <t>Hemophilia; artificial intelligence; machine learning; robotic-assisted surgery; current applications</t>
  </si>
  <si>
    <t>SEVERITY; CLASSIFICATION; PREDICTION</t>
  </si>
  <si>
    <t>Introduction The utilization of artificial intelligence (AI) in hemophilia is still in its early phases. Areas covered In this paper a review of the available information on AI in hemophilia has been performed, to better understand the relationship between hemophilia and AI. Regarding the physical elements of AI (robotics), robotic-assisted total knee arthroplasty and laparoscopic prostatectomy have been successfully performed in hemophilic patients. Concerning the virtual elements of AI, machine learning (ML) in hemophilia has been used with encouraging results for the following: prediction of disease severity, recognition of factor V as an essential modifier of thrombin generation in mild to moderate hemophilia A, development hemophilia-focused user-centered app, gene therapy, estimation of the risk of myocardial infarction, and identification of CRISPR/Cas9 nuclease off-target for the treatment of hemophilia. AI is an emerging reality that can produce a paradigm shift in hemophilia. Expert opinion Various AI systems can facilitate clinical care for professionals, improving the diagnosis and treatment of hemophilia. However, AI systems still have many limitations and raise operational and ethical issues. AI systems should be integrated prudently and reasonably within the practitioner's workflow.</t>
  </si>
  <si>
    <t>[Carlos Rodriguez-Merchan, E.] La Paz Univ Hosp, Dept Orthoped Surg, Madrid, Spain; [Carlos Rodriguez-Merchan, E.] Autonomous Univ Madrid, IdiPAZ La Paz Univ Hosp, Hosp La Paz, Inst Hlth Res,Osteoarticular Surg Res Dept, Madrid, Spain</t>
  </si>
  <si>
    <t>Hospital Universitario La Paz; Hospital Universitario La Paz; Autonomous University of Madrid</t>
  </si>
  <si>
    <t>Rodriguez-Merchan, EC (corresponding author), La Paz Univ Hosp IdiPaz, Dept Orthoped Surg, Paseo Castellana 261, Madrid 28046, Spain.</t>
  </si>
  <si>
    <t>ecrmerchan@hotmail.com</t>
  </si>
  <si>
    <t>1747-4086</t>
  </si>
  <si>
    <t>1747-4094</t>
  </si>
  <si>
    <t>EXPERT REV HEMATOL</t>
  </si>
  <si>
    <t>Expert Rev. Hematol.</t>
  </si>
  <si>
    <t>OCT 3</t>
  </si>
  <si>
    <t>10.1080/17474086.2022.2114895</t>
  </si>
  <si>
    <t>AUG 2022</t>
  </si>
  <si>
    <t>Hematology</t>
  </si>
  <si>
    <t>5L6CO</t>
  </si>
  <si>
    <t>WOS:000843070300001</t>
  </si>
  <si>
    <t>Schultz, PG</t>
  </si>
  <si>
    <t>Schultz, Peter G.</t>
  </si>
  <si>
    <t>Synthesis at the Interface of Chemistry and Biology</t>
  </si>
  <si>
    <t>ACCOUNTS OF CHEMICAL RESEARCH</t>
  </si>
  <si>
    <t>EXPANDED GENETIC-CODE; UNNATURAL AMINO-ACIDS; SMALL-MOLECULE; IMMUNOLOGICAL EVOLUTION; REPLICATION SYSTEM; ANTIBODY; DNA; PEPTIDE; IDENTIFICATION; GENERATION</t>
  </si>
  <si>
    <t>Chemical synthesis as a tool to control the structure and properties of matter is at the heart of chemistry-from the synthesis of fine chemicals and polymers to drugs and solid-state materials. But as the field evolves to tackle larger and larger molecules and molecular complexes, the traditional tools of synthetic chemistry become limiting. In contrast, Mother Nature has developed very different strategies to create the macromolecules and molecular systems that make up the living cell. Our focus has been to ask whether we can use the synthetic strategies and machinery of Mother Nature, together with modern chemical tools, to create new macromolecules, and even whole organisms with properties not existing in nature. One such example involves reprogramming the complex, multicomponent machinery of ribosomal protein synthesis to add new building blocks to the genetic code, overcoming a billion-year constraint on the chemical nature of proteins. This methodology exploits the concept of bioorthogonality to add unique codons, tRNAs and aminoacyl-tRNA synthetases to cells to encode amino acids with physical, chemical and biological properties not found in nature. As a result, we can make precise changes to the structures of proteins, much like those made by chemists to small molecules and beyond those possible by biological approaches alone. This technology has made it possible to probe protein structure and function in vitro and in vivo in ways heretofore not possible, and to make therapeutic proteins with enhanced pharmacology. A second example involves exploiting the molecular diversity of the humoral immune system together with synthetic transition state analogues to make catalytic antibodies, and then expanding this diversity-based strategy (new to chemists at the time) to drug discovery and materials science. This work ushered in a new nature-inspired synthetic strategy in which large libraries of natural or synthetic molecules are designed and then rationally selected or screened for new function, increasing the efficiency by which we can explore chemical space for new physical, chemical and biological properties. A final example is the use of large chemical libraries, robotics and high throughput phenotypic cellular screens to identify small synthetic molecules that can be used to probe and manipulate the complex biology of the cell, exemplified by druglike molecules that control cell fate. This approach provides new insights into complex biology that complements genomic approaches and can lead to new drugs that act by novel mechanisms of action, for example to selectively regenerate tissues. These and other advances have been made possible by using our knowledge of molecular structure and reactivity hand in hand with our understanding of and ability to manipulate the complex machinery of living cells, opening a new frontier in synthesis. This Account overviews the work in my lab and with our collaborators, from our early days to the present, that revolves around this central theme.</t>
  </si>
  <si>
    <t>[Schultz, Peter G.] Scripps Res, Dept Chem, 10550 North Torrey Pines Rd, La Jolla, CA 92037 USA</t>
  </si>
  <si>
    <t>Scripps Research Institute</t>
  </si>
  <si>
    <t>Schultz, PG (corresponding author), Scripps Res, Dept Chem, 10550 North Torrey Pines Rd, La Jolla, CA 92037 USA.</t>
  </si>
  <si>
    <t>schultz@scripps.edu</t>
  </si>
  <si>
    <t>National Institutes of Health [RGM145323A]; ALSAM; Calbr-Skaggs; Department of Energy; Howard Hughes Medical Institute; Novartis; Merck; Bill and Melinda Gates Foundation; Office of Naval Research</t>
  </si>
  <si>
    <t>National Institutes of Health(United States Department of Health &amp; Human ServicesNational Institutes of Health (NIH) - USA); ALSAM; Calbr-Skaggs; Department of Energy(United States Department of Energy (DOE)); Howard Hughes Medical Institute(Howard Hughes Medical Institute); Novartis(Novartis); Merck(Merck &amp; Company); Bill and Melinda Gates Foundation(Bill &amp; Melinda Gates Foundation); Office of Naval Research(United States Department of DefenseUnited States NavyOffice of Naval Research)</t>
  </si>
  <si>
    <t>National Institutes of Health RGM145323A (P.G.S), ALSAM, Calbr-Skaggs, Department of Energy, Howard Hughes Medical Institute, Novartis, Merck, Bill and Melinda Gates Foundation, Office of Naval Research, Abbvie, CIRM, Michael J. Fox, Alzheimer's Drug Discovery Foundation.</t>
  </si>
  <si>
    <t>AMER CHEMICAL SOC</t>
  </si>
  <si>
    <t>1155 16TH ST, NW, WASHINGTON, DC 20036 USA</t>
  </si>
  <si>
    <t>0001-4842</t>
  </si>
  <si>
    <t>1520-4898</t>
  </si>
  <si>
    <t>ACCOUNTS CHEM RES</t>
  </si>
  <si>
    <t>Accounts Chem. Res.</t>
  </si>
  <si>
    <t>AUG 29</t>
  </si>
  <si>
    <t>10.1021/acs.accounts.4c00320</t>
  </si>
  <si>
    <t>AUG 2024</t>
  </si>
  <si>
    <t>H9N8V</t>
  </si>
  <si>
    <t>hybrid, Green Submitted</t>
  </si>
  <si>
    <t>WOS:001326637400001</t>
  </si>
  <si>
    <t>Chiu, Y; Chiu, AW</t>
  </si>
  <si>
    <t>Chiu, Yichun; Chiu, Allen W.</t>
  </si>
  <si>
    <t>Renal Preservation Therapy for Renal Cell Carcinoma</t>
  </si>
  <si>
    <t>INTERNATIONAL JOURNAL OF SURGICAL ONCOLOGY</t>
  </si>
  <si>
    <t>LAPAROSCOPIC PARTIAL NEPHRECTOMY; ROBOTIC PARTIAL NEPHRECTOMY; INTENSITY FOCUSED ULTRASOUND; RADIO-FREQUENCY ABLATION; RADIOFREQUENCY ABLATION; NATURAL-HISTORY; MULTIINSTITUTIONAL ANALYSIS; ACTIVE SURVEILLANCE; CRYOABLATION; MASSES</t>
  </si>
  <si>
    <t>Renal preservation therapy has been a promising concept for the treatment of localized renal cell carcinoma (RCC) for 20 years. Nowadays partial nephrectomy (PN) is well accepted to treat the localized RCC and the oncological control is proved to be the same as the radical nephrectomy (RN). Under the result of well oncological control, minimal invasive method gains more popularity than the open PN, like laparoscopic partial nephrectomy (LPN) and robot assisted laparoscopic partial nephrectomy (RPN). On the other hand, thermoablative therapy and cryoablation also play an important role in the renal preservation therapy to improve the patient procedural tolerance. Novel modalities, but limited to small number of patients, include high-intensity ultrasound (HIFU), radiosurgery, microwave therapy (MWT), laser interstitial thermal therapy (LITT), and pulsed cavitational ultrasound (PCU). Although initial results are encouraging, their real clinical roles are still under evaluation. On the other hand, active surveillance (AS) has also been advocated by some for patients who are unfit for surgery. It is reasonable to choose the best therapeutic method among varieties of treatment modalities according to patients' age, physical status, and financial aid to maximize the treatment effect among cancer control, patient morbidity, and preservation of renal function.</t>
  </si>
  <si>
    <t>[Chiu, Yichun] Taipei City Hosp, Div Urol, Zhongxiao Branch, Dept Surg, Taipei 115, Taiwan; [Chiu, Yichun; Chiu, Allen W.] Natl Yang Ming Univ, Sch Med, Taipei 112, Taiwan</t>
  </si>
  <si>
    <t>Taipei City Hospital; National Yang Ming Chiao Tung University</t>
  </si>
  <si>
    <t>Chiu, AW (corresponding author), Natl Yang Ming Univ, Sch Med, Taipei 112, Taiwan.</t>
  </si>
  <si>
    <t>whchiu@ym.edu.tw</t>
  </si>
  <si>
    <t>2090-1402</t>
  </si>
  <si>
    <t>2090-1410</t>
  </si>
  <si>
    <t>INT J SURG ONCOL</t>
  </si>
  <si>
    <t>Int. J. Surg. Oncol.</t>
  </si>
  <si>
    <t>10.1155/2012/123596</t>
  </si>
  <si>
    <t>V28LS</t>
  </si>
  <si>
    <t>WOS:000215429500002</t>
  </si>
  <si>
    <t>Liu, Y; Tian, JY; Manfredi, L; Terry, BS; Prasad, S; Rahman, I; Marlicz, W; Koulaouzidis, A</t>
  </si>
  <si>
    <t>Liu, Yang; Tian, Jiyuan; Manfredi, Luigi; Terry, Benjamin S.; Prasad, Shyam; Rahman, Imdadur; Marlicz, Wojciech; Koulaouzidis, Anastasios</t>
  </si>
  <si>
    <t>A survey of small bowel modelling and its applications for capsule endoscopy</t>
  </si>
  <si>
    <t>MECHATRONICS</t>
  </si>
  <si>
    <t>Intestinal motility; Small intestine; Peristaltic movement; Capsule endoscopy; Robotic endoscopy</t>
  </si>
  <si>
    <t>SELF-PROPELLED CAPSULE; SMALL-INTESTINE; FRICTIONAL RESISTANCE; NUMERICAL-SIMULATION; MATHEMATICAL-MODEL; PERISTALTIC TRANSPORT; ELECTRICAL-ACTIVITY; MOTILITY PATTERNS; ROBOT; CHYME</t>
  </si>
  <si>
    <t>The small intestine, an anatomical site previously considered inaccessible to clinicians due to its small diameter and length, is the part of the gastrointestinal tract between the stomach and the colon. Since its introduction into clinical practice two decades ago, capsule endoscopy has become established as the primary modality for examining the surface lining of the small intestine. Today, researchers continue to develop groundbreaking technologies for novel miniature devices aiming for tissue biopsy, drug delivery and therapy. The purpose of this paper is to provide researchers and engineers in this area a comprehensive review of the progress in understanding the anatomy and physiology of the small intestine and how this understanding was translated to virtual and physical test platforms for assessing the performance of these intestinal devices. This review will cover both theoretical and practical studies on intestinal motor activities and the work on mathematical modelling and experimental investigation of capsule endoscope in the small intestine. In the end, the requirements for improving the current work are drawn, and the expectations on future research in this field are provided.</t>
  </si>
  <si>
    <t>[Liu, Yang; Tian, Jiyuan] Univ Exeter, Coll Engn Math &amp; Phys Sci, North Pk Rd, Exeter EX4 4QF, Devon, England; [Manfredi, Luigi] Univ Dundee, Sch Med, Div Imaging Sci &amp; Technol, Wilson House,1 Wurzburg Loan, Dundee DD2 1FD, Angus, Scotland; [Terry, Benjamin S.] Univ Nebraska Lincoln, Dept Mech &amp; Mat Engn, Lincoln, NE 68588 USA; [Prasad, Shyam] Royal Devon &amp; Exeter NHS Fdn Trust, Barrack Rd, Exeter EX2 5DW, Devon, England; [Rahman, Imdadur] Univ Hosp Southampton, Tremona Rd, Southampton SO16 6YD, Hampshire, England; [Marlicz, Wojciech] Pomeranian Med Univ, Dept Gastroenterol, PL-71252 Szczecin, Poland; [Marlicz, Wojciech] Ctr Digest Dis Endoklin, PL-70535 Szczecin, Poland; [Koulaouzidis, Anastasios] Odense Univ Hosp Svendborg Sygehus, Dept Med, Baagoes 31, DK-5700 Svendborg, Denmark; [Koulaouzidis, Anastasios] Univ Southern Denmark, Dept Clin Res, J B Winslows Vej 19,3, DK-5000 Odense, Denmark; [Koulaouzidis, Anastasios] Odense Univ Hosp, Surg Res Unit, J B Winslows Vej 4, DK-5000 Odense, Denmark</t>
  </si>
  <si>
    <t>University of Exeter; University of Dundee; University of Nebraska System; University of Nebraska Lincoln; University of Exeter; Pomeranian Medical University; University of Southern Denmark; University of Southern Denmark; Odense University Hospital</t>
  </si>
  <si>
    <t>Liu, Y (corresponding author), Univ Exeter, Coll Engn Math &amp; Phys Sci, North Pk Rd, Exeter EX4 4QF, Devon, England.</t>
  </si>
  <si>
    <t>y.liu2@exeter.ac.uk; jt535@exeter.ac.uk; l.manfredi@dundee.ac.uk; bterry2@unl.edu; shyamprasad@nhs.net; imdadur.rahman@uhs.nhs.uk; wojciech.marlicz@sanprobi.pl; anastasios.koulaouzidis@rsyd.dk</t>
  </si>
  <si>
    <t>Koulaouzidis, Anastasios/G-9060-2014; Liu, Yang/ABD-4124-2021; Marlicz, Wojciech/G-5007-2013; Liu, Yang/K-1976-2015</t>
  </si>
  <si>
    <t>Koulaouzidis, Anastasios/0000-0002-2248-489X; Manfredi, Luigi/0000-0001-8130-9701; Marlicz, Wojciech/0000-0002-2649-5967; Tian, Jiyuan/0009-0003-4467-3776; Liu, Yang/0000-0003-3867-5137</t>
  </si>
  <si>
    <t>EPSRC [EP/R043698/1]; China Scholarship Council [201908060172]</t>
  </si>
  <si>
    <t>EPSRC(UK Research &amp; Innovation (UKRI)Engineering &amp; Physical Sciences Research Council (EPSRC)); China Scholarship Council(China Scholarship Council)</t>
  </si>
  <si>
    <t>Acknowledgements This work has been supported by EPSRC under Grant No. EP/R043698/1. Mr Jiyuan Tian would like to acknowledge the financial support from the China Scholarship Council (award no. 201908060172) for his Ph.D. scholarship.</t>
  </si>
  <si>
    <t>0957-4158</t>
  </si>
  <si>
    <t>Mechatronics</t>
  </si>
  <si>
    <t>10.1016/j.mechatronics.2022.102748</t>
  </si>
  <si>
    <t>FEB 2022</t>
  </si>
  <si>
    <t>Automation &amp; Control Systems; Engineering, Electrical &amp; Electronic; Engineering, Mechanical; Robotics</t>
  </si>
  <si>
    <t>Automation &amp; Control Systems; Engineering; Robotics</t>
  </si>
  <si>
    <t>1G7CH</t>
  </si>
  <si>
    <t>WOS:000796001600009</t>
  </si>
  <si>
    <t>Rosales, MR; Butera, CD; Wilson, RB; Zhou, J; Maus, E; Zhao, HY; Chow, JC; Dao, A; Freeman, J; Dusing, SC</t>
  </si>
  <si>
    <t>Rosales, Marcelo R.; Butera, Christiana Dodd; Wilson, Rujuta B.; Zhou, Judy; Maus, Elizabeth; Zhao, Hongyang; Chow, Jason C.; Dao, Annie; Freeman, Julia; Dusing, Stacey C.</t>
  </si>
  <si>
    <t>Systematic Review and Meta-Analysis of the Effect of Motor Intervention on Cognition, Communication, and Social Interaction in Children with Autism Spectrum Disorder</t>
  </si>
  <si>
    <t>Autism; exercise; intervention; meta-analysis; motor; physical activity; systematic review</t>
  </si>
  <si>
    <t>ROBUST VARIANCE-ESTIMATION; EQUINE-ASSISTED THERAPY; ROBOTIC INTERVENTIONS; EMBODIED RHYTHM; IMITATION; LANGUAGE; PROGRAM; SKILLS; ASD</t>
  </si>
  <si>
    <t>AimsConduct a systematic review and meta-analysis on the effects of motor intervention on social, communication, and cognitive skills in individuals (0-21 years) with autism spectrum disorder (ASD).MethodsSeven databases were used to search for randomized control trials (RCT) implementing a motor intervention for children with ASD; and measured social, communication, and cognitive outcomes. Twenty-three RCTs were selected with 66 outcomes and 636 participants (range of mean age: 4.3 - 12.3 years).ResultsMotor interventions had a significant, positive effect on (1) all outcomes combined (i.e. social, communication, and cognitive) (SSMD: 0.41, p = .01), (2) social (SSMD: 0.46, p = .012) and (3) combined social/communication (SSMD: 0.47, p = .01) domains, but not for the motor domain (SSMD: 0.45, p = .25) or cognitive domain alone (SSMD: 0.22, p = .18). In children above age nine, a 1-year increase in age corresponded to a 0.29 decrease in SSMD (less effective).ConclusionsMotor interventions have a positive impact and should be considered when planning interventions for children with ASD.</t>
  </si>
  <si>
    <t>[Rosales, Marcelo R.; Maus, Elizabeth] Ohio State Univ, Sch Hlth &amp; Rehabil Sci, Columbus, OH 43221 USA; [Butera, Christiana Dodd; Zhou, Judy; Dao, Annie; Freeman, Julia; Dusing, Stacey C.] Univ Southern Calif, Div Biokinesiol &amp; Phys Therapy, Los Angeles, CA USA; [Wilson, Rujuta B.] Univ Calif Los Angeles, Semel Inst Neurosci &amp; Human Behav, Los Angeles, CA USA; [Zhao, Hongyang] Univ Calif Irvine, Sch Educ, Irvine, CA USA; [Chow, Jason C.] Vanderbilt Univ, Peabody Coll Educ &amp; Human Dev, Nashville, TN USA</t>
  </si>
  <si>
    <t>University System of Ohio; Ohio State University; University of Southern California; University of California System; University of California Los Angeles; University of California System; University of California Irvine; Vanderbilt University; Vanderbilt University Peabody College</t>
  </si>
  <si>
    <t>Rosales, MR (corresponding author), Ohio State Univ, Sch Hlth &amp; Rehabil Sci, Columbus, OH 43221 USA.</t>
  </si>
  <si>
    <t>marcelo.rosales@osumc.edu</t>
  </si>
  <si>
    <t>Chow, Jason/JWA-2240-2024; Dusing, Stacey/AAC-1339-2022</t>
  </si>
  <si>
    <t>The Academy of Pediatric Physical Therapy Critical Synthesis of Literature Grant</t>
  </si>
  <si>
    <t>The work was partially completed while Marcelo R. Rosales, Judy Zhou, Annie Dao, and Julia Freeman, were students in training at the University of Southern California, Division of Biokinesiology and Physical Therapy, Los Angeles, CA 90033.</t>
  </si>
  <si>
    <t>2025 MAY 4</t>
  </si>
  <si>
    <t>10.1080/01942638.2025.2498357</t>
  </si>
  <si>
    <t>MAY 2025</t>
  </si>
  <si>
    <t>2FC5A</t>
  </si>
  <si>
    <t>WOS:001481152600001</t>
  </si>
  <si>
    <t>Llacer-Wintle, J; Rivas-Dapena, A; Chen, XZ; Pellicer, E; Nelson, BJ; Puigmartí-Luis, J; Pané, S</t>
  </si>
  <si>
    <t>Llacer-Wintle, Joaquin; Rivas-Dapena, Anton; Chen, Xiang-Zhong; Pellicer, Eva; Nelson, Bradley J.; Puigmarti-Luis, Josep; Pane, Salvador</t>
  </si>
  <si>
    <t>Biodegradable Small-Scale Swimmers for Biomedical Applications</t>
  </si>
  <si>
    <t>biodegradable; biomedicine; micro; motors; nano; robots; swimmers</t>
  </si>
  <si>
    <t>DRUG-DELIVERY; STOMATOCYTE NANOMOTORS; MICROMOTORS DRIVEN; AUTONOMOUS MOTION; JANUS MICROMOTORS; CAPSULE MOTORS; IN-VITRO; BACTERIA; NANOPARTICLES; MICROROBOTS</t>
  </si>
  <si>
    <t>Most forms of biomatter are ephemeral, which means they transform or deteriorate after a certain time. From this perspective, implantable healthcare devices designed for temporary treatments should exhibit the ability to degrade and either blend in with healthy tissues, or be cleared from the body with minimal disruption after accomplishing their designated tasks. This topic is currently being investigated in the field of biomedical micro- and nanoswimmers. These tiny devices have the ability to move through fluids by converting physical or chemical energy into motion. Several architectures of these devices have been designed to mimic the motion strategies of nature's motile microorganisms and cells. Due to their motion abilities, these devices have been proposed as minimally invasive tools for precision healthcare applications. Hence, a natural progression in this field is to produce motile structures that can adopt, or even surpass, similar transient features as biological systems. The fate of small-scale swimmers after accomplishing their therapeutic mission is critical for the successful translation of small-scale swimmers' technologies into clinical applications. In this review, recent research efforts are summarized on the topic of biodegradable micro- and nanoswimmers for biomedical applications, with a focus on targeted therapeutic delivery.</t>
  </si>
  <si>
    <t>[Llacer-Wintle, Joaquin; Rivas-Dapena, Anton; Chen, Xiang-Zhong; Nelson, Bradley J.; Pane, Salvador] Swiss Fed Inst Technol, Inst Robot &amp; Intelligent Syst IRIS, Multiscale Robot Lab MSRL, CH-8092 Zurich, Switzerland; [Pellicer, Eva] Univ Autonoma Barcelona, Dept Fis, Barcelona 08193, Spain; [Puigmarti-Luis, Josep] Inst Quim Teor &amp; Comp, Dept Ciencia Mat &amp; Quim Fis, Barcelona 08028, Spain; [Puigmarti-Luis, Josep] ICREA, Pg Lluis Co 23, Barcelona 08010, Spain</t>
  </si>
  <si>
    <t>Swiss Federal Institutes of Technology Domain; ETH Zurich; Autonomous University of Barcelona; ICREA</t>
  </si>
  <si>
    <t>Chen, XZ; Pané, S (corresponding author), Swiss Fed Inst Technol, Inst Robot &amp; Intelligent Syst IRIS, Multiscale Robot Lab MSRL, CH-8092 Zurich, Switzerland.</t>
  </si>
  <si>
    <t>chenxian@ethz.ch</t>
  </si>
  <si>
    <t>Pellicer, Eva/G-2917-2014; Puigmarti-Luis, Josep/A-5302-2015; Chen, Xiangzhong/F-8793-2010; Nelson, Bradley/B-7761-2013</t>
  </si>
  <si>
    <t>Pane, Salvador/0000-0003-0147-8287; Chen, Xiangzhong/0000-0002-2294-7487; Llacer-Wintle, Joaquin/0000-0002-2504-7548; Nelson, Bradley/0000-0001-9070-6987</t>
  </si>
  <si>
    <t>European Research Council (ERC) under the European Union [771565]; SNF [CRSK-2_190451]; European Union's Horizon 2020 Research and Innovation Programme under the Marie Skodowska-Curie grant [861145]; Generalitat de Catalunya [2017-SGR-292]; Spanish Ministerio de Economia, Industria y Competitividad [MAT2017-86357-C3-1-R]; European Research Council Starting Grant microCrysFact (ERC-2015-STG) [677020]; Swiss National Science Foundation (SNF) [CRSK-2_190451] Funding Source: Swiss National Science Foundation (SNF)</t>
  </si>
  <si>
    <t>European Research Council (ERC) under the European Union(European Research Council (ERC)); SNF; European Union's Horizon 2020 Research and Innovation Programme under the Marie Skodowska-Curie grant; Generalitat de Catalunya(Generalitat de Catalunya); Spanish Ministerio de Economia, Industria y Competitividad(Spanish Government); European Research Council Starting Grant microCrysFact (ERC-2015-STG)(European Research Council (ERC)); Swiss National Science Foundation (SNF)(Swiss National Science Foundation (SNSF))</t>
  </si>
  <si>
    <t>J.L.-W. and A.R.-D. contributed equally to this work. S.P. acknowledges funding from a Consolidator Grant from the European Research Council (ERC) under the European Union's Horizon 2020 Research and Innovation Programme (Grant Agreement No. 771565). X.C. is partially supported by SNF (No. CRSK-2_190451). J.L.L. and A.R. acknowledge their Ph.D. grants in the framework of the project BeMAGIC funded by the European Union's Horizon 2020 Research and Innovation Programme under the Marie Skodowska-Curie grant agreement No. 861145. E.P. acknowledges 2017-SGR-292 project from Generalitat de Catalunya and the Spanish Ministerio de Economia, Industria y Competitividad (MAT2017-86357-C3-1-R and associated FEDER). J.P. acknowledges support from the European Research Council Starting Grant microCrysFact (ERC-2015-STG No. 677020).</t>
  </si>
  <si>
    <t>10.1002/adma.202102049</t>
  </si>
  <si>
    <t>SEP 2021</t>
  </si>
  <si>
    <t>WI8EU</t>
  </si>
  <si>
    <t>WOS:000692423100001</t>
  </si>
  <si>
    <t>Puliatti, S; Eissa, A; Checcucci, E; Piazza, P; Amato, M; Ferretti, S; Scarcella, S; Rivas, JG; Taratkin, M; Marenco, J; Rivero, IB; Kowalewski, KF; Cacciamani, G; El-Sherbiny, A; Zoeir, A; El-Bahnasy, AM; De Groote, R; Mottrie, A; Micali, S</t>
  </si>
  <si>
    <t>Puliatti, Stefano; Eissa, Ahmed; Checcucci, Enrico; Piazza, Pietro; Amato, Marco; Ferretti, Stefania; Scarcella, Simone; Rivas, Juan Gomez; Taratkin, Mark; Marenco, Jose; Rivero, Ines Belenchon; Kowalewski, Karl-Friedrich; Cacciamani, Giovanni; El-Sherbiny, Ahmed; Zoeir, Ahmed; El-Bahnasy, Abdelhamid M.; De Groote, Ruben; Mottrie, Alexandre; Micali, Salvatore</t>
  </si>
  <si>
    <t>New imaging technologies for robotic kidney cancer surgery</t>
  </si>
  <si>
    <t>ASIAN JOURNAL OF UROLOGY</t>
  </si>
  <si>
    <t>Kidney cancer; Imaging; Technology; Robotic</t>
  </si>
  <si>
    <t>ASSISTED PARTIAL NEPHRECTOMY; INDOCYANINE GREEN; RENAL TUMORS; PERIOPERATIVE OUTCOMES; PHYSICAL MODELS; ISCHEMIA; IMPACT; SCORE; RECONSTRUCTION; TIME</t>
  </si>
  <si>
    <t>Objective: Kidney cancers account for approximately 2% of all newly diagnosed cancer in 2020. Among the primary treatment options for kidney cancer, urologist may choose between radical or partial nephrectomy, or ablative therapies. Nowadays, robotic-assisted partial nephrectomy (RAPN) for the management of renal cancers has gained popularity, up to being considered the gold standard. However, RAPN is a challenging procedure with a steep learning curve. Methods: In this narrative review, different imaging technologies used to guide and aid RAPN are discussed. Results: Three-dimensional visualization technology has been extensively discussed in RAPN, showing its value in enhancing robotic-surgery training, patient counseling, surgical planning, and intraoperative guidance. Intraoperative imaging technologies such as intracorporeal ultrasound, near-infrared fluorescent imaging, and intraoperative pathological examination can also be used to improve the outcomes following RAPN. Finally, artificial intelligence may play a role in the field of RAPN soon. Conclusion: RAPN is a complex surgery; however, many imaging technologies may play an important role in facilitating it. (C) 2022 Editorial Office of Asian Journal of Urology. Production and hosting by Elsevier B.V. This is an open access article under the CC BY-NC-ND license (http://creativecommons.org/licenses/by-nc-nd/4.0/).</t>
  </si>
  <si>
    <t>[Puliatti, Stefano; Amato, Marco; Ferretti, Stefania; Micali, Salvatore] Univ Modena &amp; Reggio Emilia, Urol Dept, Modena, Italy; [Puliatti, Stefano; De Groote, Ruben; Mottrie, Alexandre] ORSI Acad, Melle, Belgium; [Eissa, Ahmed; El-Sherbiny, Ahmed; Zoeir, Ahmed; El-Bahnasy, Abdelhamid M.] Tanta Univ, Fac Med, Urol Dept, Tanta, Egypt; [Checcucci, Enrico] FPO IRCCS, Dept Surg, Candiolo Canc Inst, Turin, Italy; [Piazza, Pietro] IRCCS Azienda Osped Univ Bologna, Div Urol, Bologna, Italy; [Scarcella, Simone] Polytech Univ Marche Reg, Umberto I Hosp Osped Riuniti, Dept Urol, Ancona, Italy; [Rivas, Juan Gomez; Taratkin, Mark; Marenco, Jose] European Assoc Urol, Urotechnol &amp; SoMe Working Grp Young Acad Urologis, Arnhem, Netherlands; [Rivas, Juan Gomez] Hosp Clin San Carlos, Dept Urol, Madrid, Spain; [Taratkin, Mark] Sechenov Univ, Inst Urol &amp; Reprod Hlth, Moscow, Russia; [Marenco, Jose] Fdn Inst Valenciano Oncol, Dept Urol, Valencia, Spain; [Rivero, Ines Belenchon] Virgen del Rocio Univ Hosp, Urol &amp; Nephrol Dept, Seville, Spain; [Kowalewski, Karl-Friedrich] Univ Med Ctr Mannheim, Dept Urol &amp; Urol Surg, Mannheim, Germany; [Cacciamani, Giovanni] Univ Southern Calif, USC Inst Urol, Los Angeles, CA 90007 USA; [De Groote, Ruben; Mottrie, Alexandre] Onze Lieve Vrouw Hosp, Dept Urol, Aalst, Belgium</t>
  </si>
  <si>
    <t>Universita di Modena e Reggio Emilia; Egyptian Knowledge Bank (EKB); Tanta University; IRCCS Fondazione del Piemonte per l'Oncologia; IRCCS Azienda Ospedaliero-Universitaria di Bologna; Marche Polytechnic University; Hospital Clinico San Carlos; Sechenov First Moscow State Medical University; Instituto Valenciano De Oncologia; Virgen del Rocio University Hospital; Ruprecht Karls University Heidelberg; University of Southern California</t>
  </si>
  <si>
    <t>Puliatti, S (corresponding author), Univ Modena &amp; Reggio Emilia, Urol Dept, Modena, Italy.</t>
  </si>
  <si>
    <t>Stefano.puliatti@unimore.it</t>
  </si>
  <si>
    <t>Scarcella, Simone/AAK-2580-2021; Taratkin, Mark/ABD-5311-2021; Micali, Salvatore/J-8179-2016; Piazza, Pietro/AAP-4467-2021; El-Sherbiny, Ahmed/AAM-3689-2020; Puliatti, Stefano/AAS-8339-2021; cacciamani, giovanni/ABT-9931-2022; Eissa, Ahmed/K-2328-2019; Checcucci, Enrico/AAF-2124-2019; Gomez Rivas, Juan/H-1635-2013</t>
  </si>
  <si>
    <t>Cacciamani, Giovanni/0000-0002-8892-5539; Piazza, Pietro/0000-0002-6740-534X; Checcucci, Enrico/0000-0001-7901-5608; Kowalewski, Karl-Friedrich/0000-0003-2931-6247; Gomez Rivas, Juan/0000-0002-0556-3035</t>
  </si>
  <si>
    <t>ELSEVIER SINGAPORE PTE LTD</t>
  </si>
  <si>
    <t>3 KILLINEY ROAD 08-01, WINSLAND HOUSE 1, SINGAPORE, 239519, SINGAPORE</t>
  </si>
  <si>
    <t>2214-3882</t>
  </si>
  <si>
    <t>2214-3890</t>
  </si>
  <si>
    <t>ASIAN J UROL</t>
  </si>
  <si>
    <t>ASIAN J. UROL.</t>
  </si>
  <si>
    <t>10.1016/j.ajur.2022.03.008</t>
  </si>
  <si>
    <t>7M8GF</t>
  </si>
  <si>
    <t>WOS:000906889100009</t>
  </si>
  <si>
    <t>Zhao, YZ; Wu, XP; Tang, M; Shi, LL; Gong, S; Mei, X; Zhao, Z; He, JY; Huang, L; Cui, W</t>
  </si>
  <si>
    <t>Zhao, Yuanzhi; Wu, Xiangping; Tang, Min; Shi, Lingli; Gong, Shuang; Mei, Xi; Zhao, Zheng; He, Jiayue; Huang, Ling; Cui, Wei</t>
  </si>
  <si>
    <t>Late-life depression: Epidemiology, phenotype, pathogenesis and treatment before and during the COVID-19 pandemic</t>
  </si>
  <si>
    <t>FRONTIERS IN PSYCHIATRY</t>
  </si>
  <si>
    <t>late-life depression (LLD); epidemiology; phenotype; pathogenesis; treatment; COVID-19 pandemic</t>
  </si>
  <si>
    <t>TREATMENT-RESISTANT DEPRESSION; THETA BURST STIMULATION; OLDER-ADULTS; ELECTROCONVULSIVE-THERAPY; GERIATRIC DEPRESSION; TREATMENT RESPONSE; AMYLOID-BETA; HIP FRACTURE; DOUBLE-BLIND; SYMPTOMS</t>
  </si>
  <si>
    <t>Late-life depression (LLD) is one of the most common mental disorders among the older adults. Population aging, social stress, and the COVID-19 pandemic have significantly affected the emotional health of older adults, resulting in a worldwide prevalence of LLD. The clinical phenotypes between LLD and adult depression differ in terms of symptoms, comorbid physical diseases, and coexisting cognitive impairments. Many pathological factors such as the imbalance of neurotransmitters, a decrease in neurotrophic factors, an increase in beta-amyloid production, dysregulation of the hypothalamic-pituitary-adrenal axis, and changes in the gut microbiota, are allegedly associated with the onset of LLD. However, the exact pathogenic mechanism underlying LLD remains unclear. Traditional selective serotonin reuptake inhibitor therapy results in poor responsiveness and side effects during LLD treatment. Neuromodulation therapies and complementary and integrative therapies have been proven safe and effective for the treatment of LLD. Importantly, during the COVID-19 pandemic, modern digital health intervention technologies, including socially assistive robots and app-based interventions, have proven to be advantageous in providing personal services to patients with LLD.</t>
  </si>
  <si>
    <t>[Zhao, Yuanzhi; Wu, Xiangping; Shi, Lingli; Mei, Xi; Zhao, Zheng; He, Jiayue; Huang, Ling] Ningbo Kangning Hosp, Ningbo, Zhejiang, Peoples R China; [Tang, Min; Gong, Shuang] Ningbo Rehabil Hosp, Dept Neurol, Ningbo, Zhejiang, Peoples R China; [Cui, Wei] Ningbo Univ, Translat Med Ctr Pain Emot &amp; Cognit, Sch Med, Ningbo Key Lab Behav Neurosci,Zhejiang Prov Key La, Ningbo, Zhejiang, Peoples R China</t>
  </si>
  <si>
    <t>Ningbo University</t>
  </si>
  <si>
    <t>Cui, W (corresponding author), Ningbo Univ, Translat Med Ctr Pain Emot &amp; Cognit, Sch Med, Ningbo Key Lab Behav Neurosci,Zhejiang Prov Key La, Ningbo, Zhejiang, Peoples R China.</t>
  </si>
  <si>
    <t>cuiwei@nbu.edu.cn</t>
  </si>
  <si>
    <t>shi, lingli/KLZ-0202-2024; He, Jiayue/P-9867-2016; 梅, 曦/HSI-2577-2023</t>
  </si>
  <si>
    <t>1664-0640</t>
  </si>
  <si>
    <t>FRONT PSYCHIATRY</t>
  </si>
  <si>
    <t>Front. Psychiatry</t>
  </si>
  <si>
    <t>APR 6</t>
  </si>
  <si>
    <t>10.3389/fpsyt.2023.1017203</t>
  </si>
  <si>
    <t>Psychiatry</t>
  </si>
  <si>
    <t>D8IQ8</t>
  </si>
  <si>
    <t>WOS:000971113800001</t>
  </si>
  <si>
    <t>Gu, HF; Muhaiyuddin, NDBM; Shaari, NB</t>
  </si>
  <si>
    <t>Gu, Hanfei; Muhaiyuddin, Nadia Diyana Binti Mohd; Shaari, Nassiriah Binti</t>
  </si>
  <si>
    <t>A Systematic Literature Review of Multimedia Technology-Based Interventions for Self-Management in T1D Children: Classification, Trends,Challenges, and Future Directions</t>
  </si>
  <si>
    <t>INTERNATIONAL JOURNAL OF E-HEALTH AND MEDICAL COMMUNICATIONS</t>
  </si>
  <si>
    <t>Children With Type 1 Diabetes; Diabetes Self-Management; Multimedia Technology-Based Interventions; Classification; Trends; Challenges and Future Directions</t>
  </si>
  <si>
    <t>DIABETIC CHILDREN; TYPE-1; ROBOT; ADOLESCENTS; YOUNG; GAMIFICATION; EDUCATION; DESIGN; IMPACT</t>
  </si>
  <si>
    <t>Diabetes self-management (DSM) is crucial for children with diabetes, especially those aged 3-7 years. With the increasing number of children with diabetes and the trend toward younger children, there is growing interest in multimedia technology-based interventions (MTBIs) to help them achieve DSM. However, T1D children face unique challenges in DSM due to their need to complete seven target behaviors: learning diabetes basics, monitoring blood glucose levels, adhering to insulin therapy, problem-solving, dietary modifications, physical activity, and psychological aspects. Over the past 20 years, MTBIs have become powerful tools to support DSM, using interactive content, digital platforms, mobile apps, and virtual coaching. This systematic literature review aims to analyze the classification and trends in MTBIs' use in self-management for T1D children, explore key challenges, and suggest future directions for advancing these technologies. This study provides a comprehensive investigation of the application of multimedia technologies for interventions in self-management for T1D children and offers research foundation and practical guidance for the later application of multimedia technologies in this area.</t>
  </si>
  <si>
    <t>[Gu, Hanfei; Muhaiyuddin, Nadia Diyana Binti Mohd; Shaari, Nassiriah Binti] Univ Utara Malaysia, Sintok, Malaysia</t>
  </si>
  <si>
    <t>Universiti Utara Malaysia</t>
  </si>
  <si>
    <t>Gu, HF; Muhaiyuddin, NDBM; Shaari, NB (corresponding author), Univ Utara Malaysia, Sintok, Malaysia.</t>
  </si>
  <si>
    <t>Mohd Muhaiyuddin, Nadia Diyana/N-4821-2018</t>
  </si>
  <si>
    <t>IGI GLOBAL</t>
  </si>
  <si>
    <t>HERSHEY</t>
  </si>
  <si>
    <t>701 E CHOCOLATE AVE, STE 200, HERSHEY, PA 17033-1240 USA</t>
  </si>
  <si>
    <t>1947-315X</t>
  </si>
  <si>
    <t>1947-3168</t>
  </si>
  <si>
    <t>INT J E-HEALTH MED C</t>
  </si>
  <si>
    <t>Int. J. E-Health Med. Commun.</t>
  </si>
  <si>
    <t>JAN-DEC</t>
  </si>
  <si>
    <t>10.4018/IJEHMC.368150</t>
  </si>
  <si>
    <t>Medical Informatics</t>
  </si>
  <si>
    <t>W5F7A</t>
  </si>
  <si>
    <t>WOS:001418836000001</t>
  </si>
  <si>
    <t>Leone, A; Diorio, GJ; Pettaway, C; Master, V; Spiess, PE</t>
  </si>
  <si>
    <t>Leone, Andrew; Diorio, Gregory J.; Pettaway, Curtis; Master, Viraj; Spiess, Philippe E.</t>
  </si>
  <si>
    <t>Contemporary management of patients with penile cancer and lymph node metastasis</t>
  </si>
  <si>
    <t>NATURE REVIEWS UROLOGY</t>
  </si>
  <si>
    <t>SQUAMOUS-CELL CARCINOMA; ENDOSCOPIC INGUINAL LYMPHADENECTOMY; TERM-FOLLOW-UP; PROGNOSTIC-FACTORS; GROIN DISSECTION; ADJUVANT CHEMOTHERAPY; SURGICAL-TREATMENT; RADIATION-THERAPY; IMPROVED SURVIVAL; TUMOR STAGE</t>
  </si>
  <si>
    <t>Penile cancer is a rare disease that causes considerable physical and psychological patient morbidity, especially at advanced stages. Patients with low-stage nodal metastasis can achieve durable survival with surgery alone, but those with extensive locoregional metastasis have overall low survival. Contemporary management strategies for lymph node involvement in penile cancer aim to minimize the morbidity associated with traditional radical inguinal lymphadenectomy through appropriate risk stratification while optimizing oncological outcomes. Modified (or superficial) inguinal lymph node dissection and dynamic sentinel lymph node biopsy are diagnostic modalities that have been recommended in patients with high-risk primary penile tumours and nonpalpable inguinal lymph nodes. In addition, advances in minimally invasive and robot-assisted lymphadenectomy techniques are being investigated in patients with penile cancer and might further decrease lymphadenectomy-related adverse effects. The management of patients with advanced disease has evolved to include multimodal treatment with systemic chemotherapy before surgical intervention and can include adjuvant chemotherapy after pelvic lymphadenectomy. The role of radiotherapy in the neoadjuvant or adjuvant setting remains largely unclear, owing to a lack of high-level evidence of possible benefits. New targeted therapies have shown efficacy in squamous cell carcinomas of other sites and might also prove effective in patients with penile cancer.</t>
  </si>
  <si>
    <t>[Leone, Andrew; Diorio, Gregory J.; Spiess, Philippe E.] H Lee Moffitt Canc Ctr &amp; Res Inst, 12902 USF Magnolia Dr, Tampa, FL 33602 USA; [Pettaway, Curtis] Univ Texas MD Anderson Canc Ctr, 1515 Holcombe Blvd,Unit 1373, Houston, TX 77030 USA; [Master, Viraj] Emory Univ, Sch Med, 1365 Clifton Rd NE,Bldg B,Room 1485, Atlanta, GA 30030 USA</t>
  </si>
  <si>
    <t>State University System of Florida; University of South Florida; H Lee Moffitt Cancer Center &amp; Research Institute; University of Texas System; UTMD Anderson Cancer Center; Emory University</t>
  </si>
  <si>
    <t>Spiess, PE (corresponding author), H Lee Moffitt Canc Ctr &amp; Res Inst, 12902 USF Magnolia Dr, Tampa, FL 33602 USA.</t>
  </si>
  <si>
    <t>philippe.spiess@moffitt.org</t>
  </si>
  <si>
    <t>1759-4812</t>
  </si>
  <si>
    <t>1759-4820</t>
  </si>
  <si>
    <t>NAT REV UROL</t>
  </si>
  <si>
    <t>Nat. Rev. Urol.</t>
  </si>
  <si>
    <t>10.1038/nrurol.2017.47</t>
  </si>
  <si>
    <t>EW6HI</t>
  </si>
  <si>
    <t>WOS:000402609800018</t>
  </si>
  <si>
    <t>Tsuei, A; Nezhat, F; Amirlatifi, N; Najmi, Z; Nezhat, A; Nezhat, C</t>
  </si>
  <si>
    <t>Tsuei, Angie; Nezhat, Farr; Amirlatifi, Nikki; Najmi, Zahra; Nezhat, Azadeh; Nezhat, Camran</t>
  </si>
  <si>
    <t>Comprehensive Management of Bowel Endometriosis: Surgical Techniques, Outcomes, and Best Practices</t>
  </si>
  <si>
    <t>bowel endometriosis; surgical management; shave excision; segmental resection; disc excision; appendectomy; gastrointestinal symptoms; rectosigmoid colon; laparoscopic surgery; complications; robotic surgery</t>
  </si>
  <si>
    <t>DEEP INFILTRATING ENDOMETRIOSIS; RECTOVAGINAL SEPTUM; COLORECTAL ENDOMETRIOSIS; LAPAROSCOPIC MANAGEMENT; NONINVASIVE DIAGNOSIS; DISCOID RESECTION; OVARIAN-CANCER; SURGERY; COMPLICATIONS; SERIES</t>
  </si>
  <si>
    <t>Bowel endometriosis is a complex condition predominantly impacting women in their reproductive years, which may lead to chronic pain, gastrointestinal symptoms, and infertility. This review highlights current approaches to the diagnosis and management of bowel endometriosis, emphasizing a multidisciplinary strategy. Diagnostic methods include detailed patient history, physical examination, and imaging techniques like transvaginal ultrasound (TVUS) and magnetic resonance imaging (MRI), which aid in preoperative planning. Management options range from hormonal therapies for symptom relief to minimally invasive surgical techniques. Surgical interventions, categorized as shaving excision, disc excision, or segmental resection, depend on factors such as lesion size, location, and depth. Shaving excision is preferred for its minimal invasiveness and lower complication rates, while segmental resection is reserved for severe cases. This review also explores nerve-sparing strategies to reduce surgical morbidity, particularly for deep infiltrative cases close to the rectal bulb, anal verge, and rectosigmoid colon. A structured, evidence-based approach is recommended, prioritizing conservative surgery to avoid complications and preserve fertility as much as possible. Comprehensive management of bowel endometriosis requires expertise from both gynecologic and gastrointestinal specialists, aiming to improve patient outcomes while minimizing long-term morbidity.</t>
  </si>
  <si>
    <t>[Tsuei, Angie; Amirlatifi, Nikki; Najmi, Zahra; Nezhat, Azadeh; Nezhat, Camran] Camran Nezhat Inst, Ctr Minimally Invas &amp; Robot Surg, Woodside, CA 94061 USA; [Nezhat, Farr] Cornell Univ, Weill Cornell Med Coll, New York, NY 10065 USA; [Nezhat, Farr] NYU Long Isl Sch Med, Gynecol Oncol, Mineola, NY 11501 USA; [Nezhat, Azadeh; Nezhat, Camran] Stanford Univ, Med Ctr, Palo Alto, CA 94305 USA; [Nezhat, Camran] Univ Calif San Francisco, San Francisco, CA 94143 USA</t>
  </si>
  <si>
    <t>Cornell University; Weill Cornell Medicine; Stanford University; University of California System; University of California San Francisco</t>
  </si>
  <si>
    <t>Nezhat, C (corresponding author), Camran Nezhat Inst, Ctr Minimally Invas &amp; Robot Surg, Woodside, CA 94061 USA.;Nezhat, C (corresponding author), Stanford Univ, Med Ctr, Palo Alto, CA 94305 USA.;Nezhat, C (corresponding author), Univ Calif San Francisco, San Francisco, CA 94143 USA.</t>
  </si>
  <si>
    <t>angie.tsuei@camrannezhatinstitute.com; farr@farrnezhatmd.com; nikki.amirlatifi@camrannezhatinstitute.com; zahranaj@yahoo.com; azzie@camrannezhatinstitute.com; camran@camrannezhatinstitute.com</t>
  </si>
  <si>
    <t>Nezhat, Camran/0000-0002-2360-5147</t>
  </si>
  <si>
    <t>10.3390/jcm14030977</t>
  </si>
  <si>
    <t>W5D5Q</t>
  </si>
  <si>
    <t>WOS:001418780400001</t>
  </si>
  <si>
    <t>Anderson, M; Menon, R; Oak, K; Allan, L</t>
  </si>
  <si>
    <t>Anderson, Merryn; Menon, Rachel; Oak, Katy; Allan, Louise</t>
  </si>
  <si>
    <t>The use of technology for social interaction by people with dementia: A scoping review</t>
  </si>
  <si>
    <t>PLOS DIGITAL HEALTH</t>
  </si>
  <si>
    <t>ELDERLY-PEOPLE; COMPANION ROBOT; OLDER-ADULTS; CARE; LONELINESS; COMPUTER; THERAPY; HEALTH; COMMUNICATION; REMINISCENCE</t>
  </si>
  <si>
    <t>People with dementia (PwD) are at risk of experiencing loneliness, which is associated with physical and mental health difficulties [1]. Technology is a possible tool to increase social connection and reduce loneliness. This scoping review aims to examine the current evidence regarding the use of technology to reduce loneliness in PwD. A scoping review was carried out. Medline, PsychINFO, Embase, CINAHL, Cochrane database, NHS Evidence, Trials register, Open Grey, ACM Digital Library and IEEE Xplore were searched in April 2021. A sensitive search strategy was constructed using combinations of free text and thesaurus terms to retrieve articles about dementia, technology and social-interaction. Predefined inclusion and exclusion criteria were used. Paper quality was assessed using the Mixed Methods Appraisal Tool (MMAT) and results reported according to PRISMA guidelines [2,3]. 73 papers were identified publishing the results of 69 studies. Technological interventions included robots, tablets/computers and other forms of technology. Methodologies were varied and limited synthesis was possible. There is some evidence that technology is a beneficial intervention to reduce loneliness. Important considerations include personalisation and the context of the intervention. The current evidence is limited and variable; future research is warranted including studies with specific loneliness outcome measures, studies focusing on PwD living alone, and technology as part of intervention programmes.</t>
  </si>
  <si>
    <t>[Anderson, Merryn] Univ Exeter, Coll Med &amp; Hlth, Exeter, England; [Menon, Rachel] Cornwall Partnership NHS Fdn Trust, Bodmin, England; [Oak, Katy] Royal Cornwall Hosp NHS Trust, Knowledge Spa, Truro, England; [Allan, Louise] Univ Exeter, Coll Med &amp; Hlth, Ctr Res Ageing &amp; Cognit Hlth, Exeter, England</t>
  </si>
  <si>
    <t>University of Exeter; Royal Cornwall Hospital; University of Exeter</t>
  </si>
  <si>
    <t>Anderson, M (corresponding author), Univ Exeter, Coll Med &amp; Hlth, Exeter, England.</t>
  </si>
  <si>
    <t>M.Anderson8@exeter.ac.uk</t>
  </si>
  <si>
    <t>; Allan, Louise/A-2918-2009</t>
  </si>
  <si>
    <t>Anderson, Merryn/0000-0001-8535-792X; Allan, Louise/0000-0002-8912-4901; Menon, Rachel/0000-0002-6990-4759</t>
  </si>
  <si>
    <t>National Institute for Health Research Applied Research Collaboration South West Peninsula; National Institute for Health Research</t>
  </si>
  <si>
    <t>National Institute for Health Research Applied Research Collaboration South West Peninsula; National Institute for Health Research(National Institutes of Health Research (NIHR))</t>
  </si>
  <si>
    <t>LA is supported by the National Institute for Health Research Applied Research Collaboration South West Peninsula (arc-swp.nihr. ac.uk). MA is an Academic Clinical Fellow supported by the National Institute for Health Research (nihr.ac.uk). The views expressed in this publication are those of the authors and not necessarily those of the National Institute for Health Research or the Department of Health and Social Care. The funders had no role in study design, data collection and analysis, decision to publish, or preparation of the manuscript.</t>
  </si>
  <si>
    <t>2767-3170</t>
  </si>
  <si>
    <t>PLOS DIGIT HEALTH</t>
  </si>
  <si>
    <t>PLOS Digit. Health</t>
  </si>
  <si>
    <t>e0000053</t>
  </si>
  <si>
    <t>10.1371/journal.pdig.0000053</t>
  </si>
  <si>
    <t>W2L3O</t>
  </si>
  <si>
    <t>WOS:001416950600001</t>
  </si>
  <si>
    <t>Rammant, E; Van Wilder, L; Van Hemelrijck, M; Pauwels, NS; Decaestecker, K; Van Praet, C; Bultijnck, R; Ost, P; Van Vaerenbergh, T; Verhaeghe, S; Van Hecke, A; Fonteyne, V</t>
  </si>
  <si>
    <t>Rammant, Elke; Van Wilder, Lisa; Van Hemelrijck, Mieke; Pauwels, Nele S.; Decaestecker, Karel; Van Praet, Charles; Bultijnck, Renee; Ost, Piet; Van Vaerenbergh, Thomas; Verhaeghe, Sofie; Van Hecke, Ann; Fonteyne, Valerie</t>
  </si>
  <si>
    <t>Health-related quality of life overview after different curative treatment options in muscle-invasive bladder cancer: an umbrella review</t>
  </si>
  <si>
    <t>QUALITY OF LIFE RESEARCH</t>
  </si>
  <si>
    <t>ASSISTED RADICAL CYSTECTOMY; ORTHOTOPIC NEOBLADDER; FUNCTIONAL OUTCOMES; URINARY-DIVERSION; ILEAL CONDUIT; TRIMODAL THERAPY; METAANALYSIS; WOMEN</t>
  </si>
  <si>
    <t>Purpose This umbrella review aims to evaluate the quality, summarize and compare the conclusions of systematic reviews investigating the impact of curative treatment options on health-related quality of life (HRQoL) in muscle-invasive bladder cancer (MIBC). Methods The Cochrane Library, MEDLINE, Embase and Web of Science were searched independently by two authors from inception until 06 January 2020. Systematic reviews and meta-analyses assessing the impact of any curative treatment option on HRQol in MIBC patients were eligible. Risk of bias was assessed using the AMSTAR 2 tool. Results Thirty-two reviews were included. Robot-assisted RC with extracorporeal urinary diversion and open RC have similar HRQoL (n = 10). Evidence for pelvic organ-sparing RC was too limited (n = 2). Patients with a neobladder showed better overall and physical HRQoL outcomes, but worse urinary function in comparison with ileal conduit (n = 17). Bladder-preserving radiochemotherapy showed slightly better urinary and sexual but worse gastro-intestinal HRQoL outcomes in comparison with RC patients (n = 6). Quality of the reviews was low in more than 50% of the available reviews and most of the studies included in the reviews were nonrandomized studies. Conclusion This umbrella review gives a comprehensive overview of the available evidence to date.</t>
  </si>
  <si>
    <t>[Rammant, Elke; Bultijnck, Renee; Ost, Piet; Van Vaerenbergh, Thomas] Univ Ghent, Dept Human Struct &amp; Repair, Corneel Heymanslaan 10, B-9000 Ghent, Belgium; [Van Wilder, Lisa] Univ Ghent, Univ Hosp, Dept Publ Hlth &amp; Primary Care, Ghent, Belgium; [Van Hemelrijck, Mieke] Kings Coll London, Translat Oncol &amp; Urol Res TOUR, Sch Canc &amp; Pharmaceut Studies, London, England; [Pauwels, Nele S.] Univ Ghent, Knowledge Ctr Hlth Ghent, Ghent, Belgium; [Decaestecker, Karel; Van Praet, Charles] Ghent Univ Hosp, Dept Urol, Ghent, Belgium; [Ost, Piet; Fonteyne, Valerie] Ghent Univ Hosp, Dept Radiat Oncol, Ghent, Belgium; [Verhaeghe, Sofie; Van Hecke, Ann] Univ Ghent, Univ Ctr Nursing &amp; Midwifery, Dept Publ Hlth &amp; Primary Care, Ghent, Belgium; [Verhaeghe, Sofie] VIVES Univ Coll, Dept Nursing, Roeselare, Belgium; [Verhaeghe, Sofie; Van Hecke, Ann] Ghent Univ Hosp, Nursing Dept, Ghent, Belgium</t>
  </si>
  <si>
    <t>Ghent University; Ghent University Hospital; Ghent University; Ghent University Hospital; University of London; King's College London; Ghent University; Ghent University Hospital; Ghent University; Ghent University Hospital; Ghent University; Ghent University Hospital; Ghent University; Ghent University Hospital; Ghent University; Ghent University Hospital</t>
  </si>
  <si>
    <t>Rammant, E (corresponding author), Univ Ghent, Dept Human Struct &amp; Repair, Corneel Heymanslaan 10, B-9000 Ghent, Belgium.</t>
  </si>
  <si>
    <t>elke.rammant@ugent.be</t>
  </si>
  <si>
    <t>Decaestecker, Karel/HPE-7748-2023; Ost, Piet/A-1449-2011; Pauwels, Nele/AGH-1908-2022; Bultijnck, Renee/J-2445-2016</t>
  </si>
  <si>
    <t>Ost, Piet/0000-0002-2203-4848; Van Hemelrijck, Mieke/0000-0002-7317-0858; Decaestecker, Karel/0000-0003-0767-940X; Pauwels, Nele/0000-0002-1862-1927; Van Hecke, Ann/0000-0003-3576-7159; Verhaeghe, Sofie/0000-0002-2063-5033; Van Wilder, Lisa/0000-0003-4394-2623; Bultijnck, Renee/0000-0003-4122-2323</t>
  </si>
  <si>
    <t>Kom op tegen Kanker</t>
  </si>
  <si>
    <t>This study was funded by Kom op tegen Kanker.</t>
  </si>
  <si>
    <t>DORDRECHT</t>
  </si>
  <si>
    <t>VAN GODEWIJCKSTRAAT 30, 3311 GZ DORDRECHT, NETHERLANDS</t>
  </si>
  <si>
    <t>0962-9343</t>
  </si>
  <si>
    <t>1573-2649</t>
  </si>
  <si>
    <t>QUAL LIFE RES</t>
  </si>
  <si>
    <t>Qual. Life Res.</t>
  </si>
  <si>
    <t>10.1007/s11136-020-02544-z</t>
  </si>
  <si>
    <t>JUN 2020</t>
  </si>
  <si>
    <t>Health Care Sciences &amp; Services; Health Policy &amp; Services; Public, Environmental &amp; Occupational Health</t>
  </si>
  <si>
    <t>Health Care Sciences &amp; Services; Public, Environmental &amp; Occupational Health</t>
  </si>
  <si>
    <t>OK4OY</t>
  </si>
  <si>
    <t>WOS:000538534100001</t>
  </si>
  <si>
    <t>Chen, SW; Fan, SC; Chan, HY; Qiao, Z; Qi, JM; Wu, ZX; Yeo, JC; Lim, CT</t>
  </si>
  <si>
    <t>Chen, Shuwen; Fan, Shicheng; Chan, Henryk; Qiao, Zheng; Qi, Jiaming; Wu, Zixiong; Yeo, Joo Chuan; Lim, Chwee Teck</t>
  </si>
  <si>
    <t>Liquid Metal Functionalization Innovations in Wearables and Soft Robotics for Smart Healthcare Applications</t>
  </si>
  <si>
    <t>biomedical and healthcare devices; liquid metal; wearable electronics; flexible electronics</t>
  </si>
  <si>
    <t>SENSOR; ELECTRONICS; CONDUCTIVITY; FIBERS; WIRES</t>
  </si>
  <si>
    <t>Smart healthcare solutions are crucial for early diagnosis, real-time health monitoring, and personalized therapy. Essential to these advancements are flexible wearable devices and medical robotics, which incorporate a range of elements, including soft sensors, therapeutic modules, human-machine interfaces, actuators, and systems for communication, computation, and power. Liquid metal-based materials are rapidly emerging as one of the key elements for these innovations. This review will delve into the latest breakthroughs in liquid metal (LM) functionalization innovation and the applications in healthcare-related wearables and soft robotics. Firstly, techniques to modify LM are explored, emphasizing strategies to enhance properties such as electromechanical, thermal, electromagnetic, biochemical, self-healing, and magnetic capabilities. Next, the authors shed light on contemporary wearable sensors, therapeutic on-skin devices, and other flexible device innovations. They finally conclude by highlighting the challenges and charting the path forward for LM-driven healthcare advances. Liquid metal-based functional materials provide unprecedented potential in flexible wearable devices and medical robotics for smart healthcare. This review overviews the latest breakthroughs in liquid metal functionalization strategies, focousing on specific physical and biochemical properties and the applications in healthcare-related wearables and soft robotics. Finally, the challenges and promising directions in this area are discussed.image</t>
  </si>
  <si>
    <t>[Chen, Shuwen; Yeo, Joo Chuan; Lim, Chwee Teck] Natl Univ Singapore, Inst Hlth Innovat &amp; Technol iHealthtech, Singapore 117599, Singapore; [Fan, Shicheng; Qiao, Zheng; Qi, Jiaming; Wu, Zixiong; Lim, Chwee Teck] Natl Univ Singapore, Dept Biomed Engn, Singapore 117583, Singapore; [Chan, Henryk] Univ Sheffield, Dept Automat Control &amp; Syst Engn, Sheffield S10 2TN, England; [Lim, Chwee Teck] Natl Univ Singapore, Mechanobiol Inst, Singapore 117411, Singapore; [Lim, Chwee Teck] Natl Univ Singapore, SIA NUS Digital Aviat Corp Lab, Singapore 117602, Singapore; [Lim, Chwee Teck] Nanyang Technol Univ, Inst Digital Mol Analyt &amp; Sci, Singapore 636921, Singapore</t>
  </si>
  <si>
    <t>National University of Singapore; National University of Singapore; University of Sheffield; National University of Singapore; National University of Singapore; Nanyang Technological University</t>
  </si>
  <si>
    <t>Lim, CT (corresponding author), Natl Univ Singapore, Inst Hlth Innovat &amp; Technol iHealthtech, Singapore 117599, Singapore.;Lim, CT (corresponding author), Natl Univ Singapore, Dept Biomed Engn, Singapore 117583, Singapore.;Lim, CT (corresponding author), Natl Univ Singapore, Mechanobiol Inst, Singapore 117411, Singapore.;Lim, CT (corresponding author), Natl Univ Singapore, SIA NUS Digital Aviat Corp Lab, Singapore 117602, Singapore.;Lim, CT (corresponding author), Nanyang Technol Univ, Inst Digital Mol Analyt &amp; Sci, Singapore 636921, Singapore.</t>
  </si>
  <si>
    <t>chen, shuwen/HPC-2250-2023; Chan, Henryk/HSI-1503-2023; Yeo, Joo/V-5283-2017; Lim, chwee/B-3307-2011</t>
  </si>
  <si>
    <t>Chan, Henryk/0000-0003-3310-5880; Chen, Shuwen/0000-0002-6611-3599; Lim, Chwee Teck/0000-0003-4019-9782</t>
  </si>
  <si>
    <t>Institute for Health Innovation and Technology (iHealthtech), National University of Singapore [A-0001415-06-00, A-0009363-04-00]; Institute for Health Innovation and Technology (iHealthtech) [A-0005947-22-00]; ARTIC Grant; Institute for Functional Intelligent Materials and SIA-NUS Digital Aviation Corp Lab at the National University of Singapore; Institute for Digital Molecular Analytics and Science at the Nanyang Technological University</t>
  </si>
  <si>
    <t>Institute for Health Innovation and Technology (iHealthtech), National University of Singapore; Institute for Health Innovation and Technology (iHealthtech); ARTIC Grant; Institute for Functional Intelligent Materials and SIA-NUS Digital Aviation Corp Lab at the National University of Singapore; Institute for Digital Molecular Analytics and Science at the Nanyang Technological University</t>
  </si>
  <si>
    <t>S.W.C. and S.C.F. contributed equally to this work. This work was supported by the Institute for Health Innovation and Technology (iHealthtech) (Grant No. A-0001415-06-00), the Startup Grant (Grant No. A-0009363-04-00) , the ARTIC Grant (Grant No. A-0005947-22-00), Institute for Functional Intelligent Materials and SIA-NUS Digital Aviation Corp Lab at the National University of Singapore as well as the Institute for Digital Molecular Analytics and Science at the Nanyang Technological University.</t>
  </si>
  <si>
    <t>10.1002/adfm.202309989</t>
  </si>
  <si>
    <t>A8Z5C</t>
  </si>
  <si>
    <t>WOS:001112424600001</t>
  </si>
  <si>
    <t>Wagner, M; Bodenstedt, S; Daum, M; Schulze, A; Younis, R; Brandenburg, J; Kolbinger, FR; Distler, M; Maier-Hein, L; Weitz, J; Müller-Stich, BP; Speidel, S</t>
  </si>
  <si>
    <t>Wagner, Martin; Bodenstedt, Sebastian; Daum, Marie; Schulze, Andre; Younis, Rayan; Brandenburg, Johanna; Kolbinger, Fiona R.; Distler, Marius; Maier-Hein, Lena; Weitz, Juergen; Mueller-Stich, Beat-Peter; Speidel, Stefanie</t>
  </si>
  <si>
    <t>The importance of machine learning in autonomous actions for surgical decision making</t>
  </si>
  <si>
    <t>ARTIFICIAL INTELLIGENCE SURGERY</t>
  </si>
  <si>
    <t>Surgical data science; robot-assisted surgery; artificial intelligence in surgery; cognitive surgical robotics; computer-aided surgery</t>
  </si>
  <si>
    <t>OPERATING-ROOM; SURGERY; CANCER; RISK; SIMULATION; PREDICTION; MORTALITY; WORKFLOW; SUPPORT; SYSTEMS</t>
  </si>
  <si>
    <t>Surgery faces a paradigm shift since it has developed rapidly in recent decades, becoming a high-tech discipline. Increasingly powerful technological developments such as modern operating rooms, featuring digital and interconnected equipment and novel imaging as well as robotic procedures, provide several data sources resulting in a huge potential to improve patient therapy and surgical outcome by means of Surgical Data Science. The emerging field of Surgical Data Science aims to improve the quality of surgery through acquisition, organization, analysis, and modeling of data, in particular using machine learning (ML). An integral part of surgical data science is to analyze the available data along the surgical treatment path and provide a context-aware autonomous action by means of ML methods. Autonomous actions related to surgical decision-making include preoperative decision support, intraoperative assistance functions, as well as robot- assisted actions. The goal is to democratize surgical skills and enhance the collaboration between surgeons and cyber-physical systems by quantifying surgical experience and making it accessible to machines, thereby improving patient therapy and outcome. The article introduces basic ML concepts as enablers for autonomous actions in surgery, highlighting examples for such actions along the surgical treatment path.</t>
  </si>
  <si>
    <t>[Wagner, Martin; Daum, Marie; Schulze, Andre; Younis, Rayan; Brandenburg, Johanna; Mueller-Stich, Beat-Peter] Heidelberg Univ Hosp, Dept Gen Visceral &amp; Transplantat Surg, D-69120 Heidelberg, Germany; [Bodenstedt, Sebastian; Speidel, Stefanie] Natl Ctr Tumor Dis NCT UCC, Div Translat Surg Oncol, Fetscherstr 74, D-01307 Dresden, Germany; [Kolbinger, Fiona R.; Distler, Marius; Weitz, Juergen] Tech Univ Dresden, Univ Hosp Carl Gustav Carus, Dept Visceral Thorac &amp; Vasc Surg, D-01307 Dresden, Germany; [Maier-Hein, Lena] German Canc Res Ctr, Div Comp Assisted Med Intervent CAMI, D-69120 Heidelberg, Germany; [Bodenstedt, Sebastian; Distler, Marius; Weitz, Juergen; Speidel, Stefanie] Tech Univ Dresden, Ctr Tactile Internet Human Loop CeTI, D-01069 Dresden, Germany</t>
  </si>
  <si>
    <t>Ruprecht Karls University Heidelberg; Technische Universitat Dresden; Carl Gustav Carus University Hospital; Helmholtz Association; German Cancer Research Center (DKFZ); Technische Universitat Dresden</t>
  </si>
  <si>
    <t>Speidel, S (corresponding author), Natl Ctr Tumor Dis NCT UCC, Div Translat Surg Oncol, Fetscherstr 74, D-01307 Dresden, Germany.</t>
  </si>
  <si>
    <t>stefanie.speidel@nct-dresden.de</t>
  </si>
  <si>
    <t>Müller-Stich, Beat/ABF-5069-2020; Speidel, Stefanie/K-1959-2017; Schulze, Andre/MGA-7842-2025; Younis, Rayan/KMA-4934-2024; Kolbinger, Fiona/ABG-4194-2020; Wagner, Martin/GXH-1661-2022</t>
  </si>
  <si>
    <t>Brandenburg, Johanna/0000-0001-6486-5810; Wagner, Martin/0000-0002-9831-9110; Kolbinger, Fiona R./0000-0003-2265-4809; Speidel, Stefanie/0000-0002-4590-1908; Younis, Rayan/0000-0002-7558-8043</t>
  </si>
  <si>
    <t>Federal Ministry of Health, Germany (BMG) [BMG 2520DAT82]; German Research Foundation (DFG, Deutsche Forschungsgemeinschaft) [EXC 2050/1, 390696704]</t>
  </si>
  <si>
    <t>Federal Ministry of Health, Germany (BMG); German Research Foundation (DFG, Deutsche Forschungsgemeinschaft)(German Research Foundation (DFG))</t>
  </si>
  <si>
    <t>This work was supported by the Federal Ministry of Health, Germany (BMG), as part of the SurgOmics project (BMG 2520DAT82). In addition, this work was funded by the German Research Foundation (DFG, Deutsche Forschungsgemeinschaft) as part of Germany's Excellence Strategy - EXC 2050/1 - Project ID 390696704 - Cluster of Excellence Centre for Tactile Internet with Human-in-the-Loop (CeTI) of Technische Universitat Dresden.</t>
  </si>
  <si>
    <t>OAE PUBLISHING INC</t>
  </si>
  <si>
    <t>ALHAMBRA</t>
  </si>
  <si>
    <t>245 E MAIN ST, ST122, ALHAMBRA, CA 91801 USA</t>
  </si>
  <si>
    <t>2771-0408</t>
  </si>
  <si>
    <t>ARTIF INTELL SURG</t>
  </si>
  <si>
    <t>Artif. Intell. Surg.</t>
  </si>
  <si>
    <t>10.20517/ais.2022.02</t>
  </si>
  <si>
    <t>Surgery</t>
  </si>
  <si>
    <t>J2Q2H</t>
  </si>
  <si>
    <t>WOS:001335556600002</t>
  </si>
  <si>
    <t>Saito, Y; Homma, A; Kiyota, N; Tahara, M; Hanai, N; Asakage, T; Matsuura, K; Ota, I; Yokota, T; Sano, D; Kodaira, T; Motegi, A; Yasuda, K; Takahashi, S; Tanaka, K; Onoe, T; Okano, S; Imamura, Y; Ariizumi, Y; Hayashi, R</t>
  </si>
  <si>
    <t>Saito, Yuki; Homma, Akihiro; Kiyota, Naomi; Tahara, Makoto; Hanai, Nobuhiro; Asakage, Takahiro; Matsuura, Kazuto; Ota, Ichiro; Yokota, Tomoya; Sano, Daisuke; Kodaira, Takeshi; Motegi, Atsushi; Yasuda, Koichi; Takahashi, Shunji; Tanaka, Kaoru; Onoe, Takuma; Okano, Susumu; Imamura, Yoshinori; Ariizumi, Yosuke; Hayashi, Ryuichi</t>
  </si>
  <si>
    <t>Human papillomavirus-related oropharyngeal carcinoma</t>
  </si>
  <si>
    <t>JAPANESE JOURNAL OF CLINICAL ONCOLOGY</t>
  </si>
  <si>
    <t>oropharyngeal carcinoma; HNSCC; p16; human papillomavirus; Japan</t>
  </si>
  <si>
    <t>SQUAMOUS-CELL CARCINOMA; TRANSORAL ROBOTIC SURGERY; JAPANESE PATIENTS; PHYSICAL STATUS; CANCER; HEAD; HPV; RISK; TYPE-16; STAGE</t>
  </si>
  <si>
    <t>It was not until around 2000 that human papillomavirus-related oropharyngeal carcinoma was recognized as carcinoma with clinical presentations different from nonrelated head and neck carcinoma. Twenty years after and with the revision of the tumor-node-metastasis classification in 2017, various clinical trials focused on human papillomavirus-related oropharyngeal carcinoma to improve the prognosis and quality of life of patients with this disease. However, the incidence of human papillomavirus-related cancers is increasing, which is expected to be particularly prominent in Japan, where human papillomavirus vaccination is not widely available. In this review, we describe the current status of clinical trials (mainly focused on initial surgery and radiation dose reduction) for, primary and secondary prevention of, and the present status of human papillomavirus-related oropharyngeal carcinoma in Japan. This review provides a clear summary of the current knowledge on human papillomavirus-related oropharyngeal carcinoma. The current standard of care for this disease is RT with CDDP and surgery. We believe that surgical treatment is best indicated for patients eligible for CDDP-RT when postoperative adjuvant therapy can be omitted. HPV-OPSCC prevention is urgently needed in Japan, where the HPV vaccination rate is low and the possibility of an increase in the incidence of HPV-OPSCC is high.</t>
  </si>
  <si>
    <t>[Saito, Yuki] Univ Tokyo, Dept Otolaryngol Head &amp; Neck Surg, Tokyo, Japan; [Homma, Akihiro] Hokkaido Univ, Dept Otolaryngol Head &amp; Neck Surg, Fac Med, Sapporo, Hokkaido, Japan; [Homma, Akihiro; Yasuda, Koichi] Hokkaido Univ, Grad Sch Med, Sapporo, Hokkaido, Japan; [Kiyota, Naomi; Imamura, Yoshinori] Kobe Univ Hosp, Dept Med Oncol &amp; Hematol, Canc Ctr, Kobe, Hyogo, Japan; [Tahara, Makoto; Okano, Susumu] Natl Canc Ctr Hosp East, Dept Head &amp; Neck Med Oncol, Kashiwa, Chiba, Japan; [Hanai, Nobuhiro] Aichi Canc Ctr Hosp, Dept Head &amp; Neck Surg, Nagoya, Aichi, Japan; [Asakage, Takahiro; Ariizumi, Yosuke] Tokyo Med &amp; Dent Univ, Dept Head &amp; Neck Surg, Tokyo, Japan; [Matsuura, Kazuto; Hayashi, Ryuichi] Natl Canc Ctr Hosp East, Dept Head &amp; Neck Surg, Kashiwa, Chiba, Japan; [Ota, Ichiro] Nara Med Univ, Dept Otolaryngol Head &amp; Neck Surg, Nara, Japan; [Yokota, Tomoya] Shizuoka Canc Ctr, Div Gastrointestinal Oncol, Kashiwa, Chiba, Japan; [Sano, Daisuke] Yokohama City Univ, Sch Med, Dept Otorhinolaryngol Head &amp; Neck Surg, Yokohama, Kanagawa, Japan; [Kodaira, Takeshi] Aichi Canc Ctr Hosp, Dept Radiat Oncol, Nagoya, Aichi, Japan; [Motegi, Atsushi] Natl Canc Ctr Hosp East, Dept Radiat Oncol, Kashiwa, Chiba, Japan; [Yasuda, Koichi] Hokkaido Univ, Fac Med, Dept Radiat Oncol, Sapporo, Hokkaido, Japan; [Takahashi, Shunji] Canc Inst Hosp, Dept Med Oncol, Tokyo, Japan; [Tanaka, Kaoru] Kindai Univ, Fac Med, Dept Med Oncol, Higashi Osaka, Japan; [Onoe, Takuma] Hyogo Canc Ctr, Div Med Oncol, Akashi, Hyogo, Japan</t>
  </si>
  <si>
    <t>University of Tokyo; Hokkaido University; Hokkaido University; Kobe University; National Cancer Center - Japan; Aichi Cancer Center; Institute of Science Tokyo; Tokyo Medical &amp; Dental University (TMDU); National Cancer Center - Japan; Nara Medical University; Shizuoka Cancer Center; Yokohama City University; Aichi Cancer Center; National Cancer Center - Japan; Hokkaido University; Japanese Foundation for Cancer Research; Hyogo Cancer Center</t>
  </si>
  <si>
    <t>Saito, Y (corresponding author), Univ Tokyo, Dept Otolaryngol Head &amp; Neck Surg, Tokyo, Japan.</t>
  </si>
  <si>
    <t>saitou-tky@umin.ac.jp; nkiyota@med.kobe-u.ac.jp; hanai@aichi-cc.jp; tasakage@gmail.com; kmatsuur@east.ncc.go.jp; iota@naramed-u.ac.jp; t.yokota@scchr.jp; dsano@yokohama-cu.ac.jp; amotegi@east.ncc.go.jp; yasuda07@gmail.com; s.takahashi-chemotherapy@jfcr.or.jp; katanaka@med.kindai.ac.jp; sokano@east.ncc.go.jp; yimamura@med.kobe-u.ac.jp; ariizumi.hns@tmd.ac.jp; rhayashi@east.ncc.go.jp</t>
  </si>
  <si>
    <t>Imamura, Yoshinori/LFT-5403-2024; Homma, Akihiro/G-8024-2012; Yokota, Tomoya/AFN-2960-2022; Sano, Daisuke/R-6591-2018; Tahara, Makoto/AAN-3404-2021; Kiyota, Naomi/K-3226-2016; Yasuda, Koichi/ABE-6380-2021; Ota, Ichiro/LIF-0469-2024</t>
  </si>
  <si>
    <t>Ota, Ichiro/0000-0003-3815-8877; Yokota, Tomoya/0000-0001-7327-7949; Imamura, Yoshinori/0000-0002-5202-531X; Kiyota, Naomi/0000-0001-8021-6116; Tahara, Makoto/0000-0001-9035-3106</t>
  </si>
  <si>
    <t>National Cancer Center Research and Development grant [2020-J-3]; Grants-in-Aid for Scientific Research [21K09556] Funding Source: KAKEN</t>
  </si>
  <si>
    <t>National Cancer Center Research and Development grant; Grants-in-Aid for Scientific Research(Ministry of Education, Culture, Sports, Science and Technology, Japan (MEXT)Japan Society for the Promotion of ScienceGrants-in-Aid for Scientific Research (KAKENHI))</t>
  </si>
  <si>
    <t>This study was partially supported by a National Cancer Center Research and Development grant (2020-J-3).</t>
  </si>
  <si>
    <t>OXFORD UNIV PRESS</t>
  </si>
  <si>
    <t>GREAT CLARENDON ST, OXFORD OX2 6DP, ENGLAND</t>
  </si>
  <si>
    <t>0368-2811</t>
  </si>
  <si>
    <t>1465-3621</t>
  </si>
  <si>
    <t>JPN J CLIN ONCOL</t>
  </si>
  <si>
    <t>Jpn. J. Clin. Oncol.</t>
  </si>
  <si>
    <t>JUL 8</t>
  </si>
  <si>
    <t>10.1093/jjco/hyac049</t>
  </si>
  <si>
    <t>APR 2022</t>
  </si>
  <si>
    <t>2S8RR</t>
  </si>
  <si>
    <t>WOS:000786164700001</t>
  </si>
  <si>
    <t>Rudnicka, Z; Pregowska, A; Gladys, K; Perkins, M; Proniewska, K</t>
  </si>
  <si>
    <t>Rudnicka, Zofia; Pregowska, Agnieszka; Gladys, Kinga; Perkins, Mark; Proniewska, Klaudia</t>
  </si>
  <si>
    <t>Advancements in artificial intelligence-driven techniques for interventional cardiology</t>
  </si>
  <si>
    <t>CARDIOLOGY JOURNAL</t>
  </si>
  <si>
    <t>artificial intelligence (AI); interventional cardiology (IC); cardiac modalities; augmented and/or virtual realities; automatic medical systems</t>
  </si>
  <si>
    <t>CONVOLUTIONAL NEURAL-NETWORK; FRACTIONAL FLOW RESERVE; MYOCARDIAL-INFARCTION; CT ANGIOGRAPHY; IDENTIFICATION; TRUSTWORTHY; TRACKING; MODEL</t>
  </si>
  <si>
    <t>This paper aims to thoroughly discuss the impact of artificial intelligence (AI) on clinical practice in in- terventional cardiology (IC) with special recognition of its most recent advancements. Thus, recent years have been exceptionally abundant in advancements in computational tools, including the development of AI. The application of AI development is currently in its early stages, nevertheless new technologies have proven to be a promising concept, particularly considering IC showing great impact on patient safety, risk stratification and outcomes during the whole therapeutic process. The primary goal is to achieve the integration of multiple cardiac imaging modalities, establish online decision support systems and platforms based on augmented and/or virtual realities, and finally to create automatic medical systems, providing electronic health data on patients. In a simplified way, two main areas of AI utilization in IC may be distinguished, namely, virtual and physical. Consequently, numerous studies have provided data regarding AI utilization in terms of automated interpretation and analysis from various cardiac modalities, including electrocardiogram, echocardiography, angiography, cardiac magnetic resonance imaging, and computed tomography as well as data collected during robotic-assisted percutaneous coro- nary intervention procedures. Thus, this paper aims to thoroughly discuss the impact of AI on clinical practice in IC with special recognition of its most recent advancements. (Cardiol J)</t>
  </si>
  <si>
    <t>[Rudnicka, Zofia; Pregowska, Agnieszka] Polish Acad Sci, Inst Fundamental Technol Res, Warsaw, Poland; [Gladys, Kinga] Jagiellonian Univ, Med Coll, Krakow, Poland; [Perkins, Mark] Business Sch Healthcare, Coll Prometricum, Sopot, Poland; [Perkins, Mark] Royal Soc Arts, London, England; [Proniewska, Klaudia] Jagiellonian Univ, Med Coll, Dept Bioinformat &amp; Telemed, Krakow, Poland; [Proniewska, Klaudia] Jagiellonian Univ, Ctr Digital Med &amp; Robot, Med Coll, Krakow, Poland; [Proniewska, Klaudia] Jagiellonian Univ, Ctr Digital Med &amp; Robot, Med Coll, Ul Kopern 7E, PL-31034 Krakow, Poland</t>
  </si>
  <si>
    <t>Polish Academy of Sciences; Institute of Fundamental Technological Research of the Polish Academy of Sciences; Jagiellonian University; Collegium Medicum Jagiellonian University; Jagiellonian University; Collegium Medicum Jagiellonian University; Jagiellonian University; Collegium Medicum Jagiellonian University; Jagiellonian University; Collegium Medicum Jagiellonian University</t>
  </si>
  <si>
    <t>Proniewska, K (corresponding author), Jagiellonian Univ, Ctr Digital Med &amp; Robot, Med Coll, Ul Kopern 7E, PL-31034 Krakow, Poland.</t>
  </si>
  <si>
    <t>klaudia.proniewska@uj.edu.pl</t>
  </si>
  <si>
    <t>Proniewska, Klaudia/AAV-5496-2021; Pregowska, Agnieszka/A-7544-2015</t>
  </si>
  <si>
    <t>Campbell Perkins, Mark/0000-0003-4326-8384</t>
  </si>
  <si>
    <t>National Center for Research and Development under Grant Lider [LIDER/17/0064/L-11/19/NCBR/2020]; National Center for Research and Development; Jagiellonian University Medical College research grants [I/0042/2021-00]; [N41/DBS/000846]</t>
  </si>
  <si>
    <t>National Center for Research and Development under Grant Lider; National Center for Research and Development(National Centre for Research &amp; Development, Poland); Jagiellonian University Medical College research grants;</t>
  </si>
  <si>
    <t>This study was supported and financed by the National Center for Research and Development under Grant Lider No. LIDER/17/0064/L-11/19/NCBR/2020. Research was also partially supported by the National Center for Research and Development (research grant Infostrateg I/0042/2021-00) and Jagiellonian University Medical College research grants N41/DBS/000846.</t>
  </si>
  <si>
    <t>VIA MEDICA</t>
  </si>
  <si>
    <t>GDANSK</t>
  </si>
  <si>
    <t>UL SWIETOKRZYSKA 73, 80-180 GDANSK, POLAND</t>
  </si>
  <si>
    <t>1897-5593</t>
  </si>
  <si>
    <t>1898-018X</t>
  </si>
  <si>
    <t>CARDIOL J</t>
  </si>
  <si>
    <t>Cardiol. J.</t>
  </si>
  <si>
    <t>10.5603/cj.98650</t>
  </si>
  <si>
    <t>Cardiac &amp; Cardiovascular Systems</t>
  </si>
  <si>
    <t>Cardiovascular System &amp; Cardiology</t>
  </si>
  <si>
    <t>J2G9N</t>
  </si>
  <si>
    <t>WOS:001189128600001</t>
  </si>
  <si>
    <t>Bahrami, R; Pourhajibagher, M; Nikparto, N; Bahador, A</t>
  </si>
  <si>
    <t>Bahrami, Rashin; Pourhajibagher, Maryam; Nikparto, Nariman; Bahador, Abbas</t>
  </si>
  <si>
    <t>Robot-assisted dental implant surgery procedure: A literature review</t>
  </si>
  <si>
    <t>JOURNAL OF DENTAL SCIENCES</t>
  </si>
  <si>
    <t>Dental implant; Robot; Accuracy; Digital dentistry; Robot-assisted surgery; Artificial intelligence</t>
  </si>
  <si>
    <t>NAVIGATION; PLACEMENT; ACCURACY</t>
  </si>
  <si>
    <t>Robot-assisted dental surgery has gained significant attention in the field of dental implant therapy as an alternative to conventional free-hand surgery. It addresses challenges faced by human operators, such as limited visibility, operator fatigue, and lack of experience, which can lead to errors. Dental implant robots offer improved precision, efficiency, and stability, enhancing implant accuracy and reducing surgical risks. Accurate placement of dental implants is crucial to avoid complications during and after surgery. Robotic guidance in dental implant surgery provides several benefits. Firstly, the robotic arm offers haptic feedback, allowing physical guidance when placing the implant in the desired position. Secondly, a patient tracker integrated into the robotic system monitors patient movement and provides real-time feedback on a screen. This feature ensures that the surgeon is aware of any changes and can adjust accordingly. Lastly, the robotic system operates under human-robot collaboration, with the surgeon maintaining control and oversight throughout the procedure. Therefore, the objective of the current study is to review the dental implant robots, as well as accuracy and efficiency (e.g. operation and preparation time) of robot -assisted dental implant surgery procedures. 2024 Association for Dental Sciences of the Republic of China. Publishing services by Elsevier B.V. This is an open access article under the CC BY -NC -ND license (http://creativecommons. org/licenses/by-nc-nd/4.0/).</t>
  </si>
  <si>
    <t>[Bahrami, Rashin] Guilan Univ Med Sci, Dent Sci Res Ctr, Sch Dent, Dept Orthodont, Rasht, Iran; [Pourhajibagher, Maryam] Univ Tehran Med Sci, Dent Res Inst, Dent Res Ctr, 16 Azar St, Tehran 1455845874, Iran; [Nikparto, Nariman] Zanjan Univ Med Sci, Sch Dent, Dept Oral &amp; Maxillofacial Surg, Imam St, Zanjan 4513956112, Iran; [Bahador, Abbas] Univ Tehran Med Sci, Sch Med, Dept Microbiol, 16 Azar St, Tehran 1455845874, Iran</t>
  </si>
  <si>
    <t>Guilan University of Medical Sciences; Tehran University of Medical Sciences; Tehran University of Medical Sciences</t>
  </si>
  <si>
    <t>Pourhajibagher, M (corresponding author), Univ Tehran Med Sci, Dent Res Inst, Dent Res Ctr, 16 Azar St, Tehran 1455845874, Iran.;Nikparto, N (corresponding author), Zanjan Univ Med Sci, Sch Dent, Dept Oral &amp; Maxillofacial Surg, Imam St, Zanjan 4513956112, Iran.;Bahador, A (corresponding author), Univ Tehran Med Sci, Sch Med, Dept Microbiol, 16 Azar St, Tehran 1455845874, Iran.</t>
  </si>
  <si>
    <t>m-pourhajibagher@sina.tums.ac.ir; dr.nariman.nikparto@gmail.com; abahador@sina.tums.ac.ir</t>
  </si>
  <si>
    <t>Bahrami, Rashin/GMW-5170-2022</t>
  </si>
  <si>
    <t>bahrami, Rashin/0000-0001-8495-022X</t>
  </si>
  <si>
    <t>This research received no specific grant from any funding agency in the public, commercial, or not -for-profit sectors.</t>
  </si>
  <si>
    <t>ELSEVIER TAIWAN</t>
  </si>
  <si>
    <t>TAIPEI</t>
  </si>
  <si>
    <t>RM N-412, 4F, CHIA HSIN BUILDING 11, NO 96, ZHONG SHAN N ROAD SEC 2, TAIPEI, 10449, TAIWAN</t>
  </si>
  <si>
    <t>1991-7902</t>
  </si>
  <si>
    <t>2213-8862</t>
  </si>
  <si>
    <t>J DENT SCI</t>
  </si>
  <si>
    <t>J. Dental Sci.</t>
  </si>
  <si>
    <t>10.1016/j.jds.2024.03.011</t>
  </si>
  <si>
    <t>JUN 2024</t>
  </si>
  <si>
    <t>XE4X2</t>
  </si>
  <si>
    <t>WOS:001260005600001</t>
  </si>
  <si>
    <t>Park, S; Bak, A; Kim, S; Nam, Y; Kim, HS; Yoo, DH; Moon, M</t>
  </si>
  <si>
    <t>Park, Sangki; Bak, Ahream; Kim, Sujin; Nam, Yunkwon; Kim, Hyeon soo; Yoo, Doo-Han; Moon, Minho</t>
  </si>
  <si>
    <t>Animal-Assisted and Pet-Robot Interventions for Ameliorating Behavioral and Psychological Symptoms of Dementia: A Systematic Review and Meta-Analysis</t>
  </si>
  <si>
    <t>BIOMEDICINES</t>
  </si>
  <si>
    <t>dementia; behavioral and psychological symptoms of dementia; systematic review; meta-analysis; animal-assisted intervention; pet-robot intervention</t>
  </si>
  <si>
    <t>QUALITY-OF-LIFE; MILD COGNITIVE IMPAIRMENT; NURSING-HOME RESIDENTS; ALZHEIMER-DISEASE; VASCULAR DEMENTIA; OLDER-PEOPLE; DEPRESSION; THERAPY; CARE; AGITATION</t>
  </si>
  <si>
    <t>Patients with dementia suffer from psychological symptoms such as depression, agitation, and aggression. One purpose of dementia intervention is to manage patients' inappropriate behaviors and psychological symptoms while taking into consideration their quality of life (QOL). Animal-assisted intervention (AAI) and pet-robot intervention (PRI) are effective intervention strategies for older people with cognitive impairment and dementia. In addition, AAI and PRI have been shown to have positive effects on behavioral and psychological symptoms of dementia (BPSD). However, studies into the association between AAI/PRI and BPSD have elicited inconsistent results. Thus, we performed a meta-analysis to investigate this association. We analyzed nine randomized controlled trials on AAI and PRI for dementia patients published between January 2000 and August 2019 and evaluated the impact of AAI/PRI on agitation, depression, and QOL. We found that AAI and PRI significantly reduce depression in patients with dementia. Subsequent studies should investigate the impact of AAI and PRI on the physical ability and cognitive function of dementia patients and conduct a follow-up to investigate their effects on the rate of progression and reduction of symptoms of dementia. Our research will help with neuropsychological and environmental intervention to delay or improve the development and progression of BPSD.</t>
  </si>
  <si>
    <t>[Park, Sangki; Yoo, Doo-Han] Konyang Univ, Dept Occupat Therapy, 158 Gwanjeodong Ro, Daejeon 35365, South Korea; [Bak, Ahream] Jeonju Kijeon Coll, Dept Occupat Therapy, 267 Jeonjucheonseo Ro, Junju 54989, South Korea; [Kim, Sujin; Nam, Yunkwon; Kim, Hyeon soo; Moon, Minho] Konyang Univ, Coll Med, Dept Biochem, 158 Gwanjeodong Ro, Daejeon 35365, South Korea</t>
  </si>
  <si>
    <t>Konyang University; Konyang University</t>
  </si>
  <si>
    <t>Yoo, DH (corresponding author), Konyang Univ, Dept Occupat Therapy, 158 Gwanjeodong Ro, Daejeon 35365, South Korea.;Moon, M (corresponding author), Konyang Univ, Coll Med, Dept Biochem, 158 Gwanjeodong Ro, Daejeon 35365, South Korea.</t>
  </si>
  <si>
    <t>sangki0222@gmail.com; orang43@naver.com; aktnfl3371@naver.com; yunkwonnam@gmail.com; sooya1105@naver.com; glovia@konyang.ac.kr; hominmoon@konyang.ac.kr</t>
  </si>
  <si>
    <t>KIM, SUNG MIN/U-5269-2017; Aheam, Bak/JNS-7158-2023; Kim, Soo-Hyun/D-1577-2019</t>
  </si>
  <si>
    <t>Park, Sangki/0000-0001-8047-2419; Hyeon soo, Kim/0000-0003-1669-4927; Nam, Yunkwon/0000-0002-0101-7766</t>
  </si>
  <si>
    <t>Basic Science Research Program of the National Research Foundation of Korea (NRF) - Ministry of Science, ICT &amp; Future Planning [NRF-2018R1D1A3B07041059, NRF-2019R1G1A1004010]; Cooperative Research Program for Agriculture Science and Technology Development, Rural Development Administration, Republic of Korea [PJ01319901, PJ01428603]</t>
  </si>
  <si>
    <t>Basic Science Research Program of the National Research Foundation of Korea (NRF) - Ministry of Science, ICT &amp; Future Planning(National Research Foundation of KoreaMinistry of Science, ICT &amp; Future Planning, Republic of Korea); Cooperative Research Program for Agriculture Science and Technology Development, Rural Development Administration, Republic of Korea</t>
  </si>
  <si>
    <t>This work was supported by the Basic Science Research Program of the National Research Foundation of Korea (NRF), which is funded by the Ministry of Science, ICT &amp; Future Planning (NRF-2018R1D1A3B07041059 to M.M.; NRF-2019R1G1A1004010 to D.-H.Y.) and by the Cooperative Research Program for Agriculture Science and Technology Development (Project No. PJ01319901 and PJ01428603), Rural Development Administration, Republic of Korea.</t>
  </si>
  <si>
    <t>2227-9059</t>
  </si>
  <si>
    <t>Biomedicines</t>
  </si>
  <si>
    <t>10.3390/biomedicines8060150</t>
  </si>
  <si>
    <t>Biochemistry &amp; Molecular Biology; Medicine, Research &amp; Experimental; Pharmacology &amp; Pharmacy</t>
  </si>
  <si>
    <t>Biochemistry &amp; Molecular Biology; Research &amp; Experimental Medicine; Pharmacology &amp; Pharmacy</t>
  </si>
  <si>
    <t>MO0NC</t>
  </si>
  <si>
    <t>WOS:000551233000021</t>
  </si>
  <si>
    <t>Gacci, M; De Nunzio, C; Sakalis, V; Rieken, M; Cornu, JN; Gravas, S</t>
  </si>
  <si>
    <t>Gacci, Mauro; De Nunzio, Cosimo; Sakalis, Vasileios; Rieken, Malte; Cornu, Jean-Nicolas; Gravas, Stavros</t>
  </si>
  <si>
    <t>Latest Evidence on Post-Prostatectomy Urinary Incontinence</t>
  </si>
  <si>
    <t>prostate cancer; radical prostatectomy; robotic prostatectomy; urinary incontinence; post prostatectomy incontinence; PPI; voiding diary; pad test; antimuscarinics; beta-3 agonists; duloxetine trans-obturator slings; artificial urinary sphincter</t>
  </si>
  <si>
    <t>RADICAL RETROPUBIC PROSTATECTOMY; ASSISTED LAPAROSCOPIC PROSTATECTOMY; OVERACTIVE BLADDER SYMPTOMS; URETHRAL SPHINCTER FUNCTION; QUALITY-OF-LIFE; CONTINENCE RECOVERY; STRESS-INCONTINENCE; URODYNAMIC FINDINGS; RISK-FACTORS; PHARMACOLOGICAL-TREATMENT</t>
  </si>
  <si>
    <t>A radical prostatectomy is frequently used as the first-line treatment for men with prostate cancer. Persistent urinary incontinence after surgery is one of the most severe adverse events. We report the results of a comprehensive literature search focused on post-prostatectomy urinary incontinence (PPI), performed by a panel of experts on non-neurogenic lower urinary tract symptoms. The data on the prevalence and timing of PPI are very heterogeneous. The etiology of PPI can be multifactorial and mainly dependent on patient characteristics, lower urinary tract function or surgical issues. The medical history with a physical examination, the use of validated questionnaires with a voiding diary and pad tests are determinants in identifying the contributing factors and choosing the right treatment. Lifestyle intervention and urinary containment are the most frequently used strategies for the conservative management of PPI, while antimuscarinics, beta-3 agonists and duloxetine (off-label) are drugs indicated to manage PPI with a concomitant overactive bladder. Surgical therapies for the management of post-prostatectomy SUI include non-adjustable trans-obturator slings in men with mild-to-moderate incontinence and an artificial urinary sphincter in men with moderate-to-severe incontinence.</t>
  </si>
  <si>
    <t>[Gacci, Mauro] Careggi Univ Hosp, Dept Minimally Invas &amp; Robot Urol Surg &amp; Kidney Tr, Largo Brambilla 3, I-50134 Florence, Italy; [Gacci, Mauro] Univ Florence, Dept Expt &amp; Clin Biomed Sci, I-50134 Florence, Italy; [De Nunzio, Cosimo] Sapienza Univ, Osped SantAndrea, Dept Urol, I-00185 Rome, Italy; [Sakalis, Vasileios] Agios Pavlos Gen Hosp Thessaloniki, Thessaloniki 55134, Greece; [Rieken, Malte] Alta Uro AG, CH-4051 Basel, Switzerland; [Rieken, Malte] Univ Basel, Fac Med, CH-4056 Basel, Switzerland; [Cornu, Jean-Nicolas] CHU Rouen, Urol Dept, F-76000 Rouen, France; [Gravas, Stavros] Univ Cyprus, Med Sch, CY-2029 Nicosia, Cyprus</t>
  </si>
  <si>
    <t>University of Florence; Azienda Ospedaliero Universitaria Careggi; University of Florence; Sapienza University Rome; University of Basel; University of Geneva; Universite de Rouen Normandie; CHU de Rouen; University of Cyprus</t>
  </si>
  <si>
    <t>Gacci, M (corresponding author), Careggi Univ Hosp, Dept Minimally Invas &amp; Robot Urol Surg &amp; Kidney Tr, Largo Brambilla 3, I-50134 Florence, Italy.;Gacci, M (corresponding author), Univ Florence, Dept Expt &amp; Clin Biomed Sci, I-50134 Florence, Italy.</t>
  </si>
  <si>
    <t>maurogacci@yahoo.it</t>
  </si>
  <si>
    <t>De Nunzio, Cosimo/AAJ-1692-2021</t>
  </si>
  <si>
    <t>Sakalis, Vasileios/0000-0003-0132-224X</t>
  </si>
  <si>
    <t>10.3390/jcm12031190</t>
  </si>
  <si>
    <t>8U8RA</t>
  </si>
  <si>
    <t>WOS:000930210900001</t>
  </si>
  <si>
    <t>Patcharatrakul, T; Rao, SSC</t>
  </si>
  <si>
    <t>Patcharatrakul, Tanisa; Rao, Satish S. C.</t>
  </si>
  <si>
    <t>Update on the Pathophysiology and Management of Anorectal Disorders</t>
  </si>
  <si>
    <t>GUT AND LIVER</t>
  </si>
  <si>
    <t>Rectal diseases; Pelvic floor; Defecation; Constipation</t>
  </si>
  <si>
    <t>SOLITARY RECTAL ULCER; DESCENDING PERINEUM SYNDROME; PELVIC FLOOR DYSSYNERGIA; BIOFEEDBACK THERAPY; DEFECATORY DISORDERS; SURGICAL-MANAGEMENT; CONTROLLED-TRIAL; ORGAN PROLAPSE; DIAGNOSIS; MANOMETRY</t>
  </si>
  <si>
    <t>Anorectal disorders are common and present with overlapping symptoms. They include several disorders with both structural and functional dysfunction(s). Because symptoms alone are poor predictors of the underlying pathophysiology, a diagnosis should only be made after evaluating symptoms and physiologic and structural abnormalities. A detailed history, a thorough physical and digital rectal examination and a systematic evaluation with high resolution and/or high definition three-dimensional (3D) anorectal manometry, 3D anal ultrasonography, magnetic resonance defecography and neurophysiology tests are essential to correctly identify these conditions. These physiological and imaging tests play a key role in facilitating a precise diagnosis and in providing a better understanding of the pathophysiology and functional anatomy. In turn, this leads to better and more comprehensive management using medical, behavioral and surgical approaches. For example, patients presenting with difficult defecation may demonstrate dyssynergic defecation and will benefit from biofeedback therapy before considering surgical treatment of coexisting anomalies such as rectoceles or intussusception. Similarly, patients with significant rectal prolapse and pelvic floor dysfunction or patients with complex enteroceles and pelvic organ prolapse may benefit from combined behavioral and surgical approaches, including an open, laparoscopic, transabdominal or transanal, and/or robotic-assisted surgery. Here, we provide an update on the pathophysiology, diagnosis, and management of selected common anorectal disorders.</t>
  </si>
  <si>
    <t>[Patcharatrakul, Tanisa; Rao, Satish S. C.] Augusta Univ, Dept Internal Med, Div Gastroenterol &amp; Hepatol, Augusta, GA USA; [Patcharatrakul, Tanisa] King Chulalongkorn Mem Hosp, Thai Red Cross Soc, Dept Med, Div Gastroenterol, Bangkok, Thailand</t>
  </si>
  <si>
    <t>University System of Georgia; Augusta University; Thai Red Cross Society; Chulalongkorn University</t>
  </si>
  <si>
    <t>Rao, SSC (corresponding author), Augusta Univ, Div Gastroenterol &amp; Hepatol, Dept Internal Med, Digest Hlth Ctr, AD 2238,1481 Laney Walker Blvd, Augusta, GA 30912 USA.</t>
  </si>
  <si>
    <t>srao@augusta.edu</t>
  </si>
  <si>
    <t>EDITORIAL OFFICE GUT &amp; LIVER</t>
  </si>
  <si>
    <t>305 LOTTE GOLD ROSE II, 890-59, DAECHI 4-DONG, GANGNAM-GU, SEOUL, 135-839, SOUTH KOREA</t>
  </si>
  <si>
    <t>1976-2283</t>
  </si>
  <si>
    <t>2005-1212</t>
  </si>
  <si>
    <t>GUT LIVER</t>
  </si>
  <si>
    <t>Gut Liver</t>
  </si>
  <si>
    <t>10.5009/gnl17172</t>
  </si>
  <si>
    <t>Gastroenterology &amp; Hepatology</t>
  </si>
  <si>
    <t>GK8YN</t>
  </si>
  <si>
    <t>WOS:000436520300004</t>
  </si>
  <si>
    <t>Wu, DJ; Pu, LH; Jo, J; Moyle, W</t>
  </si>
  <si>
    <t>Wu, Dongjun; Pu, Lihui; Jo, Jun; Moyle, Wendy</t>
  </si>
  <si>
    <t>Technologies and Applications of Robots in Dementia Care: A Systematic Review</t>
  </si>
  <si>
    <t>JOURNAL OF INTELLIGENT &amp; ROBOTIC SYSTEMS</t>
  </si>
  <si>
    <t>Dementia; Alzheimer's disease; Healthcare; Technology; Robot; Application</t>
  </si>
  <si>
    <t>OLDER-ADULTS; COMPANION ROBOT; COGNITIVE IMPAIRMENT; MOTOR-ACTIVITY; SOCIAL ROBOT; PEOPLE; SYMPTOMS; THERAPY; PARO; INDIVIDUALS</t>
  </si>
  <si>
    <t>Socially assistive robotics (SARs) can provide social interventions for people living with dementia. Although several SARs have been introduced, the absence of their evaluation and discussion has restricted the development and use of robots in dementia care. This paper systematically reviews robot technologies, explores their applications, and provides systematic information for technology development, selection, and implementation for robots in dementia care. Following the PRISMA (Preferred Reporting Items for Systematic Reviews and Meta-Analyses) guidelines, articles from January 1990 to May 2023 were retrieved from seven databases and 38 eligible articles were identified. Nineteen SARs were identified and reviewed, encompassing physical features, sensing capabilities, perception, user modeling, and interaction technologies. The robot personality framework, which classified SARs as animal-like, human-like, and artificial-being, was employed to compare technologies, applications, and clinical outcomes. In addition, the experimental methodologies and study quality of existing studies were compared and discussed. This study found that technologies shape the robot's personality and contribute to its applications. Future studies could be based on their application purpose, which could guide the selection, development, and implementation of robot technologies, thereby promoting SAR applications in dementia care. In addition, studies with large sample sizes, rigorous study designs, and detailed intervention descriptions are recommended, which could enhance study quality and promote robot technologies and applications in dementia care.</t>
  </si>
  <si>
    <t>[Wu, Dongjun; Pu, Lihui; Moyle, Wendy] Griffith Univ, Sch Nursing &amp; Midwifery, 170 Kessels Rd, Nathan, Qld 4111, Australia; [Pu, Lihui] Erasmus Univ, Dept Internal Med, Sect Nursing Sci, Med Ctr,Erasmus MC, Rotterdam, Netherlands; [Jo, Jun] Griffith Univ, Sch Informat &amp; Commun Technol, Brisbane, Qld, Australia</t>
  </si>
  <si>
    <t>Griffith University; Erasmus University Rotterdam; Erasmus MC; Griffith University</t>
  </si>
  <si>
    <t>Wu, DJ (corresponding author), Griffith Univ, Sch Nursing &amp; Midwifery, 170 Kessels Rd, Nathan, Qld 4111, Australia.</t>
  </si>
  <si>
    <t>dongjun.wu@griffithuni.edu.au</t>
  </si>
  <si>
    <t>Moyle, Wendy/A-9148-2008; Pu, Lihui/ABB-3562-2021</t>
  </si>
  <si>
    <t>Wu, Dongjun/0000-0002-5628-4589</t>
  </si>
  <si>
    <t>CAUL</t>
  </si>
  <si>
    <t>Open Access funding enabled and organized by CAUL and its Member Institutions.</t>
  </si>
  <si>
    <t>0921-0296</t>
  </si>
  <si>
    <t>1573-0409</t>
  </si>
  <si>
    <t>J INTELL ROBOT SYST</t>
  </si>
  <si>
    <t>J. Intell. Robot. Syst.</t>
  </si>
  <si>
    <t>FEB 26</t>
  </si>
  <si>
    <t>10.1007/s10846-025-02232-5</t>
  </si>
  <si>
    <t>Computer Science, Artificial Intelligence; Robotics</t>
  </si>
  <si>
    <t>Computer Science; Robotics</t>
  </si>
  <si>
    <t>0BU8Y</t>
  </si>
  <si>
    <t>WOS:001443636600002</t>
  </si>
  <si>
    <t>Coombes, CE; Gregory, ME</t>
  </si>
  <si>
    <t>Coombes, Caitlin E.; Gregory, Megan E.</t>
  </si>
  <si>
    <t>The Current and Future Use of Telemedicine in Infectious Diseases Practice</t>
  </si>
  <si>
    <t>CURRENT INFECTIOUS DISEASE REPORTS</t>
  </si>
  <si>
    <t>Telemedicine; Telehealth; Health information technology; Telediagnostics</t>
  </si>
  <si>
    <t>DIRECTLY OBSERVED THERAPY; ACUTE RESPIRATORY-INFECTIONS; HIV PREEXPOSURE PROPHYLAXIS; CHRONIC HEPATITIS-C; ANTIMICROBIAL STEWARDSHIP; CYTOMEGALOVIRUS RETINITIS; CARE; HEALTH; TELEHEALTH; PREVENTION</t>
  </si>
  <si>
    <t>Purpose of Review Novel technologies, such as high-definition cameras, encryption software, electronic stethoscopes, microfluidic diagnostic systems, and widely available broadband Internet have expanded the potential for telemedicine. This narrative review presents current and future uses of telemedicine in the prevention, diagnosis, treatment, stewardship, and management of infectious disease. Recent Findings Beginning in the 1990s, early approaches to telemedicine in infectious disease focused largely on treatment of HIV/AIDS, hepatitis C, and tuberculosis. However, recent innovations allow for targeting of additional diseases and in increasingly remote settings. Telemedicine allows virtual visits between patients in the home and remote providers, permitting outpatient management of complex conditions, such as post-surgical site monitoring, and non-urgent infectious maladies, such as uncomplicated urinary tract infection. Remote provider education by videoconference and integrated clinical decision support tools create avenues to improve inpatient care, including antimicrobial stewardship. Technological strides from miniaturization of diagnostic tests to robotic telepresence physical exams improve access to infectious disease care in isolated and infrastructure-poor environments, from cargo ships to other resource-limited settings. Telemedicine in the field of infectious disease is rapidly expanding in clinical, technological, geographical, and human capacity. Recent innovations narrow gaps in access to care for populations traditionally underserved, stigmatized, isolated by remote geography, or lacking technological infrastructure. Current and future approaches will transform inpatient, outpatient, and remote care.</t>
  </si>
  <si>
    <t>[Coombes, Caitlin E.] Ohio State Univ, Coll Med, Columbus, OH 43210 USA; [Coombes, Caitlin E.; Gregory, Megan E.] Ohio State Univ, Dept Biomed Informat, Coll Med, Columbus, OH 43210 USA; [Gregory, Megan E.] Ohio State Univ, Ctr Adv Team Sci Analyt &amp; Syst Thinking Hlth Serv, Coll Med, Columbus, OH 43210 USA</t>
  </si>
  <si>
    <t>University System of Ohio; Ohio State University; University System of Ohio; Ohio State University; University System of Ohio; Ohio State University</t>
  </si>
  <si>
    <t>Gregory, ME (corresponding author), Ohio State Univ, Dept Biomed Informat, Coll Med, Columbus, OH 43210 USA.;Gregory, ME (corresponding author), Ohio State Univ, Ctr Adv Team Sci Analyt &amp; Syst Thinking Hlth Serv, Coll Med, Columbus, OH 43210 USA.</t>
  </si>
  <si>
    <t>Caitlin.Coombes@osumc.edu; megan.gregory@osumc.edu</t>
  </si>
  <si>
    <t>Gregory, Megan/U-8966-2019</t>
  </si>
  <si>
    <t>Gregory, Megan E/0000-0002-6888-6886</t>
  </si>
  <si>
    <t>1523-3847</t>
  </si>
  <si>
    <t>1534-3146</t>
  </si>
  <si>
    <t>CURR INFECT DIS REP</t>
  </si>
  <si>
    <t>Curr. Infect. Dis. Rep.</t>
  </si>
  <si>
    <t>10.1007/s11908-019-0697-2</t>
  </si>
  <si>
    <t>Infectious Diseases</t>
  </si>
  <si>
    <t>JF7FG</t>
  </si>
  <si>
    <t>WOS:000491551100001</t>
  </si>
  <si>
    <t>Lynn, JD; Rondon-Sulbaran, J; Quinn, E; Ryan, A; McCormack, B; Martin, S</t>
  </si>
  <si>
    <t>Lynn, Jean Daly; Rondon-Sulbaran, Janeet; Quinn, Eamon; Ryan, Assumpta; McCormack, Brendan; Martin, Suzanne</t>
  </si>
  <si>
    <t>A systematic review of electronic assistive technology within supporting living environments for people with dementia</t>
  </si>
  <si>
    <t>DEMENTIA-INTERNATIONAL JOURNAL OF SOCIAL RESEARCH AND PRACTICE</t>
  </si>
  <si>
    <t>dementia; telecare; assistive technology; systematic review; long-term care</t>
  </si>
  <si>
    <t>SIMULATED PRESENCE THERAPY; INTRAMURAL PSYCHOGERIATRIC CARE; NURSING-HOME RESIDENTS; INTELLECTUAL DISABILITIES; SURVEILLANCE TECHNOLOGY; ELDERLY-PEOPLE; PHYSICAL RESTRAINTS; ROBOT INTERVENTIONS; NEEDS; ALZHEIMERS</t>
  </si>
  <si>
    <t>Health and social care provision needs to change in order to meet the needs of an increase in the number of people living with dementia. Environmental design, technology and assistive devices have the potential to complement care, help address some of the challenges presented by this growing need and impact on the lived experience of this vulnerable population. This systematic review was undertaken to identify the research on the use of electronic assistive technology within long-term residential care settings. A total of 3229 papers published from the inception of each of the databases up until May 2016 were retrieved from searches in four major databases. Sixty-one were identified to be included in the review. The inclusion criteria were: original peer reviewed journals; an electronic assistive technology intervention; with residents or tenants living with dementia or their family or paid caregivers; in supported living environments or residential care. The data extracted from the included studies focused on the methodology, technology, outcomes and the role of people living with dementia within the research. Overall, an extensive variety of technical interventions were found, with a broad range of methodological heterogeneity to explore their effect. Additionally, wide-spanning outcomes to support the potential of technology solutions and the challenges presented by such intervention were found.</t>
  </si>
  <si>
    <t>[Lynn, Jean Daly; Quinn, Eamon] Engage Age, 55 Templemore Ave, Belfast, Antrim, North Ireland; [Rondon-Sulbaran, Janeet] Ulster Univ, Coleraine, Londonderry, North Ireland; [Ryan, Assumpta] Ulster Univ, Ageing &amp; Hlth, Coleraine, Londonderry, North Ireland; [McCormack, Brendan] Queen Margaret Univ, Div Nursing, Edinburgh, Midlothian, Scotland; [McCormack, Brendan] Queen Margaret Univ, Grad Sch, Edinburgh, Midlothian, Scotland; [McCormack, Brendan] Queen Margaret Univ, Ctr Person Centred Practice Res, Edinburgh, Midlothian, Scotland; [Martin, Suzanne] Ulster Univ, Occupat Therapy, Coleraine, Londonderry, North Ireland; [Martin, Suzanne] Ulster Univ, Sch Hlth Sci, Coleraine, Londonderry, North Ireland</t>
  </si>
  <si>
    <t>Ulster University; Ulster University; Queen Margaret University; Queen Margaret University; Queen Margaret University; Ulster University; Ulster University</t>
  </si>
  <si>
    <t>Lynn, JD (corresponding author), Engage Age, 55 Templemore Ave, Belfast, Antrim, North Ireland.</t>
  </si>
  <si>
    <t>jeandaly55@yahoo.co.uk</t>
  </si>
  <si>
    <t>Lynn, Jean/ABA-6244-2021</t>
  </si>
  <si>
    <t>Rondon-Sulbaran, Janeet/0000-0003-1579-9305; Martin, Suzanne/0000-0003-2725-5495; Daly Lynn, Jean/0000-0001-9084-4677; McCormack, Brendan George/0000-0001-8525-8905</t>
  </si>
  <si>
    <t>1471-3012</t>
  </si>
  <si>
    <t>1741-2684</t>
  </si>
  <si>
    <t>DEMENTIA-LONDON</t>
  </si>
  <si>
    <t>Dement.-Int. J. soc. Res. Pract.</t>
  </si>
  <si>
    <t>OCT-NOV</t>
  </si>
  <si>
    <t>7-8</t>
  </si>
  <si>
    <t>10.1177/1471301217733649</t>
  </si>
  <si>
    <t>Gerontology</t>
  </si>
  <si>
    <t>IX8QU</t>
  </si>
  <si>
    <t>WOS:000485953300001</t>
  </si>
  <si>
    <t>Ghafrian, M; Chandra, S; Hutchinson, R; Lim, A; Baliyan, I; Rhim, J; Gupta, G; Aroyo, AM; Rasouli, S; Dautenhahn, K</t>
  </si>
  <si>
    <t>Ghafrian, Moojan; Chandra, Shruti; Hutchinson, Rebecca; Lim, Angelica; Baliyan, Ishan; Rhim, Jimin; Gupta, Garima; Aroyo, Alexander m.; Rasouli, Samira; Dautenhahn, Kerstin</t>
  </si>
  <si>
    <t>Systematic Review of Social Robots for Health and Wellbeing: A Personal Healthcare Journey Lens</t>
  </si>
  <si>
    <t>ACM TRANSACTIONS ON HUMAN-ROBOT INTERACTION</t>
  </si>
  <si>
    <t>Social robots; health; well-being; healthcare journey; user studies; systematic review; socially assistive robots</t>
  </si>
  <si>
    <t>LONG-TERM-CARE; MEDICAL ROBOTICS; ASSISTIVE ROBOTS; OLDER-ADULTS; CHALLENGES; RECOMMENDATIONS; ACCEPTABILITY; INTERVENTIONS; OPPORTUNITIES; THERAPY</t>
  </si>
  <si>
    <t>Social robots have great potential in supporting individuals' physical and mental health/wellbeing. While they have been increasingly evaluated in some domains, such as with children with autism, their evaluation has not been as extensive in other areas. We present a systematic review of domains in which social robots have been evaluated specifically in health/wellbeing contexts. We ask which robots have been evaluated, who the participants were, and how participants interacted with the robots. PRISMA guidelines for systematic reviews were followed. Articles with children as participants, using a purely robotic device, and in languages other than English were excluded. A total of 9,362 peer-reviewed articles (up to February 2021) from ACM DL, IEEE Xplore, Scopus, PubMed, and PsychInfo were identified. After applying the inclusion/exclusion criteria 443 articles were included in the review. The majority of studies were conducted at care centers while studies in hospitals/clinics have seen relatively limited attention. In many cases, the social robots were not programmed for specific health-related tasks, limiting their application. We also discuss robots used in real-world settings and propose a Personal healthcare journey, which includes different stages of one's life which could benefit from a social robot, with the goal of increasing long-term adoption of social robots for supporting health/wellbeing.</t>
  </si>
  <si>
    <t>[Ghafrian, Moojan] Univ Waterloo, Dept Syst Design Engn, Waterloo, ON, Canada; [Ghafrian, Moojan; Chandra, Shruti; Aroyo, Alexander m.; Rasouli, Samira; Dautenhahn, Kerstin] Univ Waterloo, Dept Elect &amp; Comp Engn, Waterloo, ON, Canada; [Hutchinson, Rebecca] Univ Waterloo, Davis Ctr Lib, Waterloo, ON, Canada; [Lim, Angelica] Simon Fraser Univ, Sch Comp Sci, Burnaby, BC, Canada; [Baliyan, Ishan] Univ Waterloo, Cheriton Sch Comp Sci, Waterloo, ON, Canada; [Rhim, Jimin] Univ Ottawa, Sch Engn Design &amp; Teaching Innovat, Ottawa, ON, Canada; [Gupta, Garima] Univ Waterloo, Dept Psychol, Waterloo, ON, Canada</t>
  </si>
  <si>
    <t>University of Waterloo; University of Waterloo; University of Waterloo; Simon Fraser University; University of Waterloo; University of Ottawa; University of Waterloo</t>
  </si>
  <si>
    <t>Ghafrian, M (corresponding author), Univ Waterloo, Dept Syst Design Engn, Waterloo, ON, Canada.;Ghafrian, M (corresponding author), Univ Waterloo, Dept Elect &amp; Comp Engn, Waterloo, ON, Canada.</t>
  </si>
  <si>
    <t>moojan@uwaterloo.ca; shruti.chandra@uwaterloo.ca; r3hutchi@uwaterloo.ca; angelica@sfu.ca; ishan.baliyan@uwaterloo.ca; g24gupta@uwaterloo.ca; alexander.aroyo@uwaterloo.ca; alexander.aroyo@uwaterloo.ca; samira.rasouli@uwaterloo.ca; kerstin.dautenhahn@uwaterloo.ca</t>
  </si>
  <si>
    <t>Rasouli, Samira/0000-0001-8850-3195; Aroyo, Alexander Mois/0000-0003-2445-4026</t>
  </si>
  <si>
    <t>Canada 150 Research Chairs Program</t>
  </si>
  <si>
    <t>This research was undertaken, in part, thanks to funding from the Canada 150 Research Chairs Program.</t>
  </si>
  <si>
    <t>ASSOC COMPUTING MACHINERY</t>
  </si>
  <si>
    <t>1601 Broadway, 10th Floor, NEW YORK, NY USA</t>
  </si>
  <si>
    <t>2573-9522</t>
  </si>
  <si>
    <t>ACM T HUM-ROBOT INTE</t>
  </si>
  <si>
    <t>ACM Trans. Hum.-Robot Interact.</t>
  </si>
  <si>
    <t>10.1145/3700446</t>
  </si>
  <si>
    <t>W0V2D</t>
  </si>
  <si>
    <t>WOS:001415849400003</t>
  </si>
  <si>
    <t>Dickstein-Fischer, LA; Crone-Todd, DE; Chapman, IM; Fathima, AT; Fischer, GS</t>
  </si>
  <si>
    <t>Dickstein-Fischer, Laurie A.; Crone-Todd, Darlene E.; Chapman, Ian M.; Fathima, Ayesha T.; Fischer, Gregory S.</t>
  </si>
  <si>
    <t>Socially assistive robots: current status and future prospects for autism interventions</t>
  </si>
  <si>
    <t>INNOVATION AND ENTREPRENEURSHIP IN HEALTH</t>
  </si>
  <si>
    <t>SARs; applied behavior analysis; autism therapy; therapeutic robots; human robot interaction; PABI; psychology; technology; computer aided instruction; ASD</t>
  </si>
  <si>
    <t>INTENSIVE BEHAVIORAL INTERVENTION; SPECTRUM DISORDERS; CURRENT DIMENSIONS; SEX-DIFFERENCES; CHILDREN; BURNOUT; INDIVIDUALS; TECHNOLOGY; EFFICACY</t>
  </si>
  <si>
    <t>Social robots interact with people through social interactions, physical assistance, and therapy delivery. Socially assistive robots (SARs) are specifically intended to assist in a therapeutic way to help build social behavior skills. One area where SARs have gained significant attention is in the treatment and diagnosis of autism spectrum disorder. With the increase in rates of individuals diagnosed with autism spectrum disorder, there is an increasing need for equitable and accessible applied behavior analysis (ABA) therapy services. Current barriers for sufficient access to therapy include high administrative burden, burnout rates on the part of ABA therapists, and affordability of services. One way to reduce administrative burden is to automate procedures using computer-based interventions, including SARs. SARs have the potential to increase client engagement, while at the same time making it possible for therapists to provide a more interactive session for their client. We argue that there is benefit to clients, therapists, scientists, and to the general public if behavior analysts can work with robotic design engineers for further research and development on SARs. Such collaboration is necessary for ensuring that robust SAR designs are embedded in conceptually systematic approaches to ABA, while at the same time integrating relevant engineering design considerations. This technological integration is important for the field of ABA to move forward as robotics become more commonplace, and to effectively address the cost, quality, and access considerations involved.</t>
  </si>
  <si>
    <t>[Dickstein-Fischer, Laurie A.; Chapman, Ian M.] Salem State Univ, Sch Educ, Secondary &amp; Higher Educ Dept, Salem, MA USA; [Crone-Todd, Darlene E.] Salem State Univ, Psychol Dept, Coll Arts &amp; Sci, Salem, MA USA; [Fathima, Ayesha T.; Fischer, Gregory S.] Worcester Polytech Inst, Robot Engn Program, Worcester, MA 01609 USA</t>
  </si>
  <si>
    <t>Massachusetts System of Public Higher Education; Salem State University; Massachusetts System of Public Higher Education; Salem State University; Worcester Polytechnic Institute</t>
  </si>
  <si>
    <t>Dickstein-Fischer, LA (corresponding author), Salem State Univ, Sch Educ, 352 Lafayette St SB 300 A, Salem, MA 01970 USA.</t>
  </si>
  <si>
    <t>ldicksteinfisc@salemstate.edu</t>
  </si>
  <si>
    <t>McClung, Michael/ABA-4100-2021</t>
  </si>
  <si>
    <t>Crone-Todd, Darlene/0000-0003-1486-7839; Fischer, Gregory/0000-0001-6723-6614</t>
  </si>
  <si>
    <t>Salem State University; Worcester Polytechnic Institute</t>
  </si>
  <si>
    <t>This work is supported by internal funding from Salem State University and Worcester Polytechnic Institute.</t>
  </si>
  <si>
    <t>2324-5905</t>
  </si>
  <si>
    <t>INNOV ENTREP HEALTH</t>
  </si>
  <si>
    <t>Innov. Entrep. Health</t>
  </si>
  <si>
    <t>10.2147/IEH.S138753</t>
  </si>
  <si>
    <t>HY4HZ</t>
  </si>
  <si>
    <t>WOS:000468090100001</t>
  </si>
  <si>
    <t>van Weert, S; Rijken, JA; Plantone, F; Bloemena, E; Vergeer, MR; Lissenberg-Witte, BI; Leemans, CR</t>
  </si>
  <si>
    <t>van Weert, Stijn; Rijken, Johannes A.; Plantone, Francesca; Bloemena, Elisabeth; Vergeer, Marije R.; Lissenberg-Witte, Birgit, I; Leemans, C. Rene</t>
  </si>
  <si>
    <t>A systematic review on Transoral robotic surgery (TORS) for carcinoma of unknown primary origin: Has tongue base mucosectomy become indispensable?</t>
  </si>
  <si>
    <t>CLINICAL OTOLARYNGOLOGY</t>
  </si>
  <si>
    <t>cancer; head and neck surgery; neck lump</t>
  </si>
  <si>
    <t>SQUAMOUS-CELL CARCINOMA; PRIMARY HEAD; PRIMARY TUMORS; NECK-CANCER; METASTATIC CARCINOMA; DIAGNOSTIC-VALUE; PRIMARY SITE; WORK-UP; MANAGEMENT; IDENTIFICATION</t>
  </si>
  <si>
    <t>Background Transoral robotic surgery (TORS) is increasingly used in head and neck surgery and in carcinoma of unknown primary (CUP) origin specifically. Due to the rising incidence of human papillomavirus (HPV)-related oropharyngeal squamous cell carcinoma (OPSCC), there is a rationale for finding ways to de-escalate treatment strategies. This review aims to test the hypothesis that TORS is a meaningful adjunct in the diagnostic (and therapeutic) pathway in CUP in head and neck. Methods A structured search of the literature was performed with the search terms 'TORS' and 'Carcinoma of Unknown Primary'. Results Two hundred and seventy four cases of CUP in which TORS was used were identified for further analysis. Workup for CUP was comparable in all series with regard to physical examination, fine and/or gross needle examination of cervical nodes, fibre optic endoscopy, imaging and robot assisted mucosectomy of the base of tongue (BOT). Identification rate of the primary tumour was 72% on average (range 17%- 90%), and 55%- 96% were HPV positive. Clear margins were achieved in 60% (range 0%-85%) of resected occult tumours. Complication rate of TORS BOT mucosectomy was low with mainly grade I-III sequelae according to Clavien-Dindo. Conclusions Transoral robotic surgery seems to be a useful and safe adjunct in the diagnostic and therapeutic pathway in case of CUP in an era of increasing incidence of HPV-positive OPSCC.</t>
  </si>
  <si>
    <t>[van Weert, Stijn; Rijken, Johannes A.; Leemans, C. Rene] Vrije Univ Amsterdam, Amsterdam UMC, Dept Otolaryngol Head &amp; Neck Surg, De Boelelaan 1117, NL-1081 HV Amsterdam, Netherlands; [Plantone, Francesca] Univ Bari, Dept Otorhinolaryngol, Bari, Italy; [Bloemena, Elisabeth] Vrije Univ Amsterdam, Dept Pathol, Amsterdam, Netherlands; [Bloemena, Elisabeth] Vrije Univ Amsterdam, Dept Oral &amp; Maxillofacial Surg Pathol, Amsterdam UMC, Amsterdam, Netherlands; [Bloemena, Elisabeth] Vrije Univ Amsterdam, Acad Ctr Dent Amsterdam ACTA, Canc Ctr Amsterdam, Amsterdam, Netherlands; [Vergeer, Marije R.] Vrije Univ Amsterdam, Amsterdam UMC, Dept Radiat Oncol, Amsterdam, Netherlands; [Lissenberg-Witte, Birgit, I] Vrije Univ Amsterdam, Amsterdam UMC, Dept Epidemiol &amp; Biostat, Amsterdam, Netherlands</t>
  </si>
  <si>
    <t>Vrije Universiteit Amsterdam; Universita degli Studi di Bari Aldo Moro; Vrije Universiteit Amsterdam; Vrije Universiteit Amsterdam; University of Amsterdam; Vrije Universiteit Amsterdam; Academic Center for Dentistry Amsterdam; University of Amsterdam; Vrije Universiteit Amsterdam; University of Amsterdam; University of Amsterdam; Vrije Universiteit Amsterdam</t>
  </si>
  <si>
    <t>van Weert, S (corresponding author), Vrije Univ Amsterdam, Amsterdam UMC, Dept Otolaryngol Head &amp; Neck Surg, De Boelelaan 1117, NL-1081 HV Amsterdam, Netherlands.</t>
  </si>
  <si>
    <t>s.vanweert@vumc.nl</t>
  </si>
  <si>
    <t>Bloemena, Elisabeth/AAZ-1247-2021; Bloemena, Elisabeth/V-1095-2018</t>
  </si>
  <si>
    <t>Bloemena, Elisabeth/0000-0002-0221-9538; van weert, stijn/0000-0002-7759-7461; Lissenberg-Witte, Birgit/0000-0001-9448-1826; Leemans, C. Rene/0000-0001-7887-083X</t>
  </si>
  <si>
    <t>1749-4478</t>
  </si>
  <si>
    <t>1749-4486</t>
  </si>
  <si>
    <t>CLIN OTOLARYNGOL</t>
  </si>
  <si>
    <t>Clin. Otolaryngol.</t>
  </si>
  <si>
    <t>10.1111/coa.13565</t>
  </si>
  <si>
    <t>MAY 2020</t>
  </si>
  <si>
    <t>Otorhinolaryngology</t>
  </si>
  <si>
    <t>NB8DA</t>
  </si>
  <si>
    <t>WOS:000535132000001</t>
  </si>
  <si>
    <t>Yen, HY; Huang, CW; Chiu, HL; Jin, G</t>
  </si>
  <si>
    <t>Yen, Hsin-Yen; Huang, Chih Wei; Chiu, Huei-Ling; Jin, Grace</t>
  </si>
  <si>
    <t>The Effect of Social Robots on Depression and Loneliness for Older Residents in Long-Term Care Facilities: A Meta-Analysis of Randomized Controlled Trials</t>
  </si>
  <si>
    <t>JOURNAL OF THE AMERICAN MEDICAL DIRECTORS ASSOCIATION</t>
  </si>
  <si>
    <t>Mental health; nursing; older adult; robot therapy; social interaction</t>
  </si>
  <si>
    <t>DEMENTIA SYMPTOMS; COMPANION ROBOT</t>
  </si>
  <si>
    <t>Objectives: Depression and loneliness are challenges facing older residents living in long-term care facilities. Social robots might be a solution as nonpharmacologic interventions. The purpose of this study was to explore the effects of concrete forms of social robots on depression and loneliness in older residents in long-term care facilities by a systematic review and meta -analysis of randomized controlled trials. Design: This is a systematic review and meta -analysis. Setting and Participants: Older residents in long-term care facilities. Methods: Six electronic databases of PubMed, Embase, Scopus, Web of Science, MEDLINE, and CINAHL plus were searched in August 2023. Random effect models of meta -analyses, subgroup analyses, and meta -regressions were performed for statistical analyses. Results: After evaluation, 8 studies were selected for both qualitative and quantitative synthesis. Social robot interventions had signi ficant positive effects on decreasing depression and loneliness with large effect sizes. Group -based robot activities had a better effect on improving depression than individual -based robot activities. Longer durations of interventions produced signi ficantly more improvement in depression. Conclusion and Implication: Social robots with physical manifestation provide the opportunity for older adults ' social engagement and interactions with robots and others. Social robot interventions are recommended for older residents in long-term care facilities to promote psychosocial well-being in daily care routines. (c) 2024 AMDA - The Society for Post -Acute and Long -Term Care Medicine.</t>
  </si>
  <si>
    <t>[Yen, Hsin-Yen; Chiu, Huei-Ling] Taipei Med Univ, Coll Nursing, Sch Gerontol &amp; Long Term Care, 250 Wuxing St, Taipei 11031, Taiwan; [Yen, Hsin-Yen; Chiu, Huei-Ling] Taipei Med Univ, Coll Nursing, Int PhD Program Gerontol &amp; Long Term Care, Taipei, Taiwan; [Huang, Chih Wei] Taipei Med Univ, Coll Med Sci &amp; Technol, Int Ctr Hlth Informat Technol, Taipei, Taiwan; [Jin, Grace] Stanford Univ, Sch Med, Stanford, CA USA</t>
  </si>
  <si>
    <t>Taipei Medical University; Taipei Medical University; Taipei Medical University; Stanford University</t>
  </si>
  <si>
    <t>Chiu, HL (corresponding author), Taipei Med Univ, Coll Nursing, Sch Gerontol &amp; Long Term Care, 250 Wuxing St, Taipei 11031, Taiwan.</t>
  </si>
  <si>
    <t>reiko@tmu.edu.tw</t>
  </si>
  <si>
    <t>Huang, Chih-Wei/A-7089-2012; Chiu, Huei-Ling/AAC-8161-2020</t>
  </si>
  <si>
    <t>1525-8610</t>
  </si>
  <si>
    <t>1538-9375</t>
  </si>
  <si>
    <t>J AM MED DIR ASSOC</t>
  </si>
  <si>
    <t>J. Am. Med. Dir. Assoc.</t>
  </si>
  <si>
    <t>10.1016/j.jamda.2024.02.017</t>
  </si>
  <si>
    <t>MAY 2024</t>
  </si>
  <si>
    <t>UF3P0</t>
  </si>
  <si>
    <t>WOS:001246608800001</t>
  </si>
  <si>
    <t>Ou, CH; Shiue, CC; Kuan, YC; Liou, TH; Chen, HC; Kuo, TJ</t>
  </si>
  <si>
    <t>Ou, Chih-Hung; Shiue, Chian-Chuan; Kuan, Yi-Chun; Liou, Tsan-Hon; Chen, Hung-Chou; Kuo, Ting-Ju</t>
  </si>
  <si>
    <t>Neuromuscular Electrical Stimulation of Upper Limbs in Patients With Cerebral Palsy A Systematic Review and Meta-analysis of Randomized Controlled Trials</t>
  </si>
  <si>
    <t>Cerebral Palsy; Neuromuscular Electrical Stimulation; Upper limbs; Meta-analysis</t>
  </si>
  <si>
    <t>UPPER-EXTREMITY SPASTICITY; HAND FUNCTION; NERVE-STIMULATION; CHILDREN; WRIST; INTERVENTIONS; EPIDEMIOLOGY; DEFINITION; IMPROVES; THERAPY</t>
  </si>
  <si>
    <t>ObjectiveThe aim of the study is to assess the effects of neuromuscular electrical stimulation on the upper limbs of patients with cerebral palsy.DesignWe searched PubMed, Cochrane, Embase, and Scopus databases for randomized controlled trials examining the effects of neuromuscular electrical stimulation on the upper limbs of children with cerebral palsy.ResultsEight randomized controlled trials (N = 294) were included in the meta-analysis. Compared with traditional physical therapy, sensorimotor training and task-oriented training, constraint-induced movement therapy, dynamic bracing, and conventional robot-assisted therapy, neuromuscular electrical stimulation in combination with these therapies resulted in significantly greater functional scale scores (standardized mean difference = 0.80; 95% confidence interval = 0.54 to 1.06), muscle strength of upper limbs (standardized mean difference = 0.57; 95% confidence interval = 0.25 to 0.88), and spasticity of upper limbs (relative risk = 2.53; 95% confidence interval = 1.46 to 4.39; standardized mean difference = -0.18; 95% confidence interval = -0.29 to -0.06) but did not improve the wrist range of motion (standardized mean difference = 0.43; 95% confidence interval = -0.04 to 0.91). In addition, the effect of neuromuscular electrical stimulation on functional scale scores remained after 3-mo follow-up (standardized mean difference = 0.68; 95% confidence interval = 0.16 to 1.2).ConclusionsNeuromuscular electrical stimulation effectively improved hand function, muscle strength, and spasticity in patients with cerebral palsy.</t>
  </si>
  <si>
    <t>[Ou, Chih-Hung] En Chu Kong Hosp, Dept Rehabil, Div Phys Therapy, New Taipei, Taiwan; [Shiue, Chian-Chuan] En Chu Kong Hosp, Dept Rehabil, New Taipei, Taiwan; [Kuan, Yi-Chun] Taipei Med Univ, Shuang Ho Hosp, Dept Neurol, New Taipei, Taiwan; [Kuan, Yi-Chun] Taipei Med Univ, Coll Med, Sch Med, Dept Neurol, Taipei, Taiwan; [Kuan, Yi-Chun; Chen, Hung-Chou] Taipei Med Univ, Shuang Ho Hosp, Ctr Evidence Based Hlth Care, Taipei, Taiwan; [Kuan, Yi-Chun; Liou, Tsan-Hon; Chen, Hung-Chou; Kuo, Ting-Ju] Taipei Med Univ, Taipei Neurosci Inst, Taipei, Taiwan; [Liou, Tsan-Hon; Chen, Hung-Chou; Kuo, Ting-Ju] Taipei Med Univ, Shuang Ho Hosp, Dept Phys Med &amp; Rehabil, Taipei, Taiwan; [Liou, Tsan-Hon; Chen, Hung-Chou] Taipei Med Univ, Coll Med, Sch Med, Dept Phys Med &amp; Rehabil, Taipei, Taiwan; [Chen, Hung-Chou; Kuo, Ting-Ju] Taipei Med Univ, Shuang Ho Hosp, Dept ofPhys Med &amp; Rehabil, 291 Jhongjheng Rd, New Taipei 235, Taiwan</t>
  </si>
  <si>
    <t>Taipei Medical University; Shuang Ho Hospital; Taipei Medical University; Taipei Medical University; Shuang Ho Hospital; Taipei Medical University; Taipei Medical University; Shuang Ho Hospital; Taipei Medical University; Taipei Medical University; Shuang Ho Hospital</t>
  </si>
  <si>
    <t>Chen, HC; Kuo, TJ (corresponding author), Taipei Med Univ, Shuang Ho Hosp, Dept ofPhys Med &amp; Rehabil, 291 Jhongjheng Rd, New Taipei 235, Taiwan.</t>
  </si>
  <si>
    <t>11560@km.eck.org.tw; u8400020@yahoo.com.tw; yckuang2@gmail.com; peter_liou@s.tmu.edu.tw; 10462@s.tmu.edu.tw; 19170@s.tmu.edu.tw</t>
  </si>
  <si>
    <t>Kuo, TingJu/LCD-5203-2024; Hung, Kun-Che/AAG-8074-2021; Liou, Tsan-Hon/I-8808-2019</t>
  </si>
  <si>
    <t>10.1097/PHM.0000000000002058</t>
  </si>
  <si>
    <t>7W1PU</t>
  </si>
  <si>
    <t>WOS:000913286900013</t>
  </si>
  <si>
    <t>Ahmed, SH; Shekouhi, R; Chim, H</t>
  </si>
  <si>
    <t>Ahmed, Syeda Hoorulain; Shekouhi, Ramin; Chim, Harvey</t>
  </si>
  <si>
    <t>Challenges and Advances in the Diagnosis and Management of Neurogenic Thoracic Outlet Syndrome: A Comprehensive Review</t>
  </si>
  <si>
    <t>JOURNAL OF HAND SURGERY-ASIAN-PACIFIC VOLUME</t>
  </si>
  <si>
    <t>Neurogenic thoracic outlet syndrome; Brachial plexus; Compression neuropathy; Peripheral nerve; Hand surgery</t>
  </si>
  <si>
    <t>1ST RIB RESECTION; SURGERY</t>
  </si>
  <si>
    <t>Neurogenic thoracic outlet syndrome (nTOS) is caused by brachial plexus compression in the thoracic outlet. It accounts for 85%-95% of thoracic outlet syndrome (TOS) cases, which may also be caused by compression of the subclavian artery and vein. Compression occurs in the interscalene triangle, costoclavicular space or subpectoralis minor space, with congenital anomalies and repetitive overhead activities as contributing factors. Diagnosis is challenging due to overlapping symptoms with other conditions. Patients commonly report pain, numbness, tingling and weakness in the neck, shoulder and arm, exacerbated by arm elevation. Symptoms related to nTOS may manifest in the distribution of the upper (C5-C6), middle (C7) and lower plexus (C8-T1). Although widely used, provocative tests have varying degrees of sensitivity and specificity and may have high false-positive rates, complicating the diagnosis. Patterns on electrodiagnostic studies provide key diagnostic clues, such as reduced sensory response in the medial antebrachial cutaneous nerve and low compound motor action potential in the median nerve. Imaging techniques like magnetic resonance imaging (MRI), alongside procedures like diagnostic and therapeutic anterior scalene blocks, assist in identifying anatomical abnormalities and predicting surgical outcomes. Management of nTOS involves lifestyle changes, physical therapy, medication and botulinum toxin injections for symptomatic relief. Surgical options may include supraclavicular, transaxillary and infraclavicular approaches, each offering specific benefits based on patient anatomy and surgeon expertise. Minimally invasive techniques, such as video-assisted thoracoscopic surgery (VATS) and robotic surgery, enhance exposure and dexterity, leading to better outcomes. Future research should focus on developing precise diagnostic tools, understanding nTOS pathophysiology, standardising diagnostic criteria and surgical approaches, comparing long-term treatment outcomes and exploring preventive measures to improve patient care and quality of life.</t>
  </si>
  <si>
    <t>[Ahmed, Syeda Hoorulain; Shekouhi, Ramin; Chim, Harvey] Univ Florida, Coll Med, Div Plast &amp; Reconstruct Surg, 1600 SW Archer Rd, Gainesville, FL 32610 USA</t>
  </si>
  <si>
    <t>State University System of Florida; University of Florida</t>
  </si>
  <si>
    <t>Chim, H (corresponding author), Univ Florida, Coll Med, Div Plast &amp; Reconstruct Surg, 1600 SW Archer Rd, Gainesville, FL 32610 USA.</t>
  </si>
  <si>
    <t>harveychim@yahoo.com</t>
  </si>
  <si>
    <t>2424-8355</t>
  </si>
  <si>
    <t>2424-8363</t>
  </si>
  <si>
    <t>J HAND SURG-ASIAN-PA</t>
  </si>
  <si>
    <t>J. Hand Surg.-Asian Pac.-Vol.</t>
  </si>
  <si>
    <t>2024 JUL 26</t>
  </si>
  <si>
    <t>10.1142/S2424835524400010</t>
  </si>
  <si>
    <t>A5O3A</t>
  </si>
  <si>
    <t>WOS:001283016200002</t>
  </si>
  <si>
    <t>Ma, LJ; Wang, L; Tseng, CL; Sahgal, A</t>
  </si>
  <si>
    <t>Ma, Lijun; Wang, Lei; Tseng, Chia-Lin; Sahgal, Arjun</t>
  </si>
  <si>
    <t>Emerging technologies in stereotactic body radiotherapy</t>
  </si>
  <si>
    <t>CHINESE CLINICAL ONCOLOGY</t>
  </si>
  <si>
    <t>Stereotactic body radiation therapy (SBRT); hypofractionation; flattening filter free; small field; robotic</t>
  </si>
  <si>
    <t>GAMMA-KNIFE RADIOSURGERY; VOLUMETRIC-MODULATED ARC; SPINAL-CORD TOLERANCE; RADIATION-THERAPY; MULTILEAF COLLIMATOR; LINEAR-ACCELERATOR; BRAIN METASTASES; SYSTEM; IMRT; OPTIMIZATION</t>
  </si>
  <si>
    <t>Stereotactic body radiation therapy (SBRT) stems from the initial developments of intracranial stereotactic radiosurgery (SRS). Despite similarity in their names and clinical goals of delivering a sufficiently high tumoricidal dose, maximal sparing of the surrounding normal tissues and a short treatment course, SBRT technologies have transformed from the early days of body frame-based treatments with X-ray verification to primarily image-guided procedures with cone-beam CT or stereoscopic X-ray systems and non-rigid body immobilization. As a result of the incorporation of image-guidance systems and multi-leaf collimators into mainstream linac systems, and treatment planning systems that have also evolved to allow for routine dose calculations to permit intensity modulated radiotherapy and volumetric modulated arc therapy (VMAT), SBRT has disseminated rapidly in the community to manage many disease sites that include oligometastases, spine lesions, lung, prostate, liver, renal cell, pelvic tumors, and head and neck tumors etc. In this article, we review the physical principles and paradigms that led to the widespread adoption of SBRT practice as well as technical caveats specific to individual SBRT technologies. From the perspective of treatment delivery, we categorically described (I) C-arm linac-based SBRT technologies; (II) robotically manipulated X-band CyberKnife (R) technology; and (III) emerging specialized systems for SBRT that include integrated MRI-linear accelerators and the imaged-guided Gamma Knife Perfexion Icon system with expanded multi-isocenter treatments of skull-based tumors, head-and-neck and cervical-spine lesions.</t>
  </si>
  <si>
    <t>[Ma, Lijun] Univ Calif San Francisco, Dept Radiat Oncol, 505 Parnassus Ave, San Francisco, CA 94143 USA; [Wang, Lei] Stanford Univ, Dept Radiat Oncol, Stanford, CA 94305 USA; [Tseng, Chia-Lin; Sahgal, Arjun] Univ Toronto, Princess Margaret Hosp, Sunnybrook Odette Canc Ctr, Dept Radiat Oncol, Toronto, ON, Canada</t>
  </si>
  <si>
    <t>University of California System; University of California San Francisco; Stanford University; University of Toronto; University Health Network Toronto; Princess Margaret Cancer Centre; Sunnybrook Health Science Center; Sunnybrook Research Institute</t>
  </si>
  <si>
    <t>Ma, LJ (corresponding author), Univ Calif San Francisco, Dept Radiat Oncol, 505 Parnassus Ave, San Francisco, CA 94143 USA.</t>
  </si>
  <si>
    <t>Lijun.Ma@ucsf.edu</t>
  </si>
  <si>
    <t>Tseng, Chia-Lin/T-6776-2019</t>
  </si>
  <si>
    <t>Tseng, Chia-Lin/0000-0002-3700-0886</t>
  </si>
  <si>
    <t>AME PUBLISHING COMPANY</t>
  </si>
  <si>
    <t>SHATIN</t>
  </si>
  <si>
    <t>FLAT-RM C 16F, KINGS WING PLAZA 1, NO 3 KWAN ST, SHATIN, HONG KONG 00000, PEOPLES R CHINA</t>
  </si>
  <si>
    <t>2304-3865</t>
  </si>
  <si>
    <t>2304-3873</t>
  </si>
  <si>
    <t>CHIN CLIN ONCOL</t>
  </si>
  <si>
    <t>Chin. Clin. Oncol.</t>
  </si>
  <si>
    <t>S12</t>
  </si>
  <si>
    <t>10.21037/cco.2017.06.19</t>
  </si>
  <si>
    <t>FO2DW</t>
  </si>
  <si>
    <t>WOS:000416585100005</t>
  </si>
  <si>
    <t>Kim, MK</t>
  </si>
  <si>
    <t>Kim, Min Ki</t>
  </si>
  <si>
    <t>The Latest Results and Future Direction of Research for Enhanced Recovery After Surgery in the Field of Colorectal Surgery</t>
  </si>
  <si>
    <t>EWHA MEDICAL JOURNAL</t>
  </si>
  <si>
    <t>Enhanced Recovery After Surgery; Colorectal Surgery; Perioperative Care; Postoperative Complications</t>
  </si>
  <si>
    <t>ERAS PROGRAM; POSTOPERATIVE OUTCOMES; CANCER SURGERY; FEASIBILITY; PROTOCOL; PATHWAY</t>
  </si>
  <si>
    <t>Enhanced recovery after surgery (ERAS) aims to promote postoperative recovery of patients by minimizing surgical stress response through the evidence-based multimodal intervention. In 2023, the clinical practice guidelines were updated in the North America, with the existing most recent guidelines announced at the ERAS society in 2019. This review compares and reviews these two guidelines to examine ERAS principles and items related to colorectal surgery and to introduce the latest relevant study results published within five years. In the pre-hospitalization stage, the concept of pre-hospitalization is emphasized to check and reinforce the nutritional status and physical functional status before surgery. In the preoperative stage, as a result of the accumulation of large-scale studies, there was a change in the recommendation of mechanical bowl preparation combined with oral antibiotics in color electronic surgery. In the intraoperative stage, laparoscopic surgery became popular and became an important component of ERAS, where more technologically advanced single-incision laparoscopic surgery and robotic surgery were the subject of active research. Ileus-prevention items such as opioid-sparing multimodal pain management and euvolemic fluid therapy are recommended in the postoperative stage. The advancement of ERAS is leading to the accumulation of researches on the same-day discharge. ERAS is expanding into various surgeries, situations, institutions, and societies. In order to maximize the effect by increasing the compliance of ERAS, medical staff must fully understand the clinical basis and meaning of each items, and the protocol must be maintained and developed steadily through team approaches and audit system.</t>
  </si>
  <si>
    <t>[Kim, Min Ki] Hanyang Univ, Myongji Hosp, Dept Surg, Coll Med, Goyang, South Korea; [Kim, Min Ki] Hanyang Univ, Myongji Hosp, Dept Surg, Coll Med, 55 Hwasu Ro 14beon Gil, Goyang Si 10475, Gyeonggi Do, South Korea</t>
  </si>
  <si>
    <t>Hanyang University; Myongji Hospital; Hanyang University; Myongji Hospital</t>
  </si>
  <si>
    <t>Kim, MK (corresponding author), Hanyang Univ, Myongji Hosp, Dept Surg, Coll Med, 55 Hwasu Ro 14beon Gil, Goyang Si 10475, Gyeonggi Do, South Korea.</t>
  </si>
  <si>
    <t>arrokim@empas.com</t>
  </si>
  <si>
    <t>KIM, MIN KI/HZJ-6880-2023</t>
  </si>
  <si>
    <t>KIM, MINKI/0000-0002-9560-0775</t>
  </si>
  <si>
    <t>EWHA WOMANS UNIV SCH MEDICINE</t>
  </si>
  <si>
    <t>52, EWHAYEODAE-GIL, SEODAEMUN-GU, SEOUL, 03760, SOUTH KOREA</t>
  </si>
  <si>
    <t>2234-3180</t>
  </si>
  <si>
    <t>2234-2591</t>
  </si>
  <si>
    <t>EWHA MED J</t>
  </si>
  <si>
    <t>Ewha Med. J.</t>
  </si>
  <si>
    <t>e23</t>
  </si>
  <si>
    <t>10.12771/emj.2023.e23</t>
  </si>
  <si>
    <t>EC3Z1</t>
  </si>
  <si>
    <t>WOS:001136687700008</t>
  </si>
  <si>
    <t>Kalavacherla, S; Sanghvi, P; Lin, GY; Guo, TRS</t>
  </si>
  <si>
    <t>Kalavacherla, Sandhya; Sanghvi, Parag; Lin, Grace Y. Y.; Guo, Theresa</t>
  </si>
  <si>
    <t>Updates in the management of unknown primary of the head and neck</t>
  </si>
  <si>
    <t>human papillomavirus; HPV; oropharyngeal squamous cell carcinoma (OPSCC); unknown primary head and neck squamous cell carcinoma; head and neck cancer; management</t>
  </si>
  <si>
    <t>SQUAMOUS-CELL CARCINOMA; HUMAN-PAPILLOMAVIRUS STATUS; TRANSORAL ROBOTIC SURGERY; LYMPH-NODE METASTASES; INTENSITY-MODULATED RADIOTHERAPY; CORE-NEEDLE-BIOPSY; WORK-UP; PRIMARY SITE; CANCER; HPV</t>
  </si>
  <si>
    <t>Squamous cell carcinoma (SCC) from an unknown primary tumor (SCCUP) accounts for 2.0%-5.0% of all head and neck cancers. SCCUP presents as enlarged cervical lymph nodes without evidence of a primary tumor upon physical examination. Primary site detection is important to target treatment and avoid treatment-related morbidity. In this review, we discuss updates in SCCUP management. Diagnostic workup should focus on localization of the primary tumor in SCCUP. Initial workup centers on neck biopsy to confirm the presence of SCC. Given the increasing incidence of HPV-related SCC in the oropharynx, HPV testing is crucial. An HPV-positive status can localize the tumor to the oropharynx, a common site for occult tumors. Imaging includes neck CT and/or MRI, and PET/CT. After imaging, panendoscopy, palatine tonsillectomy or diagnostic transoral robotic surgery can facilitate high rates of primary tumor localization. Primary tumor localization influences treatments administered. SCCUP has traditionally been treated aggressively with large treatment fields to all potential disease sites, which can induce weight loss and swallowing dysfunction. As a result, primary localization can reduce radiation fields and provide possible de-escalation to primary surgical management. Advances in intensity-modulated radiation therapy and dose management also have the potential to improve functional outcomes in SCCUP patients. Given the improved prognosis associated with HPV-positive SCCs, HPV tumor status may also inform future treatment de-intensification to reduce treatment-related toxicity.</t>
  </si>
  <si>
    <t>[Kalavacherla, Sandhya] Univ Calif San Diego, Sch Med, La Jolla, CA USA; [Sanghvi, Parag] Univ Calif San Diego, Dept Radiat Med &amp; Appl Sci, San Diego, CA USA; [Lin, Grace Y. Y.] Univ Calif San Diego, Dept Pathol, San Diego, CA USA; [Guo, Theresa] Univ Calif San Diego, Dept Otolaryngol Head &amp; Neck Surg, San Diego, CA 92093 USA</t>
  </si>
  <si>
    <t>University of California System; University of California San Diego; University of California System; University of California San Diego; University of California System; University of California San Diego; University of California System; University of California San Diego</t>
  </si>
  <si>
    <t>Guo, TRS (corresponding author), Univ Calif San Diego, Dept Otolaryngol Head &amp; Neck Surg, San Diego, CA 92093 USA.</t>
  </si>
  <si>
    <t>twguo@health.ucsd.edu</t>
  </si>
  <si>
    <t>Guo, Theresa/AAF-2216-2021</t>
  </si>
  <si>
    <t>Kalavacherla, Sandhya/0000-0003-0485-9042</t>
  </si>
  <si>
    <t>NIH [1KL2TR001444]</t>
  </si>
  <si>
    <t>NIH(United States Department of Health &amp; Human ServicesNational Institutes of Health (NIH) - USA)</t>
  </si>
  <si>
    <t>TG is supported by 1KL2TR001444 through NIH.</t>
  </si>
  <si>
    <t>SEP 15</t>
  </si>
  <si>
    <t>10.3389/fonc.2022.991838</t>
  </si>
  <si>
    <t>4Z3WN</t>
  </si>
  <si>
    <t>WOS:000862143500001</t>
  </si>
  <si>
    <t>Azari, L; Santoso, JT; Osborne, SE</t>
  </si>
  <si>
    <t>Azari, Laleh; Santoso, Joseph T.; Osborne, Shelby E.</t>
  </si>
  <si>
    <t>Optimal Pain Management in Total Abdominal Hysterectomy</t>
  </si>
  <si>
    <t>OBSTETRICAL &amp; GYNECOLOGICAL SURVEY</t>
  </si>
  <si>
    <t>PATIENT-CONTROLLED ANALGESIA; REDUCES POSTOPERATIVE PAIN; PREOPERATIVE WOUND INFILTRATION; DOUBLE-BLIND; PREEMPTIVE ANALGESIA; MORPHINE CONSUMPTION; INTRATHECAL ADENOSINE; RANDOMIZED-TRIAL; OPIOID INFUSION; GABAPENTIN</t>
  </si>
  <si>
    <t>Effective postoperative pain management provides improved patient comfort and satisfaction, earlier mobilization, fewer pulmonary and cardiac complications, reduced risk of deep vein thrombosis, faster recovery, and reduced cost of care. Although many therapeutic modalities are available for pain management, the optimal combination in managing postoperative pain in total abdominal hysterectomy is controversial. The objective of this study was to review the literature to formulate optimal, evidence-based preoperative, intraoperative, and postoperative pain management for women undergoing total abdominal hysterectomy. Using the OVID platform, we searched in MEDLINE and PubMed using MeSH terms postoperative pain and total abdominal hysterectomy for published articles from 1960 to the present; we found 545 studies. We screened and included only randomized clinical trials, publications in English, human studies, and abdominal hysterectomy for noncancerous indications. We excluded 456 studies that reported on animal studies; laparoscopic, vaginal, supracervical, or robotic hysterectomy; pharmacokinetic studies; primary outcome other than pain management; and chronic pain management. Studies with inadequate power, poor methodology, or inconclusive results were further excluded from this review. Thus, 89 studies constituted the cohort for our article. Pain control remains complex given variables such as age, anxiety, and extent of surgery. In general, regimens should be tailored to the needs of the individual patient, taking into account medical, psychological, and physical condition. A multimodality approach is better than conventional, single-agent narcotic in achieving optimal pain management. After reading this article, the reader should be able to understand various modalities that can be considered for preoperative, intraoperative, and postoperative pain management in total abdominal hysterectomy.</t>
  </si>
  <si>
    <t>[Azari, Laleh] Methodist Univ Hosp, Dept Pharm, Memphis, TN 38104 USA; [Santoso, Joseph T.] Univ Tennessee, Ctr Hlth Sci, Div Gynecol Oncol, Memphis, TN 38163 USA; [Santoso, Joseph T.; Osborne, Shelby E.] Univ Tennessee, Ctr Hlth Sci, Memphis, TN 38163 USA</t>
  </si>
  <si>
    <t>University of Tennessee System; University of Tennessee Health Science Center; University of Tennessee System; University of Tennessee Health Science Center</t>
  </si>
  <si>
    <t>Azari, L (corresponding author), Methodist Univ Hosp, 265 Union Ave, Memphis, TN 38104 USA.</t>
  </si>
  <si>
    <t>laleh.azari@mlh.org</t>
  </si>
  <si>
    <t>Teguh Santoso, Joseph/CAI-2616-2022</t>
  </si>
  <si>
    <t>0029-7828</t>
  </si>
  <si>
    <t>1533-9866</t>
  </si>
  <si>
    <t>OBSTET GYNECOL SURV</t>
  </si>
  <si>
    <t>Obstet. Gynecol. Surv.</t>
  </si>
  <si>
    <t>10.1097/OGX.0b013e31827f5119</t>
  </si>
  <si>
    <t>098DO</t>
  </si>
  <si>
    <t>WOS:000315526600022</t>
  </si>
  <si>
    <t>Manjila, S; Rosa, B; Price, K; Manjila, R; Mencattelli, M; Dupont, PE</t>
  </si>
  <si>
    <t>Manjila, Sunil; Rosa, Benoit; Price, Karl; Manjila, Rehan; Mencattelli, Margherita; Dupont, Pierre E.</t>
  </si>
  <si>
    <t>Robotic Instruments Inside the MRI Bore: Key Concepts and Evolving Paradigms in Imaging-enhanced Cranial Neurosurgery</t>
  </si>
  <si>
    <t>WORLD NEUROSURGERY</t>
  </si>
  <si>
    <t>Concentric tube robots; Cranial robotic surgery; MR-conditional robot; Neuroendoscopy; Robotic neurosurgery; MR powered robot</t>
  </si>
  <si>
    <t>INTERSTITIAL THERMAL THERAPY; INTERVENTIONAL MRI; CLINICAL-TRIAL; SYSTEM; DESIGN; MICRONEUROSURGERY; MANIPULATOR; PLACEMENT; ACTUATION; RESECTION</t>
  </si>
  <si>
    <t>Intraoperative MRI has been increasingly used to robotically deliver electrodes and catheters into the human brain using a linear trajectory with great clinical success. Current cranial MR guided robotics do not allow for continuous real -time imaging during the procedure because most surgical instruments are not MR-conditional. MRI guided robotic cranial surgery can achieve its full potential if all the traditional advantages of robotics (such as tremor-filtering, precision motion scaling, etc.) can be incorporated with the neurosurgeon physically present in the MRI bore or working remotely through controlled robotic arms. The technological limitations of design optimization, choice of sensing, kine -matic modeling, physical constraints, and real-time control had hampered early developments in this emerging field, but continued research and development in these areas over time has granted neurosurgeons far greater confidence in using cranial robotic techniques. This article elucidates the role of MR-guided robotic procedures using clinical devices like NeuroBlate and Clearpoint that have several thousands of cases operated in a linear cranial trajectory and planned clinical trials, such as LAANTERN for MR guided robotics in cranial neurosur-gery using LITT and MR-guided putaminal delivery of AAV2 GDNF in Parkinson's disease. The next logical improvisation would be a steerable curvilinear tra-jectory in cranial robotics with added DOFs and distal tip dexterity to the neurosurgical tools. Similarly, the novel concept of robotic actuators that are powered, imaged, and controlled by the MRI itself is discussed in this article, with its potential for seamless cranial neurosurgery.</t>
  </si>
  <si>
    <t>[Manjila, Sunil; Price, Karl; Mencattelli, Margherita; Dupont, Pierre E.] Harvard Med Sch, Boston Childrens Hosp, Dept Cardiovasc Surg, Boston, MA 02115 USA; [Rosa, Benoit] Univ Strasbourg, ICube Lab, UMR 7357, CNRS, Strasbourg, France; [Manjila, Rehan] Univ Pittsburgh, Swanson Sch Engn, Pittsburgh, PA USA</t>
  </si>
  <si>
    <t>Harvard University; Harvard Medical School; Harvard University Medical Affiliates; Boston Children's Hospital; Universites de Strasbourg Etablissements Associes; Universite de Strasbourg; Centre National de la Recherche Scientifique (CNRS); CNRS - Institute for Engineering &amp; Systems Sciences (INSIS); Pennsylvania Commonwealth System of Higher Education (PCSHE); University of Pittsburgh</t>
  </si>
  <si>
    <t>Manjila, S (corresponding author), Harvard Med Sch, Boston Childrens Hosp, Dept Cardiovasc Surg, Boston, MA 02115 USA.</t>
  </si>
  <si>
    <t>sunil.manjila@gmail.com</t>
  </si>
  <si>
    <t>Mencattelli, Margherita/ABH-4797-2020</t>
  </si>
  <si>
    <t>Rosa, Benoit/0000-0002-7605-2056</t>
  </si>
  <si>
    <t>Conflict of interest statement: This work was partially supported by the National Institutes of Health under grant</t>
  </si>
  <si>
    <t>1878-8750</t>
  </si>
  <si>
    <t>1878-8769</t>
  </si>
  <si>
    <t>WORLD NEUROSURG</t>
  </si>
  <si>
    <t>World Neurosurg.</t>
  </si>
  <si>
    <t>10.1016/j.wneu.2023.01.025</t>
  </si>
  <si>
    <t>P9AY5</t>
  </si>
  <si>
    <t>WOS:001053540700001</t>
  </si>
  <si>
    <t>Gu, YJ; Chen, LM; Gu, ME; Xu, HX; Li, J; Wu, LY</t>
  </si>
  <si>
    <t>Gu, Yun-Jia; Chen, Li-Ming; Gu, Mu-En; Xu, Hong-Xiao; Li, Jing; Wu, Lu-Yi</t>
  </si>
  <si>
    <t>Body mass index-based predictions and personalized clinical strategies for colorectal cancer in the context of PPPM</t>
  </si>
  <si>
    <t>EPMA JOURNAL</t>
  </si>
  <si>
    <t>Colorectal cancer; Obesity; BMI (body mass index); SMI (skeletal muscle index); ERAS (enhanced recovery after surgery); Weight management; Predictive, preventive and personalized medicine (3PM/PPPM)</t>
  </si>
  <si>
    <t>HYPERTHERMIC INTRAPERITONEAL CHEMOTHERAPY; TREATMENT-RELATED TOXICITY; ADVANCED RECTAL-CANCER; LONG-TERM OUTCOMES; COLON-CANCER; RISK-FACTORS; NEOADJUVANT CHEMORADIOTHERAPY; CYTOREDUCTIVE SURGERY; ENHANCED RECOVERY; PROGNOSTIC-FACTOR</t>
  </si>
  <si>
    <t>Currently colorectal cancer (CRC) is the third most prevalent cancer worldwide. Body mass index (BMI) is frequently used in CRC screening and risk assessment to quantitatively evaluate weight. However, the impact of BMI on clinical strategies for CRC has received little attention. Within the framework of the predictive, preventive, and personalized medicine (3PM/PPPM), we hypothesized that BMI stratification would affect the primary, secondary, and tertiary care options for CRC and we conducted a critical evidence-based review. BMI dynamically influences CRC outcomes, which helps avoiding adverse treatment effects. The outcome of surgical and radiation treatment is adversely affected by overweight (BMI &gt;= 30) or underweight (BMI &lt; 20). A number of interventions, such as enhanced recovery after surgery and robotic surgery, can be applied to CRC at all levels of BMI. BMI-controlling modalities such as exercise, diet control, nutritional therapy, and medications may be potentially beneficial for patients with CRC. Patients with overweight are advised to lose weight through diet, medication, and physical activity while patients suffering of underweight require more focus on nutrition. BMI assists patients with CRC in better managing their weight, which decreases the incidence of adverse prognostic events during treatment. BMI is accessible, noninvasive, and highly predictive of clinical outcomes in CRC. The cost-benefit of the PPPM paradigm in developing countries can be advanced, and the clinical benefit for patients can be improved with the promotion of BMI-based clinical strategy models for CRC.</t>
  </si>
  <si>
    <t>[Gu, Yun-Jia; Chen, Li-Ming; Gu, Mu-En; Xu, Hong-Xiao; Li, Jing; Wu, Lu-Yi] Shanghai Univ Tradit Chinese Med, Yueyang Hosp Integrated Chinese &amp; Western Med, 110 Ganhe Rd, Shanghai 200437, Peoples R China; [Gu, Yun-Jia] Shanghai Univ Tradit Chinese Med, Shanghai Qigong Res Inst, 650 South Wanping Rd, Shanghai 200030, Peoples R China</t>
  </si>
  <si>
    <t>Shanghai University of Traditional Chinese Medicine; Shanghai University of Traditional Chinese Medicine</t>
  </si>
  <si>
    <t>Wu, LY (corresponding author), Shanghai Univ Tradit Chinese Med, Yueyang Hosp Integrated Chinese &amp; Western Med, 110 Ganhe Rd, Shanghai 200437, Peoples R China.</t>
  </si>
  <si>
    <t>luyitcm@163.com</t>
  </si>
  <si>
    <t>SPRINGER INT PUBL AG</t>
  </si>
  <si>
    <t>CHAM</t>
  </si>
  <si>
    <t>GEWERBESTRASSE 11, CHAM, CH-6330, SWITZERLAND</t>
  </si>
  <si>
    <t>1878-5077</t>
  </si>
  <si>
    <t>1878-5085</t>
  </si>
  <si>
    <t>EPMA J</t>
  </si>
  <si>
    <t>EPMA J.</t>
  </si>
  <si>
    <t>10.1007/s13167-022-00306-0</t>
  </si>
  <si>
    <t>Medicine, General &amp; Internal; Medicine, Research &amp; Experimental</t>
  </si>
  <si>
    <t>General &amp; Internal Medicine; Research &amp; Experimental Medicine</t>
  </si>
  <si>
    <t>6T6EB</t>
  </si>
  <si>
    <t>WOS:000893770100006</t>
  </si>
  <si>
    <t>Barrios, EL; Polcz, VE; Hensley, SE; Sarosi, GA; Mohr, AM; Loftus, TJ; Upchurch, GR; Sumfest, JM; Efron, PA; Dunleavy, K; Bible, L; Terracina, KP; Al-Mansour, MR; Gravina, N</t>
  </si>
  <si>
    <t>Barrios, Evan L.; Polcz, Valerie E.; Hensley, Sara E.; Sarosi, George A.; Mohr, Alicia M.; Loftus, Tyler J.; Upchurch, Gilbert R.; Sumfest, Jill M.; Efron, Philip A.; Dunleavy, Kim; Bible, Letitia; Terracina, Krista P.; Al-Mansour, Mazen R.; Gravina, Nicole</t>
  </si>
  <si>
    <t>A narrative review of ergonomic problems, principles, and potential solutions in surgical operations</t>
  </si>
  <si>
    <t>SURGERY</t>
  </si>
  <si>
    <t>MINIMALLY INVASIVE SURGERY; MUSCULOSKELETAL DISORDERS; LAPAROSCOPIC SURGERY; PHYSICAL DISCOMFORT; SYMPTOMS; IMPACT; PERFORMANCE; ROOM; CONFIGURATION; MICROBREAKS</t>
  </si>
  <si>
    <t>Background: Ergonomic development and awareness are critical to the long-term health and well-being of surgeons. Work-related musculoskeletal disorders affect an overwhelming majority of surgeons, and various operative modalities (open, laparoscopic, and robotic surgery) differentially affect the muscu-loskeletal system. Previous reviews have addressed various aspects of surgical ergonomic history or methods of ergonomic assessment, but the purpose of this study is to synthesize ergonomic analysis by surgical modality while discussing future directions of the field based on current perioperative interventions. Methods: pubmed was queried for ergonomics, work-related musculoskeletal disorders, and sur-gery, which returned 124 results. From the 122 English-language papers, a further search was conducted via the articles' sources for relevant literature. Results: Ninety-nine sources were ultimately included. Work-related musculoskeletal disorders culmi-nate in detrimental effects ranging from chronic pain and paresthesias to reduced operative time and consideration for early retirement. Underreporting symptoms and a lack of awareness of proper ergo-nomic principles substantially hinder the widespread utilization of ergonomic techniques in the oper-ating room, reducing the quality of life and career longevity. Therapeutic interventions exist at some institutions but require further research and development for necessary widespread implementation. Conclusion: Awareness of proper ergonomic principles and the detrimental effects of musculoskeletal disorders is the first step in protecting against this universal problem. Implementing ergonomic practices in the operating room is at a crossroads, and incorporating these principles into everyday life must be a priority for all surgeons. &amp; COPY; 2023 Elsevier Inc. All rights reserved.</t>
  </si>
  <si>
    <t>[Barrios, Evan L.; Polcz, Valerie E.; Hensley, Sara E.; Sarosi, George A.; Mohr, Alicia M.; Loftus, Tyler J.; Upchurch, Gilbert R.; Efron, Philip A.; Bible, Letitia; Terracina, Krista P.; Al-Mansour, Mazen R.] Univ Florida, Coll Med, Dept Surg, Gainesville, FL USA; [Sumfest, Jill M.] Univ Florida, Gatorcare Hlth Management Corp, Gainesville, FL USA; [Dunleavy, Kim] Univ Florida, Dept Phys Therapy, Gainesville, FL USA; [Gravina, Nicole] Univ Florida, Dept Psychol, Gainesville, FL USA; [Gravina, Nicole] Univ ofFlorida, Dept Psychol, POB 112250, Gainesville, FL 32611 USA</t>
  </si>
  <si>
    <t>State University System of Florida; University of Florida; State University System of Florida; University of Florida; State University System of Florida; University of Florida; State University System of Florida; University of Florida</t>
  </si>
  <si>
    <t>Gravina, N (corresponding author), Univ ofFlorida, Dept Psychol, POB 112250, Gainesville, FL 32611 USA.</t>
  </si>
  <si>
    <t>Gngravina@u0.edu</t>
  </si>
  <si>
    <t>Al-Mansour, Mazen/AAE-6367-2019; Sarosi, George/M-2977-2019; Loftus, Tyler/J-7761-2016; Gravina, Nicole/K-2902-2019</t>
  </si>
  <si>
    <t>Loftus, Tyler/0000-0001-5354-443X; , Valerie/0000-0003-0150-1950; Upchurch, Gilbert/0000-0002-4679-8623; Gravina, Nicole/0000-0001-8210-7159; Sarosi, George/0000-0002-3525-3417; Dunleavy, Kim/0000-0001-5128-5593; Barrios, Evan/0000-0003-2379-1004</t>
  </si>
  <si>
    <t>National Institutes of Health; NIGMS; National Institute of General Medical Sciences</t>
  </si>
  <si>
    <t>National Institutes of Health(United States Department of Health &amp; Human ServicesNational Institutes of Health (NIH) - USA); NIGMS(United States Department of Health &amp; Human ServicesNational Institutes of Health (NIH) - USANIH National Institute of General Medical Sciences (NIGMS)); National Institute of General Medical Sciences(United States Department of Health &amp; Human ServicesNational Institutes of Health (NIH) - USANIH National Institute of General Medical Sciences (NIGMS))</t>
  </si>
  <si>
    <t>Funding/Support This work was supported, in part, by the National Institutes of Health training grant T32 GM-008721 (DBD) in burns, trauma, and perioperative injury by NIGMS. ELB and VEP are supported by the National Institute of General Medical Sciences postgraduate training grant T32 GM-008721.</t>
  </si>
  <si>
    <t>MOSBY-ELSEVIER</t>
  </si>
  <si>
    <t>360 PARK AVENUE SOUTH, NEW YORK, NY 10010-1710 USA</t>
  </si>
  <si>
    <t>0039-6060</t>
  </si>
  <si>
    <t>10.1016/j.surg.2023.04.003</t>
  </si>
  <si>
    <t>P5VL3</t>
  </si>
  <si>
    <t>WOS:001051350500001</t>
  </si>
  <si>
    <t>Jiang, PF; Dai, YF; Hou, YJ; Stein, J; Lin, SS; Zhou, CC; Hou, YN; Zhu, RR; Lee, KB; Yang, LT</t>
  </si>
  <si>
    <t>Jiang, Pengfei; Dai, Yefei; Hou, Yujun; Stein, Joshua; Lin, Shichen Steven; Zhou, Chaochen; Hou, Yannan; Zhu, Rongrong; Lee, Ki-Bum; Yang, Letao</t>
  </si>
  <si>
    <t>Artificial intelligence-assisted design, synthesis and analysis of smart biomaterials</t>
  </si>
  <si>
    <t>BMEMAT</t>
  </si>
  <si>
    <t>artificial intelligence; materiomics; smart biomaterials; stem cell; tissue engineering</t>
  </si>
  <si>
    <t>MATERIALS SCIENCE; CELL; DIFFERENTIATION; NANOPARTICLES; BIOLOGY; GROWTH</t>
  </si>
  <si>
    <t>Smart biomaterials that can self-adapt or respond to microenvironmental factors or external signals hold excellent potential for a variety of biomedical applications, from biosensing, drug delivery, and cell therapy to tissue engineering. The complexity of smart biomaterials, including the rational design of their structure and composition, the accurate analysis and prediction of their properties, and the automatic and scale-up synthesis remains a critical challenge but can be addressed by the recent rise of artificial intelligence (AI). To bridge the literature gap, the current mini-review will introduce the background of why marrying AI with smart biomaterials is essential and how biomaterial scientists can integrate machine learning (ML) and AI for the discovery, design, analysis, and synthesis of smart biomaterials. For this purpose, the basic principles of ML and AI will first be introduced so that biomaterial scientists can use ML and AI as a tool for basic research. Next, representative examples of using AI to high throughput screen and establish big data of structure-function relationship of smart biomaterials responding to both chemical, biological, and physical signals. Most importantly, the applications of the AI-designed or AI-discovered biomaterials will be overviewed, with a focus on the field of tissue engineering. Lastly, new directions, such as robot-chemists-assisted fabrication of biomaterials will be highlighted. Taken together, by engaging biomaterial scientists with the most recent updates in AI material science, we expect to observe continuous growth of the field of AI for science and benefit clinical translation of smart biomaterials for treating a variety of diseases.</t>
  </si>
  <si>
    <t>[Jiang, Pengfei; Dai, Yefei; Lin, Shichen Steven; Zhou, Chaochen; Zhu, Rongrong; Yang, Letao] Tongji Univ, Shanghai Tongji Hosp, Sch Life Sci &amp; Technol, Key Lab Spine &amp; Spinal Cord Injury Repair &amp; Regene, Shanghai, Peoples R China; [Hou, Yujun] Tongji Univ, Shanghai East Hosp, Inst Regenerat Med, State Key Lab Cardiol, Shanghai, Peoples R China; [Hou, Yujun] Tongji Univ, Shanghai East Hosp, Sch Life Sci &amp; Technol, Shanghai Key Lab Signaling &amp; Dis Res,Frontier Sci, Shanghai, Peoples R China; [Stein, Joshua; Hou, Yannan; Lee, Ki-Bum; Yang, Letao] Rutgers State Univ, Dept Chem &amp; Chem Biol, Piscataway, NJ 08854 USA</t>
  </si>
  <si>
    <t>Tongji University; Tongji University; Tongji University; Rutgers University System; Rutgers University New Brunswick</t>
  </si>
  <si>
    <t>Zhu, RR; Yang, LT (corresponding author), Tongji Univ, Shanghai Tongji Hosp, Sch Life Sci &amp; Technol, Key Lab Spine &amp; Spinal Cord Injury Repair &amp; Regene, Shanghai, Peoples R China.;Lee, KB; Yang, LT (corresponding author), Rutgers State Univ, Dept Chem &amp; Chem Biol, Piscataway, NJ 08854 USA.</t>
  </si>
  <si>
    <t>rrzhu@tongji.edu.cn; kblee@rutgers.edu; yangletao@tongji.edu.cn</t>
  </si>
  <si>
    <t>JIANG, PENGFEI/JCP-2151-2023; hou, yujun/AEZ-7308-2022; LEE, Ki-Bum/JDC-3477-2023; Hou, Yannan/AHB-4303-2022</t>
  </si>
  <si>
    <t>National Key R&amp;D Program of China; National Natural Science Foundation of China [32301106]; Fundamental Research Funds for the Central Universities [22120240435]; Peak Disciplines (Type IV) of Institutions of Higher Learning in Shanghai; NSF [CBET-1803517]; New Jersey Commission on Spinal Cord [CSCR17IRG010, CSCR16ERG019, 1R01DC016612, 1R01NS130836-01A1, 3R01DC016612-01S1, 5R01DC016612-02S1]; NIH RM1 [RM1 NS133003-01, R21 NS132556-01]; Alzheimer's Association [AARG-NTF-21-847862]; CDMRP [OC220235P1, COCR23PPR007]; HealthAdvance (NHLBI) [U01HL150852]; [2024YFA1108200]</t>
  </si>
  <si>
    <t>National Key R&amp;D Program of China; National Natural Science Foundation of China(National Natural Science Foundation of China (NSFC)); Fundamental Research Funds for the Central Universities(Fundamental Research Funds for the Central Universities); Peak Disciplines (Type IV) of Institutions of Higher Learning in Shanghai; NSF(National Science Foundation (NSF)); New Jersey Commission on Spinal Cord; NIH RM1; Alzheimer's Association(Alzheimer's Association); CDMRP(United States Department of Defense); HealthAdvance (NHLBI);</t>
  </si>
  <si>
    <t>Letao Yang acknowledges the partial financial support from the National Key R&amp;D Program of China (2024YFA1108200), National Natural Science Foundation of China (32301106), the Fundamental Research Funds for the Central Universities (22120240435) and Peak Disciplines (Type IV) of Institutions of Higher Learning in Shanghai. Ki-Bum Lee acknowledges the partial financial support from the NSF (CBET-1803517), the New Jersey Commission on Spinal Cord (CSCR17IRG010; CSCR16ERG019), NIH R01 (1R01DC016612, 1R01NS130836-01A1, 3R01DC016612-01S1, and 5R01DC016612-02S1), NIH RM1 (RM1 NS133003-01), NIH R21 (R21 NS132556-01), Alzheimer's Association (AARG-NTF-21-847862), CDMRP (OCRP, OC220235P1), N.J. Commission on Cancer Research (COCR23PPR007), and HealthAdvance (NHLBI, U01HL150852). Shichen Steven Lin is from Shanghai High School International Division and acknowledges the support from its scientific program.</t>
  </si>
  <si>
    <t>2751-7438</t>
  </si>
  <si>
    <t>2751-7446</t>
  </si>
  <si>
    <t>BMEMat</t>
  </si>
  <si>
    <t>2025 MAR 25</t>
  </si>
  <si>
    <t>10.1002/bmm2.70004</t>
  </si>
  <si>
    <t>MAR 2025</t>
  </si>
  <si>
    <t>Nanoscience &amp; Nanotechnology; Materials Science, Biomaterials</t>
  </si>
  <si>
    <t>Science &amp; Technology - Other Topics; Materials Science</t>
  </si>
  <si>
    <t>0NJ6K</t>
  </si>
  <si>
    <t>WOS:001451491900001</t>
  </si>
  <si>
    <t>Ciuti, G; Skonieczna-Zydecka, K; Marlicz, W; Iacovacci, V; Liu, HB; Stoyanov, D; Arezzo, A; Chiurazzi, M; Toth, E; Thorlacius, H; Dario, P; Koulaouzidis, A</t>
  </si>
  <si>
    <t>Ciuti, Gastone; Skonieczna-Zydecka, Karolina; Marlicz, Wojciech; Iacovacci, Veronica; Liu, Hongbin; Stoyanov, Danail; Arezzo, Alberto; Chiurazzi, Marcello; Toth, Ervin; Thorlacius, Henrik; Dario, Paolo; Koulaouzidis, Anastasios</t>
  </si>
  <si>
    <t>Frontiers of Robotic Colonoscopy: A Comprehensive Review of Robotic Colonoscopes and Technologies</t>
  </si>
  <si>
    <t>colorectal cancer screening; robotic colonoscopy; artificial intelligence; computer-aided diagnosis for colonoscopy; robotics for medical distancing</t>
  </si>
  <si>
    <t>DOUBLE-BALLOON COLONOSCOPY; COMPUTER-AIDED DIAGNOSIS; COLON CAPSULE ENDOSCOPY; FULL-SPECTRUM ENDOSCOPY; COLORECTAL-CANCER; ARTIFICIAL-INTELLIGENCE; INCOMPLETE COLONOSCOPY; MUSCULOSKELETAL INJURIES; ASSISTED COLONOSCOPY; TANDEM COLONOSCOPY</t>
  </si>
  <si>
    <t>Flexible colonoscopy remains the prime mean of screening for colorectal cancer (CRC) and the gold standard of all population-based screening pathways around the world. Almost 60% of CRC deaths could be prevented with screening. However, colonoscopy attendance rates are affected by discomfort, fear of pain and embarrassment or loss of control during the procedure. Moreover, the emergence and global thread of new communicable diseases might seriously affect the functioning of contemporary centres performing gastrointestinal endoscopy. Innovative solutions are needed: artificial intelligence (AI) and physical robotics will drastically contribute for the future of the healthcare services. The translation of robotic technologies from traditional surgery to minimally invasive endoscopic interventions is an emerging field, mainly challenged by the tough requirements for miniaturization. Pioneering approaches for robotic colonoscopy have been reported in the nineties, with the appearance of inchworm-like devices. Since then, robotic colonoscopes with assistive functionalities have become commercially available. Research prototypes promise enhanced accessibility and flexibility for future therapeutic interventions, even via autonomous or robotic-assisted agents, such as robotic capsules. Furthermore, the pairing of such endoscopic systems with AI-enabled image analysis and recognition methods promises enhanced diagnostic yield. By assembling a multidisciplinary team of engineers and endoscopists, the paper aims to provide a contemporary and highly-pictorial critical review for robotic colonoscopes, hence providing clinicians and researchers with a glimpse of the major changes and challenges that lie ahead.</t>
  </si>
  <si>
    <t>[Ciuti, Gastone; Iacovacci, Veronica; Chiurazzi, Marcello; Dario, Paolo] Scuola Super Sant Anna, BioRobot Inst, I-56025 Pisa, Italy; [Ciuti, Gastone; Iacovacci, Veronica; Chiurazzi, Marcello; Dario, Paolo] Scuola Super Sant Anna, Dept Excellence Robot &amp; AI, I-56127 Pisa, Italy; [Skonieczna-Zydecka, Karolina] Pomeranian Med Univ, Dept Human Nutr &amp; Metab, PL-71460 Szczecin, Poland; [Marlicz, Wojciech] Pomeranian Med Univ, Dept Gastroenterol, PL-71252 Szczecin, Poland; Endoklin Sp Zoo, PL-70535 Szczecin, Poland; [Liu, Hongbin] Kings Coll London, Fac Life Sci &amp; Med, Sch Biomed Engn &amp; Imaging Sci, London SE1 7EH, England; [Stoyanov, Danail] UCL, Wellcome EPSRC Ctr Intervent &amp; Surg Sci WEISS, London W1W 7TY, England; [Arezzo, Alberto] Univ Torino, Dept Surg Sci, I-10126 Turin, Italy; [Toth, Ervin] Lund Univ, Skane Univ Hosp, Dept Gastroenterol, S-20502 Malmo, Sweden; [Thorlacius, Henrik] Lund Univ, Sect Surg, Dept Clin Sci, S-20502 Malmo, Sweden; [Koulaouzidis, Anastasios] Royal Infirm Edinburgh NHS Trust, Endoscopy Unit, Edinburgh EH16 4SA, Midlothian, Scotland</t>
  </si>
  <si>
    <t>Scuola Superiore Sant'Anna; Scuola Superiore Sant'Anna; Pomeranian Medical University; Pomeranian Medical University; University of London; King's College London; UK Research &amp; Innovation (UKRI); Engineering &amp; Physical Sciences Research Council (EPSRC); University of London; University College London; University of Turin; Lund University; Skane University Hospital; Lund University; University of Edinburgh; Royal Infirmary of Edinburgh</t>
  </si>
  <si>
    <t>Ciuti, G (corresponding author), Scuola Super Sant Anna, BioRobot Inst, I-56025 Pisa, Italy.;Ciuti, G (corresponding author), Scuola Super Sant Anna, Dept Excellence Robot &amp; AI, I-56127 Pisa, Italy.</t>
  </si>
  <si>
    <t>gastone.ciuti@santannapisa.it; karzyd@pum.edu.pl; marlicz@hotmail.com; veronica.iacovacci@santannapisa.it; hongbin.liu@kcl.ac.uk; danail.stoyanov@ucl.ac.uk; alberto.arezzo@unito.it; marcello.chiurazzi@santannapisa.it; ervin.toth@med.lu.se; henrik.thorlacius@med.lu.se; paolo.dario@santannapisa.it; akoulaouzidis@hotmail.com</t>
  </si>
  <si>
    <t>Arezzo, Alberto/AAB-6552-2020; Koulaouzidis, Anastasios/G-9060-2014; Liu, Hongbin/J-5043-2013; Marlicz, Wojciech/G-5007-2013; CIUTI, Gastone/T-6377-2018; Skonieczna-Zydecka, Karolina/K-7252-2014</t>
  </si>
  <si>
    <t>Chiurazzi, Marcello/0000-0002-7056-8844; Liu, Hongbin/0000-0002-4315-7556; Marlicz, Wojciech/0000-0002-2649-5967; Arezzo, Alberto/0000-0002-2110-4082; Toth, Ervin/0000-0002-9314-9239; Koulaouzidis, Anastasios/0000-0002-2248-489X; CIUTI, Gastone/0000-0002-0855-7976; Skonieczna-Zydecka, Karolina/0000-0002-3430-9079</t>
  </si>
  <si>
    <t>European Commission [H2020-ICT-24-2015, 688592]</t>
  </si>
  <si>
    <t>This work was partially supported by the European Commission within the framework of the Endoscopic versatile robotic guidance, diagnosis and therapy of magnetic-driven soft-tethered endoluminal robots Endoo Project, H2020-ICT-24-2015 (Endoo EU Project-G.A. number: 688592).</t>
  </si>
  <si>
    <t>10.3390/jcm9061648</t>
  </si>
  <si>
    <t>ML1DY</t>
  </si>
  <si>
    <t>WOS:000549216800001</t>
  </si>
  <si>
    <t>Nunes, RLV; Antunes, AA; Constantin, DS</t>
  </si>
  <si>
    <t>Vita Nunes, Ricardo Luia; Antunes, Alberto Azoubel; Constantin, Davi Souza</t>
  </si>
  <si>
    <t>Contemporary surgical treatment of benign prostatic hyperplasia</t>
  </si>
  <si>
    <t>REVISTA DA ASSOCIACAO MEDICA BRASILEIRA</t>
  </si>
  <si>
    <t>benign prostatic hyperplasia; surgical treatment; minimally invasive techniques; laser; videolaparoscopic; robot; assisted surgery; bipolar</t>
  </si>
  <si>
    <t>HOLMIUM LASER ENUCLEATION; MONOPOLAR TRANSURETHRAL RESECTION; OPEN SIMPLE PROSTATECTOMY; TRACT SYMPTOMS SECONDARY; CONVECTIVE WATER-VAPOR; ARTERIAL EMBOLIZATION; FOLLOW-UP; TRANSVESICAL PROSTATECTOMY; PERIOPERATIVE OUTCOMES; MASSIVE HEMATURIA</t>
  </si>
  <si>
    <t>Benign prostatic hyperplasia (BPH) is a common condition in adult men and its incidence increases progressively with aging. It has an important impact on the individual's physical and mental health and its natural progression can lead to serious pathological situations. Although the initial treatment is pharmacological, except in specific situations, the tendency of disease progression causes a considerable portion of the patients to require surgical treatment. In this case, there are several options available today in the therapeutic armamentarium. Among the options, established techniques, such as open surgery and endoscopic resection using monopolar energy, still prevail in the choice of surgeons because they are more accessible, both from a socioeconomic standpoint in the vast majority of medical services and in terms of training of medical teams. On the other hand, new techniques and technologies arise sequentially in order to minimize aggression, surgical time, recovery and complications, optimizing results related to the efficacy/safety dyad. Each of these techniques has its own peculiarities regarding availability due to cost, learning curve and scientific consolidation in order to achieve recognition as a cutting-edge method in the medical field. The use of bipolar energy in endoscopic resection of the prostate, laser vaporization and enucleation techniques, and videolaparoscopy are examples of new options that have successfully traced this path. Robot-assisted surgery has gained a lot of space in the last decade, but it still needs to dodge the trade barrier. Other techniques and technologies will need to pass the test of time to be able to conquer their space in this growing market.</t>
  </si>
  <si>
    <t>[Vita Nunes, Ricardo Luia] SBU, Benign Prostat Hyperplasia Dept, Rio De Janeiro, Brazil; [Vita Nunes, Ricardo Luia] Univ Sao Paulo, Fac Med, HC, FMUSP, Sao Paulo, Brazil; [Vita Nunes, Ricardo Luia] Hosp Mil, Area Sao Paulo Exercito Brasileiro, Urol Clin, Sao Paulo, SP, Brazil; [Antunes, Alberto Azoubel] FMUSP, Div Urol, Sao Paulo, SP, Brazil; [Antunes, Alberto Azoubel] FMUSP, Urol Grad Program, Sao Paulo, SP, Brazil; [Antunes, Alberto Azoubel] FMUSP, Div Urol, Prostate Sect, Sao Paulo, SP, Brazil; [Constantin, Davi Souza] Homem Hosp Transplantes Euryclides Jesus Zerbini, Ctr Referencia, Urol, Sao Paulo, SP, Brazil; [Constantin, Davi Souza] Hosp Mil, Area Sao Paulo Exercito Brasileiro, Sao Paulo, SP, Brazil</t>
  </si>
  <si>
    <t>Universidade de Sao Paulo; Universidade de Sao Paulo; Universidade de Sao Paulo; Universidade de Sao Paulo</t>
  </si>
  <si>
    <t>Nunes, RLV (corresponding author), Av Angelica 672,Cj 22, BR-01228000 Sao Paulo, SP, Brazil.</t>
  </si>
  <si>
    <t>rcnunes2003@yahoo.com.br</t>
  </si>
  <si>
    <t>Nunes, Ricardo/AAX-7732-2020; Antunes, Alberto/AAT-2023-2020</t>
  </si>
  <si>
    <t>Nunes, Ricardo Luis Vita/0000-0001-9961-1626</t>
  </si>
  <si>
    <t>ASSOC MEDICA BRASILEIRA</t>
  </si>
  <si>
    <t>SAO PAULO</t>
  </si>
  <si>
    <t>RUA SAO CARLOS DO PINHAL 324, CAIXA POSTAL 8904, SAO PAULO, SP, BRAZIL</t>
  </si>
  <si>
    <t>0104-4230</t>
  </si>
  <si>
    <t>REV ASSOC MED BRAS</t>
  </si>
  <si>
    <t>Rev. Assoc. Med. Bras.</t>
  </si>
  <si>
    <t>10.1590/1806-9282.63.08.711</t>
  </si>
  <si>
    <t>FI8VN</t>
  </si>
  <si>
    <t>Green Published, gold, Green Submitted</t>
  </si>
  <si>
    <t>WOS:000412280300009</t>
  </si>
  <si>
    <t>Maalouf, N; Sidaoui, A; Elhajj, IH; Asmar, D</t>
  </si>
  <si>
    <t>Maalouf, Noel; Sidaoui, Abbas; Elhajj, Imad H.; Asmar, Daniel</t>
  </si>
  <si>
    <t>Robotics in Nursing: A Scoping Review</t>
  </si>
  <si>
    <t>JOURNAL OF NURSING SCHOLARSHIP</t>
  </si>
  <si>
    <t>Assistive; caregivers; disabled; elderly; ethics; monitoring; nursing; robotics; social</t>
  </si>
  <si>
    <t>HEALTH-CARE ROBOTS; ASSISTIVE ROBOTICS; AGED CARE; SYSTEM; DEMENTIA; EXPLORATION; CHILDREN; MOBILITY; THERAPY; DESIGN</t>
  </si>
  <si>
    <t>Purpose Driven by the shortage in qualified nurses and the high percentage of aging populations, the past decade has witnessed a significant growth in the use of robots in nursing, especially in countries like Japan. This article is a scoping review of the different tracks in which robots are used in nursing. Whereas assistive robots are used for physical care, including service and monitoring tasks, social assistive robots focus on the cognitive and emotional well-being of patients in need of companionship. Methods Findings A total of six electronic databases were used in the search for journal papers and conference proceedings. The key words used in searching the databases were nursing OR nurses, AND robots OR robotics. Topics covering surgical robotics, nursing education robotics, and clinical procedures were excluded. A total of 1,758 articles were retrieved, from which 69 articles were included in the final review. The analysis of the chosen papers led to the categorization of robots into two main categories: assistive robots and social assistive robots. Conclusions Clinical Relevance After a detailed review of the state of the art in assistive robots and social assistive robots, an insight into the future of robotics in this field is provided. The recommendations include the need to intensify research on human robot interaction, greater focus on monitoring robots, and analysis of the psychological barriers that need to be surmounted to achieve more tolerance and higher acceptance of robots. For researchers and developers to provide suitable technological solutions, a full understanding of robotics in nursing is needed. An overview of the most recent applications and their proper categorization is key to finding areas for contribution.</t>
  </si>
  <si>
    <t>[Maalouf, Noel; Sidaoui, Abbas; Elhajj, Imad H.] Amer Univ Beirut, Elect &amp; Comp Engn Dept, Beirut, Lebanon; [Asmar, Daniel] Amer Univ Beirut, Mech Engn Dept, Beirut, Lebanon</t>
  </si>
  <si>
    <t>American University of Beirut; American University of Beirut</t>
  </si>
  <si>
    <t>Maalouf, N (corresponding author), Amer Univ Beirut, Fac Engn &amp; Architecture Elect &amp; Comp Engn, Bliss Str, Beirut 11072020, Lebanon.</t>
  </si>
  <si>
    <t>njm12@mail.aub.edu</t>
  </si>
  <si>
    <t>Hajj, Ihab/AAR-4490-2021; Maalouf, Noel/N-8684-2019</t>
  </si>
  <si>
    <t>Elhajj, Imad/0000-0002-6461-4699; Asmar, Daniel/0000-0002-4932-9777</t>
  </si>
  <si>
    <t>American University of Beirut University Research Board; Lebanese National Council for Scientific Research</t>
  </si>
  <si>
    <t>American University of Beirut University Research Board; Lebanese National Council for Scientific Research(Centre National de la Recherche Scientifique (CNRS) - Lebanon)</t>
  </si>
  <si>
    <t>This research was funded and supported by the American University of Beirut University Research Board and the Lebanese National Council for Scientific Research.</t>
  </si>
  <si>
    <t>1527-6546</t>
  </si>
  <si>
    <t>1547-5069</t>
  </si>
  <si>
    <t>J NURS SCHOLARSHIP</t>
  </si>
  <si>
    <t>J. Nurs. Scholarsh.</t>
  </si>
  <si>
    <t>10.1111/jnu.12424</t>
  </si>
  <si>
    <t>HA1RM</t>
  </si>
  <si>
    <t>WOS:000449999000003</t>
  </si>
  <si>
    <t>Assidi, M</t>
  </si>
  <si>
    <t>Assidi, Mourad</t>
  </si>
  <si>
    <t>Infertility in Men: Advances towards a Comprehensive and Integrative Strategy for Precision Theranostics</t>
  </si>
  <si>
    <t>CELLS</t>
  </si>
  <si>
    <t>male infertility; sperm; etiology; aging; biomarkers; lifestyle; multiomics; precision theranostics</t>
  </si>
  <si>
    <t>ASSISTED REPRODUCTIVE TECHNOLOGY; N-ACETYL-CYSTEINE; SEMINAL PLASMA; SEMEN PARAMETERS; DOUBLE-BLIND; OXIDATIVE STRESS; SPERM QUALITY; NONOBSTRUCTIVE AZOOSPERMIA; MALE-FERTILITY; BIRTH-DEFECTS</t>
  </si>
  <si>
    <t>Male infertility is an increasing and serious medical concern, though the mechanism remains poorly understood. Impaired male reproductive function affects approximately half of infertile couples worldwide. Multiple factors related to the environment, genetics, age, and comorbidities have been associated with impaired sperm function. Present-day clinicians rely primarily on standard semen analysis to diagnose male reproductive potential and develop treatment strategies. To address sperm quality assessment bias and enhance analysis accuracy, the World Health Organization (WHO) has recommended standardized sperm testing; however, conventional diagnostic and therapeutic options for male infertility, including physical examination and semen standard analysis, remain ineffective in relieving the associated social burden. Instead, assisted reproductive techniques are becoming the primary therapeutic approach. In the post-genomic era, multiomics technologies that deeply interrogate the genome, transcriptome, proteome, and/or the epigenome, even at single-cell level, besides the breakthroughs in robotic surgery, stem cell therapy, and big data, offer promises towards solving semen quality deterioration and male factor infertility. This review highlights the complex etiology of male infertility, especially the roles of lifestyle and environmental factors, and discusses advanced technologies/methodologies used in characterizing its pathophysiology. A comprehensive combination of these innovative approaches in a global and multi-centric setting and fulfilling the suitable ethical consent could ensure optimal reproductive and developmental outcomes. These combinatorial approaches should allow for the development of diagnostic markers, molecular stratification classes, and personalized treatment strategies. Since lifestyle choices and environmental factors influence male fertility, their integration in any comprehensive approach is required for safe, proactive, cost-effective, and noninvasive precision male infertility theranostics that are affordable, accessible, and facilitate couples realizing their procreation dream.</t>
  </si>
  <si>
    <t>[Assidi, Mourad] King Abdulaziz Univ, Ctr Excellence Genom Med Res, POB 80216, Jeddah 21589, Saudi Arabia; [Assidi, Mourad] King Abdulaziz Univ, Fac Appl Med Sci, Med Lab Dept, POB 80216, Jeddah 21589, Saudi Arabia</t>
  </si>
  <si>
    <t>King Abdulaziz University; King Abdulaziz University</t>
  </si>
  <si>
    <t>Assidi, M (corresponding author), King Abdulaziz Univ, Ctr Excellence Genom Med Res, POB 80216, Jeddah 21589, Saudi Arabia.;Assidi, M (corresponding author), King Abdulaziz Univ, Fac Appl Med Sci, Med Lab Dept, POB 80216, Jeddah 21589, Saudi Arabia.</t>
  </si>
  <si>
    <t>mourad.assidi@gmail.com</t>
  </si>
  <si>
    <t>ASSIDI, Mourad/A-6152-2013</t>
  </si>
  <si>
    <t>ASSIDI, Mourad/0000-0003-2750-1764</t>
  </si>
  <si>
    <t>2073-4409</t>
  </si>
  <si>
    <t>CELLS-BASEL</t>
  </si>
  <si>
    <t>Cells</t>
  </si>
  <si>
    <t>10.3390/cells11101711</t>
  </si>
  <si>
    <t>Cell Biology</t>
  </si>
  <si>
    <t>1Q0AX</t>
  </si>
  <si>
    <t>WOS:000802363100001</t>
  </si>
  <si>
    <t>Grobet-Jeandin, E; Pinar, U; Parra, J; Rouprêt, M; Seisen, T</t>
  </si>
  <si>
    <t>Grobet-Jeandin, Elisabeth; Pinar, Ugo; Parra, Jerome; Roupret, Morgan; Seisen, Thomas</t>
  </si>
  <si>
    <t>Health-related quality of life after curative treatment for muscle-invasive bladder cancer</t>
  </si>
  <si>
    <t>ASSISTED RADICAL CYSTECTOMY; ORTHOTOPIC NEOBLADDER RECONSTRUCTION; CONDUIT URINARY-DIVERSION; RANDOMIZED CLINICAL-TRIAL; LONG-TERM SURVIVORS; ILEAL CONDUIT; TRANSURETHRAL RESECTION; TRIMODAL THERAPY; NEOADJUVANT CHEMOTHERAPY; MODALITY THERAPY</t>
  </si>
  <si>
    <t>Health-related quality of life can be affected by muscle-invasive bladder cancer treatment and should be assessed all the way through patient's care. In this Review, the authors summarize available data on patient health-related quality of life after curative local treatment for muscle-invasive bladder cancer, also considering the effect of different surgical procedures or urinary diversion methods on patient quality of life. Muscle-invasive bladder cancer (MIBC) is an aggressive disease for which the gold-standard treatment is radical cystectomy (RC) in combination with cisplatin-based neoadjuvant chemotherapy. Bladder-sparing strategies such as trimodal therapy (TMT) have also emerged to improve health-related quality of life (HRQoL) of patients. However, an improved understanding of the effect of all these treatment modalities on HRQoL is essential to provide personalized patient care. Different combinations of generic, cancer-specific and bladder cancer-specific questionnaires can be used as instruments for HRQoL evaluation in patients with MIBC before and after curative treatments, which can largely affect multiple domains of HRQoL including general health as well as physical, functional, social and emotional well-being. However, diagnosis of MIBC per se is also likely to affect HRQoL, and the perspective of cure after RC or TMT could induce a return to baseline HRQoL values for most of these domains. A considerable amount of data on HRQoL after RC is available, but conflicting results have been reported regarding the effect of urinary diversion (ileal conduit or orthotopic neobladder) and surgical approach (open or robotic surgery) on patient quality of life. Data on HRQoL after TMT are scarce, and additional comparative studies including patients receiving RC (especially using ileal orthotopic neobladder) are needed.</t>
  </si>
  <si>
    <t>[Grobet-Jeandin, Elisabeth; Pinar, Ugo; Parra, Jerome; Roupret, Morgan; Seisen, Thomas] Sorbonne Univ, Pitie Salpetriere Hosp, AP HP, Predict Oncourol,GRC 5,Urol, Paris, France; [Grobet-Jeandin, Elisabeth] Geneva Univ Hosp, Div Urol, Geneva, Switzerland</t>
  </si>
  <si>
    <t>Assistance Publique Hopitaux Paris (APHP); Hopital Universitaire Pitie-Salpetriere - APHP; Sorbonne Universite; University of Geneva</t>
  </si>
  <si>
    <t>Grobet-Jeandin, E (corresponding author), Sorbonne Univ, Pitie Salpetriere Hosp, AP HP, Predict Oncourol,GRC 5,Urol, Paris, France.;Grobet-Jeandin, E (corresponding author), Geneva Univ Hosp, Div Urol, Geneva, Switzerland.</t>
  </si>
  <si>
    <t>elisabeth.jeandin@hcuge.ch</t>
  </si>
  <si>
    <t>pinar, ugo/AAS-3188-2020</t>
  </si>
  <si>
    <t>10.1038/s41585-022-00693-z</t>
  </si>
  <si>
    <t>AI9J7</t>
  </si>
  <si>
    <t>WOS:000914914000003</t>
  </si>
  <si>
    <t>Alexander, KE; Clutterbuck, GL; Johnston, LM</t>
  </si>
  <si>
    <t>Alexander, Kate E.; Clutterbuck, Georgina L.; Johnston, Leanne M.</t>
  </si>
  <si>
    <t>Effectiveness of school-based physiotherapy intervention for children</t>
  </si>
  <si>
    <t>Physiotherapy; school; children; intervention; review</t>
  </si>
  <si>
    <t>DEVELOPMENTAL COORDINATION DISORDER; GROSS MOTOR FUNCTION; CEREBRAL-PALSY; PHYSICAL-THERAPY; SERVICE DELIVERY; STUDENT; PARTICIPATION; WALKING; ADOLESCENTS; AMBULATION</t>
  </si>
  <si>
    <t>PurposeTo evaluate the effectiveness of school-based physiotherapy interventions for improving students' participation in school settings.MethodA systematic review was reported using PRISMA guidelines. Four databases were searched for studies investigating physiotherapy outcomes of school-based physiotherapy interventions in children. Studies were categorised by intervention type and evaluated based on evidence level and conduct.ResultsFifteen intervention types (23 studies) met criteria. Strong positive evidence supported treadmill training without bodyweight support (n = 1), and upper limb interventions (n = 2). Moderate positive evidence supported robotic-assisted gait training (n = 1), Gross Motor Activity Training with Multimodal Education-Based Therapy (GMAT + MET) (n = 2), neurodevelopmental treatment (n = 2), and rock climbing (n = 1). Weak positive evidence supported environmental modifications (n = 1), Ergonomic Health Literacy (n = 3), GMAT (n = 1), GMAT with progressive resistance exercise (GMAT-PRE) (n = 1), hippotherapy (n = 1), MET alone (n = 7), overground gait training (n = 2), treadmill training with partial body-weight support (n = 1), and non-immersive virtual reality (n = 3).ConclusionThere is preliminary supporting evidence for a variety of school-based physiotherapy interventions which is consistent with evidence for interventions with established efficacy in other contexts. The evidence for interventions in school contexts alone is insufficient to guide current practice. Future research should specifically evaluate the effectiveness of physiotherapy approaches in school settings. Preliminary supporting evidence exists for a variety of school-based physiotherapy interventions, primarily those with established efficacy in other contexts.Successful interventions were designed with a direct focus on assisting participants to improve their ability to engage in school activities.Relevant participation-focussed outcome measures should be used to evaluate the effectiveness of intervention provided in a school context.Interventions with proven effectiveness for specific population groups in other contexts are likely to be effective in schools, however the impact on participation at school is yet to be determined.</t>
  </si>
  <si>
    <t>[Alexander, Kate E.; Clutterbuck, Georgina L.; Johnston, Leanne M.] Univ Queensland, Sch Hlth &amp; Rehabil Sci, St Lucia, Brisbane 4072, Australia; [Alexander, Kate E.; Clutterbuck, Georgina L.; Johnston, Leanne M.] Univ Queensland, Childrens Motor Control Res Collaborat CMCRC, Brisbane, Australia</t>
  </si>
  <si>
    <t>University of Queensland; University of Queensland</t>
  </si>
  <si>
    <t>Clutterbuck, GL (corresponding author), Univ Queensland, Sch Hlth &amp; Rehabil Sci, St Lucia, Brisbane 4072, Australia.</t>
  </si>
  <si>
    <t>g.clutterbuck@uq.edu.au</t>
  </si>
  <si>
    <t>Johnston, Leanne/G-2517-2010; Clutterbuck, Georgina/P-4917-2018</t>
  </si>
  <si>
    <t>APR 10</t>
  </si>
  <si>
    <t>10.1080/09638288.2024.2388260</t>
  </si>
  <si>
    <t>2HZ7H</t>
  </si>
  <si>
    <t>WOS:001288329500001</t>
  </si>
  <si>
    <t>Michaelsen, SH; Gronhoj, C; Michaelsen, JH; Friborg, J; von Buchwald, C</t>
  </si>
  <si>
    <t>Michaelsen, Sanne Hoxbroe; Gronhoj, Christian; Michaelsen, Jacob Hoxbroe; Friborg, Jeppe; von Buchwald, Christian</t>
  </si>
  <si>
    <t>Quality of life in survivors of oropharyngeal cancer: A systematic review and meta-analysis of 1366 patients</t>
  </si>
  <si>
    <t>EUROPEAN JOURNAL OF CANCER</t>
  </si>
  <si>
    <t>Oropharyngeal cancer; Quality of life; Long-term effects; Survivors; Review</t>
  </si>
  <si>
    <t>TRANSORAL ROBOTIC SURGERY; TERM FUNCTIONAL OUTCOMES; SQUAMOUS-CELL CARCINOMA; NECK-CANCER; HUMAN-PAPILLOMAVIRUS; REFERENCE VALUES; ADVANCED HEAD; HEALTH-STATUS; ORAL-CAVITY; RADIATION</t>
  </si>
  <si>
    <t>Human papillomavirus (HPV)-associated oropharyngeal cancer (OPC) is rapidly increasing in incidence and has a favourable prognosis compared with HPV-negative disease. Current combined therapies include significant risks of morbidity for the growing group of survivors. This systematic review and meta-analysis investigates how treatment affects quality of life (QoL) in survivors of oropharyngeal cancer. PubMed, EMBASE and the Cochrane Library were systematically searched for all studies reporting patient-assessed QoL at least 1 year after treatment for OPC. In a meta-analysis, weighted average QoL scores from the four most commonly utilised QoL instruments were compared with baseline and reference group scores using the concept of minimal clinically important difference. The meta-analysis included data from 1366 patients from 25 studies and 12 countries. The European Organization for Research and Treatment of Cancer Quality of Life Questionnaire Core-30 (EORTC QLQ-C30) was answered by 704 patients, 644 patients answered the EORTC QLQ Head and Neck-35 (H&amp;N-35), 474 patients answered the University of Washington Quality of Life Questionnaire, and 381 patients answered the M. D. Anderson Dysphagia Inventory. Moderate to large clinically important deteriorations in QoL were found in the domains dry mouth and sticky saliva for the EORTC QLQ-H&amp;N35, saliva, chewing, swallowing, speech, taste, appearance and shoulder for the University of Washington Quality of Life Questionnaire, and the global, physical and emotional subscales for the M. D. Anderson Dysphagia Inventory. In conclusion, survivors of OPC face clinically important deteriorations in QoL that most markedly centre on xerostomia, dysphagia and chewing. These ailments indicate a potential for improvement in patient management. (C) 2017 Elsevier Ltd. All rights reserved.</t>
  </si>
  <si>
    <t>[Michaelsen, Sanne Hoxbroe; Gronhoj, Christian; Michaelsen, Jacob Hoxbroe; von Buchwald, Christian] Rigshosp, Univ Hosp, Dept Otorhinolaryngol Head &amp; Neck Surg &amp; Audiol, Blegdamsvej 9, DK-2100 Copenhagen O, Denmark; [Friborg, Jeppe] Rigshosp, Univ Hosp, Dept Oncol, Blegdamsvej 9, DK-2100 Copenhagen O, Denmark</t>
  </si>
  <si>
    <t>Rigshospitalet; Rigshospitalet</t>
  </si>
  <si>
    <t>von Buchwald, C (corresponding author), Rigshosp, Univ Hosp, Dept Otorhinolaryngol Head &amp; Neck Surg &amp; Audiol, Blegdamsvej 9, DK-2100 Copenhagen O, Denmark.</t>
  </si>
  <si>
    <t>christian.buchwald@rh.regionh.dk</t>
  </si>
  <si>
    <t>Michaelsen, Sanne/T-3393-2019; Friborg, Jeppe/AED-5490-2022; Gronhoj, Christian/C-2817-2016; von Buchwald, Christian/D-5336-2016</t>
  </si>
  <si>
    <t>Hoxbroe Michaelsen, Sanne/0000-0002-2771-6127; Friborg, Jeppe/0000-0001-5423-0627; Gronhoj, Christian/0000-0002-4524-8291; von Buchwald, Christian/0000-0001-6753-8129</t>
  </si>
  <si>
    <t>Candy's Foundation; Kraeftfonden (Cancer Foundation)</t>
  </si>
  <si>
    <t>CGL is supported by the non-profit Candy's Foundation [no grant number] and Kraeftfonden (The Cancer Foundation) [no grant number].</t>
  </si>
  <si>
    <t>0959-8049</t>
  </si>
  <si>
    <t>1879-0852</t>
  </si>
  <si>
    <t>EUR J CANCER</t>
  </si>
  <si>
    <t>Eur. J. Cancer</t>
  </si>
  <si>
    <t>10.1016/j.ejca.2017.03.006</t>
  </si>
  <si>
    <t>EV7BW</t>
  </si>
  <si>
    <t>WOS:000401930300012</t>
  </si>
  <si>
    <t>Verde, JM; Giménez, ME</t>
  </si>
  <si>
    <t>Manuel Verde, Juan; Gimenez, Mariano E.</t>
  </si>
  <si>
    <t>From image-guided surgery to surgeOmics: Facing the era of intelligent automation and robotics</t>
  </si>
  <si>
    <t>INTERNATIONAL JOURNAL OF GASTROINTESTINAL INTERVENTION</t>
  </si>
  <si>
    <t>Computer-assisted; Image guided surgery; Image processing; Precision medicine; Robotics</t>
  </si>
  <si>
    <t>RADIOMICS</t>
  </si>
  <si>
    <t>Digital images do not represent anatomy, they are just a reliable translation from a full-colored and three-dimensional physical world to a grayscale and two dimensions image domain. As a consequence of the imaging technologies disruption in the medical field, a vertiginous race to see had been seeking higher definitions. This process got closer and even exceed human naked-eye resolution and the human brain skills to decode grayscale bidimensional pictures. In the diagnostic field, as a result, the last decade showed important technological advances addressing this issue and computer-aided detection and diagnosis emerged to complement and enhance radiologist frameworks. In this new era methodologies designed to extract more information from images are a must. Radiomics addressed this item using images as datasets, focusing in the region of interest and extracting features, allowing reproducibility, and finally introducing radiology into the quantitative sciences. Technological disruption in medical imaging also found momentum in the therapeutics arena, empowering a bunch of audacious surgeons to perform less invasive procedures with more confidence and precision, finally launching and shaping the image-guided surgery (IGS) discipline. Here instead, there is no use as data counterpart and surgeOmics is the first proposed approach. A wide range of semantic and agnostic features can be extracted from the different phases of the IGS's workflow, like entry point coordinates, angle, distance, target location, amongst the most important ones. In summary, we are coining the surgeOmics neologism to name this approach, which holds great promises to deal with future demands. It has the potential to improve surgeon-hardware interaction and its central hypothesis is that distinctive algorithms using images as data can provide valuable information for personalized and precision surgery in the era of robotics and intelligent automation. SurgeOmics has emerged from IGS, but can be applied to other wide range of medical problems. Copyright (c) 2019, Society of Gastrointestinal Intervention.</t>
  </si>
  <si>
    <t>[Manuel Verde, Juan; Gimenez, Mariano E.] Univ Buenos Aires, Gen &amp; Minimally Invas Surg, Calle Viamonte 430, RA-1053 Buenos Aires, DF, Argentina; [Manuel Verde, Juan; Gimenez, Mariano E.] DAICIM Fdn, Calle Viamonte 430, RA-1053 Buenos Aires, DF, Argentina; [Gimenez, Mariano E.] Univ Strasbourg, Inst Adv Studies, Percutaneous Surg, Strasbourg, France; [Gimenez, Mariano E.] IHU IRCAD, Percutaneous Surg, Strasbourg, France</t>
  </si>
  <si>
    <t>University of Buenos Aires; Universites de Strasbourg Etablissements Associes; Universite de Strasbourg</t>
  </si>
  <si>
    <t>Verde, JM (corresponding author), Univ Buenos Aires, Gen &amp; Minimally Invas Surg, Calle Viamonte 430, RA-1053 Buenos Aires, DF, Argentina.;Verde, JM (corresponding author), DAICIM Fdn, Calle Viamonte 430, RA-1053 Buenos Aires, DF, Argentina.</t>
  </si>
  <si>
    <t>jverde.md@gmail.com</t>
  </si>
  <si>
    <t>Verde, Juan Manuel/AAD-2552-2021</t>
  </si>
  <si>
    <t>Verde, Juan Manuel/0000-0002-9127-8467</t>
  </si>
  <si>
    <t>SOC GASTROINTESTINAL INTERVENTION</t>
  </si>
  <si>
    <t>12, HAKDONG-RO 31, GANGNAM-GU, SEOUL, 00000, SOUTH KOREA</t>
  </si>
  <si>
    <t>2636-0004</t>
  </si>
  <si>
    <t>2636-0012</t>
  </si>
  <si>
    <t>INT J GASTROINT INT</t>
  </si>
  <si>
    <t>Int. J. Gastrointest. Interv.</t>
  </si>
  <si>
    <t>10.18528/ijgii180043</t>
  </si>
  <si>
    <t>KX1LX</t>
  </si>
  <si>
    <t>WOS:000521645800005</t>
  </si>
  <si>
    <t>Yeh, SW; Lin, LF; Tam, KW; Tsai, CP; Hong, CH; Kuan, YC</t>
  </si>
  <si>
    <t>Yeh, Shu-Wei; Lin, Li-Fong; Tam, Ka-Wai; Tsai, Ching-Piao; Hong, Chien-Hsiung; Kuan, Yi-Chun</t>
  </si>
  <si>
    <t>Efficacy of robot-assisted gait training in multiple sclerosis: A systematic review and meta-analysis</t>
  </si>
  <si>
    <t>Robot-assisted gait training; Multiple sclerosis; Walking performance; Fatigue; Quality of life</t>
  </si>
  <si>
    <t>BODY-WEIGHT SUPPORT; QUALITY-OF-LIFE; MOBILITY; WALKING; VALIDATION; DISABILITY; FATIGUE; BALANCE; PEOPLE; STROKE</t>
  </si>
  <si>
    <t>Background: Multiple sclerosis is a progressive disease responsible for gait disabilities and cognitive impairment, which affect functional performance. Robot -assisted gait training is an emerging training method to facilitate body-weight-supported treadmill training in many neurologic diseases. Through this study, we aimed to de- termine the efficacy of robot -assisted gait training in patients with multiple sclerosis. Methods: We performed a systematic review and meta -analysis of randomized controlled trials evaluating the effect of robot -assisted gait training for multiple sclerosis. We searched PubMed, EMBASE, the Cochrane Library, and ClinicalTrials.gov registry for articles published before May 2019. The primary outcome was walking per- formance (gait parameters, balance, and ambulation capability). The secondary outcomes were changes in perceived fatigue, severity of spasticity, global mobility, physical and mental quality of life, severity of pain, activities of daily living, and treatment acceptance. Results: We identified 10 studies (9 different trials) that included patients with multiple sclerosis undergoing robot -assisted gait training or conventional walk training. The meta -analysis showed comparable effectiveness between robot -assisted gait training and conventional walking therapy in walking performance, quality of life, pain, or activities of daily living. The robot -assisted gait training was even statistically superior to conventional walking therapy in improving perceived fatigue (pooled SMD: 0.34, 95% CI: 0.02-0.67), spasticity (pooled SMD: 0.70, 95% CI: 0.08-1.33, I 2 = 53%), and global mobility (borderline) after the intervention. Conclusion: Our results provide the most up-to-date evidence regarding the robot -assisted gait training on multiple sclerosis. In addition to the safety and good tolerance, its efficacy on multiple sclerosis is comparable to that of conventional walking training and is even superior in improving fatigue and spasticity.</t>
  </si>
  <si>
    <t>[Yeh, Shu-Wei] Chang Gung Mem Hosp, Dept Phys Med &amp; Rehabil, Taoyuan, Taiwan; [Yeh, Shu-Wei; Hong, Chien-Hsiung] Taipei Med Univ, Sch Med, Coll Med, Taipei, Taiwan; [Lin, Li-Fong] Taipei Med Univ, Dept Phys Med &amp; Rehabil, Shuang Ho Hosp, New Taipei, Taiwan; [Lin, Li-Fong] Taipei Med Univ, Sch Gerontol Hlth Management, Coll Nursing, Taipei, Taiwan; [Lin, Li-Fong] Taipei Med Univ, Neurosci Res Ctr, Taipei, Taiwan; [Lin, Li-Fong] Taipei Med Univ, Res Ctr Artificial Intelligence Med, Taipei, Taiwan; [Tam, Ka-Wai; Kuan, Yi-Chun] Taipei Med Univ, Cochrane Taiwan, Taipei, Taiwan; [Tam, Ka-Wai; Kuan, Yi-Chun] Taipei Med Univ, Ctr Evidence Based Hlth Care, Shuang Ho Hosp, New Taipei, Taiwan; [Tam, Ka-Wai] Taipei Med Univ, Div Gen Surg, Dept Surg, Sch Med,Coll Med, Taipei, Taiwan; [Tam, Ka-Wai] Taipei Med Univ, Div Gen Surg, Dept Surg, Shuang Ho Hosp, New Taipei, Taiwan; [Tsai, Ching-Piao] Asia Univ, Dept Biotechnol, Taichung, Taiwan; [Tsai, Ching-Piao] Beito Hlth Management Hosp, Taipei, Taiwan; [Hong, Chien-Hsiung] Taipei Med Univ, Dept Internal Med, Taipei Med Univ Hosp, Taipei, Taiwan; [Kuan, Yi-Chun] Taipei Med Univ, Taipei Neurosci Inst, Taipei, Taiwan; [Kuan, Yi-Chun] Natl Taiwan Univ, Inst Epidemiol &amp; Prevent Med, Coll Publ Hlth, Taipei, Taiwan; [Kuan, Yi-Chun] Taipei Med Univ, Dept Neurol, Shuang Ho Hosp, New Taipei, Taiwan; [Kuan, Yi-Chun] Taipei Med Univ, Dept Neurol, Sch Med, Coll Med, Taipei, Taiwan</t>
  </si>
  <si>
    <t>Chang Gung Memorial Hospital; Taipei Medical University; Taipei Medical University; Shuang Ho Hospital; Taipei Medical University; Taipei Medical University; Taipei Medical University; Taipei Medical University; Taipei Medical University; Shuang Ho Hospital; Taipei Medical University; Taipei Medical University; Shuang Ho Hospital; Asia University Taiwan; Taipei Medical University Hospital; Taipei Medical University; Taipei Medical University; National Taiwan University; Taipei Medical University; Shuang Ho Hospital; Taipei Medical University</t>
  </si>
  <si>
    <t>Hong, CH (corresponding author), Taipei Med Univ, Sch Med, Coll Med, Taipei, Taiwan.;Kuan, YC (corresponding author), Taipei Med Univ, Cochrane Taiwan, Taipei, Taiwan.;Kuan, YC (corresponding author), Taipei Med Univ, Ctr Evidence Based Hlth Care, Shuang Ho Hosp, New Taipei, Taiwan.;Hong, CH (corresponding author), Taipei Med Univ, Dept Internal Med, Taipei Med Univ Hosp, Taipei, Taiwan.;Kuan, YC (corresponding author), Taipei Med Univ, Taipei Neurosci Inst, Taipei, Taiwan.;Kuan, YC (corresponding author), Natl Taiwan Univ, Inst Epidemiol &amp; Prevent Med, Coll Publ Hlth, Taipei, Taiwan.;Kuan, YC (corresponding author), Taipei Med Univ, Dept Neurol, Shuang Ho Hosp, New Taipei, Taiwan.;Kuan, YC (corresponding author), Taipei Med Univ, Dept Neurol, Sch Med, Coll Med, Taipei, Taiwan.</t>
  </si>
  <si>
    <t>b101100083@tmu.edu.tw; yckuang2@gmail.com</t>
  </si>
  <si>
    <t>Lin, Li-Fong/AAU-4368-2021; Tsai, Ching-Piao/HNP-5201-2023</t>
  </si>
  <si>
    <t>Lin, Li-Fong/0000-0002-8586-4136</t>
  </si>
  <si>
    <t>Taipei Medical University [TMU106-AE1-B45]</t>
  </si>
  <si>
    <t>Taipei Medical University</t>
  </si>
  <si>
    <t>This work is supported by a research grant from Taipei Medical University (grant No. TMU106-AE1-B45). The sponsoring organization was not involved in the study design, data analysis, or interpretation.</t>
  </si>
  <si>
    <t>10.1016/j.msard.2020.102034</t>
  </si>
  <si>
    <t>MD6FW</t>
  </si>
  <si>
    <t>WOS:000544068400012</t>
  </si>
  <si>
    <t>Pang, C; Guan, YY; Li, HB; Chen, WQ; Zhu, G</t>
  </si>
  <si>
    <t>Pang, Cheng; Guan, Youyan; Li, Hongbo; Chen, Wanqing; Zhu, Gang</t>
  </si>
  <si>
    <t>Urologic cancer in China</t>
  </si>
  <si>
    <t>prostrate cancer; bladder cancer; kidney cancer; diagnosis; treatment</t>
  </si>
  <si>
    <t>METASTATIC PROSTATE-CANCER; RADICAL PROSTATECTOMY; DIAGNOSIS; MORTALITY</t>
  </si>
  <si>
    <t>Cancer remains to be the second most common cause of death, and its incidence and mortality rates are increasing in China. According to the 2015 National Central Cancer Registry (NCCR) of China, the incidence of bladder cancer and prostate cancer ranked sixth and seventh, respectively, in male cancers. The majority of prostate cancer patients were diagnosed at an advanced stage. Early diagnosis of prostate cancer is the key to improve prostate cancer survival in China. Radical prostatectomy or radical radiotherapy is the main treatment for localized prostate cancer, and a comprehensive therapy based on androgen deprivation therapy is the treatment for advanced disease. The most common histologic types of bladder cancer in China were urothelial carcinoma, followed by adenocarcinoma and squamous carcinoma. The majority of patients were diagnosed using white-light cystoscopy with biopsy. Fluorescence and narrow-band imaging cystoscopy had additional detection rates and are becoming more popular. Following Chinese guidelines, most non-muscle invasive bladder cancer patients were treated with diagnostic transurethral resection and more than half of the muscle invasive bladder cancer patients were treated with radical cystectomy. Due to the increased detection rate of kidney tumors by ultrasound in physical examination, the number of incidentally diagnosed renal cell carcinoma has increased. Localized kidney cancers are more and more often treated by nephron-sparing surgery. Radical nephrectomy is still the main treatment option for patients with locally advanced renal cell carcinoma. Both laparoscopic and robotic-assisted laparoscopic surgeries have been used in big medical centers. Both testicular cancer and penile cancer have lower incidence levels than that in Europe. As we have an enormous population base, the absolute patient number is big. The diagnosis and treatment follows the Chinese guidelines. In China, both medical professionals and public should concern more on the early diagnosis, as there is not enough cancer prevention information available. Urologists should also take a more active role in educating the population.</t>
  </si>
  <si>
    <t>[Pang, Cheng] Peking Union Med Coll, Grad Sch, Beijing, Peoples R China; [Pang, Cheng] Minist Hlth, Beijing Hosp, Dept Urol, Beijing, Peoples R China; [Guan, Youyan] Chinese Acad Med Sci, Canc Hosp, Dept Urol, Beijing, Peoples R China; [Guan, Youyan] Peking Union Med Coll, Natl Canc Ctr, Beijing, Peoples R China; [Li, Hongbo; Zhu, Gang] Beijing United Family Hosp &amp; Clin, Dept Urol, Beijing, Peoples R China; [Chen, Wanqing] Natl Canc Ctr, Natl Off Canc Prevent &amp; Control, 17 Pan Jia Yuan South Lane, Beijing 100021, Peoples R China</t>
  </si>
  <si>
    <t>Chinese Academy of Medical Sciences - Peking Union Medical College; Peking Union Medical College; Beijing Hospital; Chinese Academy of Medical Sciences - Peking Union Medical College; Cancer Institute &amp; Hospital - CAMS; Chinese Academy of Medical Sciences - Peking Union Medical College; Peking Union Medical College</t>
  </si>
  <si>
    <t>Chen, WQ (corresponding author), Natl Canc Ctr, Natl Off Canc Prevent &amp; Control, 17 Pan Jia Yuan South Lane, Beijing 100021, Peoples R China.;Zhu, G (corresponding author), Beijing United Family Hosp, Dept Urol, 2 Jiangtai Rd, Beijing 100015, Peoples R China.</t>
  </si>
  <si>
    <t>chenwq@cicams.ac.cn; zhugang2000@outlook.com</t>
  </si>
  <si>
    <t>lin, qing/JTU-4293-2023; hongbo, li/HJH-9630-2023</t>
  </si>
  <si>
    <t>10.1093/jjco/hyw034</t>
  </si>
  <si>
    <t>DT0GW</t>
  </si>
  <si>
    <t>WOS:000381162500001</t>
  </si>
  <si>
    <t>Rathod, S; Livergant, J; Klein, J; Witterick, I; Ringash, J</t>
  </si>
  <si>
    <t>Rathod, Shrinivas; Livergant, Jonathan; Klein, Jonathan; Witterick, Ian; Ringash, Jolie</t>
  </si>
  <si>
    <t>A systematic review of quality of life in head and neck cancer treated with surgery with or without adjuvant treatment</t>
  </si>
  <si>
    <t>ORAL ONCOLOGY</t>
  </si>
  <si>
    <t>Head and Neck Neoplasm; Surgery; Postoperative radiation; Radiotherapy; Quality of life; Systematic review; Squamous cell carcinoma; Squamous cell cancer; Evidence based medicine</t>
  </si>
  <si>
    <t>SQUAMOUS-CELL CARCINOMA; TRANSORAL ROBOTIC SURGERY; CLINICAL-TRIALS; EUROPEAN-ORGANIZATION; FUNCTIONAL ASSESSMENT; OROPHARYNGEAL CANCER; RADIATION-THERAPY; ELDERLY-PATIENTS; OUTCOMES; RADIOTHERAPY</t>
  </si>
  <si>
    <t>Quality of life (QoL) is an important consideration in the management of head and neck cancers (HNC). We systematically reviewed the literature to assess the impact of curative surgical resection (+/- adjuvant therapy) of HNC on QoL. Eligible studies (participants &gt; age 18 years, reported fully in English, and prospectively assessed QoL) were filtered using quality criteria, and classified according to the added value, using a published taxonomy. MEDLINE and EMBASE searching yielded 302 distinct reports, 49 met eligibility, and 26 met quality criteria. Among the eligible studies, achievement of certain quality criteria was poor: a priori hypothesis (8%), statistical accounting of missing data (8%), reporting of assessment interval (35%) and rationale for chosen measure (53%). The most frequent ways QoL added value were: understanding of treatment benefit and risk (100%), comparing treatments for QoL effect (92%) and advancing QoL research methodology (50%). QoL (physical/social functioning and various symptom domains) deteriorated with treatment, gradually recovering to baseline (cancer diagnosis) level. Swallowing, chewing, saliva, taste, eating disruption, and aesthetic deficits may persist. Advanced tumors, extensive surgical resection, need for flap reconstruction, neck dissection, and postoperative radiation are associated with worse QoL outcomes. Knowledge of these trends can be applied in shared decision making, identification of commonly faced QoL issues, and to develop and provide survivorship resources. Future research should focus on routinely incorporating QoL in randomized studies, reporting the result according to guidelines, and following knowledge translation principles to maximize the clinician's and patient's ability to use QoL data. (c) 2015 Elsevier Ltd. All rights reserved.</t>
  </si>
  <si>
    <t>[Rathod, Shrinivas; Livergant, Jonathan; Klein, Jonathan; Ringash, Jolie] Princess Margaret Canc Ctr, Dept Radiat Oncol, Toronto, ON M5G 2M9, Canada; [Rathod, Shrinivas; Livergant, Jonathan; Klein, Jonathan; Ringash, Jolie] Univ Toronto, Toronto, ON M5G 2M9, Canada; [Witterick, Ian] Univ Toronto, Dept Otolaryngol Head &amp; Neck Surg, Toronto, ON M5G 1X5, Canada</t>
  </si>
  <si>
    <t>University of Toronto; University Health Network Toronto; Princess Margaret Cancer Centre; University of Toronto; University of Toronto</t>
  </si>
  <si>
    <t>Ringash, J (corresponding author), Princess Margaret Canc Ctr, Dept Radiat Oncol, 610 Univ Ave, Toronto, ON M5G 2M9, Canada.</t>
  </si>
  <si>
    <t>jolie.ringash@rmp.uhn.on.ca</t>
  </si>
  <si>
    <t>Witterick, Ian/ABH-9001-2020</t>
  </si>
  <si>
    <t>Ringash, Jolie/0000-0002-7337-0411</t>
  </si>
  <si>
    <t>ELSEVIER SCIENCE BV</t>
  </si>
  <si>
    <t>PO BOX 211, 1000 AE AMSTERDAM, NETHERLANDS</t>
  </si>
  <si>
    <t>1368-8375</t>
  </si>
  <si>
    <t>1879-0593</t>
  </si>
  <si>
    <t>ORAL ONCOL</t>
  </si>
  <si>
    <t>Oral Oncol.</t>
  </si>
  <si>
    <t>10.1016/j.oraloncology.2015.07.002</t>
  </si>
  <si>
    <t>Oncology; Dentistry, Oral Surgery &amp; Medicine</t>
  </si>
  <si>
    <t>CR3NP</t>
  </si>
  <si>
    <t>WOS:000361240200004</t>
  </si>
  <si>
    <t>Ginghina, O; Hudita, A; Zamfir, M; Spanu, A; Mardare, M; Bondoc, I; Buburuzan, L; Georgescu, SE; Costache, M; Negrei, C; Nitipir, C; Galateanu, B</t>
  </si>
  <si>
    <t>Ginghina, Octav; Hudita, Ariana; Zamfir, Marius; Spanu, Andrada; Mardare, Mara; Bondoc, Irina; Buburuzan, Laura; Georgescu, Sergiu Emil; Costache, Marieta; Negrei, Carolina; Nitipir, Cornelia; Galateanu, Bianca</t>
  </si>
  <si>
    <t>Liquid Biopsy and Artificial Intelligence as Tools to Detect Signatures of Colorectal Malignancies: A Modern Approach in Patient's Stratification</t>
  </si>
  <si>
    <t>liquid biopsy; colorectal cancer; patients stratification; artificial intelligence; robotic surgery</t>
  </si>
  <si>
    <t>CIRCULATING TUMOR-CELLS; COMPUTER-AIDED DIAGNOSIS; ANTI-EGFR THERAPY; GROWTH-FACTOR RECEPTOR; DNA MISMATCH REPAIR; SIDED COLON-CANCER; OFF-LABEL USE; BRAF MUTATIONS; RAS MUTATIONS; MICROSATELLITE INSTABILITY</t>
  </si>
  <si>
    <t>Colorectal cancer (CRC) is the second most frequently diagnosed type of cancer and a major worldwide public health concern. Despite the global efforts in the development of modern therapeutic strategies, CRC prognosis is strongly correlated with the stage of the disease at diagnosis. Early detection of CRC has a huge impact in decreasing mortality while pre-lesion detection significantly reduces the incidence of the pathology. Even though the management of CRC patients is based on robust diagnostic methods such as serum tumor markers analysis, colonoscopy, histopathological analysis of tumor tissue, and imaging methods (computer tomography or magnetic resonance), these strategies still have many limitations and do not fully satisfy clinical needs due to their lack of sensitivity and/or specificity. Therefore, improvements of the current practice would substantially impact the management of CRC patients. In this view, liquid biopsy is a promising approach that could help clinicians screen for disease, stratify patients to the best treatment, and monitor treatment response and resistance mechanisms in the tumor in a regular and minimally invasive manner. Liquid biopsies allow the detection and analysis of different tumor-derived circulating markers such as cell-free nucleic acids (cfNA), circulating tumor cells (CTCs), and extracellular vesicles (EVs) in the bloodstream. The major advantage of this approach is its ability to trace and monitor the molecular profile of the patient's tumor and to predict personalized treatment in real-time. On the other hand, the prospective use of artificial intelligence (AI) in medicine holds great promise in oncology, for the diagnosis, treatment, and prognosis prediction of disease. AI has two main branches in the medical field: (i) a virtual branch that includes medical imaging, clinical assisted diagnosis, and treatment, as well as drug research, and (ii) a physical branch that includes surgical robots. This review summarizes findings relevant to liquid biopsy and AI in CRC for better management and stratification of CRC patients.</t>
  </si>
  <si>
    <t>[Ginghina, Octav; Nitipir, Cornelia] Univ Med &amp; Pharm Carol Davila Bucharest, Dept 2, Bucharest, Romania; [Ginghina, Octav; Zamfir, Marius; Spanu, Andrada; Mardare, Mara; Bondoc, Irina] Sf Ioan Clin Emergency Hosp, Dept Surg, Bucharest, Romania; [Hudita, Ariana; Georgescu, Sergiu Emil; Costache, Marieta; Galateanu, Bianca] Univ Bucharest, Dept Biochem &amp; Mol Biol, Bucharest, Romania; [Buburuzan, Laura] OncoTeam Diagnost SA, Bucharest, Romania; [Negrei, Carolina] Univ Med &amp; Pharm Carol Davila Bucharest, Dept Toxicol, Bucharest, Romania; [Nitipir, Cornelia] Elias Univ Emergency Hosp, Dept Oncol, Bucharest, Romania</t>
  </si>
  <si>
    <t>Carol Davila University of Medicine &amp; Pharmacy; University of Bucharest; Carol Davila University of Medicine &amp; Pharmacy</t>
  </si>
  <si>
    <t>Hudita, A (corresponding author), Univ Bucharest, Dept Biochem &amp; Mol Biol, Bucharest, Romania.</t>
  </si>
  <si>
    <t>ariana.hudita@bio.unibuc.ro</t>
  </si>
  <si>
    <t>Costache, Marieta/F-2806-2016; Mardare, Mara/GXV-2133-2022; Galateanu, Bianca/AAU-5847-2020; Negrei, Carolina/JLR-7232-2023; Hudita, Ariana/GXV-7281-2022; Georgescu, Sergiu/H-7389-2016; Hudita, Ariana/I-5502-2016</t>
  </si>
  <si>
    <t>Georgescu, Sergiu Emil/0000-0003-2631-9098; Mardare, Mara/0000-0002-5176-2772; Hudita, Ariana/0000-0002-9439-9432</t>
  </si>
  <si>
    <t>Romanian Ministry of Education and Research, CCCDI - UEFISCDI within PNCDI III [PN-III-P2-2.1-PTE-2019-0577]; [41PFE/30.12.2021]</t>
  </si>
  <si>
    <t>Romanian Ministry of Education and Research, CCCDI - UEFISCDI within PNCDI III(Consiliul National al Cercetarii Stiintifice (CNCS)Unitatea Executiva pentru Finantarea Invatamantului Superior, a Cercetarii, Dezvoltarii si Inovarii (UEFISCDI));</t>
  </si>
  <si>
    <t>This work was supported by a grant of the Romanian Ministry of Education and Research, CCCDI - UEFISCDI,project number PN-III-P2-2.1-PTE-2019-0577, within PNCDI III.</t>
  </si>
  <si>
    <t>MAR 8</t>
  </si>
  <si>
    <t>10.3389/fonc.2022.856575</t>
  </si>
  <si>
    <t>0G1YT</t>
  </si>
  <si>
    <t>WOS:000777848800001</t>
  </si>
  <si>
    <t>Azhar, RA; Bochner, B; Catto, J; Goh, AC; Kelly, J; Patel, HD; Pruthi, RS; Thalmann, GN; Desai, M</t>
  </si>
  <si>
    <t>Azhar, Raed A.; Bochner, Bernard; Catto, James; Goh, Alvin C.; Kelly, John; Patel, Hiten D.; Pruthi, Raj S.; Thalmann, George N.; Desai, Mihir</t>
  </si>
  <si>
    <t>Enhanced Recovery after Urological Surgery: A Contemporary Systematic Review of Outcomes, Key Elements, and Research Needs</t>
  </si>
  <si>
    <t>EUROPEAN UROLOGY</t>
  </si>
  <si>
    <t>Enhanced recovery after surgery; ERAS; Perioperative care</t>
  </si>
  <si>
    <t>MECHANICAL BOWEL PREPARATION; RADICAL CYSTECTOMY; PERIOPERATIVE CARE; BLADDER-CANCER; COMPLICATIONS; METAANALYSIS; PROPHYLAXIS; MANAGEMENT; PROTOCOL; THERAPY</t>
  </si>
  <si>
    <t>Context: Enhanced Recovery after Surgery (ERAS) programs are multimodal care pathways that aim to decrease intra-operative blood loss, decrease postoperative complications, and reduce recovery times. Objective: To overview the use and key elements of ERAS pathways, and define needs for future clinical trials. Evidence acquisition: A comprehensive systematic MEDLINE search was performed for English language reports published before May 2015 using the terms postoperative period, postoperative care, enhanced recovery after surgery, enhanced recovery, accelerated recovery, fast track recovery, recovery program, recovery pathway, ERAS, and urology or cystectomy or urologic surgery. Evidence synthesis: We identified 18 eligible articles. Patient counseling, physical conditioning, avoiding excessive alcohol and smoking, and good nutrition appeared to protect against postoperative complications. Fasting from solid food for only 6 h and perioperative liquid-carbohydrate loading up to 2 h prior to surgery appeared to be safe and reduced recovery times. Restricted, balanced, and goal-directed fluid replacement is effective when individualized, depending on patient morbidity and surgical procedure. Decreased intraoperative blood loss may be achieved by several measures. Deep vein thrombosis prophylaxis, antibiotic prophylaxis, and thermoregulation were found to help reduce postsurgical complications, as was a multimodal approach to postoperative nausea, vomiting, and analgesia. Chewing gum, prokinetic agents, oral laxatives, and an early resumption to normal diet appear to aid faster return to normal bowel function. Further studies should compare anesthetic protocols, refine analgesia, and evaluate the importance of robot-assisted surgery and the need/ timing for drains and catheters. Conclusions: ERAS regimens are multidisciplinary, multimodal pathways that optimize postoperative recovery. Patient summary: This review provides an overview of the use and key elements of Enhanced Recovery after Surgery programs, which are multimodal, multidisciplinary care pathways that aim to optimize postoperative recovery. Additional conclusions include identifying effective procedures within Enhanced Recovery after Surgery programs and defining needs for future clinical trials. (C) 2016 European Association of Urology. Published by Elsevier B.V. All rights reserved.</t>
  </si>
  <si>
    <t>[Azhar, Raed A.] King Abdulaziz Univ, Dept Urol, POB 80215, Jeddah 21589, Saudi Arabia; [Azhar, Raed A.; Desai, Mihir] Univ So Calif, Keck Sch Med, USC Inst Urol, Los Angeles, CA 90033 USA; [Bochner, Bernard] Mem Sloan Kettering Canc Ctr, Dept Surg, Urol Serv, New York, NY 10021 USA; [Catto, James] Univ Sheffield, Acad Unit Urol, Sheffield, S Yorkshire, England; [Catto, James] Univ Sheffield, Acad Unit Mol Oncol, Sheffield, S Yorkshire, England; [Goh, Alvin C.] Houston Methodist Hosp, Dept Urol, Houston, TX USA; [Kelly, John] UCL, UCL Med Sch, Div Surg &amp; Intervent Sci, London, England; [Patel, Hiten D.] Johns Hopkins Med Inst, James Buchanan Brady Urol Inst, Baltimore, MD 21205 USA; [Pruthi, Raj S.] Univ N Carolina, Div Urol Surg, Chapel Hill, NC USA; [Thalmann, George N.] Univ Hosp Inselspital, Dept Urol, Bern, Switzerland</t>
  </si>
  <si>
    <t>King Abdulaziz University; University of Southern California; Memorial Sloan Kettering Cancer Center; University of Sheffield; University of Sheffield; Houston Methodist; University of London; University College London; Johns Hopkins University; Johns Hopkins Medicine; University of North Carolina; University of North Carolina Chapel Hill; University of Bern; University Hospital of Bern</t>
  </si>
  <si>
    <t>Azhar, RA (corresponding author), King Abdulaziz Univ, Dept Urol, POB 80215, Jeddah 21589, Saudi Arabia.</t>
  </si>
  <si>
    <t>raazhar@kau.edu.sa</t>
  </si>
  <si>
    <t>catto, james/0000-0003-2787-8828; , Raed/0000-0002-7206-5909; Patel, Hiten/0000-0003-4028-010X; Bochner, Bernard/0000-0003-0846-0848</t>
  </si>
  <si>
    <t>NCI NIH HHS [P30 CA008748] Funding Source: Medline</t>
  </si>
  <si>
    <t>NCI NIH HHS(United States Department of Health &amp; Human ServicesNational Institutes of Health (NIH) - USANIH National Cancer Institute (NCI))</t>
  </si>
  <si>
    <t>0302-2838</t>
  </si>
  <si>
    <t>1873-7560</t>
  </si>
  <si>
    <t>EUR UROL</t>
  </si>
  <si>
    <t>Eur. Urol.</t>
  </si>
  <si>
    <t>10.1016/j.eururo.2016.02.051</t>
  </si>
  <si>
    <t>DN7WE</t>
  </si>
  <si>
    <t>Green Accepted, Green Submitted</t>
  </si>
  <si>
    <t>WOS:000377290100044</t>
  </si>
  <si>
    <t>Wolbring, G; Gill, S</t>
  </si>
  <si>
    <t>Wolbring, Gregor; Gill, Simerta</t>
  </si>
  <si>
    <t>Occupational Concepts: An Underutilized Resource to Further Disabled People and Others Being Occupied: A Scoping Review</t>
  </si>
  <si>
    <t>SOCIETIES</t>
  </si>
  <si>
    <t>disabled people; people with disabilities; occupational concepts; equity; diversity and inclusion; science and technology governance; well-being; environment</t>
  </si>
  <si>
    <t>PHYSICAL-ACTIVITY; INTELLECTUAL DISABILITIES; HOUSEHOLD TECHNOLOGY; SOCIAL DETERMINANTS; INDUSTRIAL ROBOTS; YOUNG-ADULTS; JUSTICE; IDENTITY; IMPACT; PARTICIPATION</t>
  </si>
  <si>
    <t>Background: Being occupied is an important factor in human well-being and ranges from paid and unpaid work to activities of daily living. Various occupational concepts that do not contain health in the phrase such as occupational justice are employed to engage with the social barriers people experience in being occupied. The aim of this study was to understand better to what extent the non-health occupational concepts are used in the academic literature to discuss the social barriers disabled people face in being occupied and whether these occupational concepts are used to enrich discussions in areas that impact the reality of occupation in general such as equity/equality, diversity and inclusion (EDI), science and technology governance, well-being and the impact of environmental issues. Methods: a scoping review of academic abstracts employing SCOPUS, the 70 databases of EBSCO-HOST and Web of Science was performed. Results: We found 24,104 abstracts for the 28 occupational concepts we used in general and 624 abstracts in conjunction with disability terms. Of these 28 occupational concepts, occupational performance was mentioned the most (in 9739 of the 24,104 and 397 of the 624 abstracts). The next concept occupational engagement was already present in one tenth or less. Occupational justice was present in 700 of the 24,104 and 14 of the 624 abstracts. Furthermore, within the 24,104 and 624 abstracts EDI, science and technology governance, environmental topics, and well-being measures were rarely or not mentioned. Most of the 624 abstracts originated from occupational therapy journals. Only 23 of the 624 abstracts originated from journals with disability, and none with disability studies in the title. Conclusion: Non-health occupational concepts are underutilized in discourses that focus on decreasing the social barriers to being occupied in general and in relation to disabled people, which is a missed opportunity and should be fixed.</t>
  </si>
  <si>
    <t>[Wolbring, Gregor; Gill, Simerta] Univ Calgary, Cumming Sch Med, Dept Community Hlth Sci, Community Rehabil &amp; Disabil Studies, Calgary, AB T2N 4N1, Canada</t>
  </si>
  <si>
    <t>University of Calgary</t>
  </si>
  <si>
    <t>Wolbring, G (corresponding author), Univ Calgary, Cumming Sch Med, Dept Community Hlth Sci, Community Rehabil &amp; Disabil Studies, Calgary, AB T2N 4N1, Canada.</t>
  </si>
  <si>
    <t>gwolbrin@ucalgary.ca</t>
  </si>
  <si>
    <t>Wolbring, Gregor/A-6804-2013</t>
  </si>
  <si>
    <t>Wolbring, Gregor/0000-0003-1363-0346</t>
  </si>
  <si>
    <t>2075-4698</t>
  </si>
  <si>
    <t>Societies</t>
  </si>
  <si>
    <t>10.3390/soc13120259</t>
  </si>
  <si>
    <t>Sociology</t>
  </si>
  <si>
    <t>DI7J4</t>
  </si>
  <si>
    <t>WOS:001131465100001</t>
  </si>
  <si>
    <t>Williams, CYK; Townson, AT; Kapur, M; Ferreira, AF; Nunn, R; Galante, J; Phillips, V; Gentry, S; Usher-Smith, JA</t>
  </si>
  <si>
    <t>Williams, Christopher Y. K.; Townson, Adam T.; Kapur, Milan; Ferreira, Alice F.; Nunn, Rebecca; Galante, Julieta; Phillips, Veronica; Gentry, Sarah; Usher-Smith, Juliet A.</t>
  </si>
  <si>
    <t>Interventions to reduce social isolation and loneliness during COVID-19 physical distancing measures: A rapid systematic review</t>
  </si>
  <si>
    <t>FRIENDSHIP ENRICHMENT PROGRAM; OLDER-ADULTS; HEALTH PROMOTION; RANDOMIZED-TRIAL; ELDERLY-WOMEN; DEPRESSION; LIFE; SUPPORT; QUALITY; IMPACT</t>
  </si>
  <si>
    <t>Background A significant proportion of the worldwide population is at risk of social isolation and loneliness as a result of the COVID-19 pandemic. We aimed to identify effective interventions to reduce social isolation and loneliness that are compatible with COVID-19 shielding and social distancing measures. Methods and findings In this rapid systematic review, we searched six electronic databases (Medline, Embase, Web of Science, PsycINFO, Cochrane Database of Systematic Reviews and SCOPUS) from inception to April 2020 for systematic reviews appraising interventions for loneliness and/or social isolation. Primary studies from those reviews were eligible if they included: 1) participants in a non-hospital setting; 2) interventions to reduce social isolation and/or loneliness that would be feasible during COVID-19 shielding measures; 3) a relevant control group; and 4) quantitative measures of social isolation, social support or loneliness. At least two authors independently screened studies, extracted data, and assessed risk of bias using the Downs and Black checklist. Study registration: PROSPERO CRD42020178654. We identified 45 RCTs and 13 non-randomised controlled trials; none were conducted during the COVID-19 pandemic. The nature, type, and potential effectiveness of interventions varied greatly. Effective interventions for loneliness include psychological therapies such as mindfulness, lessons on friendship, robotic pets, and social facilitation software. Few interventions improved social isolation. Overall, 37 of 58 studies were of Fair quality, as measured by the Downs &amp; Black checklist. The main study limitations identified were the inclusion of studies of variable quality; the applicability of our findings to the entire population; and the current poor understanding of the types of loneliness and isolation experienced by different groups affected by the COVID-19 pandemic. Conclusions Many effective interventions involved cognitive or educational components, or facilitated communication between peers. These interventions may require minor modifications to align with COVID-19 shielding/social distancing measures. Future high-quality randomised controlled trials conducted under shielding/social distancing constraints are urgently needed.</t>
  </si>
  <si>
    <t>[Williams, Christopher Y. K.; Townson, Adam T.; Kapur, Milan; Ferreira, Alice F.; Nunn, Rebecca] Univ Cambridge, Sch Clin Med, Cambridge, England; [Galante, Julieta] Univ Cambridge, Dept Psychiat, Cambridge, England; [Galante, Julieta] Natl Inst Hlth Res Appl Res Collaborat East Engla, Cambridge, England; [Phillips, Veronica] Univ Cambridge, Med Lib, Cambridge, England; [Gentry, Sarah] Univ East Anglia, Norwich Med Sch, Norwich, Norfolk, England; [Usher-Smith, Juliet A.] Univ Cambridge Sch Clin Med, Dept Publ Hlth &amp; Primary Care, Primary Care Unit, Cambridge, England</t>
  </si>
  <si>
    <t>University of Cambridge; University of Cambridge; University of Cambridge; University of East Anglia; University of Cambridge</t>
  </si>
  <si>
    <t>Williams, CYK (corresponding author), Univ Cambridge, Sch Clin Med, Cambridge, England.</t>
  </si>
  <si>
    <t>cykw2@doctors.org.uk</t>
  </si>
  <si>
    <t>Galante, Julieta/C-3151-2016; Williams, Christopher/GPG-2012-2022</t>
  </si>
  <si>
    <t>Galante, Julieta/0000-0002-4108-5341; Gentry, Sarah/0000-0002-0805-0200; Phillips, Veronica/0000-0002-4383-9434; Usher-Smith, Juliet/0000-0002-8501-2531; Williams, Christopher Y.K./0000-0001-8867-1623; Townson, Adam/0000-0001-8800-7896</t>
  </si>
  <si>
    <t>National Institute for Health Research Applied Research Collaboration East of England [RNAG/564]</t>
  </si>
  <si>
    <t>National Institute for Health Research Applied Research Collaboration East of England</t>
  </si>
  <si>
    <t>The author(s) received no specific funding for this work. JG was funded by the National Institute for Health Research Applied Research Collaboration East of England (grant RNAG/564) for time spent on this project. The funder had no role in study design, data collection and analysis, decision to publish, or preparation of the manuscript. The views expressed are those of the authors and not necessarily those of the NIHR or the Department of Health and Social Care.</t>
  </si>
  <si>
    <t>FEB 17</t>
  </si>
  <si>
    <t>e0247139</t>
  </si>
  <si>
    <t>10.1371/journal.pone.0247139</t>
  </si>
  <si>
    <t>QK8ME</t>
  </si>
  <si>
    <t>WOS:000620633200055</t>
  </si>
  <si>
    <t>Razdan, S; Pandav, K; Altschuler, J; Moody, K; Martin, L; Patel, HD; Mohamed, N; Dovey, Z; Tewari, AK</t>
  </si>
  <si>
    <t>Razdan, Shirin; Pandav, Krunal; Altschuler, Joshua; Moody, Kate; Martin, Lily; Patel, Hiten. D.; Mohamed, Nihal; Dovey, Zachary; Tewari, Ashutosh K.</t>
  </si>
  <si>
    <t>Impact of exercise on continence in prostate cancer patients post robotic assisted radical prostatectomy: a systematic review</t>
  </si>
  <si>
    <t>AMERICAN JOURNAL OF CLINICAL AND EXPERIMENTAL UROLOGY</t>
  </si>
  <si>
    <t>Prostate cancer; robotic prostatectomy; continence; exercise; pelvic floor muscle training</t>
  </si>
  <si>
    <t>QUALITY-OF-LIFE; POSTPROSTATECTOMY INCONTINENCE; URINARY-INCONTINENCE; HEALTHY</t>
  </si>
  <si>
    <t>Introduction: Urinary incontinence is one of the most common long term side effects after robotic prostatectomy (RALP), and significantly impacts patient quality of life. Pelvic floor muscle training (PFMT) has been a standard part of the urologist's armamentarium for maximizing continence outcomes post-op. Recently, aerobic and resistance exercises have been described as improving functional outcomes post RALP. We performed a systematic review to determine the influence of exercise, in the form of PFMT, aerobic exercise, and resistance training, on incontinence post-RALP. Materials and Methods: This systematic review was performed according to Preferred Reporting Items for Systematic Reviews and Meta-Analyses (PRISMA) guidelines, with database searches performed on January 14, 2022 and again on August 10, 2022 to account for any new publications. The search identified 1675 papers. Of the 1675 papers, 1007 were found to be duplicates, leaving 668 total studies for screening. Of the 668 papers, nine met all inclusion criteria. Of the nine, four studies presented data from patients who had undergone RALP and were included in the final descriptive systematic review. Results: Sayilan et al. and Milios et al. showed postoperative PFMT and physical activity resulted in significantly improved continence outcomes at 1 and 6 months and 2, 6, and 12 weeks postoperatively, respectively. Heydenreich et al. combined PFMT with an oscillating rod therapy, which was found to significantly improve both postoperative urinary continence and health related quality of life compared to PFMT and relaxation techniques alone. On the contrary, Goode et al. examined delivery of exercise information and demonstrated no difference in continence outcomes between focused telehealth PFMT program and generic prostate cancer education. Conclusion: Pelvic floor muscle training, with or without adjunct therapies, results in improved continence outcomes post RALP. Supervised training programs may or may not accelerate this finding. There is no recent literature to support or refute the benefit of aerobic exercise or resistance training on reducing post-prostatectomy incontinence after RALP.</t>
  </si>
  <si>
    <t>[Razdan, Shirin; Pandav, Krunal; Altschuler, Joshua; Moody, Kate; Mohamed, Nihal; Dovey, Zachary; Tewari, Ashutosh K.] Icahn Sch Med Mt Sinai, Dept Urol, New York, NY 10029 USA; [Martin, Lily] Icahn Sch Med Mt Sinai, Levy Lib, New York, NY 10029 USA; [Patel, Hiten. D.] Northwestern Univ, Dept Urol, Chicago, IL 60064 USA; [Razdan, Shirin] Icahn Sch Med Mt Sinai, Dept Urol, One Gustave L Levy Pl, New York, NY 10029 USA</t>
  </si>
  <si>
    <t>Icahn School of Medicine at Mount Sinai; Icahn School of Medicine at Mount Sinai; Northwestern University; Icahn School of Medicine at Mount Sinai</t>
  </si>
  <si>
    <t>Razdan, S (corresponding author), Icahn Sch Med Mt Sinai, Dept Urol, One Gustave L Levy Pl, New York, NY 10029 USA.</t>
  </si>
  <si>
    <t>shirinrazdan1@gmail.com</t>
  </si>
  <si>
    <t>Martin, Lily/AAY-3856-2021; Pandav, Krunal/W-9395-2019</t>
  </si>
  <si>
    <t>Patel, Hiten/0000-0003-4028-010X; Pandav, Krunal/0000-0002-5451-7115; Moody, Kate/0000-0002-3472-0255</t>
  </si>
  <si>
    <t>E-CENTURY PUBLISHING CORP</t>
  </si>
  <si>
    <t>MADISON</t>
  </si>
  <si>
    <t>40 WHITE OAKS LN, MADISON, WI 53711 USA</t>
  </si>
  <si>
    <t>2330-1910</t>
  </si>
  <si>
    <t>AM J CLIN EXP UROL</t>
  </si>
  <si>
    <t>Am. J. Clin. Exp. Urol.</t>
  </si>
  <si>
    <t>P6AH1</t>
  </si>
  <si>
    <t>WOS:001051476600005</t>
  </si>
  <si>
    <t>Zhang, X; Pan, JX; Xu, RN; Fu, YJ; Lv, BD</t>
  </si>
  <si>
    <t>Zhang, Xin; Pan, Jiangxiao; Xu, Runnan; Fu, Yijia; Lv, Bodong</t>
  </si>
  <si>
    <t>Erectile dysfunction associated with prostate cancer treatment and therapeutic advances: a narrative review</t>
  </si>
  <si>
    <t>TRANSLATIONAL ANDROLOGY AND UROLOGY</t>
  </si>
  <si>
    <t>Prostate cancer treatment (PCa treatment); erectile dysfunction (ED); therapeutic advances</t>
  </si>
  <si>
    <t>QUALITY-OF-LIFE; INTENSITY PULSED ULTRASOUND; GONADOTROPIN-RELEASING-HORMONE; ANDROGEN DEPRIVATION THERAPY; MITOXANTRONE PLUS PREDNISONE; RANDOMIZED COMPARATIVE TRIAL; MODULATED RADIATION-THERAPY; EXTRACORPOREAL SHOCK-WAVE; CAVERNOUS NERVE INJURY; LONG-TERM OUTCOMES</t>
  </si>
  <si>
    <t>Background and Objective: The treatment of prostate cancer (PCa) often comes with the risk of erectile dysfunction (ED). As therapeutic technologies continue to advance, the incidence of ED and its treatment methods are also evolving. This paper aimed to provide a comprehensive analysis of the latest developments in PCa treatment, with a particular focus on its relationship with ED, and to review current innovative strategies for ED treatment. Methods: This study conducted a literature search in databases including PubMed, Excerpta Medica, Web of Science, Scopus, and the Cochrane Library, using keywords including prostate cancer, active surveillance, radiation therapy, cryotherapy, radical prostatectomy, immunotherapy, chemotherapy, androgen deprivation therapy, erectile dysfunction, and therapeutic advances, to collect English-language literature published from 1966 to June 2024. Key Content and Findings: Active surveillance (AS) strategies have significantly reduced the incidence of ED. Technological advancements such as radiation therapy (RT), precise delineation techniques, and improvements in cryotherapy equipment are all dedicated to reducing the risk of ED. Intraoperative nerve monitoring combined with robot-assisted radical prostatectomy (RP) plays a key role in protecting the cavernous nerves and improving postoperative erectile function (EF) recovery. The impact of immunotherapy and chemotherapy on the risk of ED still needs to be clarified with additional clinical data. Androgen deprivation therapy (ADT) is often carried out as part of a combined treatment or through novel administration modalities to reduce its side effects. Given the limitations of traditional ED treatment methods, emerging treatments such as physical energy therapy, stem cell and platelet-rich plasma (PRP) therapy, gene and targeted therapies, tissue engineering and nerve transplantation, and traditional Chinese medicine (TCM) represent novel solutions for ED treatment. Conclusions: With the innovation of PCa treatment technologies, the incidence of ED has declined, and emerging ED treatment methods have benefited the recovery of sexual function in patients with PCa. These advances may form the basis from which further innovations in PCa treatment strategies can be developed.</t>
  </si>
  <si>
    <t>[Zhang, Xin; Fu, Yijia] Zhejiang Chinese Med Univ, Clin Med Coll 2, Hangzhou, Peoples R China; [Pan, Jiangxiao] Hangzhou Jiuyao Med Beauty Clin, Hangzhou, Peoples R China; [Xu, Runnan; Lv, Bodong] Zhejiang Univ, Dept Urol, Affiliated Hosp 2, Sch Med, 300 Juyuan Rd, Hangzhou 310000, Peoples R China</t>
  </si>
  <si>
    <t>Zhejiang Chinese Medical University; Zhejiang University</t>
  </si>
  <si>
    <t>Lv, BD (corresponding author), Zhejiang Univ, Dept Urol, Affiliated Hosp 2, Sch Med, 300 Juyuan Rd, Hangzhou 310000, Peoples R China.</t>
  </si>
  <si>
    <t>lbd168@zju.edu.cn</t>
  </si>
  <si>
    <t>2223-4683</t>
  </si>
  <si>
    <t>2223-4691</t>
  </si>
  <si>
    <t>TRANSL ANDROL UROL</t>
  </si>
  <si>
    <t>Transl. Androl. Urol.</t>
  </si>
  <si>
    <t>NOV 30</t>
  </si>
  <si>
    <t>10.21037/tau-24-514</t>
  </si>
  <si>
    <t>Andrology; Urology &amp; Nephrology</t>
  </si>
  <si>
    <t>Endocrinology &amp; Metabolism; Urology &amp; Nephrology</t>
  </si>
  <si>
    <t>R4A3S</t>
  </si>
  <si>
    <t>WOS:001390893300009</t>
  </si>
  <si>
    <t>Shoesmith, E; Surr, C; Ratschen, E</t>
  </si>
  <si>
    <t>Shoesmith, Emily; Surr, Claire; Ratschen, Elena</t>
  </si>
  <si>
    <t>Animal-assisted and robotic animal-assisted interventions within dementia care: A systematic review</t>
  </si>
  <si>
    <t>dementia; animal-assisted interventions; robotic animal interventions</t>
  </si>
  <si>
    <t>NURSING-HOME RESIDENTS; METHODS APPRAISAL TOOL; QUALITY-OF-LIFE; COGNITIVE IMPAIRMENT; PSYCHIATRIC-DISORDERS; FUNCTIONAL STATUS; ELDERLY CARE; THERAPY; DEPRESSION; AGITATION</t>
  </si>
  <si>
    <t>Background Animal-assisted interventions and robotic animal interventions are becoming increasingly popular to support the care of people with dementia and may have the potential to improve a range of psychosocial outcomes. This review aims to identify, describe, and compare animal-assisted and robotic animal interventions delivered to people with dementia, their characteristics, effectiveness, and the proposed mechanisms underlying any potential impact. Methods A systematic literature search was conducted in MEDLINE, AMED, EMBASE, PsycINFO, OVID Nursing, PubMed, CINAHL and Web of Science. Random-effects meta-analyses of randomised controlled trials (RCTs) were conducted to summarise studies that evaluated common outcomes (agitation, depression, quality of life). A narrative approach was used to synthesise other findings. Results Fifty-one studies were included: 18 RCTs; 12 non-randomised trials, 13 cohort studies, 7 qualitative studies and one mixed-methods study. Meta-analyses were conducted for a small number of RCTs, with effectiveness of animal-assisted interventions demonstrated for agitation. Narrative findings suggested animal-assisted and robotic animal interventions may be promising in improving depression, agitation, and quality of life. Three potential mechanisms of action were identified for both animal-assisted and robotic animal interventions, namely enhancing social connections, providing engaging and meaningful activities, and the affect-generating aspect of the human-animal bond. A fourth mechanism was identified for animal-assisted interventions only: promoting physical activity. Robotic animals appear to have a place in complex human-animal relationships, but a greater understanding of robotic animal interventions is required to harness the benefits that may be derived from their use. Conclusion Delivering these interventions appear promising in improving psychosocial outcomes for people with dementia. As most included studies had methodological limitations, these findings are preliminary, but contribute to the body of evidence providing an understanding in terms of intervention characteristics and mechanisms of action. When developing intervention guidance, attention should be given to potential mechanisms and fundamental characteristics such as session content, delivery format and facilitator role.</t>
  </si>
  <si>
    <t>[Shoesmith, Emily; Ratschen, Elena] Univ York, Dept Hlth Sci, York, England; [Surr, Claire] Leeds Beckett Univ, Ctr Dementia Res, Leeds, England; [Shoesmith, Emily] Univ York, Dept Hlth Sci, Univ Rd, York YO10 5DD, North Yorkshire, England</t>
  </si>
  <si>
    <t>University of York - UK; Leeds Beckett University; University of York - UK</t>
  </si>
  <si>
    <t>Shoesmith, E (corresponding author), Univ York, Dept Hlth Sci, Univ Rd, York YO10 5DD, North Yorkshire, England.</t>
  </si>
  <si>
    <t>Emily.shoesmith@york.ac.uk</t>
  </si>
  <si>
    <t>Shoesmith, Emily/AAW-6306-2021; Surr, Claire/A-5591-2012</t>
  </si>
  <si>
    <t>Surr, Claire/0000-0002-4312-6661</t>
  </si>
  <si>
    <t>Tees, Esk and Wear Valleys NHS Foundation Trust Research Capability Funding Award; NIHR Yorkshire and Humber Applied Research Collaboration</t>
  </si>
  <si>
    <t>The author(s) disclosed receipt of the followingfinancial support for the research, authorship, and/or publicationof this article: This work was supported by the Tees, Esk and Wear Valleys NHS Foundation Trust Research Capability Funding Award. Emily Shoesmith and Elena Ratschen are supported by the NIHR Yorkshire and Humber Applied Research Collaboration: https://arc-yh.nihr.ac.uk.</t>
  </si>
  <si>
    <t>10.1177/14713012231155985</t>
  </si>
  <si>
    <t>FEB 2023</t>
  </si>
  <si>
    <t>9S2VZ</t>
  </si>
  <si>
    <t>hybrid, Green Accepted, Green Published</t>
  </si>
  <si>
    <t>WOS:000932707300001</t>
  </si>
  <si>
    <t>Farrugia, ME; Goodfellow, JA</t>
  </si>
  <si>
    <t>Farrugia, Maria Elena; Goodfellow, John A.</t>
  </si>
  <si>
    <t>A Practical Approach to Managing Patients With Myasthenia Gravis-Opinions and a Review of the Literature</t>
  </si>
  <si>
    <t>ocular myasthenia; generalized myasthenia; refractory myasthenia; thymectomy; myasthenic crisis; fatigue; dysfunctional breathing</t>
  </si>
  <si>
    <t>COGNITIVE-BEHAVIORAL THERAPY; OCULAR MYASTHENIA; MYCOPHENOLATE-MOFETIL; EXTRAOCULAR-MUSCLE; DELAYED-ONSET; DOUBLE-BLIND; FOLLOW-UP; THORACOSCOPIC SURGERY; RANDOMIZED-TRIAL; PLASMA-EXCHANGE</t>
  </si>
  <si>
    <t>When the diagnosis of myasthenia gravis (MG) has been secured, the aim of management should be prompt symptom control and the induction of remission or minimal manifestations. Symptom control, with acetylcholinesterase inhibitors such as pyridostigmine, is commonly employed. This may be sufficient in mild disease. There is no single universally accepted treatment regimen. Corticosteroids are the mainstay of immunosuppressive treatment in patients with more than mild MG to induce remission. Immunosuppressive therapies, such as azathioprine are prescribed in addition to but sometimes instead of corticosteroids when background comorbidities preclude or restrict the use of steroids. Rituximab has a role in refractory MG, while plasmapheresis and immunoglobulin therapy are commonly prescribed to treat MG crisis and in some cases of refractory MG. Data from the MGTX trial showed clear evidence that thymectomy is beneficial in patients with acetylcholine receptor (AChR) antibody positive generalized MG, up to the age of 65 years. Minimally invasive thymectomy surgery including robotic-assisted thymectomy surgery has further revolutionized thymectomy and the management of MG. Ocular MG is not life-threatening but can be significantly disabling when diplopia is persistent. There is evidence to support early treatment with corticosteroids when ocular motility is abnormal and fails to respond to symptomatic treatment. Treatment needs to be individualized in the older age-group depending on specific comorbidities. In the younger age-groups, particularly in women, consideration must be given to the potential teratogenicity of certain therapies. Novel therapies are being developed and trialed, including ones that inhibit complement-induced immunological pathways or interfere with antibody-recycling pathways. Fatigue is common in MG and should be duly identified from fatigable weakness and managed with a combination of physical therapy with or without psychological support. MG patients may also develop dysfunctional breathing and the necessary respiratory physiotherapy techniques need to be implemented to alleviate the patient's symptoms of dyspnoea. In this review, we discuss various facets of myasthenia management in adults with ocular and generalized disease, including some practical approaches and our personal opinions based on our experience.</t>
  </si>
  <si>
    <t>[Farrugia, Maria Elena; Goodfellow, John A.] Queen Elizabeth Univ Hosp, Inst Neurol Sci, Dept Neurol, Glasgow, Lanark, Scotland; [Goodfellow, John A.] Queen Elizabeth Univ Hosp, Neuroimmunol Lab, Lab Med &amp; Facil Bldg, Glasgow, Lanark, Scotland</t>
  </si>
  <si>
    <t>Queen Elizabeth University Hospital (QEUH); University of Glasgow; Queen Elizabeth University Hospital (QEUH)</t>
  </si>
  <si>
    <t>Farrugia, ME (corresponding author), Queen Elizabeth Univ Hosp, Inst Neurol Sci, Dept Neurol, Glasgow, Lanark, Scotland.</t>
  </si>
  <si>
    <t>maria.farrugia@nhs.net</t>
  </si>
  <si>
    <t>JUL 7</t>
  </si>
  <si>
    <t>10.3389/fneur.2020.00604</t>
  </si>
  <si>
    <t>MP7GN</t>
  </si>
  <si>
    <t>WOS:000552370000001</t>
  </si>
  <si>
    <t>Lai, NM; Chang, SMW; Ng, SS; Tan, SL; Chaiyakunapruk, N; Stanaway, F</t>
  </si>
  <si>
    <t>Lai, Nai Ming; Chang, Sharon Mei Wern; Ng, Siok Shen; Tan, Shir Ley; Chaiyakunapruk, Nathorn; Stanaway, Fiona</t>
  </si>
  <si>
    <t>Animal-assisted therapy for dementia</t>
  </si>
  <si>
    <t>NURSING-HOME RESIDENTS; RANDOMIZED CONTROLLED-TRIALS; QUALITY-OF-LIFE; COGNITIVE IMPAIRMENT; ALZHEIMERS-DISEASE; PET THERAPY; ELDERLY-PEOPLE; RATING-SCALE; CARE; INTERVENTIONS</t>
  </si>
  <si>
    <t>Background Dementia is a chronic condition which progressively affects memory and other cognitive functions, social behaviour, and ability to carry out daily activities. To date, no treatment is clearly effective in preventing progression of the disease, and most treatments are sympto matic, often aiming to improve people's psychological symptoms or behaviours which are challenging for carers. A range of new therapeutic strategies has been evaluated in research, and the use of trained animals in therapy sessions, termed animal-assisted therapy (MT), is receiving increasing attention. Objectives To evaluate the efficacy and safety of animal -assisted therapy for people with dementia. Search methods We searched ALOIS: the Cochrane Dementia and Cognitive Improvement Group's Specialised Register on 5 September 2019. ALOIS contains records of clinical trials identified from monthly searches of major healthcare databases, trial registries, and grey literature sources. We also searched MEDLINE (OvidSP), Embase (OvidSP), PsycINFO (OvidSP), CINAHL (EBSCOhost), ISI Web of Science, ClinicalTrials.gov, and the WHO's trial registry portal. Selection criteria We included randomised controlled trials (RCTs), cluster-randomised trials, and randomised cross -over trials that compared AAT versus no AAT, MT using live animals versus alternatives such as robots or toys, or MT versus any other active intervention. Data collection and analysis We extracted data using the standard methods of Cochrane Dementia. Two review authors independently assessed the eligibility and risk of bias of the retrieved records. We expressed our results using mean difference (MD), standardised mean difference (SMD), and risk ratio (RR) with their 95% confidence intervals (Cis) where appropriate. Main results We included nine RCTs from 10 reports. All nine studies were conducted in Europe and the US. Six studies were parallel-group, individually randomised RCTs; one was a randomised cross-over trial; and two were cluster-RCTs that were possibly related where randomisation took place at the level of the day care and nursing home. We identified two ongoing trials from trial registries. There were three comparisons: AAT versus no AAT (standard care or various non-animal-related activities), AAT using live animals versus robotic animals, and AAT using live animals versus the use of a soft animal toy, The studies evaluated 305 participants with dementia. One study used horses and the remainder used dogs as the therapy animal, The duration of the intervention ranged from six weeks to six months, and the therapy sessions lasted between 10 and 90 minutes each, with a frequency ranging from one session every two weeks to two sessions per week. There was a wide variety of instruments used to measure the outcomes. All studies were at high risk of performance bias and unclear risk of selection bias. Our certainty about the results for all major outcomes was very low to moderate. Comparing MT versus no ART, participants who received MT may be slightly less depressed after the intervention (MD -2.87, 95% Cl -5.24 to -0.50; 2 studies, 83 participants; low-certainty evidence), but they did not appear to have improved quality of life (MD 0.45,95% Cl -1,28 to 2.18; 3 studies, 164 participants; moderate -certainty evidence). There were no clear differences in all other major outcomes, including social functioning (MD -0,40, 95% Cl -3.41 to 2.61; 1 study, 58 participants; low-certainty evidence), problematic behaviour (SMD -0.34, 95% Cl -0,98 to 0.30; 3 studies, 142 participants; very-low-certainty evidence), agitation (SMD -0.39, 95% Cl -0.89 to 0.10; 3 studies, 143 participants; very-low-certainty evidence), activities of daily living (MD 4.65, 95% Cl -16.05 to 25.35; 1 study, 37 participants; low-certainty evidence), and self-care ability (MD 2.20, 95% Cl -1.23 to 5.63; 1 study, 58 participants; low -certainty evidence). There were no data on adverse events. Comparing AAT using live animals versus robotic animals, one study (68 participants) found mixed effects on social function, with longer duration of physical contact but shorter duration of talking in participants who received MT using live animals versus robotic animals (median: 93 seconds with live versus 28 seconds with robotic for physical contact; 164 seconds with live versus 206 seconds with robotic for talk directed at a person; 263 seconds with live versus 307 seconds with robotic for talk in total). Another study showed no clear differences between groups in behaviour measured using the Neuropsychiatric Inventory (MD -6.96, 95% Cl -14.58 to 0.66; 78 participants; low-certainty evidence) or quality of life (MD -2.42, 95% Cl -5.71 to 0.87; 78 participants; low certainty evidence). There were no data on the other outcomes. ComparingAAT using live animals versus a soft toy cat, one study (64 participants) evaluated only social functioning, in the form of duration of contact and talking. The data were expressed as median and interquartile ranges. Duration of contact was slightly longer in participants in the AAT group and duration of talking slightly longer in those exposed to the toy cat. This was low -certainty evidence. Authors' conclusions We found low-certainty evidence that MT may slightly reduce depressive symptoms in people with dementia. We found no clear evidence that MT affects other outcomes in this population, with our certainty in the evidence ranging from very-low to moderate depending on the outcome. We found no evidence on safety or effects on the animals. Therefore, clear conclusions cannot yet be drawn about the overall benefits and risks of AAT in people with dementia. Further well-conducted RCTs are needed to improve the certainty of the evidence. In view of the difficulty in achieving blinding of participants and personnel in such trials, future RCTs should work on blinding outcome assessors, document allocation methods clearly, and include major patient-important outcomes such as affect, emotional and social functioning, quality of life, adverse events, and outcomes for animals.</t>
  </si>
  <si>
    <t>[Lai, Nai Ming; Chang, Sharon Mei Wern] Taylors Univ, Sch Med, Subang Jaya, Malaysia; [Ng, Siok Shen] Hosp Melaka, PRIC, Melaka, Malaysia; [Ng, Siok Shen] Monash Univ Malaysia, Jeffrey Cheah Sch Med &amp; Hlth Sci, Bandar Sunway, Malaysia; [Tan, Shir Ley] Calvary North Adelaide Hosp, HPS Pharm, Adelaide, SA, Australia; [Chaiyakunapruk, Nathorn] Univ Utah, Coll Pharm, Dept Pharmacotherapy, Salt Lake City, UT 84112 USA; [Stanaway, Fiona] Univ Sydney, Sydney Sch Publ Hlth, Fac Med &amp; Hlth, Sydney, NSW, Australia</t>
  </si>
  <si>
    <t>Taylor's University; Monash University; Monash University Malaysia; Utah System of Higher Education; University of Utah; University of Sydney</t>
  </si>
  <si>
    <t>Lai, NM (corresponding author), Taylors Univ, Sch Med, Subang Jaya, Malaysia.</t>
  </si>
  <si>
    <t>lainm@doctors.org.uk</t>
  </si>
  <si>
    <t>Chaiyakunapruk, Nathorn/AFV-1939-2022; Lai, Nai/H-3163-2019</t>
  </si>
  <si>
    <t>Chaiyakunapruk, Nathorn (Nui)/0000-0003-4572-8794; Stanaway, Fiona/0000-0003-2104-3010</t>
  </si>
  <si>
    <t>Taylor's University; National Institute for Health Research (NIHR), UK; NIHR</t>
  </si>
  <si>
    <t>Taylor's University; National Institute for Health Research (NIHR), UK(National Institutes of Health Research (NIHR)); NIHR(National Institutes of Health Research (NIHR))</t>
  </si>
  <si>
    <t>Internal sources Taylor's University Flagship Research Grant: evidence synthesis projects on interventions to improve physical, mental, and social wellbeing of older adults, Malaysia. External sources National Institute for Health Research (NIHR), UK. This review was supported by the NIHR, via Cochrane Infrastructure funding to the Cochrane Dementia and Cognitive Improvement Group. The views and opinions expressed herein are those of the review authors and do not necessarily reflect those of the Systematic Reviews Programme, the NIHR, the National Health Service (NHS), or the Department of Health</t>
  </si>
  <si>
    <t>CD013243</t>
  </si>
  <si>
    <t>10.1002/14651858.CD013243.pub2</t>
  </si>
  <si>
    <t>JY5AF</t>
  </si>
  <si>
    <t>WOS:000504427100031</t>
  </si>
  <si>
    <t>Gandhi, GY; Fung, R; Natter, PE; Makary, R; Balaji, KC</t>
  </si>
  <si>
    <t>Gandhi, Gunjan Y.; Fung, Russell; Natter, Patrick E.; Makary, Raafat; Balaji, K. C.</t>
  </si>
  <si>
    <t>Symptomatic Pituitary Metastasis as Initial Manifestation of Renal Cell Carcinoma: Case Report and Review of Literature</t>
  </si>
  <si>
    <t>CASE REPORTS IN ENDOCRINOLOGY</t>
  </si>
  <si>
    <t>SOMATOTROPH HYPERPLASIA; DIFFERENTIAL-DIAGNOSIS; DIABETES-INSIPIDUS; CANCER-PATIENTS; BREAST-CANCER; SELLA TURCICA; GLAND; TUMOR; APOPLEXY; MIMICKING</t>
  </si>
  <si>
    <t>Metastasis to the pituitary gland is extremely rare (similar to 2% of sellar masses). Clinical, biochemical, and radiologic characteristics of pituitary metastasis are poorly defined and can be difficult to diagnose before surgery. We present an unusual case with pituitary metastasis as the first manifestation of renal cell carcinoma (RCC). A 70-year-old male presented with acute onset of weakness, dizziness, diplopia, and progressively worsening headache. The initial CT head revealed a heterogeneous sellar mass measuring 2.8 x 1.9 x 1.7 cm. A follow-up MRI showed the sellar mass invading the right cavernous sinus. The presumptive diagnosis was a pituitary macroadenoma. Physical examination revealed bilateral 6th cranial nerve palsy and episodes of intermittent binocular horizontal diplopia. Hormonal testing noted possible secondary adrenal insufficiency (AM serum cortisol: 3.3 mcg/dL, ACTH: 8 pg/mL), secondary hypothyroidism (TSH: &lt;0.01 mIU/L, FT4: 0.7 ng/dL), secondary hypogonadism (testosterone: 47 ng/dL, LH: 1.3 mIU/mL, and FSH: 2.3 mIU/mL), and elevated serum prolactin (prolactin: 56.8 ng/ml, normal: 4.0-15.2 ng/ml). IGF-1 level was normal at 110 ng/mL (47-192 ng/mL). The patient was discharged on levothyroxine and hydrocortisone therapy with plans for close surveillance. However, his condition worsened over the next three months, and he was subsequently readmitted with nausea, vomiting, and hypernatremia secondary to diabetes insipidus. Repeat MRI pituitary showed an interval increase in the size of the sellar mass with suprasellar extension and a new mass effect on the optic chiasm. The sellar mass was urgently resected via a trans-sphenoidal approach. The tumor was negative for neuroendocrine markers and pituitary hormone panel, ruling out the diagnosis of pituitary adenoma and triggered workup for metastatic renal cell carcinoma, clear cell type. The diagnosis of renal cell carcinoma was confirmed by the diffuse and strong staining for renal cell carcinoma markers (Pax-8, RCC-1, and CD10). A follow-up CT scan noted large right renal mass measuring 11 x 10 x 11 cm. The patient underwent a cytoreductive robotic right radical nephrectomy for WHO/ISUP histologic grade II clear cell RCC, stage pT2b pNX pM1. He subsequently received fractionated stereotactic radiotherapy to the pituitary gland. He is presently stable with no radiological evidence of progression or new intracranial disease on subsequent imaging. Pituitary metastasis most commonly occurs from breast, lung, or gastrointestinal tumors but also rarely from renal cell carcinoma. Biochemical findings such as panhypopituitarism, acute clinical signs such as headache, visual symptoms, and diabetes insipidus and interval increase in sellar mass in a short time interval should raise suspicion for sellar metastasis.</t>
  </si>
  <si>
    <t>[Gandhi, Gunjan Y.; Fung, Russell] Univ Florida, Div Endocrinol, Coll Med Jacksonville, Jacksonville, FL 32209 USA; [Gandhi, Gunjan Y.; Fung, Russell] Univ Florida, Dept Med, Coll Med Jacksonville, Jacksonville, FL 32209 USA; [Natter, Patrick E.] Univ Florida, Dept Radiol, Coll Med Jacksonville, Jacksonville, FL USA; [Makary, Raafat] Univ Florida, Dept Pathol &amp; Lab Med, Coll Med Jacksonville, Jacksonville, FL USA; [Balaji, K. C.] Univ Florida, Dept Urol, Coll Med Jacksonville, Jacksonville, FL USA</t>
  </si>
  <si>
    <t>State University System of Florida; University of Florida; State University System of Florida; University of Florida; State University System of Florida; University of Florida; State University System of Florida; University of Florida; State University System of Florida; University of Florida</t>
  </si>
  <si>
    <t>Gandhi, GY (corresponding author), Univ Florida, Div Endocrinol, Coll Med Jacksonville, Jacksonville, FL 32209 USA.;Gandhi, GY (corresponding author), Univ Florida, Dept Med, Coll Med Jacksonville, Jacksonville, FL 32209 USA.</t>
  </si>
  <si>
    <t>gunjan.gandhi@jax.ufl.edu</t>
  </si>
  <si>
    <t>Gandhi, Gunjan/0000-0003-2904-2338</t>
  </si>
  <si>
    <t>2090-6501</t>
  </si>
  <si>
    <t>2090-651X</t>
  </si>
  <si>
    <t>CASE REP ENDOCRINOL</t>
  </si>
  <si>
    <t>Case Rep. Endocrinol.</t>
  </si>
  <si>
    <t>AUG 18</t>
  </si>
  <si>
    <t>10.1155/2020/8883864</t>
  </si>
  <si>
    <t>Endocrinology &amp; Metabolism</t>
  </si>
  <si>
    <t>NK9SA</t>
  </si>
  <si>
    <t>WOS:000567067100001</t>
  </si>
  <si>
    <t>Fan, WQ; Zhao, R; Liu, XX; Ge, LN</t>
  </si>
  <si>
    <t>Fan, Wenqi; Zhao, Rui; Liu, Xiaoxia; Ge, Lina</t>
  </si>
  <si>
    <t>Intelligent Robot Interventions for People With Dementia: Systematic Review and Meta-Analysis of Randomized Controlled Trials</t>
  </si>
  <si>
    <t>intelligent robot; artificial intelligence; dementia; agitation; anxiety; meta-analysis</t>
  </si>
  <si>
    <t>COMPANION ROBOT; MOTOR-ACTIVITY; OLDER-PEOPLE; SYMPTOMS; STIMULATION; AGITATION; SLEEP; SEAL</t>
  </si>
  <si>
    <t>Background: The application of intelligent robots in therapy is becoming more and more important for people with dementia. More extensive research is still needed to evaluate its impact on behavioral and psychological dementia symptoms, as well as quality of life in different care settings. Objective: The purpose of this research is to methodically assess how well intelligence robot interventions work for patients with dementia. Methods: In accordance with the PRISMA (Preferred Reporting Items for Systematic Reviews and Meta-Analyses) 2020 guidelines, a comprehensive search was conducted on PubMed, CINAHL, the Cochrane Library, Embase, and Web of Science from the time of their founding to February 2024, to identify relevant randomized controlled trials on the use of intelligent robots in people with dementia. Two authors (WF and RZ) independently applied the Cochrane Collaboration bias assessment tool to assess the included studies' quality. The intervention effect of intelligent robots on patients with dementia was summarized using a fixed-effect model or a random-effects model with Stata software (version 16.0; StataCorp). Subgroup analysis was performed according to the intelligent robot type and the intervention duration. Publication bias was tested using funnel plots, Egger tests, Results: In total, 15 studies were finally included for systematic review, encompassing 705 participants, of which 12 studies were subjected to meta-analysis. The meta-analysis found that compared with the control group, intelligent robot intervention significantly reduced the levels of agitation (standardized mean difference -0.36, 95% CI -0.56 to -0.17; P&lt;.001) and anxiety (weighted mean difference -1.93, 95% CI -3.13 to -0.72; P=.002) in patients with dementia. However, the intervention of intelligent robots had no significant effect on the following (all P&gt;.05): cognitive function, neuropsychiatric symptoms, depression, quality of life, step count during the day, and the hours of lying down during the night of patients with dementia. Subgroup analysis revealed that the improvement of depression was related to the duration of the intervention (&lt;= 12 vs 12 weeks: 0.08, 95% CI -0.20 to 0.37 vs -0.68, 95% CI -1.00 to -0.37; P=.26) and was independent of the type of intelligent robots (animal robots vs humanoid robots: -0.30, 95% CI -0.75 to 0.15 vs 0.07, 95% CI -0.21 to -0.34; P=.26). Conclusions: This study shows that intelligent robot intervention can help improve the agitation and anxiety levels of people with dementia. The intervention may be more effective the longer it is implemented. The appearance of the intelligent robot has no effect on the intervention effect. Further research is needed to help collect physiological data, such as physical activity in people with dementia; explore the impact of other intelligent robot design features on the intervention effect; and provide a reference for improving intelligent robots and intervention programs. Trial Registration: PROSPERO CRD42024523007; https://tinyurl.com/mwscn985</t>
  </si>
  <si>
    <t>[Fan, Wenqi; Zhao, Rui; Liu, Xiaoxia; Ge, Lina] China Med Univ, Shengjing Hosp, Dept Obstet &amp; Gynecol, Sanhao St 36th, Shenyang 110004, Peoples R China</t>
  </si>
  <si>
    <t>China Medical University</t>
  </si>
  <si>
    <t>Ge, LN (corresponding author), China Med Univ, Shengjing Hosp, Dept Obstet &amp; Gynecol, Sanhao St 36th, Shenyang 110004, Peoples R China.</t>
  </si>
  <si>
    <t>geln@sj-hospital.org</t>
  </si>
  <si>
    <t>Ge, Lina/0000-0002-8967-1964</t>
  </si>
  <si>
    <t>MAR 10</t>
  </si>
  <si>
    <t>e59892</t>
  </si>
  <si>
    <t>10.2196/59892</t>
  </si>
  <si>
    <t>1NY6V</t>
  </si>
  <si>
    <t>WOS:001469530100003</t>
  </si>
  <si>
    <t>Cho, E; Shin, J; Seok, JW; Lee, H; Lee, KH; Jang, J; Heo, SJ; Kang, B</t>
  </si>
  <si>
    <t>Cho, Eunhee; Shin, Jinhee; Seok, Jo Woon; Lee, Hyangkyu; Lee, Kyung Hee; Jang, Jiyoon; Heo, Seok-Jae; Kang, Bada</t>
  </si>
  <si>
    <t>The effectiveness of non-pharmacological interventions using information and communication technologies for behavioral and psychological symptoms of dementia: A systematic review and meta-analysis</t>
  </si>
  <si>
    <t>INTERNATIONAL JOURNAL OF NURSING STUDIES</t>
  </si>
  <si>
    <t>Dementia; Behavioral symptoms; Information and communication technology; Non-pharmacological intervention; Systematic review; Meta-analysis</t>
  </si>
  <si>
    <t>EARLY ALZHEIMERS-DISEASE; NEUROPSYCHIATRIC SYMPTOMS; COMPANION ROBOT; PEOPLE; PROGRAM; DEPRESSION; DEVICE; SEAL</t>
  </si>
  <si>
    <t>Background: Although behavioral and psychological symptoms of dementia are a global public health challenge, non-pharmacological interventions using information and communication technologies can be an affordable, cost-effective, and innovative solution.Objectives: This study aimed to examine the effectiveness of non-pharmacological interventions using informa-tion and communication technologies on the behavioral and psychological symptoms of dementia and identify potential moderators of intervention effects.Design: Systematic review and meta-analysis of randomized controlled trials.Methods: A systematic literature review was conducted using PubMed, CINAHL, PsycINFO, Embase, and the Cochrane Library from May 2022. Randomized controlled trials that examined the effects of non -pharmacological interventions using information and communication technologies on the behavioral and psy-chological symptoms of dementia were included. A meta-analysis using a random-effects model was performed to calculate the pooled standardized mean differences between overall symptoms and each type of symptom. For moderator analyses, subgroup and meta-regression analyses were performed.Results: Sixteen trials (15 articles) met the eligibility criteria. The interventions were grouped into activity engage-ment interventions using digital health that provided music and reminiscence therapy, physical exercise, social inter-action interventions using social robots, and telehealth-based care aid interventions that provided coaching or counseling programs. Pooled evidence demonstrated that non-pharmacological interventions using information and communication technologies exerted a large effect on depression (SMD = -1.088, 95% CI -1.983 to -0.193, p = 0.017), a moderate effect on overall behavioral and psychological symptoms of dementia (SMD = -0.664, 95% CI -0.990 to -0.338, p &lt; 0.001), and agitation (SMD = -0.586, 95% CI-1.130 to -0.042, p = 0.035). No effects on neuropsychiatric symptoms (SMD = -0.251, 95% CI-0.579 to 0.077, p = 0.133), anxiety (SMD = -0.541, 95% CI -1.270 to 0.188, p = 0.146), and apathy (SMD = -0.830, 95% CI -1.835 to 0.176, p = 0.106) were reported. Moderator analyses identified the mean age of the participants as a potential moderator of intervention effects.Conclusions: Evidence from this systematic review and meta-analysis suggests that non-pharmacological interven-tions, using information and communication technologies, were an applicable approach to managing behavioral and psychological symptoms among older adults with dementia, with moderate to large effect sizes. However, evi-dence on anxiety and apathy is inconclusive due to the limited number of existing randomized controlled trials. Fu-ture studies with subgroup analyses are warranted to conclude the most effective types of intervention using information and communication technologies for each type of symptom.Registration: CRD42021258498.(c) 2022 The Author(s). Published by Elsevier Ltd. This is an open access article under the CC BY-NC-ND license (http://creativecommons.org/licenses/by-nc-nd/4.0/).</t>
  </si>
  <si>
    <t>[Cho, Eunhee; Seok, Jo Woon; Lee, Hyangkyu; Lee, Kyung Hee; Kang, Bada] Yonsei Univ, Coll Nursing, Mo Im Kim Nursing Res Inst, Seoul, South Korea; [Cho, Eunhee; Lee, Hyangkyu; Lee, Kyung Hee; Kang, Bada] Yonsei Evidence Based Nursing Ctr Korea, JBI Affiliated Grp, Seoul, South Korea; [Shin, Jinhee] Woosuk Univ, Coll Nursing, Jeollabuk Do, South Korea; [Jang, Jiyoon] Yonsei Univ, Coll Nursing, Seoul, South Korea; [Jang, Jiyoon] Yonsei Univ, Brain Korea 21 FOUR Project, Seoul, South Korea; [Heo, Seok-Jae] Yonsei Univ, Coll Med, Dept Biomed Syst Informat, Div Biostat, Seoul, South Korea; [Kang, Bada] Yonsei Univ, Coll Nursing, 50-1 Yonsei Ro, Seoul 03722, South Korea</t>
  </si>
  <si>
    <t>Yonsei University; Yonsei University Health System; Woosuk University; Yonsei University; Yonsei University Health System; Yonsei University; Yonsei University; Yonsei University Health System; Yonsei University; Yonsei University Health System</t>
  </si>
  <si>
    <t>Kang, B (corresponding author), Yonsei Univ, Coll Nursing, 50-1 Yonsei Ro, Seoul 03722, South Korea.</t>
  </si>
  <si>
    <t>EHCHO@yuhs.ac; jini2112@yonsei.ac.kr; MORNINGSP43@yuhs.ac; HKYULEE@yuhs.ac; KYUNGHEELEE@yuhs.ac; shjang326@yuhs.ac; SJHEO@yuhs.ac; bdkang@yuhs.ac</t>
  </si>
  <si>
    <t>Kang, Bada/KMA-1125-2024; Lee, Kyung Hee/KVZ-1947-2024</t>
  </si>
  <si>
    <t>Heo, Seok-Jae/0000-0002-8764-7995; Jang, Jiyoon/0000-0002-7701-2937; Shin, Jinhee/0000-0001-5715-3815; Lee, Kyung Hee/0000-0003-2964-8356</t>
  </si>
  <si>
    <t>Basic Science Research Program through the National Research Foundation of Korea (NRF) - Ministry of Education [2020R1A6A1A03041989]</t>
  </si>
  <si>
    <t>Basic Science Research Program through the National Research Foundation of Korea (NRF) - Ministry of Education(National Research Foundation of KoreaMinistry of Education (MOE), Republic of KoreaNational Research Council for Economics, Humanities &amp; Social Sciences, Republic of Korea)</t>
  </si>
  <si>
    <t>Funding This work was supported by the Basic Science Research Program through the National Research Foundation of Korea (NRF) , funded by the Ministry of Education (No. 2020R1A6A1A03041989) .</t>
  </si>
  <si>
    <t>0020-7489</t>
  </si>
  <si>
    <t>1873-491X</t>
  </si>
  <si>
    <t>INT J NURS STUD</t>
  </si>
  <si>
    <t>Int. J. Nurs. Stud.</t>
  </si>
  <si>
    <t>10.1016/j.ijnurstu.2022.104392</t>
  </si>
  <si>
    <t>NOV 2022</t>
  </si>
  <si>
    <t>6R3UJ</t>
  </si>
  <si>
    <t>WOS:000892232100001</t>
  </si>
  <si>
    <t>Rassweiler, J; Rassweiler, MC; Kenngott, H; Frede, T; Michel, MS; Alken, P; Clayman, R</t>
  </si>
  <si>
    <t>Rassweiler, Jens; Rassweiler, Marie-Claire; Kenngott, Hannes; Frede, Thomas; Michel, Maurice-Stephan; Alken, Peter; Clayman, Ralph</t>
  </si>
  <si>
    <t>The past, present and future of minimally invasive therapy in urology: A review and speculative outlook</t>
  </si>
  <si>
    <t>MINIMALLY INVASIVE THERAPY &amp; ALLIED TECHNOLOGIES</t>
  </si>
  <si>
    <t>Urolithiasis; renal cell cancer; prostate cancer; focal therapy; robotics in surgery; imaging</t>
  </si>
  <si>
    <t>LAPAROSCOPIC PARTIAL NEPHRECTOMY; SHOCK-WAVE LITHOTRIPSY; RENAL-CELL CARCINOMA; RADICAL PROSTATECTOMY; PERCUTANEOUS NEPHROLITHOTOMY; URETERAL CALCULI; EXPERIENCE; SURGERY; DEVICE</t>
  </si>
  <si>
    <t>Introduction: Twenty-five years of SMIT represents an important date. In this article we want to elaborate the development of minimally invasive surgery in urology during the last three decades and try to look 25 years ahead. Material and methods: As classical scenarios to demonstrate the changes which have revolutionized surgical treatment in urology, we have selected the management of urolithiasis, renal tumour, and localized prostate cancer. This was based on personal experience and a review of the recent literature on MIS in Urology on a MEDLINE/PUBMED research. For the outlook to the future, we have taken the expertise of two senior urologists, middle-aged experts, and upcoming junior fellows, respectively. Results: Management of urolithiasis has been revolutionized with the introduction of non-invasive extracorporeal shock wave lithotripsy (ESWL) and minimally invasive endourology in the mid-eighties of the last century obviating open surgery. This trend has been continued with perfection and miniaturization of endourologic armamentarium rather than significantly improving ESWL. The main goal is now to get rid of the stone in one session rather in multiple non-invasive treatment sessions. Stone treatment 25 years from today will be individualized by genetic screening of stone formers, using improved ESWL-devices for small stones and transuretereal or percutaneous stone retrieval for larger and multiple stones. Management of renal tumours has also changed significantly over the last 25 years. In 1988, open radical nephrectomy was the only therapeutic option for renal masses. Nowadays, tumour size determines the choice of treatment. Tumours &gt;4 cm are usually treated by laparoscopic nephrectomy, smaller tumours, however, can be treated either by open, laparoscopic or robot-assisted partial nephrectomy. For patients with high co-morbidity focal tumour ablation or even active surveillance represents a viable option. In 25 years, imaging of tumours will further support early diagnosis, but will also be able to determine the pathohistological pattern of the tumour to decide whether the patient requires removal, ablation or active surveillance. Management of localized prostate cancer underwent significant changes as well. 25 years ago open retropubic nerve-sparing radical prostatectomy was introduced as the optimal option for effective treatment of the cancer providing minimal side-effects. Basically, the same operation is performed today, but with robot-assisted laparoscopic techniques providing 7-DOF instruments, 3D-vision and tenfold magnification and enabling the surgeon to work in a sitting position at the console. In 25 years, prostate cancer may be managed in most cases by focal therapy and/or genetically targeting therapy. Only a few patients may still require robot-assisted removal of the entire gland. Discussion: There has been a dramatic change in the management of the most frequent urologic diseases almost completely replacing open surgery by minimally invasive techniques. This was promoted by technical realisation of physical principles (shock waves, optical resolution, master-slave system) used outside of medicine. The future of medicine may lie in translational approaches individualizing the management based on genetic information and focalizing the treatment by further improvement of imaging technology.</t>
  </si>
  <si>
    <t>[Rassweiler, Jens] Heidelberg Univ, SLK Kliniken Heilbronn, Dept Urol, Heilbronn, Germany; [Rassweiler, Marie-Claire; Michel, Maurice-Stephan; Alken, Peter] Heidelberg Univ, Dept Urol, Med Sch Mannheim, Heidelberg, Germany; [Kenngott, Hannes] Heidelberg Univ, Dept Surg, Med Sch Heidelberg, Heidelberg, Germany; [Frede, Thomas] Helios Kliniken Mullheim, Dept Urol, Mulheim, Germany; [Clayman, Ralph] Univ Calif Irvine, Dept Urol, Irvine, CA USA</t>
  </si>
  <si>
    <t>Ruprecht Karls University Heidelberg; Ruprecht Karls University Heidelberg; Ruprecht Karls University Heidelberg; Helios Kliniken; University of California System; University of California Irvine</t>
  </si>
  <si>
    <t>Rassweiler, J (corresponding author), SLK Kliniken Heilbronn, Dept Urol, Gesundbrunnen 20, D-74074 Heilbronn, Germany.</t>
  </si>
  <si>
    <t>jens.rassweiler@slk-kliniken.de</t>
  </si>
  <si>
    <t>1364-5706</t>
  </si>
  <si>
    <t>1365-2931</t>
  </si>
  <si>
    <t>MINIM INVASIV THER</t>
  </si>
  <si>
    <t>Minim. Invasive Ther. Allied Technol.</t>
  </si>
  <si>
    <t>10.3109/13645706.2013.816323</t>
  </si>
  <si>
    <t>206BW</t>
  </si>
  <si>
    <t>WOS:000323492100003</t>
  </si>
  <si>
    <t>Bafort, C; Beebeejaun, Y; Tomassetti, C; Bosteels, J; Duffy, JMN</t>
  </si>
  <si>
    <t>Bafort, Celine; Beebeejaun, Yusuf; Tomassetti, Carla; Bosteels, Jan; Duffy, James M. N.</t>
  </si>
  <si>
    <t>Laparoscopic surgery for endometriosis</t>
  </si>
  <si>
    <t>Antineoplastic Agents, Hormonal [therapeutic use]; Endometriosis [complications] [diagnosis] [*surgery]; Goserelin [therapeutic use]; Infertility Female [etiology] [*surgery]; *Laparoscopy; Pelvic Pain [etiology] [surgery]; Pregnancy Rate; Randomized Controlled; Trials as Topic; Female; Humans; Pregnancy</t>
  </si>
  <si>
    <t>DOUBLE-BLIND; CONSERVATIVE SURGERY; COLORECTAL RESECTION; LASER LAPAROSCOPY; RANDOMIZED-TRIAL; INFERTILE WOMEN; NO TREATMENT; FOLLOW-UP; PAIN; MILD</t>
  </si>
  <si>
    <t>Background Endometriosis is associated with pain and infertility. Surgical interventions aim to remove visible areas of endometriosis and restore the anatomy. Objectives To assess the effectiveness and safety of laparoscopic surgery in the treatment of pain and infertility associated with endometriosis. Search methods This review has drawn on the search strategy developed by the Cochrane Gynaecology and Fertility Group including searching the Cochrane Gynaecology and Fertility Group's specialised register, CENTRAL, MEDLINE, Embase, PsycINFO, CINAHL, reference lists for relevant trials, and trial registries from inception to April 2020. Selection criteria We selected randomised controlled trials (RCTs) that compared the effectiveness and safety of laparoscopic surgery with any other laparoscopic or robotic intervention, holistic or medical treatment, or diagnostic laparoscopy only. Data collection and analysis Two review authors independently performed selection of studies, assessment of trial quality and extraction of relevant data with disagreements resolved by a third review author. We collected data for the core outcome set for endometriosis. Primary outcomes included overall pain and live birth. We evaluated the quality of evidence using GRADE methods. Main results We included 14 RCTs. The studies randomised 1563 women with endometriosis. Four RCTs compared laparoscopic ablation or excision with diagnostic laparoscopy only. Two RCTs compared laparoscopic excision with diagnostic laparoscopy only. One RCT compared laparoscopic ablation or excision with laparoscopic ablation or excision and uterine suspension. Two RCTs compared laparoscopic ablation and uterine nerve transection with diagnostic laparoscopy only. One RCT compared laparoscopic ablation with diagnostic laparoscopy and gonadotropin-releasing hormone (GnRH) analogues. Two RCTs compared laparoscopic ablation with laparoscopic excision. One RCT compared laparoscopic ablation or excision with helium thermal coagulator with laparoscopic ablation or excision with electrodiathermy. One RCT compared conservative laparoscopic surgery with laparoscopic colorectal resection of deep endometriosis infiltrating the rectum. Common limitations in the primary studies included lack of clearly described blinding, failure to fully describe methods of randomisation and allocation concealment, and poor reporting of outcome data. Laparoscopic treatment versus diagnostic laparoscopy We are uncertain of the effect of laparoscopic treatment on overall pain scores compared to diagnostic laparoscopy only at six months (mean difference (MD) 0.90, 95% confidence interval (CI) 0.31 to 1.49; 1 RCT, 16 participants; very low quality evidence) and at 12 months (MD 1.65, 95% CI 1.11 to 2.19; 1 RCT, 16 participants; very low quality evidence), where a positive value means pain relief (the higher the score, the more pain relief) and a negative value reflects pain increase (the lower the score, the worse the increase in pain). No studies looked at live birth. We are uncertain of the effect of laparoscopic treatment on quality of life compared to diagnostic laparoscopy only: EuroQol-5D index summary at six months (MD 0.03, 95% CI -0.12 to 0.18; 1 RCT, 39 participants; low quality evidence), 12-item Short Form (SF-12) mental health component (MD 2.30, 95% CI-4.50 to 9.10; 1 RCT, 39 participants; low quality evidence) and SF-12 physical health component (MD 2.70, 95% CI -2.90 to 8.30; 1 RCT, 39 participants; low quality evidence). Laparoscopic treatment probably improves viable intrauterine pregnancy rate compared to diagnostic laparoscopy only (odds ratio (OR) 1.89, 95% CI 1.25 to 2.86; 3 RCTs, 528 participants; I-2 = 0%; moderate quality evidence). We are uncertain of the effect of laparoscopic treatment compared to diagnostic laparoscopy only on ectopic pregnancy (MD 1.18, 95% CI 0.10 to 13.48; 1 RCT, 100 participants; low quality evidence) and miscarriage (MD 0.94, 95% CI 0.35 to 2.54; 2 RCTs, 112 participants; low quality evidence). There was limited reporting of adverse events. No conversions to laparotomy were reported in both groups (1 RCT, 341 participants). Laparoscopic ablation and uterine nerve transection versus diagnostic laparoscopy We are uncertain of the effect of laparoscopic ablation and uterine nerve transection on adverse events (more specifically vascular injury) compared to diagnostic laparoscopy only (OR 0.33, 95% CI 0.01 to 8.32; 1 RCT, 141 participants; low quality evidence). No studies looked at overall pain scores (at six and 12 months), live birth, quality of life, viable intrauterine pregnancy confirmed by ultrasound, ectopic pregnancy and miscarriage. Laparoscopic ablation versus laparoscopic excision There was insufficient evidence to determine whether there was a difference in overall pain, measured at 12 months, for laparoscopic ablation compared with laparoscopic excision (MD 0.00, 95% CI -1.22 to 1.22; 1 RCT, 103 participants; very low quality evidence). No studies looked at overall pain scores at six months, live birth, quality of life, viable intrauterine pregnancy confirmed by ultrasound, ectopic pregnancy, miscarriage and adverse events. Helium thermal coagulator versus electrodiathermy We are uncertain whether helium thermal coagulator compared to electrodiathermy improves quality of life using the 30-item Endometriosis Health Profile (EHP-30) at nine months, when considering the components: pain (MD 6.68, 95% CI -3.07 to 16.43; 1 RCT, 119 participants; very low quality evidence), control and powerlessness (MD 4.79, 95% CI -6.92 to 16.50; 1 RCT, 119 participants; very low quality evidence), emotional well-being (MD 6.17, 95% CI -3.95 to 16.29; 1 RCT, 119 participants; very low quality evidence) and social support (MD 5.62, 95% CI -6.21 to 17.45; 1 RCT, 119 participants; very low quality evidence). Adverse events were not estimable. No studies looked at overall pain scores (at six and 12 months), live birth, viable intrauterine pregnancy confirmed by ultrasound, ectopic pregnancy and miscarriage. Authors' conclusions Compared to diagnostic laparoscopy only, it is uncertain whether laparoscopic surgery reduces overall pain associated with minimal to severe endometriosis. No data were reported on live birth. There is moderate quality evidence that laparoscopic surgery increases viable intrauterine pregnancy rates confirmed by ultrasound compared to diagnostic laparoscopy only. No studies were found that looked at live birth for any of the comparisons. Further research is needed considering the management of different subtypes of endometriosis and comparing laparoscopic interventions with lifestyle and medical interventions. There was insufficient evidence on adverse events to allow any conclusions to be drawn regarding safety.</t>
  </si>
  <si>
    <t>[Bafort, Celine; Tomassetti, Carla] Univ Hosp Leuven, Dept Obstet &amp; Gynaecol, Leuven, Belgium; [Beebeejaun, Yusuf] Kings Coll Hosp NHS Fdn Trust, Kings Fertil, London, England; [Bosteels, Jan] Cochrane Belgium, Acad Ctr Gen Practice, Leuven, Belgium; [Duffy, James M. N.] UCL, Inst Womens Hlth, London, England; [Duffy, James M. N.] Fetal Med Res Inst, Kings Fertil, London, England</t>
  </si>
  <si>
    <t>KU Leuven; University Hospital Leuven; King's College Hospital NHS Foundation Trust; University of London; University College London</t>
  </si>
  <si>
    <t>Duffy, JMN (corresponding author), UCL, Inst Womens Hlth, London, England.;Duffy, JMN (corresponding author), Fetal Med Res Inst, Kings Fertil, London, England.</t>
  </si>
  <si>
    <t>jamesmnduy@outlook.com</t>
  </si>
  <si>
    <t>Bosteels, Jan/D-2105-2011; Duffy, James/N-7580-2013; Bafort, Celine/LPQ-6490-2024</t>
  </si>
  <si>
    <t>Bafort, Celine/0000-0002-0476-1304; Beebeejaun, Yusuf/0000-0001-5058-5041; Tomassetti, Carla/0000-0002-5373-0811</t>
  </si>
  <si>
    <t>National Institute of Health Research, UK Cochrane Review incentive scheme; Cochrane Review Support Programme, UK</t>
  </si>
  <si>
    <t>External sourcesNational Institute of Health Research, UK Cochrane Review incentive schemeCochrane Review Support Programme, UK</t>
  </si>
  <si>
    <t>CD011031</t>
  </si>
  <si>
    <t>10.1002/14651858.CD011031.pub3</t>
  </si>
  <si>
    <t>OI2IR</t>
  </si>
  <si>
    <t>WOS:000583109400030</t>
  </si>
  <si>
    <t>Hoh, JE; Semrau, JA</t>
  </si>
  <si>
    <t>Hoh, Joanna E.; Semrau, Jennifer A.</t>
  </si>
  <si>
    <t>The Role of Sensory Impairments on Recovery and Rehabilitation After Stroke</t>
  </si>
  <si>
    <t>CURRENT NEUROLOGY AND NEUROSCIENCE REPORTS</t>
  </si>
  <si>
    <t>Somatosensation; Stroke; Recovery; Neurorehabilitation; Proprioception; Tactile</t>
  </si>
  <si>
    <t>LIMB POSITION SENSE; ELECTRICAL-STIMULATION; MOTOR RECOVERY; SOMATOSENSORY STIMULATION; HAND FUNCTION; PROPRIOCEPTION; SENSATION; DEFICITS; FEEDBACK; THERAPY</t>
  </si>
  <si>
    <t>Purpose of ReviewThe current review aims to address critical gaps in the field of stroke rehabilitation related to sensory impairment. Here, we examine the role and importance of sensation throughout recovery of neural injury, potential clinical and experimental approaches for improving sensory function, and mechanism-based theories that may facilitate the design of sensory-based approaches for the rehabilitation of somatosensation.Recent FindingsRecently, the field of neurorehabilitation has shifted to using more quantitative and sensitive measures to more accurately capture sensory function in stroke and other neurological populations. These approaches have laid the groundwork for understanding how sensory impairments impact overall function after stroke. However, there is less consensus on which interventions are effective for remediating sensory function, with approaches that vary from clinical re-training, robotics, and sensory stimulation interventions.SummaryCurrent evidence has found that sensory and motor systems are interdependent, but commonly have independent recovery trajectories after stroke. Therefore, it is imperative to assess somatosensory function in order to guide rehabilitation outcomes and trajectory. Overall, considerable work in the field still remains, as there is limited evidence for purported mechanisms of sensory recovery, promising early-stage work that focuses on sensory training, and a considerable evidence-practice gap related to clinical sensory rehabilitation.</t>
  </si>
  <si>
    <t>[Hoh, Joanna E.; Semrau, Jennifer A.] Univ Delaware, Dept Kinesiol &amp; Appl Physiol, Newark, DE 19716 USA; [Hoh, Joanna E.; Semrau, Jennifer A.] Univ Delaware, Interdisciplinary Grad Program Biomech &amp; Movement, Newark, DE 19716 USA; [Semrau, Jennifer A.] Univ Delaware, Dept Biomed Engn, Newark, DE 19716 USA</t>
  </si>
  <si>
    <t>University of Delaware; University of Delaware; University of Delaware</t>
  </si>
  <si>
    <t>Semrau, JA (corresponding author), Univ Delaware, Dept Kinesiol &amp; Appl Physiol, Newark, DE 19716 USA.;Semrau, JA (corresponding author), Univ Delaware, Interdisciplinary Grad Program Biomech &amp; Movement, Newark, DE 19716 USA.;Semrau, JA (corresponding author), Univ Delaware, Dept Biomed Engn, Newark, DE 19716 USA.</t>
  </si>
  <si>
    <t>semrau@udel.edu</t>
  </si>
  <si>
    <t>American Heart Association Predoctoral Fellowship [PRE1178499]; National Science Foundation [1934650]</t>
  </si>
  <si>
    <t>American Heart Association Predoctoral Fellowship(American Heart Association); National Science Foundation(National Science Foundation (NSF))</t>
  </si>
  <si>
    <t>This study was supported by the National Science Foundation (#1934650) awarded to JAS. JEH was supported by an American Heart Association Predoctoral Fellowship (PRE1178499).</t>
  </si>
  <si>
    <t>1528-4042</t>
  </si>
  <si>
    <t>1534-6293</t>
  </si>
  <si>
    <t>CURR NEUROL NEUROSCI</t>
  </si>
  <si>
    <t>Curr. Neurol. Neurosci. Rep.</t>
  </si>
  <si>
    <t>10.1007/s11910-025-01407-9</t>
  </si>
  <si>
    <t>Z5J0Z</t>
  </si>
  <si>
    <t>WOS:001439256700002</t>
  </si>
  <si>
    <t>Alter, IL; Dias, C; Briano, J; Rameau, A</t>
  </si>
  <si>
    <t>Alter, Isaac L.; Dias, Carla; Briano, Jack; Rameau, Anais</t>
  </si>
  <si>
    <t>Digital health technologies in swallowing care from screening to rehabilitation: A narrative review</t>
  </si>
  <si>
    <t>AURIS NASUS LARYNX</t>
  </si>
  <si>
    <t>Digital health; Artificial intelligence; Dysphagia; Deglutition</t>
  </si>
  <si>
    <t>DYSPHAGIA; ASPIRATION; ACCURACY; CANCER; CLASSIFICATION; DIAGNOSIS; TRACKING; ROBOT; HEAD</t>
  </si>
  <si>
    <t>Objectives: Digital health technologies (DHTs) have rapidly advanced in the past two decades, through developments in mobile and wearable devices and most recently with the explosion of artificial intelligence (AI) capabilities and subsequent extension into the health space. DHT has myriad potential applications to deglutology, many of which have undergone promising investigations and developments in recent years. We present the first literature review on applications of DHT in swallowing health, from screening to therapeutics. Public health interventions for swallowing care are increasingly needed in the setting of aging populations in the West and East Asia, and DHT may offer a scalable and low-cost solution. Methods: A narrative review was performed using PubMed and Google Scholar to identify recent research on applications of AI and digital health in swallow practice. Database searches, conducted in September 2024, included terms such as digital, AI, machine learning, tools in combination with deglutition, Otolaryngology, Head and Neck, speech language pathology, swallow, and dysphagia. Primary literature pertaining to digital health in deglutology was included for review. Results: We review the various applications of DHT in swallowing care, including prevention, screening, diagnosis, treatment planning and rehabilitation. Conclusion: DHT may offer innovative and scalable solutions for swallowing care as public health needs grow and in the setting of limited specialized healthcare workforce. These technological advances are also being explored as time and resource saving solutions at many points of care in swallow practice. DHT could bring affordable and accurate information for self-management of dysphagia to broader patient populations that otherwise lack access to expert providers.</t>
  </si>
  <si>
    <t>[Alter, Isaac L.; Dias, Carla; Briano, Jack; Rameau, Anais] Weill Cornell Med Coll, Sean Parker Inst Voice, Dept Otolaryngol Head &amp; Neck Surg, 240 E 59 St, New York, NY 10022 USA</t>
  </si>
  <si>
    <t>Cornell University; Weill Cornell Medicine</t>
  </si>
  <si>
    <t>Rameau, A (corresponding author), Weill Cornell Med Coll, Sean Parker Inst Voice, Dept Otolaryngol Head &amp; Neck Surg, 240 E 59 St, New York, NY 10022 USA.</t>
  </si>
  <si>
    <t>anr2783@med.cornell.edu</t>
  </si>
  <si>
    <t>0385-8146</t>
  </si>
  <si>
    <t>1879-1476</t>
  </si>
  <si>
    <t>Auris Nasus Larynx</t>
  </si>
  <si>
    <t>10.1016/j.anl.2025.05.002</t>
  </si>
  <si>
    <t>3EK9O</t>
  </si>
  <si>
    <t>WOS:001498377000001</t>
  </si>
  <si>
    <t>Htet, Y; Behera, B; Orlando, MF</t>
  </si>
  <si>
    <t>Htet, Ye; Behera, Bulbul; Orlando, M. Felix</t>
  </si>
  <si>
    <t>Lower extremity exoskeletons: a systematic review on design, control, and sensing</t>
  </si>
  <si>
    <t>ENGINEERING RESEARCH EXPRESS</t>
  </si>
  <si>
    <t>exoskeleton; lower limb; rehabilitation; wearable robotics</t>
  </si>
  <si>
    <t>MUSCLE</t>
  </si>
  <si>
    <t>The use of lower limb exoskeletons are growing from medical rehabilitation to enhancing ability and strength in humans. Lower limb exoskeletons assist patients with lower limb disabilities to stand up and rehabilitate gait patterns. This paper provides an extensive overview of lower limb exoskeletons in terms of design consideration, control strategies, potential endangerments associated with exoskeleton use, and sensing systems. A comparison study based on these topics is provided with applications. Finally, perquisite challenges and possible solutions in this direction are highlighted which will significantly help researchers to develop next generation lower limb exoskeletons.</t>
  </si>
  <si>
    <t>[Htet, Ye; Behera, Bulbul; Orlando, M. Felix] Indian Inst Technol Roorkee, Dept Elect Engn, Adv Robot Lab, Roorkee 247667, Uttarakhand, India</t>
  </si>
  <si>
    <t>Indian Institute of Technology System (IIT System); Indian Institute of Technology (IIT) - Roorkee</t>
  </si>
  <si>
    <t>Orlando, MF (corresponding author), Indian Inst Technol Roorkee, Dept Elect Engn, Adv Robot Lab, Roorkee 247667, Uttarakhand, India.</t>
  </si>
  <si>
    <t>ye_h@ee.iitr.ac.in; bulbul_b@ee.iitr.ac.in; m.orlando@ee.iitr.ac.in</t>
  </si>
  <si>
    <t>Joseph, Felix/AAQ-3789-2021</t>
  </si>
  <si>
    <t>IOP Publishing Ltd</t>
  </si>
  <si>
    <t>BRISTOL</t>
  </si>
  <si>
    <t>TEMPLE CIRCUS, TEMPLE WAY, BRISTOL BS1 6BE, ENGLAND</t>
  </si>
  <si>
    <t>2631-8695</t>
  </si>
  <si>
    <t>ENG RES EXPRESS</t>
  </si>
  <si>
    <t>Eng. Res. Express</t>
  </si>
  <si>
    <t>JUN 30</t>
  </si>
  <si>
    <t>10.1088/2631-8695/ada663</t>
  </si>
  <si>
    <t>1JS7Z</t>
  </si>
  <si>
    <t>WOS:001466663600001</t>
  </si>
  <si>
    <t>Vaishnav, A; Desai, S</t>
  </si>
  <si>
    <t>Vaishnav, Anand; Desai, Soaham</t>
  </si>
  <si>
    <t>Revolutionizing Stroke Management with Wearable Technology: A Narrative Review of Clinical Applications, Opportunities, Challenges, and the Future Path Towards Equitable Implementation</t>
  </si>
  <si>
    <t>ANNALS OF INDIAN ACADEMY OF NEUROLOGY</t>
  </si>
  <si>
    <t>Stroke; wearables; technology; rehabilitation; prevention</t>
  </si>
  <si>
    <t>ATRIAL-FIBRILLATION; VALIDATION; TRIAL; HOME</t>
  </si>
  <si>
    <t>Stroke remains a leading global cause of mortality and disability, necessitating innovative approaches to address gaps in prevention, acute care, and rehabilitation. This narrative review synthesizes evidence on the transformative potential of wearable technology (WT) across the stroke care continuum and identifies critical challenges to its equitable implementation. A systematic search of PubMed/Medical Literature Analysis and Retrieval System Online (MEDLINE), Scopus, and Google Scholar (up to December 2024) identified 50 studies following Preferred Reporting Items for Systematic reviews and Meta-Analyses (PRISMA)-guided screening and thematic analysis. In prevention, WT facilitates primordial strategies through physical activity tracking and sleep monitoring, while in primary prevention, it enables continuous management of hypertension, atrial fibrillation (AF), diabetes, and sleep apnea. Large-scale trials, such as the Apple Heart Study, validate WT's efficacy in AF detection (84% positive predictive value), though confirmatory medical-grade testing remains essential. For acute care, WT demonstrates promise in early stroke detection through accelerometer-based algorithms and remote neurological assessments. Post-stroke rehabilitation strategies utilize wearable sensors, robotics, and virtual reality to enhance motor recovery, with exoskeletons improving gait speed and sensorimotor feedback increasing upper limb function. Despite these advances, critical barriers persist: fragmented evidence from heterogeneous studies, scarce randomized controlled trials evaluating long-term outcomes, and ethical concerns regarding data privacy and algorithmic bias. Socioeconomic disparities further limit access, particularly in low-resource settings where 70% of stroke deaths occur. To realize WT's potential, stakeholders must prioritize pragmatic trials, standardized protocols, affordable designs, and policies aligning innovation with equity. This review underscores WT's role in global stroke care and advocates for collaborative, patient-centered strategies to bridge gaps.</t>
  </si>
  <si>
    <t>[Vaishnav, Anand] Vadodara Inst Neurol Sci, Dept Neurol, Vadodara, Gujarat, India; [Desai, Soaham] Bhaikaka Univ, Shree Krishna Hosp Pramukhswami Med Coll, Dept Neurol, Anand 388325, Gujarat, India</t>
  </si>
  <si>
    <t>Desai, S (corresponding author), Bhaikaka Univ, Shree Krishna Hosp Pramukhswami Med Coll, Dept Neurol, Anand 388325, Gujarat, India.</t>
  </si>
  <si>
    <t>drsoahamdesai@yahoo.com</t>
  </si>
  <si>
    <t>0972-2327</t>
  </si>
  <si>
    <t>1998-3549</t>
  </si>
  <si>
    <t>ANN INDIAN ACAD NEUR</t>
  </si>
  <si>
    <t>Ann. Indian Acad. Neurol.</t>
  </si>
  <si>
    <t>2025 JUN 6</t>
  </si>
  <si>
    <t>10.4103/aian.aian_156_25</t>
  </si>
  <si>
    <t>3MR1K</t>
  </si>
  <si>
    <t>WOS:001503990600001</t>
  </si>
  <si>
    <t>White, C; Klus, S; Ho, WH; Barrett, L; Doherty, O; Lennon, O</t>
  </si>
  <si>
    <t>White, Conor; Klus, Samantha; Ho, Wing Hai; Barrett, Lily; Doherty, Orlaith; Lennon, Olive</t>
  </si>
  <si>
    <t>Robotic-assisted gait training for spinal cord injury neuropathic pain: A systematic review</t>
  </si>
  <si>
    <t>Robotic assisted gait training; Spinal cord injury; Neuropathic pain; Exoskeleton; Neurorehabilitation</t>
  </si>
  <si>
    <t>QUALITY-OF-LIFE; POWERED EXOSKELETON; HEALTH; RECOMMENDATIONS; INDIVIDUALS; WALKING; QUESTIONNAIRE; PREVALENCE; EXPERIENCE; PHENOTYPES</t>
  </si>
  <si>
    <t>Context:Neuropathic pain (NP), can be a debilitating consequence of spinal cord injury. Robotic-assisted gait training (RAGT) is an effective rehabilitation tool, but emerging evidence suggests it may prove an effective treatment for NP post-SCI.Objective:This systematic review aims to synthesize the available evidence examining RAGT for pain reduction post-SCI, focusing on NP.Methods:Six databases were searched from inception to February 18th 2025, using search strings addressing: SCI and RAGT. No date or study type restrictions applied. Studies with SCI populations, delivering RAGT and measuring pain outcomes were included. Meta-analyses were conducted for pain intensity, pain interference (PI) and HRQoL outcomes. Certainty of evidence (COE) was assessed using GRADE criteria.Results:Thirty two studies (n = 567) (6 RCTs) met eligibility criteria. No RCT mandated pain as an inclusion criterion. Meta-analysis of 6 RCTs (n = 174) identified no effect for RAGT over other interventions for outcomes of overall pain intensity (SMD = 0.03 [-0.40, 0.46]; P = 0.90), non-specified pain-type intensity (SMD = 0.08 [-0.39, 0.55]; P = 0.74) and in one RCT reporting NP intensity (SMD = -0.46 [-1.61, 0.70]; P = 0.44). Meta-analysis identified no difference between RAGT and comparators for outcomes of HRQoL (3 RCTs (n = 69): SMD = 0.15 [-0.33,0.62]; P = 0.54) and PI (2 RCTs (n = 53): SMD = -0.1 [-0.64,0.44]; P = 0.71). Very-low COE for pain intensity &amp; PI and low COE for HRQoL were assigned.Conclusions:Very limited studies and inconclusive evidence supports RAGT for the reduction of NP post-SCI. Future RCTs of RAGT that recruit patients with moderate-to-severe NP at baseline are required.</t>
  </si>
  <si>
    <t>[White, Conor; Klus, Samantha; Ho, Wing Hai; Barrett, Lily; Doherty, Orlaith; Lennon, Olive] Univ Coll Dublin, Sch Publ Hlth Physiotherapy &amp; Sports Sci, Belfield, Dublin, Ireland</t>
  </si>
  <si>
    <t>University College Dublin</t>
  </si>
  <si>
    <t>White, C (corresponding author), Univ Coll Dublin, Sch Publ Hlth Physiotherapy &amp; Sports Sci, Belfield, Dublin, Ireland.</t>
  </si>
  <si>
    <t>conor.white3@ucdconnect.ie</t>
  </si>
  <si>
    <t>Lennon, Olive/E-5202-2012</t>
  </si>
  <si>
    <t>10.1080/10790268.2025.2503049</t>
  </si>
  <si>
    <t>3LQ7C</t>
  </si>
  <si>
    <t>WOS:001503302800001</t>
  </si>
  <si>
    <t>Marinaro, C; Muglia, L; Squartecchia, S; Cozza, A; Corsonello, A; Pranno, L; Ferrarin, M; Lencioni, T</t>
  </si>
  <si>
    <t>Marinaro, Cinzia; Muglia, Lucia; Squartecchia, Simona; Cozza, Annalisa; Corsonello, Andrea; Pranno, Luigi; Ferrarin, Maurizio; Lencioni, Tiziana</t>
  </si>
  <si>
    <t>Mapping the Role of Robot-Assisted Gait Training in Post-Stroke Recovery Among Elderly Patients: A Scoping Review</t>
  </si>
  <si>
    <t>rehabilitation; elderly; stroke; robotics; gait disorders; scoping review</t>
  </si>
  <si>
    <t>PHASE STROKE PATIENTS; QUALITY-OF-LIFE; FOLLOW-UP; REHABILITATION; IMPROVEMENT; AGE; DISABILITY; COHORT; ADULT; LIMB</t>
  </si>
  <si>
    <t>Background/Objective: Stroke is one of the leading causes of death and disability worldwide, with older survivors (aged &gt; 65 years) bearing significant health and economic impacts, particularly in industrialized countries. While gait rehabilitation is a cornerstone in post-stroke recovery and robotic technologies offer promising tools to enhance its effectiveness, the existing literature has largely overlooked elderly populations. Most studies on robot-assisted gait training (RAGT)-which uses exoskeleton or end-effector devices to support and guide movement-either exclude older adults or do not analyze their outcomes separately. This review aims to critically evaluate the current evidence on RAGT in elderly post-stroke patients, addressing a significant gap in the literature and providing novel insights into the effectiveness and adaptability of RAGT for this specific population. Methods: The search included databases such as PubMed, Scopus, Embase, Web of Science, and ClinicalTrials. The inclusion criteria covered studies published up to March 2025, focusing on post-stroke individuals aged &gt;65 years, who underwent RAGT. Results: 25 studies were included in the review, 21 involving exoskeleton and 4 end-effector devices. The primary focus was on motor outcomes, such as gait independence, gait parameters, and balance control. Only a few studies examined non-motor aspects, including cognitive and emotional functions, fatigue, pain, and neuroplasticity. Moreover, data on the long-term effects on the elderly population remain scarce. Conclusions: RAGT is an effective strategy for promoting motor recovery and improving functional outcomes, from independence in daily activities to quality of life, in the post-stroke elderly population. Early and high-intensity interventions are particularly useful with positive effects on neuronal plasticity, cognitive function, and well-being.</t>
  </si>
  <si>
    <t>[Marinaro, Cinzia; Muglia, Lucia; Cozza, Annalisa; Corsonello, Andrea; Pranno, Luigi] Ist Nazl Riposo &amp; Cura Anziani IRCCS INRCA, I-87100 Cosenza, Italy; [Squartecchia, Simona; Ferrarin, Maurizio; Lencioni, Tiziana] IRCCS Fdn Don Carlo Gnocchi, I-20148 Milan, Italy; [Corsonello, Andrea] Univ Calabria, Dept Pharm Hlth &amp; Nutr Sci, I-87036 Cosenza, Italy</t>
  </si>
  <si>
    <t>IRCCS Fondazione Don Carlo Gnocchi Onlus; University of Calabria</t>
  </si>
  <si>
    <t>Cozza, A (corresponding author), Ist Nazl Riposo &amp; Cura Anziani IRCCS INRCA, I-87100 Cosenza, Italy.</t>
  </si>
  <si>
    <t>c.marinaro@inrca.it; l.muglia@inrca.it; ssquartecchia@dongnocchi.it; a.cozza@inrca.it; andrea.corsonello@unical.it; l.pranno@inrca.it; mferrarin@dongnocchi.it; tlencioni@dongnocchi.it</t>
  </si>
  <si>
    <t>Italian Ministry of Health under the European Union-Next Generation EU-PNRR-M6C2-Investimento 2.1 Valorizzazione e potenziamento della ricerca biomedica del SSN (project PoCH-Rehab) [PNRR-POC-2022-12375689]; Italian Ministry of Health</t>
  </si>
  <si>
    <t>Italian Ministry of Health under the European Union-Next Generation EU-PNRR-M6C2-Investimento 2.1 Valorizzazione e potenziamento della ricerca biomedica del SSN (project PoCH-Rehab); Italian Ministry of Health(Ministry of Health, Italy)</t>
  </si>
  <si>
    <t>This work was funded by the Italian Ministry of Health under the European Union-Next Generation EU-PNRR-M6C2-Investimento 2.1 Valorizzazione e potenziamento della ricerca biomedica del SSN (project PoCH-Rehab, grant n. PNRR-POC-2022-12375689).</t>
  </si>
  <si>
    <t>JUN 3</t>
  </si>
  <si>
    <t>10.3390/jcm14113922</t>
  </si>
  <si>
    <t>3QH9R</t>
  </si>
  <si>
    <t>WOS:001506470400001</t>
  </si>
  <si>
    <t>Liu, SY; Chen, FY; Yin, JQ; Wang, GQ; Yang, LY</t>
  </si>
  <si>
    <t>Liu, Shengye; Chen, Fangyuan; Yin, Jianqiao; Wang, Guanqi; Yang, Liyu</t>
  </si>
  <si>
    <t>Comparative efficacy of robotic exoskeleton and conventional gait training in patients with spinal cord injury: a meta-analysis of randomized controlled trials</t>
  </si>
  <si>
    <t>Robotic exoskeleton gait training; Spinal cord injury; Meta-analysis; Gait rehabilitation</t>
  </si>
  <si>
    <t>BONE-MINERAL DENSITY; WALKING; INDIVIDUALS; ADULTS; INDEX</t>
  </si>
  <si>
    <t>ObjectiveThe purpose of this meta-analysis was to investigate the effects of Robotic exoskeleton gait training (REGT) on lower limb mobility, walking balance, functional scores and respiratory function in patients with spinal cord injury (SCI).Data sourcesThe PubMed, Embase, Cochrane Library databases were systematically searched from inception until December 24, 2024.Study selectionEligible randomized controlled trials contained information on the population (SCI), intervention (REGT), and outcomes (walking speed and distance, walking balance, functional scores for SCI rehabilitation, respiratory function). Participants in the REGT intervention group were compared with those in conventional physical gait training (CPT) groups. Two independent researchers conducted the research,screened the articles, and assessed their eligibility.Data extractionTwo independent researchers extracted key information from each eligible study. The authors' names, year of publication, setting, total sample size, REGT, CPT training schedule, baseline/mean difference (MD), and 95% confidence interval (CI) were extracted using a standardized form, and the methodological quality was assessed using the GRADE (Grading of Recommendations, Assessment, Development, and Evaluation) system.Data synthesisOf 595 studies identified, 15 randomized controlled trials (n = 579) were included for meta-analysis. Compared with conventional physical gait training (CPT), REGT showed no significant efficacy in walking speed (10-Meter Walk Test, WMD (95%CI) = - 0.03 (- 0.06, 0.00) m/s, P = 0.08) and walking distance, (6-Minute Walk Test, WMD (95% CI) = -1.83 (- 14.48, 10.83) meters, P = 0.78). REGT showed statistically significant efficacy in walking stability (Timed Up and Go, WMD (95%CI) = 6.62 (0.35, 12.88) s, P = 0.04) and functional scores such as Walking Index for Spinal Cord Injury Version II (WMD (95%CI) = 2.17 (1.05, 3.29), P = 0.0001) and Lower Extremity Motor Score (WMD (95%CI) = 1.33 (0.58, 2.07), P = 0.0005). Additional Significant efficacy was also found in terms of respiratory function (forced expiratory volume in one second, WMD (95%CI) = 0.60 (0.05, 1.16) L, P = 0.03).ConclusionsThis meta-analysis discovered the evidence that robotic exoskeleton gait training can improve the walking balance, strength of lower limbs, functional scores and respiratory function in the patients with spinal cord injury (SCI) compared to conventional gait training (CPT). No obvious evidence showed that REGT has more advantages than CPT in improving walking speed and distance. REGT combined with CPT are more recommended in the discovery of walking speed and distance of patients above 6 months after SCI.</t>
  </si>
  <si>
    <t>[Liu, Shengye; Yang, Liyu] China Med Univ, Shengjing Hosp, Dept Orthoped, Sanhao St 36, Shenyang, Liaoning, Peoples R China; [Chen, Fangyuan; Wang, Guanqi] China Med Univ, Shengjing Hosp, Dept Rehabil, Puhe Rd 16, Shenyang, Liaoning, Peoples R China; [Yin, Jianqiao] China Med Univ, Shengjing Hosp, Dept Oncol, Shenyang, Liaoning, Peoples R China</t>
  </si>
  <si>
    <t>China Medical University; China Medical University; China Medical University</t>
  </si>
  <si>
    <t>Yang, LY (corresponding author), China Med Univ, Shengjing Hosp, Dept Orthoped, Sanhao St 36, Shenyang, Liaoning, Peoples R China.</t>
  </si>
  <si>
    <t>yanglycmu@126.com</t>
  </si>
  <si>
    <t>杨, 立宇/GZM-5725-2022; Liu, Shengye/HKE-2627-2023; Chen, Fangyuan (Chelsea)/HGD-9678-2022</t>
  </si>
  <si>
    <t>Liaoning Province Science and Technology Plan Joint Program (Natural Science Foundation-General Project) [2024-MSLH-559, 2024-MSLH-579]; Collaborative Research Project of China Medical University; The 345 Talent Project of Shengjing Hospital [30C30D]</t>
  </si>
  <si>
    <t>Liaoning Province Science and Technology Plan Joint Program (Natural Science Foundation-General Project); Collaborative Research Project of China Medical University; The 345 Talent Project of Shengjing Hospital</t>
  </si>
  <si>
    <t>This research was supported by Liaoning Province Science and Technology Plan Joint Program (Natural Science Foundation-General Project) (2024-MSLH-559 &amp; 2024-MSLH-579), Collaborative Research Project of China Medical University, as well as the 345 Talent Project of Shengjing Hospital (30C&amp;30D).</t>
  </si>
  <si>
    <t>MAY 29</t>
  </si>
  <si>
    <t>10.1186/s12984-025-01649-1</t>
  </si>
  <si>
    <t>3EY4K</t>
  </si>
  <si>
    <t>WOS:001498730400001</t>
  </si>
  <si>
    <t>Kuipers, JA; Hoffman, N; Carrick, FR; Jemni, M</t>
  </si>
  <si>
    <t>Kuipers, Jan A.; Hoffman, Norman; Carrick, Frederick R.; Jemni, Monem</t>
  </si>
  <si>
    <t>Post-Stroke Rehabilitation: Neurophysiology Processes of Bilateral Movement Training and Interlimb Coupling-A Systematic Review</t>
  </si>
  <si>
    <t>stroke rehabilitation; post-stroke rehabilitation; bilateral movement training; cross-education; interlimb coupling; interlimb transfer</t>
  </si>
  <si>
    <t>UPPER-LIMB FUNCTION; TRIGGERED NEUROMUSCULAR STIMULATION; UPPER EXTREMITY FUNCTION; RHYTHMIC ARM; MOTOR RECOVERY; CHRONIC STROKE; MIRROR THERAPY; SENSORIMOTOR SYNCHRONIZATION; CLINICAL-APPLICATIONS; PATTERN GENERATION</t>
  </si>
  <si>
    <t>Background: Bilateral movement training (BMT) and interlimb coupling have emerged as promising neurophysiologically-based rehabilitation approaches for stroke survivors. However, the underlying mechanisms and optimal implementation strategies remain incompletely understood. This systematic review explored the neurophysiological principles underlying BMT and interlimb coupling interventions that led to positive clinical post-stroke rehabilitation outcomes, focusing on identifying the most effective bilateral and interlimb movement strategies. Methods: A 10-year literature search (2014-2024) following PRISMA guidelines was conducted across PubMed, Cochrane, and Google Scholar databases using keywords including stroke rehabilitation, bilateral movement training, cross-education, interlimb coupling, and interlimb transfer. Studies were included if they involved human subjects, clinical trials, stroke survivors, and described bilateral training protocols. Data extraction focused on neurophysiological mechanisms, intervention characteristics, and clinical outcomes. Quality assessment was performed using validated methodological appraisal tools, including the Newcastle-Ottawa Scale and Cochrane RoB 2.0. Results: Of 199 initially identified studies, 28 met inclusion criteria for detailed analysis. BMT demonstrated effectiveness in enhancing motor recovery by engaging neurophysiological mechanisms, including central pattern generators, interhemispheric coupling, and cortical disinhibition. High-intensity BMT provided significant gains for individuals with moderate to severe impairments, while low-intensity training benefited early recovery stages. Interventions incorporating task-specific exercises, robotic assistance, sensory enhancement, and virtual reality showed particular promise for addressing motor recovery complexities. However, significant research gaps were identified, including limited understanding of individualized responses to BMT, insufficient research on combined upper and lower limb training, and minimal integration of advanced technologies. Conclusions: BMT and interlimb coupling play critical roles in post-stroke rehabilitation by facilitating neural plasticity and interlimb coordination. Integrating robotic assistance, sensory enhancement, and virtual reality with BMT offers a robust framework for maximizing rehabilitation outcomes. Future research should prioritize longitudinal studies, personalized rehabilitation approaches, technology integration, and stratified interventions tailored to individual needs to optimize neuroplasticity and enhance quality of life for stroke survivors.</t>
  </si>
  <si>
    <t>[Kuipers, Jan A.; Hoffman, Norman; Carrick, Frederick R.; Jemni, Monem] Carrick Inst, Cape Canaveral, FL 32920 USA; [Carrick, Frederick R.; Jemni, Monem] Univ Cambridge, Ctr Mental Hlth Res, Cambridge CB2 1TN, England; [Carrick, Frederick R.] Univ Cent Florida, Coll Med, Orlando, FL 32827 USA; [Carrick, Frederick R.] Univ Cent Florida, Burnett Sch Biomed Sci, Orlando, FL 32827 USA; [Carrick, Frederick R.] MGH Inst Hlth Profess, Boston, MA 02129 USA; [Jemni, Monem] Ningbo Univ, Fac Phys Educ, Ningbo 315000, Peoples R China</t>
  </si>
  <si>
    <t>University of Cambridge; State University System of Florida; University of Central Florida; State University System of Florida; University of Central Florida; Harvard University; Harvard University Medical Affiliates; Massachusetts General Hospital; MGH Institute of Health Professions; Ningbo University</t>
  </si>
  <si>
    <t>Kuipers, JA (corresponding author), Carrick Inst, Cape Canaveral, FL 32920 USA.</t>
  </si>
  <si>
    <t>arjan@brain.rehab; drnorm@hoffmanwellness.com; drfrcarrick@post.harvard.edu; monemj@hotmail.com</t>
  </si>
  <si>
    <t>MAY 27</t>
  </si>
  <si>
    <t>10.3390/jcm14113757</t>
  </si>
  <si>
    <t>3PC1W</t>
  </si>
  <si>
    <t>WOS:001505642300001</t>
  </si>
  <si>
    <t>Yang, ACH; Choe, EY; Zhang, F</t>
  </si>
  <si>
    <t>Yang, Aria C. H.; Choe, Eun Yeong; Zhang, Fan</t>
  </si>
  <si>
    <t>Pathways linking mobile service robots and quality of life of people with dementia: a literature review</t>
  </si>
  <si>
    <t>INDUSTRIAL MANAGEMENT &amp; DATA SYSTEMS</t>
  </si>
  <si>
    <t>Long-term care facilities; Robotic care; Person-centred care; Quality of life; Service design</t>
  </si>
  <si>
    <t>TERM-CARE FACILITIES; OLDER-ADULTS; ELDERLY CARE; HEALTH-CARE; REHABILITATION; ENVIRONMENTS; TECHNOLOGIES; CHALLENGES; RESIDENTS; COMMUNITY</t>
  </si>
  <si>
    <t>Purpose - Mobile service robots are increasingly adopted in long-term care homes to improve the quality of life of people with dementia. While increasing research has documented the deployment of these robots, few studies have conceptualised the pathways through which they affect quality of life. This article reviews literature in this area and proposes strategies for future mobile service robot development. Design/methodology/approach - A comprehensive literature search was conducted on Web of Science, CINAHL, APA, PsycINFO, IEEE Xplore and Science Direct to identify relevant articles. A narrative approach was adopted to review the literature. Findings - In total, 41 full-text items were reviewed, including quantitative and qualitative empirical studies. Results found that mobile service robots have the potential to improve the quality of life of people with dementia through seven pathways. The most common pathways were leisure, work, social relationships and emotional responses. Several articles observed that mobile service robots enhanced quality of life via mobility and health. Only limited articles discussed the pathway of residential well-being. Research limitations/implications - Future research on the relationship of mobile service robots and quality of life should include more randomised controlled trials, longer study periods and larger sample size of older people, especially those living with dementia. Implications for future robot development could benefit from a socio-technical systems perspective, participatory design processes and value of human care. Originality/value - The comprehensive identification of pathways contributes to future directions for developing mobile service robots that are responsive to raising the quality of life of people with dementia in long-term care settings.</t>
  </si>
  <si>
    <t>[Yang, Aria C. H.; Choe, Eun Yeong; Zhang, Fan] Hong Kong Polytech Univ, Sch Design, Hong Kong, Peoples R China</t>
  </si>
  <si>
    <t>Yang, ACH (corresponding author), Hong Kong Polytech Univ, Sch Design, Hong Kong, Peoples R China.</t>
  </si>
  <si>
    <t>aria.yang@polyu.edu.hk; eunyeong.choe@polyu.edu.hk; jennifer0.zhang@connect.polyu.hk</t>
  </si>
  <si>
    <t>Yang, Aria/KCJ-8697-2024</t>
  </si>
  <si>
    <t>EMERALD GROUP PUBLISHING LTD</t>
  </si>
  <si>
    <t>Leeds</t>
  </si>
  <si>
    <t>Floor 5, Northspring 21-23 Wellington Street, Leeds, W YORKSHIRE, ENGLAND</t>
  </si>
  <si>
    <t>0263-5577</t>
  </si>
  <si>
    <t>1758-5783</t>
  </si>
  <si>
    <t>IND MANAGE DATA SYST</t>
  </si>
  <si>
    <t>Ind. Manage. Data Syst.</t>
  </si>
  <si>
    <t>2025 MAY 27</t>
  </si>
  <si>
    <t>10.1108/IMDS-05-2024-0464</t>
  </si>
  <si>
    <t>Computer Science, Interdisciplinary Applications; Engineering, Industrial</t>
  </si>
  <si>
    <t>Computer Science; Engineering</t>
  </si>
  <si>
    <t>2YO5E</t>
  </si>
  <si>
    <t>WOS:001494390600001</t>
  </si>
  <si>
    <t>Jin, S; Choi, H; Son, D; Shin, M</t>
  </si>
  <si>
    <t>Jin, Subin; Choi, Heewon; Son, Donghee; Shin, Mikyung</t>
  </si>
  <si>
    <t>An injectable conductive hydrogel for closed-loop and robot-assisted rehabilitation via stretchable patch-type electrodes</t>
  </si>
  <si>
    <t>NATURE PROTOCOLS</t>
  </si>
  <si>
    <t>Conventional therapies for severe musculoskeletal and neurological injuries require lengthy recovery periods, which may result in residual disabilities. As an innovative rehabilitation approach, the combination of soft conducting hydrogels as an injectable tissue prosthesis with self-healing, stretchable bioelectronic devices offers a promising solution to expedite tissue repair and enhance functional restoration. This class of tissue prostheses can help address the critical limitations of traditional materials and devices by providing a minimally invasive approach to filling tissue defects and reconstructing the electrophysiological environment. The integration of an injectable tissue prosthesis with exoskeleton robotics in closed-loop systems enables tailored rehabilitation interventions that optimize motor function efficiency. Here we provide the step-by-step instructions for the development and characterization of injectable tissue-interfacing conductive hydrogels and soft self-healing, stretchable bioelectronic devices. We also describe how to establish a fully integrated closed-loop rehabilitation system and show its efficacy in a rat model of volumetric muscle loss. Using this approach, we have achieved accelerated tissue regeneration and improved myofiber regeneration in rats, underscoring the potential of this approach to improve rehabilitation strategies for severe injuries. The protocol is suitable for users with experience in biomaterials, devices and animal handling and requires 30 d to complete.</t>
  </si>
  <si>
    <t>[Jin, Subin; Shin, Mikyung] Sungkyunkwan Univ, Dept Intelligent Precis Healthcare Convergence, Suwon, South Korea; [Jin, Subin; Choi, Heewon; Son, Donghee; Shin, Mikyung] Inst Basic Sci, Ctr Neurosci Imaging Res, Suwon, South Korea; [Choi, Heewon; Son, Donghee] Sungkyunkwan Univ, Dept Elect &amp; Comp Engn, Suwon, South Korea; [Son, Donghee] Sungkyunkwan Univ, Dept Artificial Intelligence Syst Engn, Suwon, South Korea; [Shin, Mikyung] Sungkyunkwan Univ, Dept Biomed Engn, Suwon, South Korea</t>
  </si>
  <si>
    <t>Sungkyunkwan University (SKKU); Institute for Basic Science - Korea (IBS); Sungkyunkwan University (SKKU); Sungkyunkwan University (SKKU); Sungkyunkwan University (SKKU)</t>
  </si>
  <si>
    <t>Shin, M (corresponding author), Sungkyunkwan Univ, Dept Intelligent Precis Healthcare Convergence, Suwon, South Korea.;Son, D; Shin, M (corresponding author), Inst Basic Sci, Ctr Neurosci Imaging Res, Suwon, South Korea.;Son, D (corresponding author), Sungkyunkwan Univ, Dept Elect &amp; Comp Engn, Suwon, South Korea.;Son, D (corresponding author), Sungkyunkwan Univ, Dept Artificial Intelligence Syst Engn, Suwon, South Korea.;Shin, M (corresponding author), Sungkyunkwan Univ, Dept Biomed Engn, Suwon, South Korea.</t>
  </si>
  <si>
    <t>daniel3600@g.skku.edu; mikyungshin@g.skku.edu</t>
  </si>
  <si>
    <t>National Research Foundation of Korea - Korean government (MSIT) [RS-2023-00208262, 2020R1C1C1005567]; Institute for Basic Science [IBS-R015-D1]; Korean Fund for Regenerative Medicine - Korea government (Ministry of Science and ICT) [23B0102L1]; Korean Fund for Regenerative Medicine - Korea government (Ministry of Health and Welfare) [23B0102L1]</t>
  </si>
  <si>
    <t>National Research Foundation of Korea - Korean government (MSIT)(National Research Foundation of KoreaMinistry of Science &amp; ICT (MSIT), Republic of Korea); Institute for Basic Science; Korean Fund for Regenerative Medicine - Korea government (Ministry of Science and ICT); Korean Fund for Regenerative Medicine - Korea government (Ministry of Health and Welfare)</t>
  </si>
  <si>
    <t>This study was financially supported by the National Research Foundation of Korea grant funded by the Korean government (MSIT) (grant nos. RS-2023-00208262 to M.S. and 2020R1C1C1005567 to D.S.). This research was also supported by the Institute for Basic Science (grant no. IBS-R015-D1). This research was also supported by the Korean Fund for Regenerative Medicine grant funded by the Korea government (the Ministry of Science and ICT and the Ministry of Health and Welfare) (grant no. 23B0102L1).</t>
  </si>
  <si>
    <t>1754-2189</t>
  </si>
  <si>
    <t>1750-2799</t>
  </si>
  <si>
    <t>NAT PROTOC</t>
  </si>
  <si>
    <t>Nat. Protoc.</t>
  </si>
  <si>
    <t>2025 MAY 19</t>
  </si>
  <si>
    <t>10.1038/s41596-025-01184-2</t>
  </si>
  <si>
    <t>Biochemical Research Methods</t>
  </si>
  <si>
    <t>Biochemistry &amp; Molecular Biology</t>
  </si>
  <si>
    <t>2SW7U</t>
  </si>
  <si>
    <t>WOS:001490517400001</t>
  </si>
  <si>
    <t>Kalsoom, A; Shah, MF; Farooq, MU</t>
  </si>
  <si>
    <t>Kalsoom, Asna; Shah, Muhammad Faizan; Farooq, Muhammad Umer</t>
  </si>
  <si>
    <t>Advancements in State-of-the-Art Ankle Rehabilitation Robotic Devices: A Review of Design, Actuation and Control Strategies</t>
  </si>
  <si>
    <t>ankle rehabilitation robots; ankle exoskeletons; parallel ankle rehabilitation robots; mechanism design; actuator; control technique</t>
  </si>
  <si>
    <t>FOOT ORTHOSIS; MECHANICAL DESIGN; STROKE SURVIVORS; AIDED NEUROREHABILITATION; PERSONALIZED CONTROL; PARALLEL MECHANISM; ADMITTANCE CONTROL; PNEUMATIC MUSCLES; IMPEDANCE CONTROL; EXOSKELETON</t>
  </si>
  <si>
    <t>Neurological disorders like stroke are one of the main causes of motor dysfunction and gait function disabilities in humans. These disorders impact the mobility of patients often leading to weakened and impaired ankle joints which further compromise their balance and walking abilities. Over the span of the last twenty years, there has been a rising interest in designing, developing, and using rehabilitative robots for patients suffering from various ankle joint disabilities. These robotic devices are developed by employing diverse mechanical designs, materials, and control strategies. The aim of this study is to provide a detailed overview of the recent developments in mechanical design, actuation, and control strategies of ankle rehabilitation robots. Experimental evaluation of the discussed ankle robots has also been carried out discussing their results and limitations. This article concludes by highlighting future challenges and opportunities for the advancement of ankle rehabilitation robots, stressing the need for robust and effective devices to better serve patients.</t>
  </si>
  <si>
    <t>[Kalsoom, Asna; Farooq, Muhammad Umer] Khwaja Fareed Univ Engn &amp; IT, Inst Mech &amp; Mfg Engn, Rahim Yar Khan 64200, Pakistan; [Shah, Muhammad Faizan] Univ Canberra, Fac Sci &amp; Technol, Canberra 2617, Australia</t>
  </si>
  <si>
    <t>University of Canberra</t>
  </si>
  <si>
    <t>Shah, MF (corresponding author), Univ Canberra, Fac Sci &amp; Technol, Canberra 2617, Australia.</t>
  </si>
  <si>
    <t>asnakalsoom8@gmail.com; faizan.shah@canberra.edu.au; umer.farooq@kfueit.edu.pk</t>
  </si>
  <si>
    <t>Farooq, Muhammad Umer/GPG-0992-2022</t>
  </si>
  <si>
    <t>MAY 19</t>
  </si>
  <si>
    <t>10.3390/machines13050429</t>
  </si>
  <si>
    <t>3BO7Z</t>
  </si>
  <si>
    <t>WOS:001496435900001</t>
  </si>
  <si>
    <t>Porter, JA; Barss, TS; Mann, DJ; Karamzadeh, Z; Okusanya, DO; Hemakumara, SG; Zehr, EP; Klarner, T; Mushahwar, VK</t>
  </si>
  <si>
    <t>Porter, Jane A.; Barss, Trevor S.; Mann, Darren J.; Karamzadeh, Zahra; Okusanya, Deborah O.; Hemakumara, Sisuri G.; Zehr, E. Paul; Klarner, Taryn; Mushahwar, Vivian K.</t>
  </si>
  <si>
    <t>Pushing the Limits of Interlimb Connectivity: Neuromodulation and Beyond</t>
  </si>
  <si>
    <t>interlimb coordination; arm and leg cycling; rehabilitation; proprio-spinal connections; neuromodulation; transcutaneous spinal cord stimulation; functional electrical stimulation</t>
  </si>
  <si>
    <t>SPINAL-CORD STIMULATION; H-REFLEX AMPLITUDE; MINIMAL DETECTABLE CHANGE; TEST-RETEST RELIABILITY; BODY-WEIGHT SUPPORT; BERG BALANCE SCALE; ELECTRICAL-STIMULATION; RHYTHMIC ARM; MULTIPLE-SCLEROSIS; FUNCTIONAL WALKING</t>
  </si>
  <si>
    <t>The ability to walk is often lost after neural injury, leading to multiple secondary complications that reduce quality of life and increase healthcare costs. The current rehabilitation interventions primarily focus on restoring leg movements through intensive training on a treadmill or using robotic devices, but ignore engaging the arms. Several groups have recently shown that simultaneous arm and leg (A&amp;L) cycling improves walking function and interlimb connectivity. These findings highlight the importance of neuronal pathways between the arm (cervical) and leg (lumbar) control regions in the spinal cord during locomotion, and emphasize the need for activating these pathways to improve walking after neural injury or disease. While the findings to date provide important evidence about actively including the arms in walking rehabilitation, these strategies have yet to be optimized. Moreover, improvements beyond A&amp;L cycling alone may be possible with conjunctive targeted strategies to enhance spinal interlimb connectivity. The aim of this review is to highlight the current evidence for improvements in walking function and neural interlimb connectivity after neural injury or disease with cycling-based rehabilitation paradigms. Furthermore, strategies to enhance the outcomes of A&amp;L cycling as a rehabilitation strategy are explored. These include the use of functional electrical stimulation-assisted cycling in acute care settings, utilizing non-invasive transcutaneous spinal cord stimulation to activate previously inaccessible circuitry in the spinal cord, and the use of paired arm and leg rehabilitation robotics. This review aims to consolidate the effects of exercise interventions that incorporate the arms on improved outcomes for walking, functional mobility, and neurological integrity, underscoring the importance of integrating the arms into the rehabilitation of walking after neurological conditions affecting sensorimotor function.</t>
  </si>
  <si>
    <t>[Porter, Jane A.; Barss, Trevor S.; Mann, Darren J.; Karamzadeh, Zahra; Okusanya, Deborah O.; Mushahwar, Vivian K.] Univ Alberta, Dept Med, Div Phys Med &amp; Rehabil, Edmonton, AB T6G 2G3, Canada; [Porter, Jane A.; Barss, Trevor S.; Mushahwar, Vivian K.] Univ Alberta, Neurosci &amp; Mental Hlth Inst, Edmonton, AB T6G 2R3, Canada; [Porter, Jane A.; Barss, Trevor S.; Mann, Darren J.; Karamzadeh, Zahra; Okusanya, Deborah O.; Hemakumara, Sisuri G.; Mushahwar, Vivian K.] Univ Alberta, Inst Smart Augmentat &amp; Restorat Technol &amp; Hlth Inn, Edmonton, AB T6G 2R3, Canada; [Okusanya, Deborah O.] Univ Alberta, Fac Kinesiol Sport &amp; Recreat, Edmonton, AB T6G 2S3, Canada; [Hemakumara, Sisuri G.] Univ Alberta, Fac Rehabil Med, Edmonton, AB T6G 2G4, Canada; [Zehr, E. Paul] Univ Victoria, Sch Exercise Sci Phys Educ &amp; Hlth Educ, Victoria, BC V8W 2Y2, Canada; [Zehr, E. Paul] Int Collaborat Repair Discoveries ICORD, Vancouver, BC V5Z 1M9, Canada; [Klarner, Taryn] Lakehead Univ, Sch Kinesiol, Thunder Bay, ON P7B 5E1, Canada</t>
  </si>
  <si>
    <t>University of Alberta; University of Alberta; University of Alberta; University of Alberta; University of Alberta; University of Victoria; Lakehead University</t>
  </si>
  <si>
    <t>Mushahwar, VK (corresponding author), Univ Alberta, Dept Med, Div Phys Med &amp; Rehabil, Edmonton, AB T6G 2G3, Canada.;Mushahwar, VK (corresponding author), Univ Alberta, Neurosci &amp; Mental Hlth Inst, Edmonton, AB T6G 2R3, Canada.;Mushahwar, VK (corresponding author), Univ Alberta, Inst Smart Augmentat &amp; Restorat Technol &amp; Hlth Inn, Edmonton, AB T6G 2R3, Canada.</t>
  </si>
  <si>
    <t>jane.porter@queensu.ca; djmann@ualberta.ca; zkaramza@ualberta.ca; okusanya@ualberta.ca; hemakuma@ualberta.ca; pzehr@uvic.ca; tklarner@lakeheadu.ca; vivian.mushahwar@ualberta.ca</t>
  </si>
  <si>
    <t>Barss, Trevor/L-7045-2019</t>
  </si>
  <si>
    <t>Mushahwar, Vivian/0000-0001-9873-611X</t>
  </si>
  <si>
    <t>Canadian Institutes of Health Research (CIHR); Canada Foundation for Innovation; Spinal Cord Injury Treatment Centre Society (SCITCS); Brain Canada Foundation; CIHR Postdoctoral Fellowship; Craig H. Neilsen Postdoctoral Fellowship Research Grant; Alberta Innovates Postgraduate Fellowship in Health Innovation; Canada Research Chair in Functional Restoration</t>
  </si>
  <si>
    <t>Canadian Institutes of Health Research (CIHR)(Canadian Institutes of Health Research (CIHR)); Canada Foundation for Innovation(Canada Foundation for InnovationCGIARSpanish Government); Spinal Cord Injury Treatment Centre Society (SCITCS); Brain Canada Foundation; CIHR Postdoctoral Fellowship(Canadian Institutes of Health Research (CIHR)); Craig H. Neilsen Postdoctoral Fellowship Research Grant; Alberta Innovates Postgraduate Fellowship in Health Innovation; Canada Research Chair in Functional Restoration</t>
  </si>
  <si>
    <t>This research was funded by the Canadian Institutes of Health Research (CIHR), the Canada Foundation for Innovation, the Spinal Cord Injury Treatment Centre Society (SCITCS), and the Brain Canada Foundation. T.S.B. held a CIHR Postdoctoral Fellowship, a Craig H. Neilsen Postdoctoral Fellowship Research Grant, and an Alberta Innovates Postgraduate Fellowship in Health Innovation. V.K.M. is a Canada Research Chair in Functional Restoration.</t>
  </si>
  <si>
    <t>10.3390/biomedicines13051228</t>
  </si>
  <si>
    <t>3BV1H</t>
  </si>
  <si>
    <t>WOS:001496600900001</t>
  </si>
  <si>
    <t>Kumar, R; Sporn, K; Ong, J; Waisberg, E; Paladugu, P; Vaja, S; Hage, T; Sekhar, TC; Vadhera, AS; Ngo, A; Zaman, N; Tavakkoli, A; Masalkhi, M</t>
  </si>
  <si>
    <t>Kumar, Rahul; Sporn, Kyle; Ong, Joshua; Waisberg, Ethan; Paladugu, Phani; Vaja, Swapna; Hage, Tamer; Sekhar, Tejas C.; Vadhera, Amar S.; Ngo, Alex; Zaman, Nasif; Tavakkoli, Alireza; Masalkhi, Mouayad</t>
  </si>
  <si>
    <t>Integrating Artificial Intelligence in Orthopedic Care: Advancements in Bone Care and Future Directions</t>
  </si>
  <si>
    <t>orthopedic bioengineering; AI; interactive 3D models; diagnostic imaging; preoperative planning; smart implants; intraoperative robotics; bone regeneration devices; bone tumor management</t>
  </si>
  <si>
    <t>Artificial intelligence (AI) is revolutionizing the field of orthopedic bioengineering by increasing diagnostic accuracy and surgical precision and improving patient outcomes. This review highlights using AI for orthopedics in preoperative planning, intraoperative robotics, smart implants, and bone regeneration. AI-powered imaging, automated 3D anatomical modeling, and robotic-assisted surgery have dramatically changed orthopedic practices. AI has improved surgical planning by enhancing complex image interpretation and providing augmented reality guidance to create highly accurate surgical strategies. Intraoperatively, robotic-assisted surgeries enhance accuracy and reduce human error while minimizing invasiveness. AI-powered smart implant sensors allow for in vivo monitoring, early complication detection, and individualized rehabilitation. It has also advanced bone regeneration devices and neuroprosthetics, highlighting its innovation capabilities. While AI advancements in orthopedics are exciting, challenges remain, like the need for standardized surgical system validation protocols, assessing ethical consequences of AI-derived decision-making, and using AI with bioprinting for tissue engineering. Future research should focus on proving the reliability and predictability of the performance of AI-pivoted systems and their adoption within clinical practice. This review synthesizes recent developments and highlights the increasing impact of AI in orthopedic bioengineering and its potential future effectiveness in bone care and beyond.</t>
  </si>
  <si>
    <t>[Kumar, Rahul; Ngo, Alex] Univ Miami, Miller Sch Med, Dept Biochem &amp; Mol Biol, 1600 NW 10th Ave, Miami, FL 33136 USA; [Kumar, Rahul; Vaja, Swapna; Sekhar, Tejas C.] Rush Med Coll, Chicago, IL 60612 USA; [Sporn, Kyle] SUNY Upstate Med Univ, Norton Coll Med, Syracuse, NY 13210 USA; [Ong, Joshua] Univ Michigan, Kellogg Eye Ctr, Dept Ophthalmol &amp; Visual Sci, Ann Arbor, MI 48105 USA; [Waisberg, Ethan] Univ Cambridge, Dept Clin Neurosci, Downing St, Cambridge CB2 3EH, England; [Paladugu, Phani; Vadhera, Amar S.] Thomas Jefferson Univ, Sidney Kimmel Med Coll, 1025 Walnut St, Philadelphia, PA 19107 USA; [Paladugu, Phani] Harvard Med Sch, Brigham &amp; Womens Hosp, 75 Francis St, Boston, MA 02115 USA; [Hage, Tamer] Virginia Tech, Dept Biol Sci, Blacksburg, VA 24061 USA; [Zaman, Nasif] Smith Kettlewell Eye Res Inst, San Francisco, CA 94115 USA; [Zaman, Nasif; Tavakkoli, Alireza] Univ Nevada, Dept Comp Sci &amp; Engn, Human Machine Percept Lab, 1664 N Virginia St, Reno, NV 89557 USA; [Masalkhi, Mouayad] Univ Coll Dublin, Sch Med, Dublin D04 V1W8, Ireland; [Masalkhi, Mouayad] Univ Limerick, Dept Elect &amp; Comp Engn, Limerick V94 T9PX, Ireland</t>
  </si>
  <si>
    <t>University of Miami; Rush University; State University of New York (SUNY) System; SUNY Upstate Medical University; University of Michigan System; University of Michigan; University of Cambridge; Thomas Jefferson University; Harvard University; Harvard University Medical Affiliates; Brigham &amp; Women's Hospital; Harvard Medical School; Virginia Polytechnic Institute &amp; State University; The Smith-Kettlewell Eye Research Institute; Nevada System of Higher Education (NSHE); University of Nevada Reno; University College Dublin; University of Limerick</t>
  </si>
  <si>
    <t>Kumar, R (corresponding author), Univ Miami, Miller Sch Med, Dept Biochem &amp; Mol Biol, 1600 NW 10th Ave, Miami, FL 33136 USA.;Kumar, R (corresponding author), Rush Med Coll, Chicago, IL 60612 USA.</t>
  </si>
  <si>
    <t>rxk641@miami.edu; spornk@upstate.edu; ongjo@med.umich.edu; ew690@cam.ac.uk; phani.paladugu@students.jefferson.edu; swapna_vaja@rush.edu; tamerwsh@gmail.com; tejas_sekhar@rush.edu; amarvadhera@gmail.com; axn668@miami.edu; zaman@nevada.unr.edu; tavakkol@unr.edu; mouayad.masalkhi1@gmail.com</t>
  </si>
  <si>
    <t>Zaman, Nasif/IWE-1449-2023; Tavakkoli, Alireza/AAL-7053-2021</t>
  </si>
  <si>
    <t>, Rahul Kumar/0000-0001-8574-2895</t>
  </si>
  <si>
    <t>MAY 13</t>
  </si>
  <si>
    <t>10.3390/bioengineering12050513</t>
  </si>
  <si>
    <t>3BW5W</t>
  </si>
  <si>
    <t>WOS:001496639000001</t>
  </si>
  <si>
    <t>Dubey, A; Uldin, H; Khan, Z; Panchal, H; Iyengar, KP; Botchu, R</t>
  </si>
  <si>
    <t>Dubey, Anuja; Uldin, Hasaam; Khan, Zeeshan; Panchal, Hiten; Iyengar, Karthikeyan P.; Botchu, Rajesh</t>
  </si>
  <si>
    <t>Role of Artificial Intelligence in Musculoskeletal Interventions</t>
  </si>
  <si>
    <t>CANCERS</t>
  </si>
  <si>
    <t>artificial intelligence; musculoskeletal imaging; musculoskeletal interventions; machine learning; deep learning; ultrasound-guided interventions; CT-guided interventions; fluoroscopy; radiation dose optimization; precision medicine; robotics; augmented reality</t>
  </si>
  <si>
    <t>Artificial intelligence (AI) has rapidly emerged as a transformative force in musculoskeletal imaging and interventional radiology. This article explores how AI-based methods-including machine learning (ML) and deep learning (DL)-streamline diagnostic processes, guide interventions, and improve patient outcomes. Key applications discussed include ultrasound-guided procedures for joints, nerves, and tumor-targeted interventions, along with CT-guided biopsies and ablations, and fluoroscopy-guided facet joint and nerve block injections. AI-powered segmentation algorithms, real-time feedback systems, and dose-optimization protocols collectively enable greater precision, operator consistency, and patient safety. In rehabilitation, AI-driven wearables and predictive models facilitate personalized exercise programs that can accelerate recovery and enhance long-term function. While challenges persist-such as data standardization, regulatory hurdles, and clinical adoption-ongoing interdisciplinary collaboration, federated learning models, and the integration of genomic and environmental data hold promise for expanding AI's capabilities. As personalized medicine continues to advance, AI is poised to refine risk stratification, reduce radiation exposure, and support minimally invasive, patient-specific interventions, ultimately reshaping musculoskeletal care from early detection and diagnosis to individualized treatment and rehabilitation.</t>
  </si>
  <si>
    <t>[Dubey, Anuja] Healthcare Imaging Ctr, Dept Radiol, Meerut 250001, India; [Uldin, Hasaam; Botchu, Rajesh] Royal Orthoped Hosp, Dept Musculoskeletal Radiol, Birmingham B31 2AS, England; [Khan, Zeeshan] Rehman Med Inst, Dept Orthoped, Peshawar 25000, Pakistan; [Panchal, Hiten] Sanyapixel Diagnost, Dept Radiol, Ahmadabad 380006, India; [Iyengar, Karthikeyan P.] Southport &amp; Ormskirk Hosp, Dept Orthoped, Southport L39 2AZ, England; [Iyengar, Karthikeyan P.] Edge Hill Univ, Trauma &amp; Orthoped MCh Programme, Ormskirk L39 4QP, England; [Botchu, Rajesh] NRI Inst Med Sci, Dept Radiol, Visakhapatnam 531163, India</t>
  </si>
  <si>
    <t>Royal Orthopaedic Hospital; Edge Hill University</t>
  </si>
  <si>
    <t>Botchu, R (corresponding author), Royal Orthoped Hosp, Dept Musculoskeletal Radiol, Birmingham B31 2AS, England.;Botchu, R (corresponding author), NRI Inst Med Sci, Dept Radiol, Visakhapatnam 531163, India.</t>
  </si>
  <si>
    <t>hasaam.uldin1@nhs.net; zeek1978@yahoo.co.uk; kartikp31@hotmail.com; rajesh.botchu@nhs.net</t>
  </si>
  <si>
    <t>Botchu, Rajesh/ITU-3813-2023; Iyengar, Karthikeyan./S-4529-2019</t>
  </si>
  <si>
    <t>Botchu, Rajesh/0000-0001-7998-2980; Iyengar, Karthikeyan/0000-0002-4379-1266</t>
  </si>
  <si>
    <t>2072-6694</t>
  </si>
  <si>
    <t>Cancers</t>
  </si>
  <si>
    <t>MAY 10</t>
  </si>
  <si>
    <t>10.3390/cancers17101615</t>
  </si>
  <si>
    <t>3AH8D</t>
  </si>
  <si>
    <t>WOS:001495577100001</t>
  </si>
  <si>
    <t>Kheirollahzadeh, M; Sarvghadi, P; Azizkhani, S; Hani, JB; Monnin, C; Choukou, MA</t>
  </si>
  <si>
    <t>Kheirollahzadeh, Mahsa; Sarvghadi, Pooria; Azizkhani, Sarah; Hani, Jasem Bani; Monnin, Caroline; Choukou, Mohamed-Amine</t>
  </si>
  <si>
    <t>Digital Health Technology for Stroke Rehabilitation in Canada: A Scoping Review</t>
  </si>
  <si>
    <t>digital health technology; stroke rehabilitation; Canada</t>
  </si>
  <si>
    <t>VIRTUAL-REALITY; CARE; TELEREHABILITATION; INTERVENTION; SURVIVORS; ONTARIO; FUTURE</t>
  </si>
  <si>
    <t>(1) Background: Digital Health Technology (DHT) is an emerging method for stroke rehabilitation that could potentially be very effective in solving different problems in the therapeutic process. This study aims to explore the use of DHT for stroke rehabilitation in Canada, providing insights into how current technologies have been implemented and identifying gaps to inform future decision-making in clinical, research, and policy settings in the Canadian setting. (2) Methods: We followed the Arksey and O'Malley framework for scoping reviews. The original search was created in Medline (Ovid) and translated to PsycINFO (Ovid), Scopus, and CINAHL with Full Text (EBSCOhost). To locate grey literature, we searched Canadian Theses and Google. The search yielded 163 articles, of which we included 14 (8.6%) in the review. (3) Results: Fourteen studies published between 2010 and 2022 in Canada varied in design: 4 qualitative (28.6%), 4 randomized clinical trials (RCTs) (28.6%), 2 mixed methods (14.3%), and other types. The main goals included assessing intervention effectiveness (35.7%), client (28.6%) and clinician (28.6%) perceptions of technology, and feasibility (21.5%). Most studies focused on upper extremity (UE) function (85.71%), with some addressing walking speed (7.1%) and sitting balance (7.1%). Research mainly targeted the chronic phase of stroke (64.3%). Studies were conducted in home (50%) and institutional settings (42.9%). Technologies included sensors (50%), virtual reality (VR) (42.9%), games (28.6%), telerehabilitation (28.6%), and robots (14.3%). (4) Conclusions: This scoping review offers key insights into the use of DHTs for stroke rehabilitation in Canada, highlighting the types of technologies, their effectiveness, and the facilitators and barriers to adoption. These technologies show promise in improving patient outcomes, and their integration into Canadian healthcare systems presents a significant opportunity to enhance stroke rehabilitation.</t>
  </si>
  <si>
    <t>[Kheirollahzadeh, Mahsa; Sarvghadi, Pooria; Azizkhani, Sarah; Hani, Jasem Bani; Choukou, Mohamed-Amine] Univ Manitoba, Coll Rehabil Sci, Rady Fac Hlth Sci, Dept Occupat Therapy, 771 McDermot Ave, Winnipeg, MB R3E 0T6, Canada; [Monnin, Caroline] Univ Manitoba, Neil John Maclean Hlth Sci Lib, Winnipeg, MB R3E 0T6, Canada; [Choukou, Mohamed-Amine] Univ Manitoba, Ctr Aging, Winnipeg, MB R3E 0T6, Canada</t>
  </si>
  <si>
    <t>University of Manitoba; University of Manitoba; University of Manitoba</t>
  </si>
  <si>
    <t>Choukou, MA (corresponding author), Univ Manitoba, Coll Rehabil Sci, Rady Fac Hlth Sci, Dept Occupat Therapy, 771 McDermot Ave, Winnipeg, MB R3E 0T6, Canada.;Choukou, MA (corresponding author), Univ Manitoba, Ctr Aging, Winnipeg, MB R3E 0T6, Canada.</t>
  </si>
  <si>
    <t>mahsa.kheirollahzadeh@umanitoba.ca; caroline.monnin@umanitoba.ca; amine.choukou@umanitoba.ca</t>
  </si>
  <si>
    <t>Choukou, Mohamed-Amine/ADD-2601-2022; Monnin, Caroline/ABU-1765-2022</t>
  </si>
  <si>
    <t>Improved Healthcare Delivery to Rural, Remote and Underserved Populations of Manitoba 2020-2023 Grant; Gerry McDole Professorship in Improved Healthcare Delivery to Rural, Remote and Underserved Populations of Manitoba</t>
  </si>
  <si>
    <t>This work was supported by the Gerry McDole Professorship in Improved Healthcare Delivery to Rural, Remote and Underserved Populations of Manitoba 2020-2023 Grant.</t>
  </si>
  <si>
    <t>10.3390/app15105340</t>
  </si>
  <si>
    <t>3AS4V</t>
  </si>
  <si>
    <t>WOS:001495854500001</t>
  </si>
  <si>
    <t>Wada, S; Okada, T; Koga, M; Mizuno, A</t>
  </si>
  <si>
    <t>Wada, Shinichi; Okada, Takashi; Koga, Masatoshi; Mizuno, Atsushi</t>
  </si>
  <si>
    <t>Current Status and Future Aspect of Digital Health Innovation in Stroke Prevention and Management</t>
  </si>
  <si>
    <t>JOURNAL OF ATHEROSCLEROSIS AND THROMBOSIS</t>
  </si>
  <si>
    <t>Digital health innovation; Prevention; Acute stroke; Rehabilitation</t>
  </si>
  <si>
    <t>ACUTE ISCHEMIC-STROKE; ARTIFICIAL-INTELLIGENCE; DECISION-SUPPORT; FIELD ASSESSMENT; VALIDATION; EDUCATION; THERAPY; SCALE; TOOL</t>
  </si>
  <si>
    <t>Digital health innovations (DHI) in medicine have led to remarkable progress in stroke prevention and management worldwide. For example, education regarding the knowledge and awareness of stroke, risk scores for stroke incidence, and wearable devices have been used for primary prevention. Automatic telemedicine and diagnostic imaging have been introduced for the treatment of acute stroke. Rehabilitation using robot-assisted training, virtual reality systems, and other applications has been attempted. Information sharing using the DHI may be expected in secondary prevention. Although these DHI technologies likely assist in stroke prevention and management, their usage remains insufficient, partly because of insufficient evidence. Here, we report the current status and problems associated with the effective and widespread use of DHI in Japan.</t>
  </si>
  <si>
    <t>[Wada, Shinichi; Okada, Takashi; Koga, Masatoshi] Natl Cerebral &amp; Cardiovasc Ctr, Dept Cerebrovascular Med, 6-1 Kishibe Shimmachi, Suita, Osaka 5648565, Japan; [Wada, Shinichi] Kansai Elect Power Hosp, Dept Neurol, Osaka, Japan; [Okada, Takashi] Kagoshima City Hosp, Dept Neurol, Kagoshima, Japan; [Mizuno, Atsushi] St Lukes Int Hosp, Dept Cardiovasc Med, Tokyo, Japan</t>
  </si>
  <si>
    <t>National Cerebral &amp; Cardiovascular Center - Japan; Kagoshima City Hospital; St. Luke's International Hospital</t>
  </si>
  <si>
    <t>Koga, M (corresponding author), Natl Cerebral &amp; Cardiovasc Ctr, Dept Cerebrovascular Med, 6-1 Kishibe Shimmachi, Suita, Osaka 5648565, Japan.</t>
  </si>
  <si>
    <t>koga@ncvc.go.jp</t>
  </si>
  <si>
    <t>, ATSUSHIMIZUNO/AFR-0676-2022; Koga, Masatoshi/AFS-2309-2022</t>
  </si>
  <si>
    <t>Japan Agency for Medical Research and Development [AMED: JP23rea522009]</t>
  </si>
  <si>
    <t>Japan Agency for Medical Research and Development(Japan Agency for Medical Research and Development (AMED))</t>
  </si>
  <si>
    <t>This study was financially supported by the Japan Agency for Medical Research and Development (AMED: JP23rea522009) .</t>
  </si>
  <si>
    <t>JAPAN ATHEROSCLEROSIS SOC</t>
  </si>
  <si>
    <t>NICHINAI-KAIKAN B1, 3-28-8 HONGO BUNKYO-KU, TOKYO, 113-0033, JAPAN</t>
  </si>
  <si>
    <t>1340-3478</t>
  </si>
  <si>
    <t>1880-3873</t>
  </si>
  <si>
    <t>J ATHEROSCLER THROMB</t>
  </si>
  <si>
    <t>J. Atheroscler. Thromb.</t>
  </si>
  <si>
    <t>2025 MAY 9</t>
  </si>
  <si>
    <t>10.5551/jat.RV22036</t>
  </si>
  <si>
    <t>Peripheral Vascular Disease</t>
  </si>
  <si>
    <t>2UZ2I</t>
  </si>
  <si>
    <t>WOS:001491948200001</t>
  </si>
  <si>
    <t>Kansizoglou, I; Kokkotis, C; Stampoulis, T; Giannakou, E; Siaperas, P; Kallidis, S; Koutra, M; Malliou, P; Michalopoulou, M; Gasteratos, A</t>
  </si>
  <si>
    <t>Kansizoglou, Ioannis; Kokkotis, Christos; Stampoulis, Theodoros; Giannakou, Erasmia; Siaperas, Panagiotis; Kallidis, Stavros; Koutra, Maria; Malliou, Paraskevi; Michalopoulou, Maria; Gasteratos, Antonios</t>
  </si>
  <si>
    <t>Artificial Intelligence and the Human-Computer Interaction in Occupational Therapy: A Scoping Review</t>
  </si>
  <si>
    <t>ALGORITHMS</t>
  </si>
  <si>
    <t>artificial intelligence; assisted living; daily living; deep learning; healthcare; human-computer interaction; human-robot interaction; occupational therapy; quality of life</t>
  </si>
  <si>
    <t>VIRTUAL ACTIVITIES; CARE</t>
  </si>
  <si>
    <t>Occupational therapy (OT) is a client-centered health profession focused on enhancing individuals' ability to perform meaningful activities and daily tasks, particularly for those recovering from injury, illness, or disability. As a core component of rehabilitation, it promotes independence, well-being, and quality of life through personalized, goal-oriented interventions. Identifying and measuring the role of artificial intelligence (AI) in the human-computer interaction (HCI) within OT is critical for improving therapeutic outcomes and patient engagement. Despite AI's growing significance, the integration of AI-driven HCI in OT remains relatively underexplored in the existing literature. This scoping review identifies and maps current research on the topic, highlighting applications and proposing directions for future work. A structured literature search was conducted using the Scopus and PubMed databases. Articles were included if their primary focus was on the intersection of AI, HCI, and OT. Out of 55 retrieved articles, 26 met the inclusion criteria. This work highlights three key findings: (i) machine learning, robotics, and virtual reality are emerging as prominent AI-driven HCI techniques in OT; (ii) the integration of AI-enhanced HCI offers significant opportunities for developing personalized therapeutic interventions; (iii) further research is essential to evaluate the long-term efficacy, ethical implications, and patient outcomes associated with AI-driven HCI in OT. These insights aim to guide future research efforts and clinical applications within this evolving interdisciplinary field. In conclusion, AI-driven HCI holds considerable promise for advancing OT practice, yet further research is needed to fully realize its clinical potential.</t>
  </si>
  <si>
    <t>[Kansizoglou, Ioannis; Gasteratos, Antonios] Democritus Univ Thrace, Sch Engn, Dept Prod &amp; Management Engn, Lab Robot &amp; Automat, Xanthi 67100, Greece; [Kokkotis, Christos; Stampoulis, Theodoros; Giannakou, Erasmia; Kallidis, Stavros; Koutra, Maria; Malliou, Paraskevi; Michalopoulou, Maria] Democritus Univ Thrace, Sch Phys Educ Sport Sci &amp; Occupat Therapy, Dept Phys Educ &amp; Sport Sci, Komotini 69100, Greece; [Siaperas, Panagiotis] Metropolitan Coll Athens, Occupat Therapy Dept, Athens 10672, Greece</t>
  </si>
  <si>
    <t>Democritus University of Thrace; Democritus University of Thrace</t>
  </si>
  <si>
    <t>Kansizoglou, I (corresponding author), Democritus Univ Thrace, Sch Engn, Dept Prod &amp; Management Engn, Lab Robot &amp; Automat, Xanthi 67100, Greece.</t>
  </si>
  <si>
    <t>ikansizo@pme.duth.gr; ckokkoti@affil.duth.gr; tstampou@phyed.duth.gr; egiannak@phyed.duth.gr; panagiotis.siaperas@gmail.com; komafesta1@gmail.com; mkoutra00@gmail.com; pmalliou@phyed.duth.gr; michal@phyed.duth.gr; agaster@pme.duth.gr</t>
  </si>
  <si>
    <t>Kansizoglou, Ioannis/ACO-9050-2022; Gasteratos, Antonios/AAI-4740-2021; Giannakou, Erasmia/ITT-9269-2023</t>
  </si>
  <si>
    <t>1999-4893</t>
  </si>
  <si>
    <t>Algorithms</t>
  </si>
  <si>
    <t>MAY 8</t>
  </si>
  <si>
    <t>10.3390/a18050276</t>
  </si>
  <si>
    <t>Computer Science, Artificial Intelligence; Computer Science, Theory &amp; Methods</t>
  </si>
  <si>
    <t>Computer Science</t>
  </si>
  <si>
    <t>3AP2H</t>
  </si>
  <si>
    <t>WOS:001495769900001</t>
  </si>
  <si>
    <t>Tueni, N; Amirouche, F</t>
  </si>
  <si>
    <t>Tueni, Nicole; Amirouche, Farid</t>
  </si>
  <si>
    <t>Branding a New Technological Outlook for Future Orthopaedics</t>
  </si>
  <si>
    <t>orthopedic innovation; technological innovation; personalized medicine; robotic surgery; 3D printing in orthopedics; artificial intelligence in healthcare; virtual surgical planning</t>
  </si>
  <si>
    <t>Orthopedics is undergoing a transformative shift driven by personalized medical technologies that enhance precision, efficiency, and patient outcomes. Virtual surgical planning, robotic assistance, and real-time 3D navigation have revolutionized procedures like total knee arthroplasty and hip replacement, offering unparalleled accuracy and reducing recovery times. Integrating artificial intelligence, advanced imaging, and 3D-printed patient-specific implants further elevates surgical precision, minimizes intraoperative complications, and supports individualized care. In sports orthopedics, wearable sensors and motion analysis technologies are revolutionizing diagnostics, injury prevention, and rehabilitation, enabling real-time decision-making and improved patient safety. Health-tracking devices are advancing recovery and supporting preventative care, transforming athletic performance management. Concurrently, breakthroughs in biologics, biomaterials, and bioprinting are reshaping treatments for cartilage defects, ligament injuries, osteoporosis, and meniscal damage. These innovations are poised to establish new benchmarks for regenerative medicine in orthopedics. By combining cutting-edge technologies with interdisciplinary collaboration, the field is redefining surgical standards, optimizing patient care, and paving the way for a highly personalized and efficient future.</t>
  </si>
  <si>
    <t>[Tueni, Nicole] Friedrich Alexander Univ Erlangen Nuremberg, Inst Continuum Mech &amp; Biomech, D-91054 Erlangen, Germany; [Amirouche, Farid] Univ Illinois, Dept Orthopaed, Chicago, IL 60612 USA; [Amirouche, Farid] Northshore Univ Hlth Syst, Dept Orthopaed Surg, Skokie, IL 60076 USA</t>
  </si>
  <si>
    <t>University of Erlangen Nuremberg; University of Illinois System; University of Illinois Chicago; University of Illinois Chicago Hospital; NorthShore University Health System</t>
  </si>
  <si>
    <t>Amirouche, F (corresponding author), Univ Illinois, Dept Orthopaed, Chicago, IL 60612 USA.;Amirouche, F (corresponding author), Northshore Univ Hlth Syst, Dept Orthopaed Surg, Skokie, IL 60076 USA.</t>
  </si>
  <si>
    <t>nicole.tueni@fau.de; amirouch@uic.edu</t>
  </si>
  <si>
    <t>MAY 7</t>
  </si>
  <si>
    <t>10.3390/bioengineering12050494</t>
  </si>
  <si>
    <t>3BS9G</t>
  </si>
  <si>
    <t>WOS:001496543600001</t>
  </si>
  <si>
    <t>Wagner, V; Sorensen, JR; Kruuse, C; Poulsen, I; Biering-Sorensen, F; Riberholt, CG</t>
  </si>
  <si>
    <t>Wagner, Vibeke; Rud Sorensen, Jakob; Kruuse, Christina; Poulsen, Ingrid; Biering-Sorensen, Fin; Riberholt, Christian Gunge</t>
  </si>
  <si>
    <t>Robot-assisted gait training for individuals with severe acquired brain injury: a scoping review</t>
  </si>
  <si>
    <t>BRAIN INJURY</t>
  </si>
  <si>
    <t>Brain injury; stroke; disorders of consciousness; rehabilitation technologies; robot-assisted gait training</t>
  </si>
  <si>
    <t>MINIMALLY CONSCIOUS STATE; TECHNOLOGY; AWARENESS; AROUSAL; LEVEL</t>
  </si>
  <si>
    <t>IntroductionEarly out-of-bed mobilization is recommended for individuals with severe acquired brain injury and impaired consciousness to promote recovery. Robot-assisted gait training (RAGT) utilizes robotic assistance to facilitate neuroplastic changes through repetitive training and feedback. We aimed to map the evidence of RAGT in non-ambulatory individuals with impaired consciousness or cognitive functioning, focusing on the rationales underpinning its use and the assessment methods employed.MethodFollowing the Joanna Briggs Institute and PRISMA scoping review guidelines, we systematically searched for studies involving adults with severe acquired brain injury. Source selection, data extraction, and charting were performed in duplicate.ResultsOut of 10 444 records screened, seven were included, involving 162 participants. The studies included one randomized and two non-randomized clinical trials, two retrospective studies, and two case reports. RAGT aimed to improve physical recovery (n = 6), arousal stimulation (n = 4), and safety (n = 4). Twenty-six outcome measures were reported.ConclusionOur review highlights a research gap in RAGT for individuals with severe brain injury and cognitive impairments. Specifically, the underlying rationales need investigation, and standardized outcome measures must be established. RAGT shows potential in improving functional recovery and consciousness, but future studies must address safety, and feasibility while navigating ethical challenges.</t>
  </si>
  <si>
    <t>[Wagner, Vibeke; Kruuse, Christina; Biering-Sorensen, Fin; Riberholt, Christian Gunge] Copenhagen Univ Hosp, Neurosci Ctr, Dept Brain &amp; Spinal Cord Injury, Rigshospitalet, Valdemar Hansens Vej 23, DK-2600 Glostrup, Denmark; [Rud Sorensen, Jakob] Capital Reg Denmark, Ctr Hlth, Hillerod, Denmark; [Wagner, Vibeke; Kruuse, Christina; Biering-Sorensen, Fin; Riberholt, Christian Gunge] Univ Copenhagen, Dept Clin Med, Copenhagen, Denmark; [Kruuse, Christina] Copenhagen Univ Hosp Herlev &amp; Gentofte, Dept Neurol, Neurovasc Res Unit, Herlev, Denmark; [Poulsen, Ingrid] Copenhagen Univ Hosp Amager &amp; Hvidovre, Dept Clin Res, Hvidovre, Denmark; [Poulsen, Ingrid] Roskilde Univ, Dept People &amp; Technol, Roskilde, Denmark</t>
  </si>
  <si>
    <t>Rigshospitalet; University of Copenhagen; Copenhagen University Hospital; University of Copenhagen; Roskilde University</t>
  </si>
  <si>
    <t>Wagner, V (corresponding author), Copenhagen Univ Hosp, Neurosci Ctr, Dept Brain &amp; Spinal Cord Injury, Rigshospitalet, Valdemar Hansens Vej 23, DK-2600 Glostrup, Denmark.</t>
  </si>
  <si>
    <t>vibeke.wagner@regionh.dk</t>
  </si>
  <si>
    <t>Riberholt, Christian/AAC-9574-2019; Poulsen, ingrid/AAH-2052-2019; Wagner, Vibeke/GPX-1938-2022; Kruuse, Christina/F-2666-2014</t>
  </si>
  <si>
    <t>Wagner, Vibeke/0000-0002-1712-1648; Poulsen, ingrid/0000-0002-0342-017X; Riberholt, Christian/0000-0002-6170-1869; Kruuse, Christina/0000-0002-4210-0523</t>
  </si>
  <si>
    <t>Danish Victims Fund; Medical Research Library at Rigshospitalet</t>
  </si>
  <si>
    <t>We want to thank the Medical Research Library at Rigshospitalet, Glostrup, Capital Region Denmark, for assistance in developing the search strategy.</t>
  </si>
  <si>
    <t>0269-9052</t>
  </si>
  <si>
    <t>1362-301X</t>
  </si>
  <si>
    <t>Brain Inj.</t>
  </si>
  <si>
    <t>2025 MAY 7</t>
  </si>
  <si>
    <t>10.1080/02699052.2025.2490285</t>
  </si>
  <si>
    <t>Neurosciences; Rehabilitation</t>
  </si>
  <si>
    <t>2FU3P</t>
  </si>
  <si>
    <t>WOS:001481620600001</t>
  </si>
  <si>
    <t>Zhu, YT; Moyle, W; Hong, M; Aw, K</t>
  </si>
  <si>
    <t>Zhu, Yuting; Moyle, Wendy; Hong, Min; Aw, Kean</t>
  </si>
  <si>
    <t>From Sensors to Care: How Robotic Skin Is Transforming Modern Healthcare-A Mini Review</t>
  </si>
  <si>
    <t>robotic skin; healthcare; rehabilitation; companion robots; healthcare robots; tactile sensing</t>
  </si>
  <si>
    <t>ELECTRONIC SKIN; LARGE-AREA; TEMPERATURE SENSORS; PROXIMITY SENSOR; TACTILE; CONTACT; FORCE; DESIGN; SYSTEM; SAFER</t>
  </si>
  <si>
    <t>In recent years, robotics has made notable progress, becoming an essential component of daily life by facilitating complex tasks and enhancing human experiences. While most robots have traditionally featured hard surfaces, the growing demand for more comfortable and safer human-robot interactions has driven the development of soft robots. One type of soft robot, which incorporates innovative skin materials, transforms rigid structures into more pliable and adaptive forms, making them better suited for interacting with humans. Especially in healthcare and rehabilitation, robotic skin technology has gained substantial attention, offering transformative solutions for improving the functionality of prosthetics, exoskeletons, and companion robots. Although replicating the complex sensory functions of human skin remains a challenge, ongoing research in soft robotics focuses on developing sensors that mimic the softness and tactile sensitivity necessary for effective interaction. This review provides a narrative analysis of current trends in robotic skin development, specifically tailored for healthcare and rehabilitation applications, including skin types of sensor technologies, materials, challenges, and future research directions in this rapidly developing field.</t>
  </si>
  <si>
    <t>[Zhu, Yuting; Hong, Min] Univ Southern Queensland, Sch Engn, Springfield, Qld 4300, Australia; [Moyle, Wendy] Griffith Univ, Sch Nursing &amp; Midwifery, Nathan, Qld 4111, Australia; [Aw, Kean] Univ Auckland, Dept Mech &amp; Mechatron Engn, Auckland 1010, New Zealand</t>
  </si>
  <si>
    <t>University of Southern Queensland; Griffith University; University of Auckland</t>
  </si>
  <si>
    <t>Zhu, YT (corresponding author), Univ Southern Queensland, Sch Engn, Springfield, Qld 4300, Australia.</t>
  </si>
  <si>
    <t>yuting.zhu@unisq.edu.au; w.moyle@griffith.edu.au; min.hong@unisq.edu.au; k.aw@auckland.ac.nz</t>
  </si>
  <si>
    <t>Aw, Kean/AAU-5568-2021; Moyle, Wendy/A-9148-2008; Zhu, Yuting/T-8004-2019</t>
  </si>
  <si>
    <t>Aw, Kean/0000-0001-9308-508X</t>
  </si>
  <si>
    <t>10.3390/s25092895</t>
  </si>
  <si>
    <t>2NH4L</t>
  </si>
  <si>
    <t>WOS:001486715800001</t>
  </si>
  <si>
    <t>Raji, A; Gopaul, U; Babineau, J; Popovic, MR; Marquez-Chin, C</t>
  </si>
  <si>
    <t>Raji, Aisha; Gopaul, Urvashy; Babineau, Jessica; Popovic, Milos R.; Marquez-Chin, Cesar</t>
  </si>
  <si>
    <t>Industrial-grade collaborative robots for motor rehabilitation after stroke and spinal cord injury: a systematic narrative review</t>
  </si>
  <si>
    <t>Collaborative robot (cobot); Robotic rehabilitation; Stroke; Rehabilitation; Spinal cord injury; Upper extremity; Lower extremity</t>
  </si>
  <si>
    <t>UPPER-LIMB REHABILITATION; ASSISTED UPPER; RECOVERY; THERAPY; PEOPLE</t>
  </si>
  <si>
    <t>BackgroundThere is a growing interest in exploring industrial-grade collaborative robots (cobots) for rehabilitation. This review explores their application for motor rehabilitation of the upper and lower extremities after a stroke and spinal cord injury (SCI). The article highlights the inherent safety features of cobots, emphasizing their design advantages over custom-built or traditional rehabilitation robots in terms of potential safety and time efficiency.MethodsDatabase searches and reference list screening were conducted to identify studies relating to the use of cobots for upper and lower extremity rehabilitation among individuals with stroke and SCI. These articles were then reviewed and summarized.ResultsThirty-three studies were included in this review. The findings suggest that the use of cobots in motor rehabilitation is still in the early stages. Some of the cobots used were equipped with sensors to detect and respond to the movement of the extremities and minimize the risk of injury. This safety aspect is crucial for patients with motor impairments. Most training protocols implemented with the cobots engaged users in repetitive task-based exercises with an overall positive user experience. Thus far, these devices have been primarily evaluated in individuals with stroke and SCI that affect the lower extremities, with no study addressing upper extremity impairments. This initial focus serves as a preliminary step toward assessing their applicability for individuals with stroke and SCI.ConclusionsCobots may have the capacity to transform therapy and support healthcare professionals in delivering more personalized and effective rehabilitation. However, there is limited evidence on their use to support upper and lower extremity rehabilitation among individuals with stroke and SCI. Further research and development are needed to refine these technologies and broaden their applications in rehabilitation settings to enhance functional recovery and overall quality of life for individuals with stroke and SCI.</t>
  </si>
  <si>
    <t>[Raji, Aisha; Gopaul, Urvashy; Popovic, Milos R.; Marquez-Chin, Cesar] Univ Hlth Network, KITE Res Inst, Toronto Rehabil Inst, 550 Univ Ave, Toronto, ON M5G 2A2, Canada; [Raji, Aisha; Popovic, Milos R.; Marquez-Chin, Cesar] Univ Toronto, Inst Biomat &amp; Biomed Engn, 164 Coll St, Toronto, ON M5S 3G9, Canada; [Babineau, Jessica] Univ Hlth Network, Toronto Rehabil Inst, Lib &amp; Informat Serv, 550 Univ Ave, Toronto, ON M5G 2A2, Canada</t>
  </si>
  <si>
    <t>University of Toronto; University Health Network Toronto; Toronto Rehabilitation Institute; University of Toronto; University of Toronto; University Health Network Toronto; Toronto Rehabilitation Institute</t>
  </si>
  <si>
    <t>Raji, A (corresponding author), Univ Hlth Network, KITE Res Inst, Toronto Rehabil Inst, 550 Univ Ave, Toronto, ON M5G 2A2, Canada.;Raji, A (corresponding author), Univ Toronto, Inst Biomat &amp; Biomed Engn, 164 Coll St, Toronto, ON M5S 3G9, Canada.</t>
  </si>
  <si>
    <t>aisha.raji@mail.utoronto.ca; urvashy.gopaul@uhn.ca; jessica.babineau@uhn.ca; milos.popovic@uhn.ca; cesar.marquez@uhn.ca</t>
  </si>
  <si>
    <t>Babineau, Jessica/H-5449-2015</t>
  </si>
  <si>
    <t>APR 30</t>
  </si>
  <si>
    <t>10.1186/s12938-025-01362-z</t>
  </si>
  <si>
    <t>2BJ7J</t>
  </si>
  <si>
    <t>WOS:001478626400001</t>
  </si>
  <si>
    <t>Fei, GH; Zhang, SZ; Li, Y; Peng, M; Tang, ZY; Gu, XY; Li, XP; Zhang, KH; Xie, JB; Ni, YC; Zhou, K; Tu, M</t>
  </si>
  <si>
    <t>Fei, Guanghai; Zhang, Shuaizhong; Li, Yue; Peng, Miao; Tang, Zhenyuan; Gu, Xinyue; Li, Xiaopeng; Zhang, Kaihuan; Xie, Jinbing; Ni, Yicheng; Zhou, Kun; Tu, Min</t>
  </si>
  <si>
    <t>Emerging soft medical robots for clinical translations from diagnosis through therapy to rehabilitation</t>
  </si>
  <si>
    <t>MATERIALS SCIENCE &amp; ENGINEERING R-REPORTS</t>
  </si>
  <si>
    <t>Medical robots; Soft materials; Advanced manufacturing; Biomedical applications</t>
  </si>
  <si>
    <t>Soft medical robots enable diagnostic, therapeutic, and repair procedures with enhanced safety through reducing the need for invasive techniques and minimizing tissue damage during operations. They achieve this by improving navigation through narrow spaces and replicating the flexibility of biological tissues. However, these complex robotic systems pose significant challenges in both design and manufacturing. This review explores emerging soft robotic technologies and their broad clinical applications. Recent advancements in soft robotics-such as innovative soft materials, actuation mechanisms, and advanced micro/nanofabrication technologies-are enabling more effective diagnostic and surgical tools, while also expanding the clinical use of rehabilitative and assistive devices. Recent breakthroughs in soft medical robotics have the potential to revolutionize healthcare by facilitating intelligent diagnostics, integrated surgical procedures, and community-based rehabilitation.</t>
  </si>
  <si>
    <t>[Fei, Guanghai; Li, Yue; Ni, Yicheng] Southeast Univ, Zhongda Hosp, Dept Clin Med Res, Natl Platform Med Engn Educ Integrat, Nanjing 210009, Peoples R China; [Fei, Guanghai; Peng, Miao; Tang, Zhenyuan; Zhang, Kaihuan; Tu, Min] Chinese Acad Sci, Shanghai Inst Microsyst &amp; Informat Technol, 2020 X Lab, Shanghai 200050, Peoples R China; [Zhang, Shuaizhong] Yanshan Univ, Sch Mech Engn, Qinhuangdao 066004, Peoples R China; [Tang, Zhenyuan; Zhang, Kaihuan; Tu, Min] Chinese Acad Sci, Shanghai Inst Microsyst &amp; Informat Technol, State Key Lab Transducer Technol, Shanghai 200050, Peoples R China; [Tang, Zhenyuan; Zhang, Kaihuan; Tu, Min] Univ Chinese Acad Sci, Ctr Mat Sci &amp; Optoelect Engn, Beijing 100049, Peoples R China; [Tang, Zhenyuan; Zhang, Kaihuan; Tu, Min] Univ Chinese Acad Sci, Sch Grad Study, Beijing 100049, Peoples R China; [Gu, Xinyue] Tianjin Med Univ, Sch Publ Hlth, Tianjin 300070, Peoples R China; [Li, Xiaopeng] Univ New South Wales UNSW Sydney, Sch Mech &amp; Mfg Engn, Sydney, NSW 2052, Australia; [Xie, Jinbing; Ni, Yicheng] Southeast Univ, Nurturing Ctr Jiangsu Prov State Lab AI Imaging &amp;, Med Sch, Dept Radiol,Zhongda Hosp, Nanjing 210009, Peoples R China; [Zhou, Kun] Nanyang Technol Univ, Sch Mech &amp; Aerosp Engn, Singapore 639798, Singapore</t>
  </si>
  <si>
    <t>Southeast University - China; Chinese Academy of Sciences; Shanghai Institute of Microsystem &amp; Information Technology, CAS; Yanshan University; Chinese Academy of Sciences; Shanghai Institute of Microsystem &amp; Information Technology, CAS; Chinese Academy of Sciences; University of Chinese Academy of Sciences, CAS; Chinese Academy of Sciences; University of Chinese Academy of Sciences, CAS; Tianjin Medical University; University of New South Wales Sydney; Southeast University - China; Nanyang Technological University</t>
  </si>
  <si>
    <t>Fei, GH; Ni, YC (corresponding author), Southeast Univ, Zhongda Hosp, Dept Clin Med Res, Natl Platform Med Engn Educ Integrat, Nanjing 210009, Peoples R China.;Fei, GH; Tu, M (corresponding author), Chinese Acad Sci, Shanghai Inst Microsyst &amp; Informat Technol, 2020 X Lab, Shanghai 200050, Peoples R China.;Xie, JB; Ni, YC (corresponding author), Southeast Univ, Nurturing Ctr Jiangsu Prov State Lab AI Imaging &amp;, Med Sch, Dept Radiol,Zhongda Hosp, Nanjing 210009, Peoples R China.;Zhou, K (corresponding author), Nanyang Technol Univ, Sch Mech &amp; Aerosp Engn, Singapore 639798, Singapore.</t>
  </si>
  <si>
    <t>101013828@seu.edu.cn; xiejb@seu.edu.cn; yicheng.ni@oncocidia.com; kzhou@ntu.edu.sg; min.tu@mail.sim.ac.cn</t>
  </si>
  <si>
    <t>FEI, Guanghai/IAQ-2451-2023; Zhang, Shuaizhong/AAN-4683-2021; Zhang, Kaihuan/F-2740-2017</t>
  </si>
  <si>
    <t>National Key Research and Development Program of China [2021YFB3200800]; National Natural Science Foundation of China [22201289]; Start-up Research Funding of Southeast University [4090002501, 5890002402]; Research Personnel Cultivation Programme of Zhongda Hospital Southeast University [CZXM-GSP-RC126, CZXM-GSP-RC184, CZXM-GSP-RC185]</t>
  </si>
  <si>
    <t>National Key Research and Development Program of China(National Key Research &amp; Development Program of China); National Natural Science Foundation of China(National Natural Science Foundation of China (NSFC)); Start-up Research Funding of Southeast University; Research Personnel Cultivation Programme of Zhongda Hospital Southeast University</t>
  </si>
  <si>
    <t>This work was supported by the National Key Research and Development Program of China (no. 2021YFB3200800) , the National Natural Science Foundation of China (no. 22201289) , the Start-up Research Funding of Southeast University (no. 4090002501 and 5890002402) , and Research Personnel Cultivation Programme of Zhongda Hospital Southeast University (no. CZXM-GSP-RC126, CZXM-GSP-RC184, and CZXM-GSP-RC185). In addition, Guanghai Fei would like to thank Ms. Yue Zhang and Mr. Jiangtao Yue for their valuable discussions on the progress of soft robotics research and related patents.</t>
  </si>
  <si>
    <t>ELSEVIER SCIENCE SA</t>
  </si>
  <si>
    <t>PO BOX 564, 1001 LAUSANNE, SWITZERLAND</t>
  </si>
  <si>
    <t>0927-796X</t>
  </si>
  <si>
    <t>1879-212X</t>
  </si>
  <si>
    <t>MAT SCI ENG R</t>
  </si>
  <si>
    <t>Mater. Sci. Eng. R-Rep.</t>
  </si>
  <si>
    <t>10.1016/j.mser.2025.100990</t>
  </si>
  <si>
    <t>Materials Science, Multidisciplinary; Physics, Applied</t>
  </si>
  <si>
    <t>Materials Science; Physics</t>
  </si>
  <si>
    <t>2JE7X</t>
  </si>
  <si>
    <t>WOS:001483930600001</t>
  </si>
  <si>
    <t>van Arum, S; Karahanoglu, A; Nizamis, K; Haarman, JAM</t>
  </si>
  <si>
    <t>van Arum, Sterre; Karahanoglu, Armagan; Nizamis, Kostas; Haarman, Juliet A. M.</t>
  </si>
  <si>
    <t>Exploring seamless home rehabilitation: a tool to enhance hand function through integration with ADL</t>
  </si>
  <si>
    <t>Activities of daily living (ADL); stroke; home rehabilitation; interactive tools; rehabilitation; seamless; Human-Computer interaction (HCI)</t>
  </si>
  <si>
    <t>SOFT-ROBOTIC GLOVE; STROKE REHABILITATION; TASK; COORDINATION; SKILL; GAMES</t>
  </si>
  <si>
    <t>Objective: Hand impairments greatly impact the execution of daily activities. Home rehabilitation is essential to improve functional tasks and prevent function decline, but also tends to be a lengthy process where patients lose motivation over time. In our approach, we want to bypass the need for intrinsic motivation and offer hand-function exercises that are seamlessly integrated into activities of daily living. We do this by integrating exercises with tools that are used during daily routines. In this paper, we present the design of an interactive toothbrush that integrates wrist exercises with the routine of brushing teeth: TumbleTooth. Materials and methods: To assess how well the tool allows for seamless integration of the exercise and the daily activity, we performed usability tests, semi-structured interviews, and a dual task on cognitive workload. The evaluation involved two groups of ten healthy participants and two stroke survivors. For the healthy participants the tests were conducted in a lab setting, for the stroke survivors at their homes. Results: Both the quantitative and qualitative data suggest a high seamlessness indication of our rehabilitation tool. Users show minimal cognitive workload while using it and appreciate the ease of use of the system. Discussion and conclusion: Our work presents design features that must be considered when designing seamless home rehabilitation devices.</t>
  </si>
  <si>
    <t>[van Arum, Sterre; Haarman, Juliet A. M.] Univ Twente, Fac Elect Engn Math &amp; Comp Sci, Human Media Interact Grp, Enschede, Netherlands; [Karahanoglu, Armagan] Univ Twente, Fac Engn Technol, Interact Design Res Grp, Enschede, Netherlands; [Nizamis, Kostas] Univ Twente, Fac Engn Technol, Dept Design Prod &amp; Management, Enschede, Netherlands</t>
  </si>
  <si>
    <t>University of Twente; University of Twente; University of Twente</t>
  </si>
  <si>
    <t>Haarman, JAM (corresponding author), Univ Twente, Fac Elect Engn Math &amp; Comp Sci, Human Media Interact Grp, Enschede, Netherlands.</t>
  </si>
  <si>
    <t>j.a.m.haarman@utwente.nl</t>
  </si>
  <si>
    <t>Nizamis, Kostas/I-2830-2019</t>
  </si>
  <si>
    <t>2025 APR 25</t>
  </si>
  <si>
    <t>10.1080/17483107.2025.2493223</t>
  </si>
  <si>
    <t>1YP2B</t>
  </si>
  <si>
    <t>WOS:001476730800001</t>
  </si>
  <si>
    <t>Kopalli, SR; Shukla, M; Jayaprakash, B; Kundlas, M; Srivastava, A; Jagtap, J; Gulati, M; Chigurupati, S; Ibrahim, E; Khandige, PS; Garcia, DS; Koppula, S; Gasmi, A</t>
  </si>
  <si>
    <t>Kopalli, Spandana Rajendra; Shukla, Madhu; Jayaprakash, B.; Kundlas, Mayank; Srivastava, Ankur; Jagtap, Jayant; Gulati, Monica; Chigurupati, Sridevi; Ibrahim, Eiman; Khandige, Prasanna Shama; Garcia, Dario Salguero; Koppula, Sushruta; Gasmi, Amin</t>
  </si>
  <si>
    <t>Artificial intelligence in stroke rehabilitation: From acute care to long-term recovery</t>
  </si>
  <si>
    <t>Artificial Intelligence; Stroke Rehabilitation; Machine Learning; Neurorehabilitation; Robotics; Tele-Rehabilitation</t>
  </si>
  <si>
    <t>MOTOR RECOVERY; AUGMENTED REALITY; VIRTUAL-REALITY; PREDICTION; AI; EXPLORATION; BIOMARKERS; DISORDERS; DIAGNOSIS; OUTCOMES</t>
  </si>
  <si>
    <t>Stroke is a leading cause of disability worldwide, driving the need for advanced rehabilitation strategies. The integration of Artificial Intelligence (AI) into stroke rehabilitation presents significant advancements across the continuum of care, from acute diagnosis to long-term recovery. This review explores AI's role in stroke rehabilitation, highlighting its impact on early diagnosis, motor recovery, and cognitive rehabilitation. AI-driven imaging techniques, such as deep learning applied to CT and MRI scans, improve early diagnosis and identify ischemic penumbra, enabling timely, personalized interventions. AI-assisted decision support systems optimize acute stroke treatment, including thrombolysis and endovascular therapy. In motor rehabilitation, AI-powered robotics and exoskeletons provide precise, adaptive assistance, while AI-augmented Virtual and Augmented Reality environments offer immersive, tailored recovery experiences. Brain-Computer Interfaces utilize AI for neurorehabilitation through neural signal processing, supporting motor recovery. Machine learning models predict functional recovery outcomes and dynamically adjust therapy intensities. Wearable technologies equipped with AI enable continuous monitoring and real-time feedback, facilitating home-based rehabilitation. AI-driven tele-rehabilitation platforms overcome geographic barriers by enabling remote assessment and intervention. The review also addresses the ethical, legal, and regulatory challenges associated with AI implementation, including data privacy and technical integration. Future research directions emphasize the transformative potential of AI in stroke rehabilitation, with case studies and clinical trials illustrating the practical benefits and efficacy of AI technologies in improving patient recovery.</t>
  </si>
  <si>
    <t>[Kopalli, Spandana Rajendra] Sejong Univ, Dept Biosci &amp; Biotechnol, Seoul 05006, South Korea; [Shukla, Madhu] Marwadi Univ, Marwadi Univ Res Ctr, Fac Engn &amp; Technol, Dept Civil Engn, Rajkot 360003, Gujarat, India; [Jayaprakash, B.] JAIN, Sch Sci, Dept Comp Sci &amp; IT, Bangalore, Karnataka, India; [Kundlas, Mayank] Chitkara Univ, Inst Engn &amp; Technol, Ctr Res Impact &amp; Outcome, Rajpura 140401, Punjab, India; [Srivastava, Ankur] Chandigarh Engn Coll, Chandigarh Grp Coll Jhanjeri, Dept CSE, Mohali 140307, Punjab, India; [Jagtap, Jayant] NIMS Univ Rajasthan, NIMS Inst Engn &amp; Technol, Dept Comp Sci &amp; Artificial Intelligence, Jaipur, India; [Gulati, Monica] Lovely Profess Univ, Sch Pharmaceut Sci, Phagwara, Punjab, India; [Gulati, Monica] Univ Technol Sydney, Fac Hlth, ARCCIM, Ultimo, NSW 20227, Australia; [Chigurupati, Sridevi] Qassim Univ, Coll Pharm, Dept Med Chem &amp; Pharmacognosy, Buraydah 51452, Saudi Arabia; [Ibrahim, Eiman] Qassim Univ, Coll Pharm, Dept Pharm Practice, Buraydah 51452, Saudi Arabia; [Khandige, Prasanna Shama] Nitte Deemed be Univ, NGSM Inst Pharmaceut Sci, Mangaluru, Karnartaka, India; [Garcia, Dario Salguero] Univ Almeria, Dept Dev &amp; Educ Psychol, Almeria, Spain; [Koppula, Sushruta] Konkuk Univ, Coll Biomed &amp; Hlth Sci, Chungju Si 27478, Chungcheongbuk, South Korea; [Gasmi, Amin] Int Inst Nutr &amp; Micronutr Sci, Saint Etienne, France; [Gasmi, Amin] Soc Francophone Nutritherapie &amp; Nutrigenet Appliqu, Villeurbanne, France</t>
  </si>
  <si>
    <t>Sejong University; Marwadi University; Jain University; Chitkara University, Punjab; Lovely Professional University; University of Technology Sydney; Qassim University; Qassim University; NITTE (Deemed to be University); N.G.S.M Institute of Pharmaceutical Sciences (NGSMIPS); Universidad de Almeria; Konkuk University</t>
  </si>
  <si>
    <t>Kopalli, SR (corresponding author), Sejong Univ, Dept Biosci &amp; Biotechnol, Seoul 05006, South Korea.</t>
  </si>
  <si>
    <t>spandanakopalli@gmail.com</t>
  </si>
  <si>
    <t>CHIGURUPATI, SRIDEVI/GRX-8274-2022; Koppula, Sushruta/JRW-6571-2023; Gasmi, Amin/AAL-3595-2020; Jagtap, Jayant/ABF-6531-2021; J, Bharani chandar/JAC-8925-2023</t>
  </si>
  <si>
    <t>APR 19</t>
  </si>
  <si>
    <t>10.1016/j.neuroscience.2025.03.017</t>
  </si>
  <si>
    <t>0SC6A</t>
  </si>
  <si>
    <t>WOS:001454700800001</t>
  </si>
  <si>
    <t>Wang, HG; Guo, JL; Zhang, YQ; Fu, Z; Yao, YF</t>
  </si>
  <si>
    <t>Wang, Honggang; Guo, Junlong; Zhang, Yangqi; Fu, Ze; Yao, Yufeng</t>
  </si>
  <si>
    <t>Closed-loop rehabilitation of upper-limb dyskinesia after stroke: from natural motion to neuronal microfluidics</t>
  </si>
  <si>
    <t>Stroke; Dyskinesia; Rehabilitation; Neurorehabilitation; Electrophysiology; Sensing and metrics; Microfluidics</t>
  </si>
  <si>
    <t>ON-A-CHIP; SHOULDER-ELBOW EXOSKELETON; DIRECT-CURRENT STIMULATION; UPPER-EXTREMITY FUNCTION; ROBOT-ASSISTED THERAPY; ELECTRICAL-STIMULATION; CEREBRAL-ISCHEMIA; AXONAL INJURY; NEURAL TISSUE; STEM-CELLS</t>
  </si>
  <si>
    <t>This review proposes an innovative closed-loop rehabilitation strategy that integrates multiple subdomains of stroke science to address the global challenge of upper-limb dyskinesia post-stroke. Despite advancements in neural remodeling and rehabilitation research, the compartmentalization of subdomains has limited the effectiveness of current rehabilitation strategies. Our approach unites key areas-including the post-stroke brain, upper-limb rehabilitation robotics, motion sensing, metrics, neural microfluidics, and neuroelectronics-into a cohesive framework designed to enhance upper-limb motion rehabilitation outcomes. By leveraging cutting-edge technologies such as lightweight rehabilitation robotics, advanced motion sensing, and neural microfluidic models, this strategy enables real-time monitoring, adaptive interventions, and personalized rehabilitation plans. Furthermore, we explore the potential of closed-loop systems to drive neural plasticity and functional recovery, offering a transformative perspective on stroke rehabilitation. Finally, we discuss future directions, emphasizing the integration of emerging technologies and interdisciplinary collaboration to advance the field. This review highlights the promise of closed-loop strategies in achieving unprecedented integration of subdomains and improving post-stroke upper-limb rehabilitation outcomes.</t>
  </si>
  <si>
    <t>[Wang, Honggang; Guo, Junlong; Zhang, Yangqi; Yao, Yufeng] Harbin Inst Technol, State Key Lab Robot &amp; Syst, Harbin 150001, Peoples R China; [Fu, Ze] Harbin Inst Technol Weihai, Inst Biol &amp; Med Technol, Weihai 264200, Peoples R China</t>
  </si>
  <si>
    <t>Harbin Institute of Technology; Harbin Institute of Technology</t>
  </si>
  <si>
    <t>Yao, YF (corresponding author), Harbin Inst Technol, State Key Lab Robot &amp; Syst, Harbin 150001, Peoples R China.</t>
  </si>
  <si>
    <t>yufeng.yao@hit.edu.cn</t>
  </si>
  <si>
    <t>Central Guided Local Science and Technology Development Funds Project, Basic Research Project</t>
  </si>
  <si>
    <t>The authors would like to thank Professor Jianwen Zhao (Harbin Institute of Technology) for helpful discussions. The authors are also grateful to editors and reviewers for their valuable comments and constructive suggestions.</t>
  </si>
  <si>
    <t>10.1186/s12984-025-01617-9</t>
  </si>
  <si>
    <t>1OQ8D</t>
  </si>
  <si>
    <t>WOS:001470001500003</t>
  </si>
  <si>
    <t>Ma, YN; Karako, K; Song, PP; Hu, XQ; Xia, Y</t>
  </si>
  <si>
    <t>Ma, Ya-nan; Karako, Kenji; Song, Peipei; Hu, Xiqi; Xia, Ying</t>
  </si>
  <si>
    <t>Integrative neurorehabilitation using brain-computer interface: From motor function to mental health after stroke</t>
  </si>
  <si>
    <t>BIOSCIENCE TRENDS</t>
  </si>
  <si>
    <t>neurorehabilitation; neural plasticity; motor dysfunction; cognitive reconstruction; neurofeedback; post-stroke depression</t>
  </si>
  <si>
    <t>POSTSTROKE DEPRESSION; REHABILITATION; MOVEMENT; RESPONSES; RECOVERY; APHASIA; ANXIETY; IMAGERY; BCI</t>
  </si>
  <si>
    <t>Stroke remains a leading cause of mortality and long-term disability worldwide, frequently resulting in impairments in motor control, cognition, and emotional regulation. Conventional rehabilitation approaches, while partially effective, often lack individualization and yield suboptimal outcomes. In recent years, brain-computer interface (BCI) technology has emerged as a promising neurorehabilitation tool by decoding neural signals and providing real-time feedback to enhance neuroplasticity. This review systematically explores the use of BCI systems in post-stroke rehabilitation, focusing on three core domains: motor function, cognitive capacity, and emotional regulation. This review outlines the neurophysiological principles underpinning BCI-based motor rehabilitation, including neurofeedback training, Hebbian plasticity, and multimodal feedback strategies. It then examines recent advances in upper limb and gait recovery using BCI integrated with functional electrical stimulation (FES), robotics, and virtual reality (VR). Moreover, it highlights BCI's potential in cognitive and language rehabilitation through EEG-based neurofeedback and the integration of artificial intelligence (AI) and immersive VR environments. In addition, it discusses the role of BCI in monitoring and regulating post-stroke emotional disorders via closed-loop systems. While promising, BCI technologies face challenges related to signal accuracy, device portability, and clinical validation. Future research should prioritize multimodal integration, AI-driven personalization, and largescale randomized trials to establish long-term efficacy. This review underscores BCI's transformative potential in delivering intelligent, personalized, and cross-domain rehabilitation solutions for stroke survivors.</t>
  </si>
  <si>
    <t>[Ma, Ya-nan; Xia, Ying] Cent South Univ, Haikou Affiliated Hosp, Dept Neurosurg, Xiangya Sch Med, Haikou, Peoples R China; [Karako, Kenji] Univ Tokyo, Grad Sch Med, Dept Surg, Tokyo, Japan; [Song, Peipei] Japan Inst Hlth Secur, Ctr Clin Sci, Tokyo, Japan; [Song, Peipei] Natl Coll Nursing Japan, Tokyo, Japan</t>
  </si>
  <si>
    <t>University of Tokyo</t>
  </si>
  <si>
    <t>Hu, XQ; Xia, Y (corresponding author), Geriatr Hosp Hainan, Integrated Neurosci Ctr, Haikou 571100, Peoples R China.;Xia, Y (corresponding author), Cent South Univ, Haikou Hosp, Dept Neurosurg, Xiangya Sch Med, Haikou 570208, Peoples R China.</t>
  </si>
  <si>
    <t>218302048@csu.edu.cn; xiaying008@163.com</t>
  </si>
  <si>
    <t>Hainan Province Clinical Medical Research Center [82460268]; Hainan Province Postdoctoral Research Project [LCYX202309]; Ministry of Education, Science, Sports, and Culture of Japan [403254]; [24K14216]</t>
  </si>
  <si>
    <t>Hainan Province Clinical Medical Research Center; Hainan Province Postdoctoral Research Project; Ministry of Education, Science, Sports, and Culture of Japan(Ministry of Education, Culture, Sports, Science and Technology, Japan (MEXT));</t>
  </si>
  <si>
    <t>This work was supported by grants from the National Natural Science Foundation of China (82460268) , the Hainan Province Clinical Medical Research Center (No. LCYX202309) , the Hainan Province Postdoctoral Research Project (403254) , and Grants-in-Aid from the Ministry of Education, Science, Sports, and Culture of Japan (24K14216) .r (82460268) , the Hainan Province Clinical Medical Research Center (No. LCYX202309) , the Hainan Province Postdoctoral Research Project (403254) , and Grants-in-Aid from the Ministry of Education, Science, Sports, and Culture of Japan (24K14216) .</t>
  </si>
  <si>
    <t>IRCA-BSSA</t>
  </si>
  <si>
    <t>PEARL CITY KOISHIKAWA 603, 2-4-5 KASUGA, BUNKYO-KU, TOKYO, 112-0003, JAPAN</t>
  </si>
  <si>
    <t>1881-7815</t>
  </si>
  <si>
    <t>1881-7823</t>
  </si>
  <si>
    <t>BIOSCI TRENDS</t>
  </si>
  <si>
    <t>BioSci. Trends</t>
  </si>
  <si>
    <t>2025 APR 17</t>
  </si>
  <si>
    <t>10.5582/bst.2025.01109</t>
  </si>
  <si>
    <t>Biology</t>
  </si>
  <si>
    <t>Life Sciences &amp; Biomedicine - Other Topics</t>
  </si>
  <si>
    <t>1SB9P</t>
  </si>
  <si>
    <t>WOS:001472324400001</t>
  </si>
  <si>
    <t>Dutta, A</t>
  </si>
  <si>
    <t>Dutta, Anirban</t>
  </si>
  <si>
    <t>Neurocomputational Mechanisms of Sense of Agency: Literature Review for Integrating Predictive Coding and Adaptive Control in Human-Machine Interfaces</t>
  </si>
  <si>
    <t>sense of agency; predictive coding; Kalman filter; active inference; SCAN; human-machine interface; functional neurological disorder; motor control; EEG microstates; LQG control; neurorehabilitation XR therapy; hypnotic suggestion</t>
  </si>
  <si>
    <t>CONTINGENT NEGATIVE-VARIATION; EQUILIBRIUM-POINT HYPOTHESIS; COMPUTATIONAL ARCHITECTURE; COMPARATOR MODEL; CUE INTEGRATION; DECISION-THEORY; MOTOR IMAGERY; PERCEPTION; NETWORK; ACCOUNT</t>
  </si>
  <si>
    <t>Background: The sense of agency (SoA)-the subjective experience of controlling one's own actions and their consequences-is a fundamental aspect of human cognition, volition, and motor control. Understanding how the SoA arises and is disrupted in neuropsychiatric disorders has significant implications for human-machine interface (HMI) design for neurorehabilitation. Traditional cognitive models of agency often fail to capture its full complexity, especially in dynamic and uncertain environments. Objective: This review synthesizes computational models-particularly predictive coding, Bayesian inference, and optimal control theories-to provide a unified framework for understanding the SoA in both healthy and dysfunctional brains. It aims to demonstrate how these models can inform the design of adaptive HMIs and therapeutic tools by aligning with the brain's own inference and control mechanisms. Methods: I reviewed the foundational and contemporary literature on predictive coding, Kalman filtering, the Linear-Quadratic-Gaussian (LQG) control framework, and active inference. I explored their integration with neurophysiological mechanisms, focusing on the somato-cognitive action network (SCAN) and its role in sensorimotor integration, intention encoding, and the judgment of agency. Case studies, simulations, and XR-based rehabilitation paradigms using robotic haptics were used to illustrate theoretical concepts. Results: The SoA emerges from hierarchical inference processes that combine top-down motor intentions with bottom-up sensory feedback. Predictive coding frameworks, especially when implemented via Kalman filters and LQG control, provide a mechanistic basis for modeling motor learning, error correction, and adaptive control. Disruptions in these inference processes underlie symptoms in disorders such as functional movement disorder. XR-based interventions using robotic interfaces can restore the SoA by modulating sensory precision and motor predictions through adaptive feedback and suggestion. Computer simulations demonstrate how internal models, and hypnotic suggestions influence state estimation, motor execution, and the recovery of agency. Conclusions: Predictive coding and active inference offer a powerful computational framework for understanding and enhancing the SoA in health and disease. The SCAN system serves as a neural hub for integrating motor plans with cognitive and affective processes. Future work should explore the real-time modulation of agency via biofeedback, simulation, and SCAN-targeted non-invasive brain stimulation.</t>
  </si>
  <si>
    <t>[Dutta, Anirban] Univ Birmingham, Coll Med &amp; Hlth, Sch Med Sci, Dept Metab &amp; Syst Sci, Birmingham B15 2TT, England</t>
  </si>
  <si>
    <t>University of Birmingham</t>
  </si>
  <si>
    <t>Dutta, A (corresponding author), Univ Birmingham, Coll Med &amp; Hlth, Sch Med Sci, Dept Metab &amp; Syst Sci, Birmingham B15 2TT, England.</t>
  </si>
  <si>
    <t>a.dutta.1@bham.ac.uk</t>
  </si>
  <si>
    <t>Dutta, Anirban/0000-0002-7298-9773</t>
  </si>
  <si>
    <t>EPSRC</t>
  </si>
  <si>
    <t>This work was supported by funding to Anirban Dutta from EPSRC Rehabtech+ (https://www.rehabtechnologies.net/).</t>
  </si>
  <si>
    <t>APR 14</t>
  </si>
  <si>
    <t>10.3390/brainsci15040396</t>
  </si>
  <si>
    <t>1ZL2F</t>
  </si>
  <si>
    <t>WOS:001477304600001</t>
  </si>
  <si>
    <t>Zhang, X; Qu, YG; Zhang, G; Wang, ZQ; Chen, CB; Xu, X</t>
  </si>
  <si>
    <t>Zhang, Xu; Qu, Yonggang; Zhang, Gang; Wang, Zhiqiang; Chen, Changbing; Xu, Xin</t>
  </si>
  <si>
    <t>Review of sEMG for Exoskeleton Robots: Motion Intention Recognition Techniques and Applications</t>
  </si>
  <si>
    <t>surface EMG; exoskeleton robot; intention recognition; human-robot interface; rehabilitation robotics; deep learning; human-machine fusion-embodied intelligence</t>
  </si>
  <si>
    <t>SURFACE ELECTROMYOGRAPHY; CLASSIFICATION; NUMBER; SCHEME</t>
  </si>
  <si>
    <t>The global aging trend is becoming increasingly severe, and the demand for life assistance and medical rehabilitation for frail and disabled elderly people is growing. As the best solution for assisting limb movement, guiding limb rehabilitation, and enhancing limb strength, exoskeleton robots are becoming the focus of attention from all walks of life. This paper reviews the progress of research on upper limb exoskeleton robots, sEMG technology, and intention recognition technology. It analyzes the literature using keyword clustering analysis and comprehensively discusses the application of sEMG technology, deep learning methods, and machine learning methods in the process of human movement intention recognition by exoskeleton robots. It is proposed that the focus of current research is to find algorithms with strong adaptability and high classification accuracy. Finally, traditional machine learning and deep learning algorithms are discussed, and future research directions are proposed, such as using a deep learning algorithm based on multi-information fusion to fuse EEG signals, electromyographic signals, and basic reference signals. A model with stronger generalization ability is obtained after training, thereby improving the accuracy of human movement intention recognition based on sEMG technology, which provides important support for the realization of human-machine fusion-embodied intelligence of exoskeleton robots.</t>
  </si>
  <si>
    <t>[Zhang, Xu; Qu, Yonggang; Zhang, Gang; Wang, Zhiqiang] Shendong Coal Grp Co Ltd, CHN Energy Grp, Yulin 017209, Peoples R China; [Zhang, Xu; Qu, Yonggang; Zhang, Gang; Wang, Zhiqiang] Res Ctr Mine Ventilat Safety &amp; Occupat Hlth Protec, Yulin 017209, Peoples R China; [Chen, Changbing; Xu, Xin] China Coal Res Inst, Beijing 100013, Peoples R China; [Chen, Changbing; Xu, Xin] State Key Lab Intelligent Coal Min &amp; Strata Contro, Beijing 100013, Peoples R China</t>
  </si>
  <si>
    <t>Chen, CB (corresponding author), China Coal Res Inst, Beijing 100013, Peoples R China.;Chen, CB (corresponding author), State Key Lab Intelligent Coal Min &amp; Strata Contro, Beijing 100013, Peoples R China.</t>
  </si>
  <si>
    <t>zhangxu_chnenergy@163.com; quyonggang0204@163.com; zhanggang_chnene@163.com; wangzhiqiang_chnen@163.com; chenchangbing19@mails.ucas.edu.cn; xuxinucas@163.com</t>
  </si>
  <si>
    <t>CHEN, Bing/LZE-3606-2025</t>
  </si>
  <si>
    <t>National Natural Science Foundation of China; Technology Innovation and Entrepreneurship Fund Special Project of CCTEG [2022-2-MS004]; Shendong Coal Company [E210100556]; [U23B2094]</t>
  </si>
  <si>
    <t>National Natural Science Foundation of China(National Natural Science Foundation of China (NSFC)); Technology Innovation and Entrepreneurship Fund Special Project of CCTEG; Shendong Coal Company;</t>
  </si>
  <si>
    <t>This research was funded by the National Natural Science Foundation of China (grant number U23B2094), the Technology Innovation and Entrepreneurship Fund Special Project of CCTEG (grant number 2022-2-MS004), and the Science and Technology Innovation Project of Shendong Coal Company (project no. E210100556).</t>
  </si>
  <si>
    <t>APR 13</t>
  </si>
  <si>
    <t>10.3390/s25082448</t>
  </si>
  <si>
    <t>1XE3Q</t>
  </si>
  <si>
    <t>WOS:001475772800001</t>
  </si>
  <si>
    <t>Fasano, A; Mauro, MC; Beani, E; Nicora, G; Germanotta, M; Falchini, F; Pavan, A; Habib, V; Quaglini, S; Sgandurra, G; Aprile, IG</t>
  </si>
  <si>
    <t>Fasano, Alessio; Mauro, Maria Cristina; Beani, Elena; Nicora, Giovanna; Germanotta, Marco; Falchini, Francesca; Pavan, Arianna; Habib, Valeria; Quaglini, Silvana; Sgandurra, Giuseppina; Aprile, Irene Giovanna</t>
  </si>
  <si>
    <t>Towards the Identification of Patients' Needs for Promoting Robotics and Allied Digital Technologies in Rehabilitation: A Systematic Review</t>
  </si>
  <si>
    <t>rehabilitation; patient needs; robotics; ICF; systematic review</t>
  </si>
  <si>
    <t>INTERNATIONAL-CLASSIFICATION; HEALTH ICF; STROKE; DISABILITY; THERAPY; ARM; PERSPECTIVES; EXPERIENCES; ORTHOSIS; DESIGN</t>
  </si>
  <si>
    <t>Background/Objectives: Robotic rehabilitation holds great potential for improving patient outcomes, but the integration of these technologies into clinical practice is hindered by a lack of comprehensive tools for assessing patients' needs. This systematic review aimed to identify gaps in the current literature, with a focus on methodologies and tools for evaluating such needs, particularly those based on the International Classification of Functioning, Disability, and Health (ICF) framework. Methods: A systematic review of qualitative studies published between 2021 and 2023 was conducted, updating a previous (2020) review. Studies were identified through PubMed, Scopus, and Web of Science using inclusion criteria focused on qualitative methods capturing patients' experiences with robotic and technological rehabilitation devices. Results: The review analyzed 19 new studies and 20 from the prior review, revealing a reliance on semi-structured interviews targeting small, heterogeneous populations. No studies employed standardized ICF-based tools, and gaps were noted in the exploration of conditions such as Parkinson's disease, frailty, or conditions that allowed for multi-device experiences. Conclusions: The findings emphasize the necessity for tailored surveys grounded in the ICF framework to completely evaluate the needs of patients suffering from sensory, motor, and/or cognitive disorders caused by different health conditions. This work lays the foundation for more inclusive, effective, and patient-centered robotic rehabilitation strategies.</t>
  </si>
  <si>
    <t>[Fasano, Alessio; Mauro, Maria Cristina; Germanotta, Marco; Falchini, Francesca; Pavan, Arianna; Habib, Valeria; Aprile, Irene Giovanna] IRCCS Fdn Don Carlo Gnocchi, ONLUS, I-50143 Florence, Italy; [Beani, Elena; Sgandurra, Giuseppina] IRCCS Fdn Stella Maris, Dept Dev Neurosci, I-56128 Pisa, Italy; [Beani, Elena; Sgandurra, Giuseppina] Univ Pisa, Dept Clin &amp; Expt Med, I-56126 Pisa, Italy; [Nicora, Giovanna; Quaglini, Silvana] Univ Pavia, Dept Elect Comp &amp; Biomed Engn, I-27100 Pavia, Italy</t>
  </si>
  <si>
    <t>IRCCS Fondazione Stella Maris; University of Pisa; University of Pavia</t>
  </si>
  <si>
    <t>Fasano, A; Mauro, MC (corresponding author), IRCCS Fdn Don Carlo Gnocchi, ONLUS, I-50143 Florence, Italy.</t>
  </si>
  <si>
    <t>afasano@dongnocchi.it; mmauro@dongnocchi.it; elena.beani@fsm.unipi.it; giovanna.nicora@unipv.it; mgermanotta@dongnocchi.it; ffalchini@dongnocchi.it; apavan@dongnocchi.it; vhabib@dongnocchi.it; silvana.quaglini@unipv.it; giuseppina.sgandurra@fsm.unipi.it; iaprile@dongnocchi.it</t>
  </si>
  <si>
    <t>Germanotta, Marco/J-3893-2018; Sgandurra, Giuseppina/B-9961-2018; Beani, Elena/AAJ-6740-2021</t>
  </si>
  <si>
    <t>Habib, Valeria/0009-0004-3203-5360</t>
  </si>
  <si>
    <t>Italian Ministry of Research, under the complementary actions to the NRRP Fit4MedRob-Fit for Medical Robotics [PNC0000007]; Italian Ministry of Research, under the complementary actions [RC2025]; Italian Ministry of Health</t>
  </si>
  <si>
    <t>Italian Ministry of Research, under the complementary actions to the NRRP Fit4MedRob-Fit for Medical Robotics; Italian Ministry of Research, under the complementary actions; Italian Ministry of Health(Ministry of Health, Italy)</t>
  </si>
  <si>
    <t>This work was supported by the Italian Ministry of Research, under the complementary actions to the NRRP Fit4MedRob-Fit for Medical Robotics Grant (# PNC0000007), and partially by the Italian Ministry of Health Grant RC2025.</t>
  </si>
  <si>
    <t>APR 4</t>
  </si>
  <si>
    <t>10.3390/healthcare13070828</t>
  </si>
  <si>
    <t>1FJ9S</t>
  </si>
  <si>
    <t>WOS:001463724000001</t>
  </si>
  <si>
    <t>Irshad, A; Farooq, N; Kiran, Q; Farooq, A; Munir, S; Kafeel, S</t>
  </si>
  <si>
    <t>Irshad, Asima; Farooq, Noureen; Kiran, Qurba; Farooq, Anas; Munir, Sonia; Kafeel, Sarah</t>
  </si>
  <si>
    <t>Integration of robotics in healthcare management: a narrative review</t>
  </si>
  <si>
    <t>ANAESTHESIA PAIN &amp; INTENSIVE CARE</t>
  </si>
  <si>
    <t>Robotics; Health Care Management; Patient Care; Robotic-Assisted Surgery; Robotics-assisted rehabilitation; Pharmacy Automation</t>
  </si>
  <si>
    <t>ARTIFICIAL-INTELLIGENCE</t>
  </si>
  <si>
    <t>Background: Rapid advancements in robotics have addressed concerns including a dwindling workforce and the need for technological integration, resulting in major advances in patient care. Combining concepts from engineering, physics, and mathematics, robotics has developed from industrial applications in the 1960s to medical applications in the 1980s. These days, robots assist with a variety of medical tasks, such as surgery, patient monitoring, and rehabilitation. Notwithstanding their revolutionary potential, particularly in domains such as pharmacy automation and telepresence, the assimilation of robotics into nursing care has not received enough attention. The numerous uses and effects of robotics in patient care are reviewed in this study, with a focus on how they might improve productivity, lower error rates, and enable independent living for the old and disabled. Objective: To provide a narrative review of integration of Robotics in health care management to provide individualized and effective healthcare solutions. Method: A systematic search of MEDLINE/PubMed and Google Scholar databases, then thoroughly reviewed the articles, focusing on those published in the last 5 years. Conclusion: Robotics integration in healthcare is revolutionizing minimally invasive procedures, medicine administration, and improved mobility for patients. Robotics-assisted rehabilitation enhances the results of physical and cognitive treatment while helping the aged and disabled. While robotic process automation (RPA) boosts productivity and lowers errors in administrative work and pharmacy operations, telepresence robots enable remote patient connection. As robots' technology develops, more individualized and effective healthcare solutions could be possible.</t>
  </si>
  <si>
    <t>[Irshad, Asima; Kiran, Qurba] Super Univ, 17km Raiwind Rd, Lahore, Pakistan; [Farooq, Noureen] 5 Care Net Work, Riyadh, Saudi Arabia; [Farooq, Anas] Al Faisal Univ, Riyadh, Saudi Arabia; [Munir, Sonia; Kafeel, Sarah] Isra Univ, Islamabad, Pakistan</t>
  </si>
  <si>
    <t>Alfaisal University</t>
  </si>
  <si>
    <t>Kiran, Q (corresponding author), Super Univ, 17km Raiwind Rd, Lahore, Pakistan.</t>
  </si>
  <si>
    <t>asima0332@yahoo.com; noureen.15@gmail.com; qurbabutt8@gmail.com; anasfarooq20@gmail.com; Docsonia@ymail.com; Sarahkafeel@hotmail.com</t>
  </si>
  <si>
    <t>Kiran PT, Qurba/GXM-5119-2022</t>
  </si>
  <si>
    <t>ISLAMABAD</t>
  </si>
  <si>
    <t>C/O TARIQ HAYAT KHAN, ED, 60-A, NAZIM-UD-DIN RD, ISLAMABAD, 00000, PAKISTAN</t>
  </si>
  <si>
    <t>1607-8322</t>
  </si>
  <si>
    <t>2220-5799</t>
  </si>
  <si>
    <t>ANAESTH PAIN INTENSI</t>
  </si>
  <si>
    <t>Anaesth. Pain Intensive Care</t>
  </si>
  <si>
    <t>10.35975/apic.v29i2.2723</t>
  </si>
  <si>
    <t>Anesthesiology</t>
  </si>
  <si>
    <t>1UD3N</t>
  </si>
  <si>
    <t>WOS:001473716100026</t>
  </si>
  <si>
    <t>Luxton, D; Thorpe, N; Crane, E; Warne, M; Cornwall, O; El-Dalil, D; Matthews, J; Rajkumar, AP</t>
  </si>
  <si>
    <t>Luxton, Dominic; Thorpe, Naomi; Crane, Emily; Warne, Molly; Cornwall, Olivia; El-Dalil, Daniel; Matthews, Joshua; Rajkumar, Anto P.</t>
  </si>
  <si>
    <t>Systematic review of the efficacy of pharmacological and non-pharmacological interventions for improving quality of life of people with dementia</t>
  </si>
  <si>
    <t>BRITISH JOURNAL OF PSYCHIATRY</t>
  </si>
  <si>
    <t>Dementia; quality of life; systematic review; meta-analysis; psychosocial intervention</t>
  </si>
  <si>
    <t>COGNITIVE STIMULATION THERAPY; RANDOMIZED CONTROLLED-TRIAL; ALZHEIMERS-DISEASE; OLDER-ADULTS; PARKINSONS-DISEASE; SINGLE-BLIND; REMINISCENCE PROGRAM; CARE HOMES; INSTRUMENT; RESIDENTS</t>
  </si>
  <si>
    <t>Background People with dementia (PwD) and their carers often consider maintaining good quality of life (QoL) more important than improvements in cognition or other symptoms of dementia. There is a clinical need for identifying interventions that can improve QoL of PwD. There are currently no evidence-based guidelines to help clinicians, patients and policy makers to make informed decisions regarding QoL in dementia.Aims To conduct the first comprehensive systematic review of all studies that investigated efficacy of any pharmacological or non-pharmacological intervention for improving QoL of PwD.Method Our review team identified eligible studies by comprehensively searching nine databases. We completed quality assessment, extracted relevant data and performed GRADE assessment of eligible studies. We conducted meta-analyses when three or more studies investigated an intervention for improving QoL of PwD.Results We screened 14 389 abstracts and included 324 eligible studies. Our meta-analysis confirmed level 1 evidence supporting the use of group cognitive stimulation therapy for improving QoL (standardised mean difference 0.25; P = 0.003) of PwD. Our narrative data synthesis revealed level 2 evidence supporting 42 non-pharmacological interventions, including those based on cognitive rehabilitation, reminiscence, occupational therapy, robots, exercise or music therapy. Current evidence supporting the use of any pharmacological intervention for improving QoL in dementia is limited.Conclusions Current evidence highlights the importance of non-pharmacological interventions and multidisciplinary care for supporting QoL of PwD. QoL should be prioritised when agreeing care plans. Further research focusing on QoL outcomes and investigating combined pharmacological and non-pharmacological interventions is urgently needed.</t>
  </si>
  <si>
    <t>[Luxton, Dominic; Rajkumar, Anto P.] Univ Nottingham, Sch Med, Mental Hlth &amp; Neurosci Acad Unit, Nottingham, England; [Thorpe, Naomi] Nottinghamshire Healthcare NHS Fdn Trust, Lib &amp; Knowledge Serv, Nottingham, England; [Crane, Emily] Univ Hosp Derby &amp; Burton NHS Fdn Trust, Dept Med Elderly, Derby, England; [Warne, Molly] Chesterfield Royal Hosp NHS Fdn Trust, Royal Primary Care, Chesterfield, England; [Cornwall, Olivia] Chesterfield Royal Hosp NHS Fdn Trust, Emergency Dept, Chesterfield, England; [El-Dalil, Daniel] Nottingham Univ Hosp NHS Trust, Intens Therapy Unit, Nottingham, England; [Matthews, Joshua] Nottingham Univ Hosp NHS Trust, Haematol Dept, Nottingham, England; [Rajkumar, Anto P.] Univ Nottingham, Sch Med, Mental Hlth &amp; Neurosci Acad Unit, Nottingham, England</t>
  </si>
  <si>
    <t>University of Nottingham; Nottingham University Hospital NHS Trust; Nottingham University Hospital NHS Trust; University of Nottingham</t>
  </si>
  <si>
    <t>Rajkumar, AP (corresponding author), Univ Nottingham, Sch Med, Mental Hlth &amp; Neurosci Acad Unit, Nottingham, England.;Rajkumar, AP (corresponding author), Univ Nottingham, Sch Med, Mental Hlth &amp; Neurosci Acad Unit, Nottingham, England.</t>
  </si>
  <si>
    <t>Anto.Rajamani@nottingham.ac.uk</t>
  </si>
  <si>
    <t>NIHR</t>
  </si>
  <si>
    <t>NIHR(National Institutes of Health Research (NIHR))</t>
  </si>
  <si>
    <t>This research was completed as part of the NIHR-funded Academic Foundation Programme undertaken at the University of Nottingham, Nottingham, UK. Apart from this, this research did not receive any specific grant from any funding agency.</t>
  </si>
  <si>
    <t>CAMBRIDGE UNIV PRESS</t>
  </si>
  <si>
    <t>EDINBURGH BLDG, SHAFTESBURY RD, CB2 8RU CAMBRIDGE, ENGLAND</t>
  </si>
  <si>
    <t>0007-1250</t>
  </si>
  <si>
    <t>1472-1465</t>
  </si>
  <si>
    <t>BRIT J PSYCHIAT</t>
  </si>
  <si>
    <t>Br. J. Psychiatry</t>
  </si>
  <si>
    <t>2025 APR 1</t>
  </si>
  <si>
    <t>10.1192/bjp.2025.11</t>
  </si>
  <si>
    <t>0UO5A</t>
  </si>
  <si>
    <t>WOS:001456370200001</t>
  </si>
  <si>
    <t>Toro-Ossaba, A; Tejada, JC; Sanin-Villa, D</t>
  </si>
  <si>
    <t>Toro-Ossaba, Alejandro; Tejada, Juan C.; Sanin-Villa, Daniel</t>
  </si>
  <si>
    <t>Myoelectric Control in Rehabilitative and Assistive Soft Exoskeletons: A Comprehensive Review of Trends, Challenges, and Integration with Soft Robotic Devices</t>
  </si>
  <si>
    <t>BIOMIMETICS</t>
  </si>
  <si>
    <t>soft robotics; exoskeletons; myoelectric control; electromyography; motion intention estimation</t>
  </si>
  <si>
    <t>LOWER-LIMB EXOSKELETONS; HIGH-DENSITY EMG; TORQUE ESTIMATION; DESIGN; DRIVEN; ELBOW; KNEE; INTENTION; MODEL; SEMG</t>
  </si>
  <si>
    <t>Soft robotic exoskeletons have emerged as a transformative solution for rehabilitation and assistance, offering greater adaptability and comfort than rigid designs. Myoelectric control, based on electromyography (EMG) signals, plays a key role in enabling intuitive and adaptive interaction between the user and the exoskeleton. This review analyzes recent advancements in myoelectric control strategies, emphasizing their integration into soft robotic exoskeletons. Unlike previous studies, this work highlights the unique challenges posed by the deformability and compliance of soft structures, requiring novel approaches to motion intention estimation and control. Key contributions include critically evaluating machine learning-based motion prediction, model-free adaptive control methods, and real-time validation strategies to enhance rehabilitation outcomes. Additionally, we identify persistent challenges such as EMG signal variability, computational complexity, and the real-time adaptability of control algorithms, which limit clinical implementation. By interpreting recent trends, this review highlights the need for improved EMG acquisition techniques, robust adaptive control frameworks, and enhanced real-time learning to optimize human-exoskeleton interaction. Beyond summarizing the state of the art, this work provides an in-depth discussion of how myoelectric control can advance rehabilitation by ensuring more responsive and personalized exoskeleton assistance. Future research should focus on refining control schemes tailored to soft robotic architectures, ensuring seamless integration into rehabilitation protocols. This review is a foundation for developing intelligent soft exoskeletons that effectively support motor recovery and assistive applications.</t>
  </si>
  <si>
    <t>[Toro-Ossaba, Alejandro; Tejada, Juan C.] Univ EIA, Artificial Intelligence &amp; Robot Res Grp IAR, Envigado 055428, Colombia; [Tejada, Juan C.] Univ Iberoamer Ciudad Mexico, Dept Engn Studies Innovat, Prolongac Paseo Reforma 880, Mexico City 01219, Mexico; [Sanin-Villa, Daniel] Univ EAFIT, Area Ind Mat &amp; Energia, Medellin 050022, Colombia</t>
  </si>
  <si>
    <t>Universidad Iberoamericana Ciudad de Mexico; Universidad EAFIT</t>
  </si>
  <si>
    <t>Tejada, JC (corresponding author), Univ EIA, Artificial Intelligence &amp; Robot Res Grp IAR, Envigado 055428, Colombia.;Tejada, JC (corresponding author), Univ Iberoamer Ciudad Mexico, Dept Engn Studies Innovat, Prolongac Paseo Reforma 880, Mexico City 01219, Mexico.;Sanin-Villa, D (corresponding author), Univ EAFIT, Area Ind Mat &amp; Energia, Medellin 050022, Colombia.</t>
  </si>
  <si>
    <t>alejandro.toro52@eia.edu.co; juan.tejada@eia.edu.co; dsaninv2@eafit.edu.co</t>
  </si>
  <si>
    <t>Tejada, Juan/IYT-0983-2023; Sanin-Villa, Daniel/W-7441-2018</t>
  </si>
  <si>
    <t>Sanin-Villa, Daniel/0000-0001-6853-340X</t>
  </si>
  <si>
    <t>Universidad EIA; Universidad Iberoamericana Ciudad de Mexico [1228748]; Universidad EAFIT; [CO12021002]</t>
  </si>
  <si>
    <t>Universidad EIA; Universidad Iberoamericana Ciudad de Mexico; Universidad EAFIT;</t>
  </si>
  <si>
    <t>The authors gratefully acknowledge the financial support from Universidad EIA (grant CO12021002), Universidad Iberoamericana Ciudad de Mexico, SECIHTI (grant 1228748), and Universidad EAFIT.</t>
  </si>
  <si>
    <t>2313-7673</t>
  </si>
  <si>
    <t>BIOMIMETICS-BASEL</t>
  </si>
  <si>
    <t>Biomimetics</t>
  </si>
  <si>
    <t>APR 1</t>
  </si>
  <si>
    <t>10.3390/biomimetics10040214</t>
  </si>
  <si>
    <t>Engineering, Multidisciplinary; Materials Science, Biomaterials</t>
  </si>
  <si>
    <t>1ZL3D</t>
  </si>
  <si>
    <t>WOS:001477307000001</t>
  </si>
  <si>
    <t>Xiong, J; Wang, JT; Lin, S; Xie, BY</t>
  </si>
  <si>
    <t>Xiong, Jing; Wang, Jin-Tian; Lin, Shu; Xie, Bao-Yuan</t>
  </si>
  <si>
    <t>Advances in hemiplegia rehabilitation: modern therapeutic interventions to enhance activities of daily living</t>
  </si>
  <si>
    <t>hemiplegia; rehabilitation; therapeutic interventions; activities of daily living; modern rehabilitation techniques</t>
  </si>
  <si>
    <t>ELECTRICAL-STIMULATION; STROKE; BRAIN</t>
  </si>
  <si>
    <t>Hemiplegia severely impairs patients' abilities to perform activities of daily living (ADL), thus affecting their overall quality of life and independence. Often caused by stroke or other forms of brain injury, hemiparesis causes long-term impairment of upper and lower limb function, hindering the patient's ability to manage self-care. With advances in modern rehabilitation medicine, emerging therapeutic interventions such as electrophysiological feedback, virtual reality, and robot-assisted therapy are increasingly being applied to the rehabilitation of hemiplegic patients. These interventions, combined with precise technical support through individualized training, have been shown to be effective in improving upper and lower limb function as well as enhancing ADL abilities of hemiplegic patients. This paper reviews recent advances in modern hemiplegic rehabilitation therapeutic interventions, assesses their impact on improving ADL performance, and examines their effectiveness in improving functional outcomes and quality of life for patients. These findings suggest that modern rehabilitation approaches have significant clinical potential to provide more personalized and effective treatment strategies for people with hemiplegia.</t>
  </si>
  <si>
    <t>[Xiong, Jing; Xie, Bao-Yuan] Fujian Med Univ, Dept Nursing, Affiliated Hosp 2, Quanzhou, Peoples R China; [Wang, Jin-Tian] Fujian Med Univ, Dept Colorectal Surg, Affiliated Hosp 2, Quanzhou, Peoples R China; [Lin, Shu] Fujian Med Univ, Ctr Neurol &amp; Metab Res, Affiliated Hosp 2, Quanzhou, Peoples R China; [Lin, Shu] Garvan Inst Med Res, Grp Neuroendocrinol, Darlinghurst, NSW, Australia</t>
  </si>
  <si>
    <t>Fujian Medical University; Fujian Medical University; Fujian Medical University; Garvan Institute of Medical Research</t>
  </si>
  <si>
    <t>Xie, BY (corresponding author), Fujian Med Univ, Dept Nursing, Affiliated Hosp 2, Quanzhou, Peoples R China.;Lin, S (corresponding author), Fujian Med Univ, Ctr Neurol &amp; Metab Res, Affiliated Hosp 2, Quanzhou, Peoples R China.;Lin, S (corresponding author), Garvan Inst Med Res, Grp Neuroendocrinol, Darlinghurst, NSW, Australia.</t>
  </si>
  <si>
    <t>shulin1956@126.com; BaoyuanXie0926@163.com</t>
  </si>
  <si>
    <t>Quanzhou Municipal Bureau of Science and Technology</t>
  </si>
  <si>
    <t>The authors would like to express their gratitude to all researchers whose work contributed to the development of this review. The authors acknowledge the use of BioRender.com for creating the figures in this manuscript. The graphical elements within the figures were adapted from BioRender's library and modified to fit the context of this study. Additionally, the authors appreciate the constructive feedback provided by the reviewers, which has significantly improved the clarity and scientific rigor of this manuscript.</t>
  </si>
  <si>
    <t>MAR 28</t>
  </si>
  <si>
    <t>10.3389/fneur.2025.1555990</t>
  </si>
  <si>
    <t>1EW2L</t>
  </si>
  <si>
    <t>WOS:001463366400001</t>
  </si>
  <si>
    <t>Montoto-Marqués, A; Benito-Penalva, J; Ferreiro-Velasco, ME; Wright, MA; Salvador-de la Barrera, S; Kumru, H; Gaitán-Pérez, N; Hernández-Navarro, A; Rodríguez-Sotillo, A; Braga, FM; Palencia-Vidal, A; Vidal-Samsó, J</t>
  </si>
  <si>
    <t>Montoto-Marques, Antonio; Benito-Penalva, Jesus; Ferreiro-Velasco, Maria Elena; Andrew Wright, Mark; Salvador-de la Barrera, Sebastian; Kumru, Hatice; Gaitan-Perez, Nelson; Hernandez-Navarro, Agustin; Rodriguez-Sotillo, Antonio; Martins Braga, Fernando; Palencia-Vidal, Angela; Vidal-Samso, Joan</t>
  </si>
  <si>
    <t>Advances and New Therapies in Traumatic Spinal Cord Injury</t>
  </si>
  <si>
    <t>traumatic spinal cord injury; neuroprotection; surgical treatment; cell therapies; spinal cord stimulation; robotic systems; exoskeletons</t>
  </si>
  <si>
    <t>CLINICAL-PRACTICE GUIDELINE; METHYLPREDNISOLONE SODIUM SUCCINATE; MEAN ARTERIAL-PRESSURE; HIGH-DOSE METHYLPREDNISOLONE; MESENCHYMAL STEM-CELLS; CEREBROSPINAL-FLUID DRAINAGE; PERFUSION-PRESSURE; HEMODYNAMIC MANAGEMENT; SURGICAL DECOMPRESSION; INTRASPINAL PRESSURE</t>
  </si>
  <si>
    <t>Recovery from traumatic spinal cord injury (tSCI) is challenging due to the limited regenerative capacity of the central nervous system to restore cells, myelin, and neural connections. At the clinical level, the fundamental pillars of treatment are the reduction in secondary damage (neuroprotection) and rehabilitation; these are the tools we have to mitigate the disability caused by spinal cord injury (SCI). To date, the treatments on which neuroprotection has been based are the prevention of acute respiratory failure to avoid hypoxia, early hemodynamic control, neuroprotective drugs and surgical management. Optimizing early hemodynamic control to ensure adequate spinal cord perfusion may be key to the management of SCI. While neuroprotective agents like methylprednisolone have fallen into disuse, several promising therapies are currently being tested in clinical trials. In terms of surgical treatment, although their impact on neurological recovery remains debated, appropriate early bone decompression followed by duroplasty in selected cases is increasingly recommended. Advances in cell therapies hold significant potential for enhancing both clinical and functional outcomes in SCI patients. Moreover, emerging neuromodulation techniques, such as transcutaneous and epidural stimulation, along with innovations in rehabilitation technologies-such as robotic systems and exoskeletons-are becoming indispensable tools for improving locomotion and overall mobility in individuals with SCI. This article provides an update on the advances in neuroprotection against secondary damage caused by tSCI, in cellular therapies, and in new rehabilitation therapies.</t>
  </si>
  <si>
    <t>[Montoto-Marques, Antonio] CHU A Coruna, Inst Invest Biomed Coruna INIBIC, Grp Invest Terapia Celular &amp; Med Regenerat, Unidad Lesionados Medulares, La Coruna 15006, Spain; [Benito-Penalva, Jesus; Andrew Wright, Mark; Kumru, Hatice; Hernandez-Navarro, Agustin; Martins Braga, Fernando; Vidal-Samso, Joan] Fdn Inst Guttmann, Inst Univ Neurorehabil Adscrit UAB, Neurophysiol Unit, Barcelona 08916, Spain; [Benito-Penalva, Jesus; Andrew Wright, Mark; Kumru, Hatice; Hernandez-Navarro, Agustin; Martins Braga, Fernando; Vidal-Samso, Joan] Univ Autonoma Barcelona, Inst Univ Neurorehabil adscrit, Bellaterra 08193, Barcelona, Spain; [Benito-Penalva, Jesus; Andrew Wright, Mark; Kumru, Hatice; Hernandez-Navarro, Agustin; Martins Braga, Fernando; Vidal-Samso, Joan] Fundacio Inst Invest Ciencies Salut Germans Trias, Badalona 08916, Spain; [Ferreiro-Velasco, Maria Elena; Salvador-de la Barrera, Sebastian; Gaitan-Perez, Nelson; Rodriguez-Sotillo, Antonio; Palencia-Vidal, Angela] CHU A Coruna, Inst Invest Biomed A Coruna INIBIC, Unidad Lesionados Medulares, La Coruna 15006, Spain</t>
  </si>
  <si>
    <t>Universidade da Coruna; Instituto de Investigacion Biomedica de A Coruna (INIBIC); Complejo Hospitalario Universitario A Coruna; Autonomous University of Barcelona; Fundacio Institut d'Investigacio en Ciencies de la Salut Germans Trias i Pujol (IGTP); Complejo Hospitalario Universitario A Coruna; Universidade da Coruna; Instituto de Investigacion Biomedica de A Coruna (INIBIC)</t>
  </si>
  <si>
    <t>Montoto-Marqués, A (corresponding author), CHU A Coruna, Inst Invest Biomed Coruna INIBIC, Grp Invest Terapia Celular &amp; Med Regenerat, Unidad Lesionados Medulares, La Coruna 15006, Spain.;Vidal-Samsó, J (corresponding author), Fdn Inst Guttmann, Inst Univ Neurorehabil Adscrit UAB, Neurophysiol Unit, Barcelona 08916, Spain.;Vidal-Samsó, J (corresponding author), Univ Autonoma Barcelona, Inst Univ Neurorehabil adscrit, Bellaterra 08193, Barcelona, Spain.;Vidal-Samsó, J (corresponding author), Fundacio Inst Invest Ciencies Salut Germans Trias, Badalona 08916, Spain.</t>
  </si>
  <si>
    <t>antonio.montoto.marques@sergas.es; jbenito@guttmann.com; ma.elena.ferreiro.velasco@sergas.es; mawright@guttmann.com; sebastian.salvador.de.la.barrera@sergas.es; hkumru@guttmann.com; nelson.gaitan.perez@sergas.es; ahernandez@guttmann.com; antonio.rodriguez.sotillo@sergas.es; fmartins@guttmann.com; angela.palencia.vidal@sergas.es; jvidal@guttmann.com</t>
  </si>
  <si>
    <t>Kumru, Hatice/ABB-1109-2021</t>
  </si>
  <si>
    <t>Palencia Vidal, Angela/0009-0004-5263-1717</t>
  </si>
  <si>
    <t>Fundacion Publica Galega de Investigacion Biomedica INIBIC</t>
  </si>
  <si>
    <t>This research has received funding from Fundacion Publica Galega de Investigacion Biomedica INIBIC for the article processing charges.</t>
  </si>
  <si>
    <t>MAR 24</t>
  </si>
  <si>
    <t>10.3390/jcm14072203</t>
  </si>
  <si>
    <t>1FE4B</t>
  </si>
  <si>
    <t>WOS:001463579300001</t>
  </si>
  <si>
    <t>Andrei, D; Mederle, AL; Ghenciu, LA; Borza, C; Faur, AC</t>
  </si>
  <si>
    <t>Andrei, Diana; Mederle, Alexandra Laura; Ghenciu, Laura Andreea; Borza, Claudia; Faur, Alexandra Corina</t>
  </si>
  <si>
    <t>Efficacy of Neurorehabilitation Approaches in Traumatic Brain Injury Patients: A Comprehensive Review</t>
  </si>
  <si>
    <t>LIFE-BASEL</t>
  </si>
  <si>
    <t>traumatic brain injury; TBI; neurorehabilitation; motor rehabilitation; cognitive rehabilitation; virtual reality; VR; telemonitoring; non-invasive brain stimulation; robotic device</t>
  </si>
  <si>
    <t>INFRARED LIGHT; STIMULATION; REHABILITATION; THERAPY; TELEREHABILITATION; INDIVIDUALS; OUTCOMES; BALANCE</t>
  </si>
  <si>
    <t>Traumatic brain injury (TBI) represents a significant public health issue, causing long-term disabilities and imposing considerable socioeconomic and healthcare challenges. While advancements in acute care have improved survival rates, the demand for effective neurorehabilitation is increasing. This narrative review explores the evidence on neurorehabilitation strategies for TBI, focusing on interventions targeting cognitive, motor, and psychological recovery. A total of 32 studies were included and categorized into six approaches: non-invasive brain stimulation, virtual reality (VR), computer-based training, telerehabilitation, robot-assisted therapy (RAT), and mixed approaches. Non-invasive brain stimulation techniques, such as transcranial direct current stimulation (tDCS) and repetitive transcranial magnetic stimulation (rTMS), showed variable effectiveness in improving cognitive outcomes. VR-based therapies enhanced attention and executive functions, while RAT, such as Lokomat and exoskeletons, improved gait symmetry and functional mobility. Computer-assisted programs demonstrated benefits in rehabilitating social cognition and executive functions. Telerehabilitation and telephone-based treatments provided short-term gains but lacked sustained effects. Overall, cognitive improvements were better described and represented, while several motor improvements lacked consistency. Despite the promising results, significant gaps remain, including heterogeneity in methodologies, small sample sizes, and limited long-term outcome data.</t>
  </si>
  <si>
    <t>[Andrei, Diana] Univ Med &amp; Farm Timisoara, Dept 16, Discipline Med Rehabil, Timisoara 300041, Romania; [Mederle, Alexandra Laura] Victor Babes Univ Med &amp; Pharm, Dept 14, Discipline Dermatol, Timisoara 300041, Romania; [Ghenciu, Laura Andreea; Borza, Claudia] Victor Babes Univ Med &amp; Pharm, Dept 3, Discipline Pathophysiol, Timisoara 300041, Romania; [Ghenciu, Laura Andreea; Borza, Claudia] Victor Babes Univ Med &amp; Pharm, Ctr Translat Res &amp; Syst Med, Timisoara 300041, Romania; [Borza, Claudia] Victor Babes Univ Med &amp; Pharm, Ctr Cognit Res Pathol Neuropsychiat NEUROPSY COG, Timisoara 300041, Romania; [Faur, Alexandra Corina] Victor Babes Univ Med &amp; Pharm Timisoara, Dept 1, Disciplone Anat &amp; Embriol, Timisoara 300041, Romania</t>
  </si>
  <si>
    <t>Victor Babes University of Medicine &amp; Pharmacy, Timisoara; Victor Babes University of Medicine &amp; Pharmacy, Timisoara; Victor Babes University of Medicine &amp; Pharmacy, Timisoara; Victor Babes University of Medicine &amp; Pharmacy, Timisoara; Victor Babes University of Medicine &amp; Pharmacy, Timisoara; Victor Babes University of Medicine &amp; Pharmacy, Timisoara</t>
  </si>
  <si>
    <t>Mederle, AL (corresponding author), Victor Babes Univ Med &amp; Pharm, Dept 14, Discipline Dermatol, Timisoara 300041, Romania.</t>
  </si>
  <si>
    <t>andrei.diana@umft.ro; alexandra.mederle@umft.ro; bolintineanu.laura@umft.ro; borza.claudia@umft.ro; faur.alexandra@umft.ro</t>
  </si>
  <si>
    <t>Diana, PopaAndrei/MFH-8220-2025; Ghenciu, Laura Andreea/IAM-9578-2023</t>
  </si>
  <si>
    <t>Victor Babes University of Medicine and Pharmacy Timisoara</t>
  </si>
  <si>
    <t>We would like to acknowledge Victor Babes University of Medicine and Pharmacy Timisoara for their support in covering the costs of publication for this research paper.</t>
  </si>
  <si>
    <t>2075-1729</t>
  </si>
  <si>
    <t>Life-Basel</t>
  </si>
  <si>
    <t>MAR 20</t>
  </si>
  <si>
    <t>10.3390/life15030503</t>
  </si>
  <si>
    <t>Biology; Microbiology</t>
  </si>
  <si>
    <t>Life Sciences &amp; Biomedicine - Other Topics; Microbiology</t>
  </si>
  <si>
    <t>0PU8D</t>
  </si>
  <si>
    <t>WOS:001453137000001</t>
  </si>
  <si>
    <t>Bettella, F; Tortora, S; Menegatti, E; Petrone, N; Del Felice, A</t>
  </si>
  <si>
    <t>Bettella, Francesco; Tortora, Stefano; Menegatti, Emanuele; Petrone, Nicola; Del Felice, Alessandra</t>
  </si>
  <si>
    <t>A scoping review on lower limb exoskeleton actuation's description and characteristics</t>
  </si>
  <si>
    <t>ROBOTICA</t>
  </si>
  <si>
    <t>actuation; exoskeleton; robotics; parameters; motor; reducer</t>
  </si>
  <si>
    <t>VARIABLE STIFFNESS ACTUATOR; DESIGN; WALKING; ASSISTANCE; ROBOT; VALIDATION; SUIT</t>
  </si>
  <si>
    <t>Robotic lower limb exoskeletons are wearable devices designed to augment human motor functions and enhance physical capabilities mostly adopted in healthcare and rehabilitation. The field is strongly dominated by rigid exoskeletons driven by electromagnetic actuators constituted by electrical motors, gearboxes, and cylinders. This review focuses on the design and specifications of the actuation systems of lower limb exoskeletons, with the ultimate goal of providing reporting guidelines to allow for full reproducibility. For each paper, we assessed the quality and completeness of technical characteristics with two ad hoc rating scales for motors and reducers; we extracted the main parameters of the actuation unit and a quantitative analysis of the mechanical characteristics of the individual components was carried out considering the exoskeleton application. Overall, we observed a lack of details in reporting on actuation systems equipped on exoskeletons. To overcome this limitation, herein we conclude by proposing a data form and a checklist to provide researchers with a common approach in reporting the mechanical characteristics of the actuation unit of their lower limb exoskeletons. We believe that the convergence of exoskeletons' literature toward a clearer standardization of design and reporting will boost the development of this technology and its diffusion outside the laboratory.</t>
  </si>
  <si>
    <t>[Bettella, Francesco; Tortora, Stefano; Menegatti, Emanuele; Del Felice, Alessandra] Univ Padua, Padova Neurosci Ctr, Padua, Veneto, Italy; [Tortora, Stefano; Menegatti, Emanuele] Univ Padua, Dept Informat Engn, Padua, Veneto, Italy; [Petrone, Nicola] Univ Padua, Dept Ind Engn, Padua, Veneto, Italy; [Del Felice, Alessandra] Univ Padua, Dept Neurosci, Sect Neurol, Padua, Veneto, Italy</t>
  </si>
  <si>
    <t>University of Padua; University of Padua; University of Padua; University of Padua</t>
  </si>
  <si>
    <t>Tortora, S (corresponding author), Univ Padua, Padova Neurosci Ctr, Padua, Veneto, Italy.;Tortora, S (corresponding author), Univ Padua, Dept Informat Engn, Padua, Veneto, Italy.</t>
  </si>
  <si>
    <t>stefano.tortora@unipd.it</t>
  </si>
  <si>
    <t>, Del Felice Alessandra/J-8917-2016</t>
  </si>
  <si>
    <t>Italian Minister for Education (MUR), under REACT-EU PON Ricerca e Innovazione; Next Generation EU- Age-It-Ageing well in an ageing society project [PE0000015]; National Recovery and Resilience Plan (NRRP)</t>
  </si>
  <si>
    <t>Italian Minister for Education (MUR), under REACT-EU PON Ricerca e Innovazione(Ministry of Education, Universities and Research (MIUR)); Next Generation EU- Age-It-Ageing well in an ageing society project; National Recovery and Resilience Plan (NRRP)</t>
  </si>
  <si>
    <t>The work was supported by Italian Minister for Education (MUR), under REACT-EU PON Ricerca e Innovazione. This paper was developed within the project funded by Next Generation EU- Age-It-Ageing well in an ageing society project (PE0000015), National Recovery and Resilience Plan (NRRP)-PE8-Mission 4, C2, Intervention 1.3. The views and opinions expressed are only those of the authors and do not necessarily reflect those of the European Union or the European Commission. Neither the European Union nor the European Commission can be held responsible for them.</t>
  </si>
  <si>
    <t>0263-5747</t>
  </si>
  <si>
    <t>1469-8668</t>
  </si>
  <si>
    <t>Robotica</t>
  </si>
  <si>
    <t>2025 MAR 18</t>
  </si>
  <si>
    <t>10.1017/S0263574725000220</t>
  </si>
  <si>
    <t>0GT4J</t>
  </si>
  <si>
    <t>WOS:001446989900001</t>
  </si>
  <si>
    <t>Vaida, C; Rus, G; Pisla, D</t>
  </si>
  <si>
    <t>Vaida, Calin; Rus, Gabriela; Pisla, Doina</t>
  </si>
  <si>
    <t>A Sensor-Based Classification for Neuromotor Robot-Assisted Rehabilitation</t>
  </si>
  <si>
    <t>neuromotor robot-assisted rehabilitation; sensors; patient-centered rehabilitation; personalized medicine</t>
  </si>
  <si>
    <t>Neurological diseases leading to motor deficits constitute significant challenges to healthcare systems. Despite technological advancements in data acquisition, sensor development, data processing, and virtual reality (VR), a suitable framework for patient-centered neuromotor robot-assisted rehabilitation using collective sensor information does not exist. An extensive literature review was achieved based on 124 scientific publications regarding different types of sensors and the usage of the bio-signals they measure for neuromotor robot-assisted rehabilitation. A comprehensive classification of sensors was proposed, distinguishing between specific and non-specific parameters. The classification criteria address essential factors such as the type of sensors, the data they measure, their usability, ergonomics, and their overall impact on personalized treatment. In addition, a framework designed to collect and utilize relevant data for the optimal rehabilitation process efficiently is proposed. The proposed classifications aim to identify a set of key variables that can be used as a building block for a dynamic framework tailored for personalized treatments, thereby enhancing the effectiveness of patient-centered procedures in rehabilitation.</t>
  </si>
  <si>
    <t>[Vaida, Calin; Rus, Gabriela; Pisla, Doina] Tech Univ Cluj Napoca, CESTER Res Ctr Ind Robots Simulat &amp; Testing, Cluj Napoca 400114, Romania; [Pisla, Doina] Tech Sci Acad Romania, B-dul Dacia 26, Bucharest 030167, Romania</t>
  </si>
  <si>
    <t>Pisla, D (corresponding author), Tech Univ Cluj Napoca, CESTER Res Ctr Ind Robots Simulat &amp; Testing, Cluj Napoca 400114, Romania.;Pisla, D (corresponding author), Tech Sci Acad Romania, B-dul Dacia 26, Bucharest 030167, Romania.</t>
  </si>
  <si>
    <t>calin.vaida@mep.utcluj.ro; doina.pisla@mep.utcluj.ro</t>
  </si>
  <si>
    <t>Pisla, Doina/G-7985-2011; Vaida, Calin/B-4548-2015</t>
  </si>
  <si>
    <t>Vaida, Calin/0000-0003-2822-9790; Pisla, Doina/0000-0001-7014-9431</t>
  </si>
  <si>
    <t>European Union-NextGenerationEU; Romanian Government, under the National Recovery and Resilience Plan for Romania [760071/23.05.2023, 121/15.11.2022]; Romanian Ministry of Research, Innovation, and Digitalization</t>
  </si>
  <si>
    <t>European Union-NextGenerationEU; Romanian Government, under the National Recovery and Resilience Plan for Romania; Romanian Ministry of Research, Innovation, and Digitalization(Ministry of Research, Innovation and Digitization - Romania)</t>
  </si>
  <si>
    <t>This work was supported by the project New frontiers in adaptive modular robotics for patient-centered medical rehabilitation-ASKLEPIOS, funded by the European Union-NextGenerationEU and the Romanian Government, under the National Recovery and Resilience Plan for Romania, contract no. 760071/23.05.2023, code CF 121/15.11.2022, with the Romanian Ministry of Research, Innovation, and Digitalization, within Component 9, investment I8.</t>
  </si>
  <si>
    <t>MAR 13</t>
  </si>
  <si>
    <t>10.3390/bioengineering12030287</t>
  </si>
  <si>
    <t>0PO0E</t>
  </si>
  <si>
    <t>WOS:001452959700001</t>
  </si>
  <si>
    <t>Shami, Z; Arslan, T; Lomax, P</t>
  </si>
  <si>
    <t>Shami, Zain; Arslan, Tughrul; Lomax, Peter</t>
  </si>
  <si>
    <t>Wearable Soft Robots: Case Study of Using Shape Memory Alloys in Rehabilitation</t>
  </si>
  <si>
    <t>shape memory alloys; soft; flexible; robotics; actuation; rehabilitation; wearable; artificial muscle</t>
  </si>
  <si>
    <t>Shape Memory Alloys (SMAs) have emerged as a promising actuation technology for wearable rehabilitation robots due to their unique properties, including the shape memory effect, high actuation stress, pseudoelasticity, and three-dimensional actuation. With a significantly higher Young's modulus than biological tissues, SMAs enable efficient and responsive interaction with the human body, making them well suited for musculoskeletal rehabilitation applications. This paper provides a comprehensive review of SMA-based wearable devices for both upper- and lower-limb rehabilitation. It explores their configurations, actuation mechanisms, associated challenges, and optimization strategies to enhance performance. By discussing recent advancements, this review aims to inform researchers and engineers on the development of sustainable, effective, and patient-centric wearable rehabilitation robots.</t>
  </si>
  <si>
    <t>[Shami, Zain; Arslan, Tughrul; Lomax, Peter] Univ Edinburgh, Inst Micro &amp; Nano Syst IMNS, Sch Engn, Edinburgh EH9 3FF, Scotland; [Arslan, Tughrul] Univ Edinburgh, Adv Care Res Ctr, Edinburgh EH16 4UX, Scotland</t>
  </si>
  <si>
    <t>University of Edinburgh; University of Edinburgh</t>
  </si>
  <si>
    <t>Shami, Z (corresponding author), Univ Edinburgh, Inst Micro &amp; Nano Syst IMNS, Sch Engn, Edinburgh EH9 3FF, Scotland.</t>
  </si>
  <si>
    <t>zshami@ed.ac.uk; tughrul.arslan@ed.ac.uk; peter.lomax@ed.ac.uk</t>
  </si>
  <si>
    <t>Higher Education Commission (HEC), Pakistan; Advanced Care Research Center (ACRC); U.K. Engineering and Physical Sciences Research Council (EPSRC) [EP/T021063/1]</t>
  </si>
  <si>
    <t>Higher Education Commission (HEC), Pakistan(Higher Education Commission of Pakistan); Advanced Care Research Center (ACRC); U.K. Engineering and Physical Sciences Research Council (EPSRC)(UK Research &amp; Innovation (UKRI)Engineering &amp; Physical Sciences Research Council (EPSRC))</t>
  </si>
  <si>
    <t>Zain Shami has funding from Higher Education Commission (HEC), Pakistan. Tughrul Arslan has funding from Advanced Care Research Center (ACRC), the U.K. Engineering and Physical Sciences Research Council (EPSRC), under grant EP/T021063/1.</t>
  </si>
  <si>
    <t>MAR 11</t>
  </si>
  <si>
    <t>10.3390/bioengineering12030276</t>
  </si>
  <si>
    <t>0PO8T</t>
  </si>
  <si>
    <t>WOS:001452982000001</t>
  </si>
  <si>
    <t>Meng, JJ; Wei, YX; Mai, XM; Li, SW; Wang, X; Luo, RJ; Ji, MH; Zhu, XY</t>
  </si>
  <si>
    <t>Meng, Jianjun; Wei, Yuxuan; Mai, Ximing; Li, Songwei; Wang, Xu; Luo, Ruijie; Ji, Minghao; Zhu, Xiangyang</t>
  </si>
  <si>
    <t>Paradigms and methods of noninvasive brain-computer interfaces in motor or communication assistance and rehabilitation: a systematic review</t>
  </si>
  <si>
    <t>Noninvasive; Brain-computer interfaces (BCI); Movement; Communication; Motor control; Assistance; Rehabilitation; Steady-state visual evoked potential (SSVEP); P300; Motor imagery (MI)</t>
  </si>
  <si>
    <t>ROBOTIC ARM CONTROL; TRANSHUMERAL PROSTHESIS; ASYNCHRONOUS BCI; NEURAL-NETWORK; SHARED CONTROL; DRY ELECTRODE; SSVEP; EEG; IMAGERY; PERFORMANCE</t>
  </si>
  <si>
    <t>Noninvasive brain-computer interfaces (BCIs) have rapidly developed over the past decade. This new technology utilizes magneto-electrical recording or hemodynamic imaging approaches to acquire neurophysiological signals noninvasively, such as electroencephalography (EEG) and functional near-infrared spectroscopy (fNIRS). These noninvasive signals have different temporal resolutions ranging from milliseconds to seconds and various spatial resolutions ranging from centimeters to millimeters. Thanks to these neuroimaging technologies, various BCI modalities like steady-state visual evoked potential (SSVEP), P300, and motor imagery (MI) could be proposed to rehabilitate or assist patients' lost function of mobility or communication. This review focuses on the recent development of paradigms, methods, and applications of noninvasive BCI for motor or communication assistance and rehabilitation. The selection of papers follows the Preferred Reporting Items for Systematic Reviews and Meta-Analyses (PRISMA), obtaining 223 research articles since 2016. We have observed that EEG-based BCI has gained more research focus due to its low cost and portability, as well as more translational studies in rehabilitation, robotic device control, etc. In the past decade, decoding approaches such as deep learning and source imaging have flourished in BCI. Still, there are many challenges to be solved to date, such as designing more convenient electrodes, improving the decoding accuracy and efficiency, designing more applicable systems for target patients, etc., before this new technology matures enough to benefit clinical users.Graphical abstractDue to their economy and portability, noninvasive Brain-computer interfaces (BCI) using electroencephalography (EEG) signals are a research hotspot. Different BCI experimental paradigms require different EEG signal processing approaches for efficient decoding. Noninvasive BCI-based applications must solve several challenges to meet the requirements of real-life applications such as rehabilitation</t>
  </si>
  <si>
    <t>[Meng, Jianjun; Wei, Yuxuan; Mai, Ximing; Li, Songwei; Wang, Xu; Luo, Ruijie; Ji, Minghao; Zhu, Xiangyang] Shanghai Jiao Tong Univ, Dept Mech Engn, Shanghai, Peoples R China; [Meng, Jianjun; Zhu, Xiangyang] Shanghai Jiao Tong Univ, State Key Lab Mech Syst &amp; Vibrat, Shanghai, Peoples R China</t>
  </si>
  <si>
    <t>Shanghai Jiao Tong University; Shanghai Jiao Tong University</t>
  </si>
  <si>
    <t>Meng, JJ; Zhu, XY (corresponding author), Shanghai Jiao Tong Univ, Dept Mech Engn, Shanghai, Peoples R China.;Meng, JJ; Zhu, XY (corresponding author), Shanghai Jiao Tong Univ, State Key Lab Mech Syst &amp; Vibrat, Shanghai, Peoples R China.</t>
  </si>
  <si>
    <t>mengjianjunxs008@sjtu.edu.cn; mexyzhu@sjtu.edu.cn</t>
  </si>
  <si>
    <t>Li, SongWei/LKN-5154-2024; Meng, Jianjun/ADC-6288-2022</t>
  </si>
  <si>
    <t>Meng, Jianjun/0000-0003-0813-652X</t>
  </si>
  <si>
    <t>National Natural Science Foundation of China [52175023]</t>
  </si>
  <si>
    <t>This work is supported by the National Natural Science Foundation of China (Grant No. 52175023).</t>
  </si>
  <si>
    <t>1741-0444</t>
  </si>
  <si>
    <t>2025 MAR 10</t>
  </si>
  <si>
    <t>10.1007/s11517-025-03340-y</t>
  </si>
  <si>
    <t>Z6F7N</t>
  </si>
  <si>
    <t>WOS:001439845700001</t>
  </si>
  <si>
    <t>Mehmood, F; Mumtaz, N; Mehmood, A</t>
  </si>
  <si>
    <t>Mehmood, Faisal; Mumtaz, Nazish; Mehmood, Asif</t>
  </si>
  <si>
    <t>Next-Generation Tools for Patient Care and Rehabilitation: A Review of Modern Innovations</t>
  </si>
  <si>
    <t>healthcare; rehabilitation; robotics; wearables; diagnostics</t>
  </si>
  <si>
    <t>ARTIFICIAL-INTELLIGENCE; HEALTH-CARE; TELEMEDICINE; REALITY</t>
  </si>
  <si>
    <t>This review article explores the transformative impact of next-generation technologies on patient care and rehabilitation. The advent of next-generation tools has revolutionized the fields of patient care and rehabilitation, providing modern solutions to improve scientific outcomes and affected person studies. Powered through improvements in artificial intelligence, robotics, and smart devices, these improvements are reshaping healthcare with the aid of improving therapeutic approaches and personalizing treatments. In the world of rehabilitation, robotic devices and assistive technology are supplying essential help for people with mobility impairments, promoting more independence and healing. Additionally, wearable technology and real-time tracking systems permit continuous fitness information monitoring, taking into consideration early analysis and extra effective, tailored interventions. In clinical settings, these modern-day innovations have automated diagnostics, enabled remote patient-monitoring, and brought virtual rehabilitation systems that expand the reach of clinical experts. This comprehensive review delves into the evolution, cutting-edge programs, and destiny potential of that equipment by examining their capability to deliver progressed care even while addressing growing needs for efficient healthcare solutions. Furthermore, this review explores the challenges related to their adoption, including ethical considerations, accessibility barriers, and the need for refined regulatory standards to ensure their safe and widespread use.</t>
  </si>
  <si>
    <t>[Mehmood, Faisal; Mumtaz, Nazish] Gachon Univ, Coll IT Convergence, Dept AI &amp; Software, Seongnam Si 13120, South Korea; [Mehmood, Asif] Gachon Univ, Coll IT Convergence, Dept Biomed Engn, Seongnam si 13120, South Korea</t>
  </si>
  <si>
    <t>Gachon University; Gachon University</t>
  </si>
  <si>
    <t>Mehmood, A (corresponding author), Gachon Univ, Coll IT Convergence, Dept Biomed Engn, Seongnam si 13120, South Korea.</t>
  </si>
  <si>
    <t>faisal89@gachon.ac.kr; nazish@gachon.ac.kr; asif@gachon.ac.kr</t>
  </si>
  <si>
    <t>Mehmood, Faisal/JMQ-2174-2023; Mumtaz, Nazish/MNO-3302-2025; Mehmood, Asif/G-5767-2019</t>
  </si>
  <si>
    <t>Mehmood, Faisal/0000-0002-8350-679X; Mehmood, Asif/0000-0002-3019-9191</t>
  </si>
  <si>
    <t>10.3390/act14030133</t>
  </si>
  <si>
    <t>0QG8O</t>
  </si>
  <si>
    <t>WOS:001453451300001</t>
  </si>
  <si>
    <t>Wang, H; Wu, XX; Li, YN; Yu, SH</t>
  </si>
  <si>
    <t>Wang, He; Wu, Xiaoxu; Li, Yaning; Yu, Shaohong</t>
  </si>
  <si>
    <t>Efficacy of Robot-assisted Training on Upper Limb Motor Function After Stroke: A Systematic Review and Network Meta-analysis</t>
  </si>
  <si>
    <t>Network meta-analysis; Rehabilitation; Robotics; Stroke; Systematic review; Upper limb</t>
  </si>
  <si>
    <t>REHABILITATION; GUIDELINES; THERAPY</t>
  </si>
  <si>
    <t>Objective To systematically evaluate the efficacy of robot-assisted training (RAT) in the treatment of upper limb motor function in patients with stroke, and to compare the efficacy of different types of RAT. Data Sources We searched 5 English database (PubMed, Web of Science, Embase, Cochrane Library, and Scopus) and 4 Chinese databases (China National Knowledge Infrastructure [CNKI], SinoMed [CBM], VIP, and Wanfang Data) from inception to May 2024. Study Selection Randomized controlled trials (RCTs) of RAT combined with conventional rehabilitation therapy (CRT) on patients with upper extremity motor dysfunction after stroke. Two independent researches screened 3461 records, resulting in 31 eligible RCTs. Data Extraction Two independent researches extracted data into a preformed table, including first author, year of publication, baseline characteristics of the literature (including sample size, age, disease duration, interventions, outcome indicators, and adverse reactions) and quality evaluation information. Data Synthesis Traditional meta-analysis and network meta-analysis were performed using RevMan 5.4 software and Stata 14.0 software, respectively. A total of 31 RCTs were included, involving 1537 patients. The results of traditional meta-analysis showed that in terms of upper limb function, RAT combined with RCT could effectively reduce the elbow flexion Modified Asworth Score (mean difference [MD] -0.63, 95% confidence interval (95% CI) -0.75 to -0.51), improve the Fugl-Meyer Assessment-upper extremity score (MD 5.92, 95% CI 3.52-8.32) and elbow extension angle (MD 16.14, 95% CI 14.56-17.73) in patients with stroke. In terms of activities of daily living, RAT combined with RCT could effectively improve the Modified Barthel Index score (MD 8.03, 95% CI 5.54-10.52) and Functional Independence Measure score (standardized MD 0.95, 95% CI 0.32-1.59) in patients with stroke. The results of network meta-analysis showed that the best probability of improving upper limb motor function was end-effector robot-assisted therapy (EE-RAT)&gt;exoskeleton robot-assisted therapy (Exo-RAT)&gt;CRT, and the best probability of improving daily living ability was Exo-RAT&gt;EE-RAT&gt;CRT. Conclusions The current evidence showed that RAT combined with routine rehabilitation therapy can effectively improve the upper limb motor function and activities of daily life of patients with stroke. Among them, the EE-RAT had the best effect in improving the upper limb motor function of patients with stroke, and the Exo-RAT had the best effect in improving the ability of daily life of patients with stroke.</t>
  </si>
  <si>
    <t>[Wang, He; Li, Yaning] Shandong Univ Tradit Chinese Med, Dept Rehabil Med, Jinan, Shandong, Peoples R China; [Wu, Xiaoxu] Qingdao Special Serv Sanat Peoples Liberat Army Na, Dept Comprehens Therapy, Qingdao, Shandong, Peoples R China; [Yu, Shaohong] Shandong Univ Tradit Chinese Med, Affiliated Hosp 2, Dept Rehabil Med, 1 Jingba Rd, Jinan 250001, Shandong, Peoples R China; [Yu, Shaohong] Shandong Univ Tradit Chinese Med, Dept Rehabil Med, Teaching &amp; Res Sect Internal Med, 4655 Daxue Rd, Jinan 250355, Shandong, Peoples R China</t>
  </si>
  <si>
    <t>Shandong University of Traditional Chinese Medicine; Shandong University of Traditional Chinese Medicine; Shandong University of Traditional Chinese Medicine</t>
  </si>
  <si>
    <t>Yu, SH (corresponding author), Shandong Univ Tradit Chinese Med, Affiliated Hosp 2, Dept Rehabil Med, 1 Jingba Rd, Jinan 250001, Shandong, Peoples R China.;Yu, SH (corresponding author), Shandong Univ Tradit Chinese Med, Dept Rehabil Med, Teaching &amp; Res Sect Internal Med, 4655 Daxue Rd, Jinan 250355, Shandong, Peoples R China.</t>
  </si>
  <si>
    <t>2964340295@qq.com</t>
  </si>
  <si>
    <t>10.1016/j.arrct.2024.100387</t>
  </si>
  <si>
    <t>0AS7R</t>
  </si>
  <si>
    <t>WOS:001442900100001</t>
  </si>
  <si>
    <t>Wang, JY; Zhang, HH; Ma, JN; Gu, L; Li, X</t>
  </si>
  <si>
    <t>Wang, Jiaoyun; Zhang, Huihuang; Ma, Jiani; Gu, Lei; Li, Xiang</t>
  </si>
  <si>
    <t>Efficacy of combined non-invasive brain stimulation and robot-assisted gait training on lower extremity recovery post-stroke: a systematic review and meta-analysis of randomized controlled trials</t>
  </si>
  <si>
    <t>non-invasive brain stimulation; robot; rehabilitation; stroke; gait</t>
  </si>
  <si>
    <t>CHRONIC STROKE PATIENTS; MOTOR RECOVERY; DOUBLE-BLIND; PILOT; REHABILITATION; TDCS; PLASTICITY</t>
  </si>
  <si>
    <t>Background: Lower extremity dysfunction post-stroke significantly impedes patient independence and quality of life. Non-invasive brain stimulation (NIBS) and robot-assisted gait training (RAGT) have individually shown promising outcomes in gait recovery. However, the synergistic efficacy of non-invasive brain stimulation combined with robot-assisted gait training remains uncertain. This systematic review and meta-analysis aim to evaluate the combined therapy's effectiveness on gait improvement and related motor functions in stroke patients. Methods: Following PRISMA guidelines, a comprehensive search was conducted to identify randomized controlled trials (RCTs) published up to September 2024. The primary outcome was assessed using the 6-min walk test (6MWT), with secondary outcomes examining assessed using the Functional Ambulation Category (FAC); the Motion Index (MI) to analyze exercise intensity; the Modified Ashworth Scale (MAS) to assess spasticity; and spatiotemporal gait parameters (SPG). Results: Six randomized controlled trials involving 191 stroke patients were included. Meta-analysis revealed that combined non-invasive brain stimulation and robot-assisted gait training significantly improved the 6-min walk test scores (mean difference [MD] = 21.81, 95% CI = 0.03-43.59), though effects on strength, activity participation, spasticity, and coordination were non-significant. Conclusion: Non-invasive brain stimulation combined with robot-assisted gait training shows potential in enhancing gait function but provides limited additional benefits for other motor functions. This combined approach may serve as an effective rehabilitation strategy for post-stroke gait recovery, warranting further large-scale studies to refine intervention protocols. Systematic review registration: https://www.crd.york.ac.uk/PROSPERO/view/CRD42021283890.</t>
  </si>
  <si>
    <t>[Wang, Jiaoyun; Zhang, Huihuang] Zhejiang Chinese Med Univ, Rehabil Assessment &amp; Treatment Ctr, Affiliated Hosp 3, Hangzhou, Zhejiang, Peoples R China; [Ma, Jiani] Shanghai Jiao Tong Univ, Shanghai Childrens Med Ctr, Sch Med, Shanghai, Peoples R China; [Gu, Lei] Ningbo Med Ctr LiHuili Hosp, Dept Rehabil, Ningbo, Peoples R China; [Li, Xiang] Xiamen Univ, Xiangan Hosp, Xiamen, Peoples R China</t>
  </si>
  <si>
    <t>Zhejiang Chinese Medical University; Shanghai Jiao Tong University; Xiamen University</t>
  </si>
  <si>
    <t>Li, X (corresponding author), Xiamen Univ, Xiangan Hosp, Xiamen, Peoples R China.</t>
  </si>
  <si>
    <t>lixiang639@foxmail.com</t>
  </si>
  <si>
    <t>General Scientific Research Project of Zhejiang Department of Education, PRC [Y202145964]</t>
  </si>
  <si>
    <t>General Scientific Research Project of Zhejiang Department of Education, PRC</t>
  </si>
  <si>
    <t>The author(s) declare that financial support was received for the research, authorship, and/or publication of this article. This study was supported by General Scientific Research Project of Zhejiang Department of Education, PRC (Y202145964).</t>
  </si>
  <si>
    <t>MAR 7</t>
  </si>
  <si>
    <t>10.3389/fneur.2025.1500020</t>
  </si>
  <si>
    <t>0KG5Y</t>
  </si>
  <si>
    <t>WOS:001449373900001</t>
  </si>
  <si>
    <t>Li, D; Li, RY; Song, YP; Qin, WT; Sun, GL; Liu, YX; Bao, YJ; Liu, LY; Jin, LJ</t>
  </si>
  <si>
    <t>Li, Dan; Li, Ruoyu; Song, Yunping; Qin, Wenting; Sun, Guangli; Liu, Yunxi; Bao, Yunjun; Liu, Lingyu; Jin, Lingjing</t>
  </si>
  <si>
    <t>Effects of brain-computer interface based training on post-stroke upper-limb rehabilitation: a meta-analysis</t>
  </si>
  <si>
    <t>Brain-computer interface; Stroke; Upper-limb; Motor impairment; Rehabilitation</t>
  </si>
  <si>
    <t>FUNCTIONAL ELECTRICAL-STIMULATION; MOTOR RECOVERY; STROKE REHABILITATION; RATING QUALITY; PERFORMANCE; FEEDBACK; COMMUNICATION; EXTREMITIES; PLASTICITY; THERAPY</t>
  </si>
  <si>
    <t>Background Previous research has used the brain-computer interface (BCI) to promote upper-limb motor rehabilitation. However, the results of these studies were variable, leaving efficacy unclear. Objectives This review aims to evaluate the effects of BCI-based training on post-stroke upper-limb rehabilitation and identify potential factors that may affect the outcome. Design A meta-analysis including all available randomized-controlled clinical trials (RCTs) that reported the efficacy of BCI-based training on upper-limb motor rehabilitation after stroke. Data sources and methodsWe searched PubMed, Cochrane Library, and Web of Science before September 15, 2024, for relevant studies. The primary efficacy outcome was the Fugl-Meyer Assessment-Upper extremity (FMA-UE). RevMan 5.4.1 with a random effect model was used for data synthesis and analysis. Mean difference (MD) and 95% confidence interval (95%CI) were calculated. Results Twenty-one RCTs (n = 886 patients) were reviewed in the meta-analysis. Compared with control, BCI-based training exerted significant effects on FMA-UE (MD = 3.69, 95%CI 2.41-4.96, P &lt; 0.00001, moderate-quality evidence), Wolf Motor Function Test (WMFT) (MD = 5.00, 95%CI 2.14-7.86, P = 0.0006, low-quality evidence), and Action Research Arm Test (ARAT) (MD = 2.04, 95%CI 0.25-3.82, P = 0.03, high-quality evidence). Additionally, BCI-based training was effective on FMA-UE for both subacute (MD = 4.24, 95%CI 1.81-6.67, P = 0.0006) and chronic patients (MD = 2.63, 95%CI 1.50-3.76, P &lt; 0.00001). BCI combined with functional electrical stimulation (FES) (MD = 4.37, 95%CI 3.09-5.65, P &lt; 0.00001), robots (MD = 2.87, 95%CI 0.69-5.04, P = 0.010), and visual feedback (MD = 4.46, 95%CI 0.24-8.68, P = 0.04) exhibited significant effects on FMA-UE. BCI combined with FES significantly improved FMA-UE for both subacute (MD = 5.31, 95%CI 2.58-8.03, P = 0.0001) and chronic patients (MD = 3.71, 95%CI 2.44-4.98, P &lt; 0.00001), and BCI combined with robots was effective for chronic patients (MD = 1.60, 95%CI 0.15-3.05, P = 0.03). Better results may be achieved with daily training sessions ranging from 20 to 90 min, conducted 2-5 sessions per week for 3-4 weeks. Conclusions BCI-based training may be a reliable rehabilitation program to improve upper-limb motor impairment and function. Trial registration PROSPERO registration ID: CRD42022383390.</t>
  </si>
  <si>
    <t>[Li, Dan; Li, Ruoyu; Song, Yunping; Qin, Wenting; Sun, Guangli; Liu, Yunxi; Bao, Yunjun; Liu, Lingyu; Jin, Lingjing] Tongji Univ, Shanghai YangZhi Rehabil Hosp, Shanghai Sunshine Rehabil Ctr, Sch Med,Dept Neurol &amp; Neurol Rehabil,Shanghai Disa, Shanghai 201619, Peoples R China; [Li, Dan; Sun, Guangli] Shanghai Univ Sport, Dept Sport Rehabil, Shanghai 200438, Peoples R China; [Li, Ruoyu; Song, Yunping; Jin, Lingjing] Tongji Univ, Tongji Hosp, Sch Med, Neurol Dept,Neurotoxin Res Ctr ,Key Lab Spine &amp; Sp, 389 Xincun Rd, Shanghai 200065, Peoples R China</t>
  </si>
  <si>
    <t>Tongji University; Shanghai University of Sport; Tongji University</t>
  </si>
  <si>
    <t>Liu, LY; Jin, LJ (corresponding author), Tongji Univ, Shanghai YangZhi Rehabil Hosp, Shanghai Sunshine Rehabil Ctr, Sch Med,Dept Neurol &amp; Neurol Rehabil,Shanghai Disa, Shanghai 201619, Peoples R China.;Jin, LJ (corresponding author), Tongji Univ, Tongji Hosp, Sch Med, Neurol Dept,Neurotoxin Res Ctr ,Key Lab Spine &amp; Sp, 389 Xincun Rd, Shanghai 200065, Peoples R China.</t>
  </si>
  <si>
    <t>Happyneurologist@163.com; lingjingjin@163.com</t>
  </si>
  <si>
    <t>Li, Ruoyu/KEJ-3768-2024; Song, Yunping/GNM-6096-2022</t>
  </si>
  <si>
    <t>National Key Research and Development Program [2023YFC3604500]; National Clinical Key Specialty Construction Project of China [Z155080000004]; Shanghai Rehabilitation Medical Research Center (Top Priority Research Center of Shanghai) [2023ZZ02027]; Shanghai Clinical Research Ward [SHDC2023CRW018B]; Shanghai Hospital Development Center Foundation-Shanghai Municipal Hospital Rehabilitation Medicine Specialty Alliance [SHDC22023304]; Science and Technology Innovation Program of Shanghai Municipal Science and Technology [22Y31900200, 22Y31900203]</t>
  </si>
  <si>
    <t>National Key Research and Development Program(National Key Research &amp; Development Program of China); National Clinical Key Specialty Construction Project of China; Shanghai Rehabilitation Medical Research Center (Top Priority Research Center of Shanghai); Shanghai Clinical Research Ward; Shanghai Hospital Development Center Foundation-Shanghai Municipal Hospital Rehabilitation Medicine Specialty Alliance; Science and Technology Innovation Program of Shanghai Municipal Science and Technology</t>
  </si>
  <si>
    <t>This research was supported by National Key Research and Development Program (2023YFC3604500), National Clinical Key Specialty Construction Project of China (Z155080000004), Shanghai Rehabilitation Medical Research Center (Top Priority Research Center of Shanghai) (2023ZZ02027), Shanghai Clinical Research Ward (SHDC2023CRW018B), Shanghai Hospital Development Center Foundation-Shanghai Municipal Hospital Rehabilitation Medicine Specialty Alliance (SHDC22023304), Science and Technology Innovation Program of Shanghai Municipal Science and Technology (22Y31900200 and 22Y31900203).</t>
  </si>
  <si>
    <t>MAR 3</t>
  </si>
  <si>
    <t>10.1186/s12984-025-01588-x</t>
  </si>
  <si>
    <t>Z2L4M</t>
  </si>
  <si>
    <t>WOS:001437285100003</t>
  </si>
  <si>
    <t>Song, LB; Ju, C; Cui, HR; Qu, YG; Xu, X; Chen, CB</t>
  </si>
  <si>
    <t>Song, Libing; Ju, Chen; Cui, Hengrui; Qu, Yonggang; Xu, Xin; Chen, Changbing</t>
  </si>
  <si>
    <t>Research on Control Strategy Technology of Upper Limb Exoskeleton Robots: Review</t>
  </si>
  <si>
    <t>exoskeleton robots; human-robot; adaptive control; intelligent control; deep learning</t>
  </si>
  <si>
    <t>SLIDING MODE CONTROL; FUZZY NEURAL-NETWORK; CONTROL SCHEME; REHABILITATION; DESIGN; ROBUST; COMPENSATION; GAIT</t>
  </si>
  <si>
    <t>Upper limb exoskeleton robots, as highly integrated wearable devices with the human body structure, hold significant potential in rehabilitation medicine, human performance enhancement, and occupational safety and health. The rapid advancement of high-precision, low-noise acquisition devices and intelligent motion intention recognition algorithms has led to a growing demand for more rational and reliable control strategies. Consequently, the control systems and strategies of exoskeleton robots are becoming increasingly prominent. This paper innovatively takes the hierarchical control system of exoskeleton robots as the entry point and comprehensively compares the current control strategies and intelligent technologies for upper limb exoskeleton robots, analyzing their applicable scenarios and limitations. The current research still faces challenges such as the insufficient real-time performance of algorithms and limited individualized adaptation capabilities. It is recognized that no single traditional control algorithm can fully meet the intelligent interaction requirements between exoskeletons and the human body. The integration of many advanced artificial intelligence algorithms into intelligent control systems remains restricted. Meanwhile, the quality of control is closely related to the perception and decision-making system. Therefore, the combination of multi-source information fusion and cooperative control methods is expected to enhance efficient human-robot interaction and personalized rehabilitation. Transfer learning and edge computing technologies are expected to enable lightweight deployment, ultimately improving the work efficiency and quality of life of end-users.</t>
  </si>
  <si>
    <t>[Song, Libing; Ju, Chen; Cui, Hengrui; Qu, Yonggang] Shendong Coal Grp Co Ltd, CHN Energy Grp, Yulin 017209, Peoples R China; [Song, Libing; Ju, Chen; Cui, Hengrui; Qu, Yonggang] Res Ctr Mine Ventilat Safety &amp; Occupat Hlth Protec, Yulin 017209, Peoples R China; [Xu, Xin; Chen, Changbing] China Coal Res Inst, Beijing 100013, Peoples R China; [Xu, Xin; Chen, Changbing] State Key Lab Intelligent Coal Min &amp; Strata Contro, Beijing 100013, Peoples R China</t>
  </si>
  <si>
    <t>Xu, X (corresponding author), China Coal Res Inst, Beijing 100013, Peoples R China.;Xu, X (corresponding author), State Key Lab Intelligent Coal Min &amp; Strata Contro, Beijing 100013, Peoples R China.</t>
  </si>
  <si>
    <t>xuxinucas@163.com</t>
  </si>
  <si>
    <t>10.3390/machines13030207</t>
  </si>
  <si>
    <t>0OZ1G</t>
  </si>
  <si>
    <t>WOS:001452572100001</t>
  </si>
  <si>
    <t>Benouhiba, A; Holzer, S; Konstantinidi, S; Civet, Y; Perriard, Y</t>
  </si>
  <si>
    <t>Benouhiba, Amine; Holzer, Simon; Konstantinidi, Stefania; Civet, Yoan; Perriard, Yves</t>
  </si>
  <si>
    <t>The elastic frontier: dielectric elastomer actuators in healthcare technology</t>
  </si>
  <si>
    <t>SMART MATERIALS AND STRUCTURES</t>
  </si>
  <si>
    <t>dielectric elastomer actuators; biomedical applications; soft robotics; electroactive polymers; healthcare</t>
  </si>
  <si>
    <t>FEEDFORWARD CONTROL; DRIVEN; CONVERTER; WORKERS; STRAIN; POWER</t>
  </si>
  <si>
    <t>This review presents a detailed survey of Dielectric Elastomer Actuators (DEAs) and their emerging role in medical applications. DEAs are distinguished by their flexibility, low weight, and excellent biocompatibility, making them well-suited for a wide range of medical devices. The review explores the fundamental electro-mechanical principles behind DEA operation, which enable their remarkable ability to replicate natural muscle movements. Key applications discussed include biomedical devices, rehabilitation systems, in-vivo implants, and wearable health monitors, where DEAs offer dynamic, lifelike movements and precise control. Their ability to provide highly flexible and responsive actuation is a major advantage in medical technologies. However, challenges persist, particularly in terms of material durability, the need for high-voltage activation, and the integration of DEAs with existing medical technologies. By synthesizing recent research and highlighting ongoing hurdles, this review emphasizes the transformative potential of DEAs, offering a comprehensive look at their current state and future impact on next-generation medical devices.</t>
  </si>
  <si>
    <t>[Benouhiba, Amine; Holzer, Simon; Konstantinidi, Stefania; Civet, Yoan; Perriard, Yves] Ecole Polytech Fed Lausanne EPFL, Integrated Actuators Lab, CH-2000 Neuchatel, Switzerland</t>
  </si>
  <si>
    <t>Swiss Federal Institutes of Technology Domain; Ecole Polytechnique Federale de Lausanne</t>
  </si>
  <si>
    <t>Benouhiba, A (corresponding author), Ecole Polytech Fed Lausanne EPFL, Integrated Actuators Lab, CH-2000 Neuchatel, Switzerland.</t>
  </si>
  <si>
    <t>amine.benouhiba@epfl.ch; simon.holzer@epfl.ch; stefania.konstantinidi@epfl.ch; yoan.civet@epfl.ch; yves.perriard@epfl.ch</t>
  </si>
  <si>
    <t>Holzer, Simon/KYO-9386-2024</t>
  </si>
  <si>
    <t>Holzer, Simon/0009-0009-2123-212X; Benouhiba, Amine/0000-0002-9244-1190</t>
  </si>
  <si>
    <t>Werner Siemens Stiftung</t>
  </si>
  <si>
    <t>This work has benefited from the financial support of the Werner Siemens Stiftung.</t>
  </si>
  <si>
    <t>0964-1726</t>
  </si>
  <si>
    <t>1361-665X</t>
  </si>
  <si>
    <t>SMART MATER STRUCT</t>
  </si>
  <si>
    <t>Smart Mater. Struct.</t>
  </si>
  <si>
    <t>MAR 1</t>
  </si>
  <si>
    <t>10.1088/1361-665X/adae6a</t>
  </si>
  <si>
    <t>Instruments &amp; Instrumentation; Materials Science, Multidisciplinary</t>
  </si>
  <si>
    <t>Instruments &amp; Instrumentation; Materials Science</t>
  </si>
  <si>
    <t>U6R3J</t>
  </si>
  <si>
    <t>WOS:001413036700001</t>
  </si>
  <si>
    <t>Martínez-Rodríguez, L; García-Bravo, C; García-Bravo, S; Salcedo-Pérez-Juana, M; Pérez-Corrales, J</t>
  </si>
  <si>
    <t>Martinez-Rodriguez, Lara; Garcia-Bravo, Cristina; Garcia-Bravo, Sara; Salcedo-Perez-Juana, Maria; Perez-Corrales, Jorge</t>
  </si>
  <si>
    <t>New Technological Approaches in Occupational Therapy for Pediatric Cerebral Palsy: A Systematic Review</t>
  </si>
  <si>
    <t>cerebral palsy; occupational therapy; technology; rehabilitation</t>
  </si>
  <si>
    <t>MOTOR FUNCTION; CHILDREN</t>
  </si>
  <si>
    <t>Background/Objectives: Pediatric cerebral palsy (CP) is a neurological disorder that affects motor skills, posture, and muscle coordination, impacting children's daily functioning and quality of life. Treatment approaches in occupational therapy aim to enhance motor function and functional independence through a variety of rehabilitative techniques. Recently, new technologies-such as virtual reality, robotics, and assistive devices-have emerged as promising tools in occupational therapy to complement traditional interventions and potentially enhance motor and sensory outcomes in children with CP. This systematic review aims to analyze the effectiveness of these innovative technological interventions in the rehabilitation of children with CP. Methods: A systematic review was conducted and different scales were used to assess the risk of bias and methodological quality. The degree of evidence and level of recommendation were established according to the Grading of Recommendations Assessment, Development, and Evaluation (GRADE). The review adhered to PRISMA guidelines, with a comprehensive literature search performed across multiple databases, including Cochrane, Web of Science, and PubMed. This systematic review has been registered in the PROSPERO database with the registration number CRD42025630162. Results: The reviewed studies indicate that technologies such as functional electrical stimulation, robotic assistance, and adaptive devices have shown improvements in mobility, motor control, posture, strength, and autonomy in children with CP. Similarly, virtual environments support the correction of facial dysfunctions and enhance social interaction through video games and social networks. While these tools hold significant potential for rehabilitation, further adjustments are needed to achieve more consistent results. Conclusions: Emerging technologies appear to be effective tools in occupational therapy for pediatric CP, with positive impacts on motor skills and functional capabilities. Nevertheless, further studies with larger sample sizes and rigorous methodological designs are necessary to confirm these findings and establish more robust evidence on their long-term efficacy.</t>
  </si>
  <si>
    <t>[Martinez-Rodriguez, Lara] Univ Rey Juan Carlos, Dept Phys Therapy Occupat Therapy Phys Med &amp; Rehab, Alcorcon 28922, Spain; [Garcia-Bravo, Cristina; Salcedo-Perez-Juana, Maria; Perez-Corrales, Jorge] Univ Rey Juan Carlos, Dept Phys Therapy Occupat Therapy Phys Med &amp; Rehab, Res Grp Humanities &amp; Qualitat Res Hlth Sci Hum &amp; Q, Alcorcon 28922, Spain; [Garcia-Bravo, Cristina; Garcia-Bravo, Sara] Physiotherapy Clin, Physiocare Madrid, Madrid 28026, Spain</t>
  </si>
  <si>
    <t>Universidad Rey Juan Carlos; Universidad Rey Juan Carlos</t>
  </si>
  <si>
    <t>García-Bravo, C (corresponding author), Univ Rey Juan Carlos, Dept Phys Therapy Occupat Therapy Phys Med &amp; Rehab, Res Grp Humanities &amp; Qualitat Res Hlth Sci Hum &amp; Q, Alcorcon 28922, Spain.;García-Bravo, C (corresponding author), Physiotherapy Clin, Physiocare Madrid, Madrid 28026, Spain.</t>
  </si>
  <si>
    <t>l.martinezro.2023@alumnos.urjc.es; cristina.bravo@urjc.es; sara.garcia.bravo@urjc.es; maria.perezjuana@urjc.es; jorge.perez@urjc.es</t>
  </si>
  <si>
    <t>García-Bravo, Cristina/X-6928-2019; Pérez-Corrales, Jorge/AAI-7364-2020; García-Bravo, Sara/AAR-9390-2021</t>
  </si>
  <si>
    <t>Perez-Corrales, Jorge/0000-0003-3586-2623</t>
  </si>
  <si>
    <t>10.3390/healthcare13050459</t>
  </si>
  <si>
    <t>Z9X4O</t>
  </si>
  <si>
    <t>WOS:001442346000001</t>
  </si>
  <si>
    <t>Süner-Pla-Cerdá, S; Sahin, B; Arikan, KB</t>
  </si>
  <si>
    <t>Suner-Pla-Cerda, Sedef; Sahin, Batuhan; Arikan, Kutluk bilge</t>
  </si>
  <si>
    <t>User Requirements and Involvement Methods in the Development of Hand Exoskeletons: A Review</t>
  </si>
  <si>
    <t>stroke; exoskeleton; assistive technologies; wearable robotics; user requirements</t>
  </si>
  <si>
    <t>SOFT EXOSKELETON; ARM EXOSKELETON; REHABILITATION; DESIGN; TECHNOLOGY; STROKE; GLOVE; ROBOT; OPTIMIZATION; HYBRID</t>
  </si>
  <si>
    <t>Current hand exoskeleton systems for assistive and rehabilitative purposes pose challenges due to weight, bulk, and size, thus negatively affecting user experience in terms of comfort and wearability. End-user involvement is vital during design and deployment to improve usefulness, usability, and user acceptance. A scoping review was conducted to identify the currently prioritized user requirements and user-centered practices in the development of hand exoskeleton systems. Content analysis was used to identify the user-centered design criteria and user research methodologies in 124 articles. More studies aim for rehabilitation than assistance and the dominant form of assessment is system validation. Wearability, comfort, portability, adaptability, affordability, and safety were the most frequently targeted user-centered criteria. Only 38 articles reported assessment with human subjects, the majority of them being functional tests, followed by usability tests. We offer user-centered design directions and methodological suggestions for user involvement to improve the usability and acceptability of the exoskeleton systems, and discuss the necessity for restructuring the engineering design strategy for better adaptability. This research has direct applications for the design and assessment of assistive and rehabilitative hand exoskeletons by offering user requirements. The findings and suggestions can have wider implications in the field of wearable robotics for developing, evaluating, and refining systems through a user-centered perspective.</t>
  </si>
  <si>
    <t>[Suner-Pla-Cerda, Sedef; Sahin, Batuhan] TED Univ, Dept Ind Design, Ankara, Turkiye; [Arikan, Kutluk bilge] Ankara Univ, Neurotechnol Ctr Excellence NOROM, Dept Biomed Engn, Ankara, Turkiye</t>
  </si>
  <si>
    <t>Ted University; Ankara University</t>
  </si>
  <si>
    <t>Süner-Pla-Cerdá, S (corresponding author), TED Univ, Dept Ind Design, Ankara, Turkiye.</t>
  </si>
  <si>
    <t>sedef.suner@tedu.edu.tr</t>
  </si>
  <si>
    <t>Arikan, Kutluk/LKN-2618-2024; Süner-Pla-Cerda, Sedef/C-6989-2019</t>
  </si>
  <si>
    <t>SUNER PLA CERDA, SEDEF/0000-0002-3285-6271</t>
  </si>
  <si>
    <t>10.1145/3698240</t>
  </si>
  <si>
    <t>W0V2U</t>
  </si>
  <si>
    <t>WOS:001415851100004</t>
  </si>
  <si>
    <t>Mashud, G; Hasan, SK; Alam, N</t>
  </si>
  <si>
    <t>Mashud, Gazi; Hasan, S. K.; Alam, Nafizul</t>
  </si>
  <si>
    <t>Advances in Control Techniques for Rehabilitation Exoskeleton Robots: A Systematic Review</t>
  </si>
  <si>
    <t>PD; PID; adaptive control; robust control; sliding mode control; chattering suppressor; intelligent control</t>
  </si>
  <si>
    <t>LOWER-LIMB EXOSKELETON; FUNCTIONAL ELECTRICAL-STIMULATION; NEURAL-NETWORK; DESIGN; MODEL; TRACKING; JOINT; GENERATION; ACTUATOR</t>
  </si>
  <si>
    <t>This systematic review explores recent advancements in control methods for rehabilitation exoskeleton robots, which assist individuals with motor impairments through guided movement. As robotics technology progresses, precise, adaptable, and safe control techniques have become accessible for effective human-robot interaction in rehabilitation settings. Key control methods, including computed torque and adaptive control, excel in managing complex movements and adapting to diverse patient needs. Robust and sliding mode controls address stability under unpredictable conditions. Traditional approaches, like PD and PID control schemes, maintain stability, performance, and simplicity. In contrast, admittance control enhances user-robot interaction by balancing force and motion. Advanced methods, such as model predictive control (MPC) and Linear Quadratic Regulator (LQR), provide optimization-based solutions. Intelligent controls using neural networks, Deep Learning, and reinforcement learning offer adaptive, patient-specific solutions by learning over time. This review provides an in-depth analysis of these control strategies by examining advancements in recent scientific literature, highlighting their potential to improve rehabilitation exoskeletons, and offering future recommendations for greater efficiency, responsiveness, and patient-centered functionality.</t>
  </si>
  <si>
    <t>[Mashud, Gazi; Hasan, S. K.; Alam, Nafizul] Miami Univ, Dept Mech &amp; Mfg Engn, Oxford, OH 45056 USA</t>
  </si>
  <si>
    <t>Hasan, SK (corresponding author), Miami Univ, Dept Mech &amp; Mfg Engn, Oxford, OH 45056 USA.</t>
  </si>
  <si>
    <t>hasansk@miamioh.edu; alamn@miamioh.edu</t>
  </si>
  <si>
    <t>FEB 21</t>
  </si>
  <si>
    <t>10.3390/act14030108</t>
  </si>
  <si>
    <t>0QL8A</t>
  </si>
  <si>
    <t>WOS:001453580600001</t>
  </si>
  <si>
    <t>Abery, P; Canetti, EFD; Hing, W</t>
  </si>
  <si>
    <t>Abery, Philip; Canetti, Elisa F. D.; Hing, Wayne</t>
  </si>
  <si>
    <t>The role of lower limb exoskeletons in rehabilitation: a scoping review</t>
  </si>
  <si>
    <t>PHYSICAL THERAPY REVIEWS</t>
  </si>
  <si>
    <t>Lower extremity; robotic-assisted; electromechanical devices; recovery</t>
  </si>
  <si>
    <t>HYBRID ASSISTIVE LIMB; SPINAL-CORD-INJURY; VOLUNTARY-DRIVEN EXOSKELETON; QUALITY-OF-LIFE; SUBACUTE STROKE PATIENTS; MULTIPLE-SCLEROSIS; ROBOTIC EXOSKELETON; WALKING ABILITY; POWERED EXOSKELETON; GAIT FUNCTION</t>
  </si>
  <si>
    <t>ObjectivesThis review provides an overview of exoskeleton use in rehabilitation. The review maps the health conditions, exoskeleton design, activities, and outcome measures used.MethodsA search of PubMed, Embase, CINAHL, Web of Science and Scopus databases was completed on 12th September 2024. Data items charted from studies included health conditions, exoskeleton characteristics, activities completed with the exoskeletons and outcome measures.ResultsA total of 7028 records were identified, with 139 studies included. The predominant health conditions using exoskeletons in rehabilitation were stroke and spinal cord injury. The most common activities undertaken were indoor overground walking, balance, and transfers. However, only 4% of studies utilised exoskeletons at home or in community settings. A range of outcome measures were used, with the 10-metre walk test being the most commonly used for the assessment of walking velocity, the 6-minute walk test for walking distance or capacity and the Berg balance scale for balance.ConclusionsExoskeletons were used for rehabilitation across various conditions, notably neurological and, less extensively, musculoskeletal conditions. Functional activities such as walking were most common, with most studies assessing on indoor walking. Exoskeletons still need to show their ability to assist individuals walking at home and/or in community environments and handling complex walking tasks. Therefore, it is important that future research focuses on complex walking tasks within the home and community environments, which will inform future exoskeleton utilisation, design and development.</t>
  </si>
  <si>
    <t>[Abery, Philip; Canetti, Elisa F. D.; Hing, Wayne] Bond Univ, Fac Hlth Sci &amp; Med, Dept Physiotherapy, Gold Coast, Australia</t>
  </si>
  <si>
    <t>Bond University</t>
  </si>
  <si>
    <t>Abery, P (corresponding author), Bond Univ, Fac Hlth Sci &amp; Med, Dept Physiotherapy, Gold Coast, Australia.</t>
  </si>
  <si>
    <t>pabery@bond.edu.au</t>
  </si>
  <si>
    <t>1083-3196</t>
  </si>
  <si>
    <t>1743-288X</t>
  </si>
  <si>
    <t>PHYS THER REV</t>
  </si>
  <si>
    <t>Phys. Ther. Rev.</t>
  </si>
  <si>
    <t>10.1080/10833196.2025.2465937</t>
  </si>
  <si>
    <t>1MD0W</t>
  </si>
  <si>
    <t>WOS:001423211900001</t>
  </si>
  <si>
    <t>Nöth, U; Braun, F; Clarius, M; Rackwitz, L</t>
  </si>
  <si>
    <t>Noeth, Ulrich; Braun, Frederic; Clarius, Michael; Rackwitz, Lars</t>
  </si>
  <si>
    <t>Fast-track arthroplasty and patient apps</t>
  </si>
  <si>
    <t>ORTHOPADIE</t>
  </si>
  <si>
    <t>Arthroplasty; Healthcare costs; Patient care management; Smartphone apps; Arthroplasty; Healthcare costs; Patient care management; Smartphone apps; Compliance</t>
  </si>
  <si>
    <t>TOTAL KNEE; HIP</t>
  </si>
  <si>
    <t>Background Fast-track arthroplasty is on the rise in Germany. In comparison to established fast-track countries, such as Denmark and the USA, Germany is only at the beginning of its implementation. The biggest challenges include increasing staff shortages and cost pressure as, well as the slow progress of digitalization. Fields of application The use of app-based patient management systems offers the opportunity to prepare the patient extensively for the surgical procedure, to rehabilitate them according to a standardized schedule, to avoid unnecessary doctor's visits, to save staff and, thus, reduce healthcare costs. Patient apps will also play an important role in collecting patient data and abnormalities in rehabilitation. By correlating intraoperative data from robotics, predictive statements about the surgical strategy, such as implant positioning or axis alignment may be possible. In this review, the essential contents of an app-based patient management system for fast-track arthroplasty are listed and discussed, and the possibilities for using patient data are presented.</t>
  </si>
  <si>
    <t>[Noeth, Ulrich; Braun, Frederic; Rackwitz, Lars] Evangel Waldkrankenhaus Spandau, Klin Orthopadie &amp; Unfallchirurg, Stadtrandstr 555, D-13589 Berlin, Germany; [Clarius, Michael] Vulpius Klin, Bad Rappenau, Germany</t>
  </si>
  <si>
    <t>Nöth, U (corresponding author), Evangel Waldkrankenhaus Spandau, Klin Orthopadie &amp; Unfallchirurg, Stadtrandstr 555, D-13589 Berlin, Germany.</t>
  </si>
  <si>
    <t>ulrich.noeth@jsd.de</t>
  </si>
  <si>
    <t>2731-7145</t>
  </si>
  <si>
    <t>2731-7153</t>
  </si>
  <si>
    <t>Orthopadie</t>
  </si>
  <si>
    <t>10.1007/s00132-025-04617-8</t>
  </si>
  <si>
    <t>Z7Q6M</t>
  </si>
  <si>
    <t>WOS:001417643500001</t>
  </si>
  <si>
    <t>Disselhorst-Klug, C</t>
  </si>
  <si>
    <t>Disselhorst-Klug, Catherine</t>
  </si>
  <si>
    <t>What are my muscles up to? The contribution of surface electromyography to clinical decision-making</t>
  </si>
  <si>
    <t>JOURNAL OF ELECTROMYOGRAPHY AND KINESIOLOGY</t>
  </si>
  <si>
    <t>Surface electromyography; Neuromechanics; Motor development; Neuromuscular disorders; Motor unit; Muscular coordination; Technically assisted rehabilitation</t>
  </si>
  <si>
    <t>NONINVASIVE MULTIELECTRODE EMG; MOTOR; PERCEPTION; FORCE; ARRAY</t>
  </si>
  <si>
    <t>Muscles move the body. The varying levels of movement precision needed daily results from a complex interplay within the central nervous system, muscles and sensory feedback, referred to as neuromechanics. This neuromechanical interplay is often impaired in pathology. Although, diagnosis and therapy would benefit from information about the patient's specific neuromechanical control, no procedures have yet been established in clinical practice that allow this information to be fully recorded. Surface electromyography (sEMG) links neuronal input and muscle function and helps to understand how the CNS orchestrates the multitude of possibilities the neuromusculoskeletal system has at its disposal to solve a movement task. This 2024 BasmajianLecture-Paper will highlight sEMG applications in physiological and pathological conditions, to illustrate the potential contribution of sEMG to clinical decision-making. Focussing first on infants' motor development, it will contribute to the discussion on how neuromechanics and motor skills develop. Continuing with considerations on motor unit activation in health and disease and describing the difference between physiological and pathological muscle coordination in dynamic conditions, it aims to address the possibilities but also the limitations of sEMG in clinical applications. Finally, the influence of robotic support on neuromechanical control and thus on relearning of motor skills are discussed.</t>
  </si>
  <si>
    <t>[Disselhorst-Klug, Catherine] Rhein Westfal TH Aachen, Inst Appl Med Engn, Dept Rehabil &amp; Prevent Engn, Pauwelsstr 20, D-52074 Aachen, Germany</t>
  </si>
  <si>
    <t>RWTH Aachen University</t>
  </si>
  <si>
    <t>Disselhorst-Klug, C (corresponding author), Rhein Westfal TH Aachen, Inst Appl Med Engn, Dept Rehabil &amp; Prevent Engn, Pauwelsstr 20, D-52074 Aachen, Germany.</t>
  </si>
  <si>
    <t>disselhorst-klug@ame.rwth-aachen.de</t>
  </si>
  <si>
    <t>1050-6411</t>
  </si>
  <si>
    <t>1873-5711</t>
  </si>
  <si>
    <t>J ELECTROMYOGR KINES</t>
  </si>
  <si>
    <t>J. Electromyogr. Kinesiol.</t>
  </si>
  <si>
    <t>10.1016/j.jelekin.2025.102988</t>
  </si>
  <si>
    <t>Neurosciences; Physiology; Rehabilitation; Sport Sciences</t>
  </si>
  <si>
    <t>Neurosciences &amp; Neurology; Physiology; Rehabilitation; Sport Sciences</t>
  </si>
  <si>
    <t>X4I9J</t>
  </si>
  <si>
    <t>WOS:001425017600001</t>
  </si>
  <si>
    <t>Ali, B; Zhang, K; Shahzad, F</t>
  </si>
  <si>
    <t>Ali, Barkat; Zhang, Kevin; Shahzad, Farooq</t>
  </si>
  <si>
    <t>New Innovations in Head and Neck Microsurgical Reconstruction</t>
  </si>
  <si>
    <t>CURRENT SURGERY REPORTS</t>
  </si>
  <si>
    <t>Computer-aided design; Computer-aided manufacturing; Exoscope; Supermicrosurgery; Thermal imaging; Augmented reality</t>
  </si>
  <si>
    <t>COMPUTER-ASSISTED DESIGN; MANDIBULAR RECONSTRUCTION; INFRARED THERMOGRAPHY; OUTCOMES; FLAPS; NAVIGATION</t>
  </si>
  <si>
    <t>Purpose of ReviewThis is a brief review of the new and emerging techniques in microsurgical head and neck reconstruction.Recent FindingsRecent applications of Computer-aided design (CAD) and computer-aided manufacturing (CAM) include patient specific 3-dimensional plates which allows for unlimited plate design for complex reconstructions, and immediate dental implant placement which increase the number of patients who ultimately get dental rehabilitation. Robotic and minimally invasive techniques are being used for tumor resection and reconstruction, decreasing morbidity. Navigation allows more accurate bony reconstruction in challenging locations such as the midface. The exoscope offers a different interface than traditional microscope with the goal to improved optics and ergonomics. Supermicrosurgery, which refers to anastomosis of vessels and nerve at diameter &lt;= 0.8 mm, is increasingly being employed in head and neck reconstruction with comparable outcomes as conventional free flaps. Color Doppler ultrasound (CDU) helps with precise perforator mapping and flap selection. Thermal imaging has been reported for flap monitoring with studies showing that it can detect flap compromise earlier than clinical examination. Augmented reality is a newer technology that can overlay imaging data onto a patient to aid with perforator mapping.SummaryHead and neck reconstruction is complex as there are many functional and aesthetic considerations. Newer techniques and innovations aim to improve outcomes and decrease donor site morbidity.</t>
  </si>
  <si>
    <t>[Ali, Barkat] Johns Hopkins Univ, Div Plast Surg, Med Ctr, Baltimore, MD USA; [Zhang, Kevin; Shahzad, Farooq] Mem Sloan Kettering Canc Ctr, Plast &amp; Reconstruct Surg Serv, 321 E 61st St,Room 606, New York, NY 10065 USA</t>
  </si>
  <si>
    <t>University System of Maryland; University of Maryland Baltimore; Johns Hopkins University; Memorial Sloan Kettering Cancer Center</t>
  </si>
  <si>
    <t>Shahzad, F (corresponding author), Mem Sloan Kettering Canc Ctr, Plast &amp; Reconstruct Surg Serv, 321 E 61st St,Room 606, New York, NY 10065 USA.</t>
  </si>
  <si>
    <t>shahzadf@mskcc.org</t>
  </si>
  <si>
    <t>Shahzad, Farooq/ABA-1931-2021</t>
  </si>
  <si>
    <t>National Institute of Health/National Cancer Institute Cancer Center [P30 CA008748]</t>
  </si>
  <si>
    <t>National Institute of Health/National Cancer Institute Cancer Center</t>
  </si>
  <si>
    <t>This research was funded in part by the National Institute of Health/National Cancer Institute Cancer Center Support Grant P30 CA008748.</t>
  </si>
  <si>
    <t>2167-4817</t>
  </si>
  <si>
    <t>CURR SURG REP</t>
  </si>
  <si>
    <t>Curr. Surg. Rep.</t>
  </si>
  <si>
    <t>FEB 7</t>
  </si>
  <si>
    <t>10.1007/s40137-025-00444-0</t>
  </si>
  <si>
    <t>W0J6P</t>
  </si>
  <si>
    <t>WOS:001415549000001</t>
  </si>
  <si>
    <t>Ödemis, E; Baysal, CV; Inci, M</t>
  </si>
  <si>
    <t>Odemis, Erkan; Baysal, Cabbar Veysel; Inci, Mustafa</t>
  </si>
  <si>
    <t>Patient performance assessment methods for upper extremity rehabilitation in assist-as-needed therapy strategies: a comprehensive review</t>
  </si>
  <si>
    <t>Robotic rehabilitation; Upper extremely rehabilitation; Assist-as-needed; Performance assessment; A comprehensive review</t>
  </si>
  <si>
    <t>UPPER-LIMB REHABILITATION; ROBOT; EXOSKELETON; STROKE; CONTROLLER; SYSTEMS</t>
  </si>
  <si>
    <t>This paper aims to comprehensively review patient performance assessment (PPA) methods used in assist-as-needed (AAN) robotic therapy for upper extremity rehabilitation. AAN strategies adjust robotic assistance according to the patient's performance, aiming to enhance engagement and recovery in individuals with motor impairments. This review categorizes the implemented PPA methods in the literature for the first time in such a wide scope and suggests future research directions to improve adaptive and personalized therapy. At first, the studies are examined to evaluate PPA methods, which are subsequently categorized according to their underlying implementation strategies: position error-based methods, force-based methods, electromyography (EMG), electroencephalography (EEG)-based methods, performance indicator-based methods, and physiological signal-based methods. The advantages and limitations of each method are discussed. In addition to the classification of PPA methods, the current study also examines clinically tested AAN strategies applied in upper extremity rehabilitation and their clinical outcomes. Clinical findings from these trials demonstrate the potential of AAN strategies in improving motor function and patient engagement. Nevertheless, more extensive clinical testing is necessary to establish the long-term benefits of these strategies over conventional therapies. Ultimately, this review aims to guide future developments in the field of robotic rehabilitation, providing researchers with insights into optimizing AAN strategies for enhanced patient outcomes.</t>
  </si>
  <si>
    <t>[Odemis, Erkan; Baysal, Cabbar Veysel] Cukurova Univ, Dept Biomed Engn, TR-01330 Adana, Turkiye; [Inci, Mustafa] Iskenderun Tech Univ, Dept Mechatron Engn, TR-31200 Hatay, Turkiye</t>
  </si>
  <si>
    <t>Cukurova University; Iskenderun Technical University</t>
  </si>
  <si>
    <t>Ödemis, E (corresponding author), Cukurova Univ, Dept Biomed Engn, TR-01330 Adana, Turkiye.</t>
  </si>
  <si>
    <t>eodemis@cu.edu.tr; cvbaysal@cu.edu.tr; mustafa.inci@iste.edu.tr</t>
  </si>
  <si>
    <t>İnci, Mustafa/HIZ-5905-2022; Baysal, Cabbar/J-1856-2018</t>
  </si>
  <si>
    <t>Cukurova University</t>
  </si>
  <si>
    <t>Cukurova University(Cukurova University)</t>
  </si>
  <si>
    <t>This study was conducted without specific grant funding from public, commercial, or not-for-profit agencies.</t>
  </si>
  <si>
    <t>2025 FEB 7</t>
  </si>
  <si>
    <t>10.1007/s11517-025-03315-z</t>
  </si>
  <si>
    <t>W0M7Z</t>
  </si>
  <si>
    <t>WOS:001415630600001</t>
  </si>
  <si>
    <t>Karthik, V; Das, S; Nayak, S; Pandey, A</t>
  </si>
  <si>
    <t>Karthik, Venkatakrishnan; Das, Subhashree; Nayak, Smaranika; Pandey, Anish</t>
  </si>
  <si>
    <t>Lower Limb Exoskeletons, Application-Centric Classifications: A Review</t>
  </si>
  <si>
    <t>JOURNAL OF FIELD ROBOTICS</t>
  </si>
  <si>
    <t>assistive devices; classification; lower limb exoskeletons; man-machine interaction; standardization</t>
  </si>
  <si>
    <t>GAIT REHABILITATION; DESIGN; ROBOT; STROKE; SYSTEM; GENERATION; SAFETY; STANCE</t>
  </si>
  <si>
    <t>Exoskeletons are a relatively new field of technology used as assistive devices. Since the first development of the exoskeleton in the late 19th century, this field has seen significant advancements, as it has potential in numerous applications. Although this field is rapidly growing, it remains unable to be fully implemented in various applications. It is due to the limitations in the existing technology used to develop the exoskeleton, the lack of standardization, and the rapid growth in the exoskeleton field. To address the existing challenge, this review paper attempts to develop a classification model of lower limb exoskeletons (LLEs), which researchers and engineers can use to understand the relation between various application scenarios and different design aspects while developing an LLE. The classification model has been divided into two levels: application and design aspects of an exoskeleton. In this paper, 53 LLEs have been analyzed and classified into a flexible model, allowing future exoskeletons also to be added. It has also been discussed why each exoskeleton is classified into various categories.</t>
  </si>
  <si>
    <t>[Karthik, Venkatakrishnan; Nayak, Smaranika; Pandey, Anish] Deemed Univ, Kalinga Inst Ind Technol KIIT, Bhubaneswar, Odisha, India; [Das, Subhashree] Manipal Acad Higher Educ, Dept Atom &amp; Mol Phys, Manipal, India</t>
  </si>
  <si>
    <t>Kalinga Institute of Industrial Technology (KIIT); Manipal Academy of Higher Education (MAHE)</t>
  </si>
  <si>
    <t>Pandey, A (corresponding author), Deemed Univ, Kalinga Inst Ind Technol KIIT, Bhubaneswar, Odisha, India.</t>
  </si>
  <si>
    <t>anish06353@gmail.com</t>
  </si>
  <si>
    <t>PANDEY, Dr. ANISH/L-2057-2016</t>
  </si>
  <si>
    <t>PANDEY, Dr. ANISH/0000-0001-9089-3727</t>
  </si>
  <si>
    <t>1556-4959</t>
  </si>
  <si>
    <t>1556-4967</t>
  </si>
  <si>
    <t>J FIELD ROBOT</t>
  </si>
  <si>
    <t>J. Field Robot.</t>
  </si>
  <si>
    <t>2025 FEB 5</t>
  </si>
  <si>
    <t>10.1002/rob.22529</t>
  </si>
  <si>
    <t>1CY8V</t>
  </si>
  <si>
    <t>WOS:001462075300001</t>
  </si>
  <si>
    <t>Sandor, K; Fazekas, G</t>
  </si>
  <si>
    <t>Sandor, Krisztina; Fazekas, Gabor</t>
  </si>
  <si>
    <t>Advanced technologies and innovative approaches in neuromusculoskeletal rehabilitation</t>
  </si>
  <si>
    <t>ORVOSI HETILAP</t>
  </si>
  <si>
    <t>Hungarian</t>
  </si>
  <si>
    <t>rehabilitation; advanced technology; robotic technology; computerized interactive therapy; motion analysis; rehabilitation; advanced technology; robotic technology; computerized interactive therapy; motion analysis</t>
  </si>
  <si>
    <t>MEDICINE; CARE</t>
  </si>
  <si>
    <t>In recent years, advanced technology-based devices have become increasingly important in rehabilitation. Modern devices such as virtual and augmented reality, exoskeletons, end-effectors and weight-assisted gait training can be of great benefit in restoring mobility and cognitive function when used as a complement to traditional therapies. The development and implementation of protocols and guidelines are needed to ensure that modern rehabilitation technologies are regulated and based on scientific evidence. Advanced technology-based devices require specially trained therapists who are skilled in their use. Therapists play a crucial role not only in selecting the appropriate device, developing the therapeutic plan and delivering treatments based on the principles of traditional physiotherapy but also in motivating patients, which is important during longer treatment processes. Further research is needed to better understand the effectiveness of the devices and how they are used and to develop new guidelines to support their practical application. Improving the cost-effectiveness of the devices is also important, as this can ensure wider availability of the technology, including their home use. Overall, the widespread availability and adoption of modern technology-based solutions by health professionals could offer new long-term rehabilitation perspectives.</t>
  </si>
  <si>
    <t>[Sandor, Krisztina; Fazekas, Gabor] Semmelweis Egyetem, Altalanos Orvostudomanyi Kar, Rehabil Klinika, Budapest, Hungary; [Sandor, Krisztina] Semmelweis Egyetem, Doktori Iskola, Operativ Orvostudomanyi Tagozat, Budapest, Hungary; [Fazekas, Gabor] Szegedi Tudomanyegyetem, Szent Gyorgyi Albert Orvostudomanyi Kar, Rehabil Med Tanszek, Szeged, Hungary</t>
  </si>
  <si>
    <t>Semmelweis University; Semmelweis University; Szeged University</t>
  </si>
  <si>
    <t>Sandor, K (corresponding author), Semmelweis Egyetem, Altalanos Orvostudomanyi Kar, Rehabil Klinika, Budapest, Hungary.;Sandor, K (corresponding author), Semmelweis Egyetem, Doktori Iskola, Operativ Orvostudomanyi Tagozat, Budapest, Hungary.</t>
  </si>
  <si>
    <t>sandor.krisztina@semmelweis.hu</t>
  </si>
  <si>
    <t>Fazekas, Gabor/HLG-5968-2023</t>
  </si>
  <si>
    <t>Fazekas, Gabor/0000-0003-3612-8826</t>
  </si>
  <si>
    <t>AKADEMIAI KIADO ZRT</t>
  </si>
  <si>
    <t>BUDAPEST</t>
  </si>
  <si>
    <t>BUDAFOKI UT 187-189-A-3, H-1117 BUDAPEST, HUNGARY</t>
  </si>
  <si>
    <t>0030-6002</t>
  </si>
  <si>
    <t>1788-6120</t>
  </si>
  <si>
    <t>Orvosi Hetilap</t>
  </si>
  <si>
    <t>FEB 2</t>
  </si>
  <si>
    <t>10.1556/650.2025.33223</t>
  </si>
  <si>
    <t>U6M7Z</t>
  </si>
  <si>
    <t>WOS:001412918400001</t>
  </si>
  <si>
    <t>Afridi, A; Obaid, S; Raheel, N; Rathore, FA</t>
  </si>
  <si>
    <t>Afridi, Ayesha; Obaid, Sumaiyah; Raheel, Neha; Rathore, Farooq Azam</t>
  </si>
  <si>
    <t>Integrating Artificial Intelligence in Stroke Rehabilitation: Current Trends and Future Directions; A mini review</t>
  </si>
  <si>
    <t>JOURNAL OF THE PAKISTAN MEDICAL ASSOCIATION</t>
  </si>
  <si>
    <t>Artificial Intelligence; Rehabilitation; Stroke; Technology; outcomes; recent advances</t>
  </si>
  <si>
    <t>Rehabilitation following a stroke faces challenges in offering customized treatment and attaining the best possible outcomes. The utilization of artificial intelligence (AI) presents transformative solutions that have the potential to revolutionize existing practices. This minireview discusses the use of AI in rehabilitation after stroke, in form of customized intervention, task-specific training with robotics, real time monitoring by wearable devices and remote monitoring through tele rehabilitation. Despite the recent advances, issues such as algorithm bias, concerns about data security, and access disparities remain. Future directions include creating predictive analytics for tailored stroke therapies, incorporating virtual reality for increased participation, and assuring ethical and equitable distribution. Collaborative efforts are necessary to address these challenges and advance AI-driven stroke therapy. This review highlights the potential of AI to revolutionize stroke rehabilitation outcomes through interdisciplinary collaboration and ethical implementation.</t>
  </si>
  <si>
    <t>[Afridi, Ayesha; Obaid, Sumaiyah; Raheel, Neha] Riphah Int Univ, Fac Rehabil &amp; Allied Hlth Sci, Islamabad, Pakistan; [Rathore, Farooq Azam] Quetta Inst Med Sci, Quetta, Pakistan</t>
  </si>
  <si>
    <t>Rathore, FA (corresponding author), Quetta Inst Med Sci, Quetta, Pakistan.</t>
  </si>
  <si>
    <t>farooqrathore@gmail.com</t>
  </si>
  <si>
    <t>Afridi, Ayesha/AAW-9192-2020</t>
  </si>
  <si>
    <t>0030-9982</t>
  </si>
  <si>
    <t>J PAK MED ASSOC</t>
  </si>
  <si>
    <t>J. Pak. Med. Assoc.</t>
  </si>
  <si>
    <t>10.47391/JPMA.25-16</t>
  </si>
  <si>
    <t>0HE7X</t>
  </si>
  <si>
    <t>WOS:001447287600031</t>
  </si>
  <si>
    <t>Girgis, MY; Tang, A; Pheasant, MS; Koury, KL; Jung, MT; Chen, T</t>
  </si>
  <si>
    <t>Girgis, Mina Y.; Tang, Alex; Pheasant, Michael S.; Koury, Kenneth L.; Jung, Michael T.; Chen, Tan</t>
  </si>
  <si>
    <t>Minimally Invasive and Navigation-Assisted Fracture Stabilization Following Traumatic Spinopelvic Dissociation</t>
  </si>
  <si>
    <t>spinopelvic dissociation; pelvis; sacrum; minimally invasive spine surgery; lumbopelvic fixation</t>
  </si>
  <si>
    <t>SPINE SURGERY; LUMBOPELVIC FIXATION; ILIAC SCREWS; COMPLICATIONS; REOPERATION; FLUOROSCOPY; FRAILTY; DISEASE</t>
  </si>
  <si>
    <t>Spinopelvic dissociation is a highly unstable orthopedic injury with a growing incidence worldwide. Operative treatment classically involves an open lumbopelvic fusion and sacroiliac stabilization, which carries high perioperative morbidity and mortality in a frail patient population. Advancements in spinal navigation, robotics, and minimally invasive surgery (MIS) techniques now allow these fracture patterns to be treated entirely percutaneously through small incisions. These incisions are just large enough to accommodate pedicle screw guides and enable the placement of lumbopelvic instrumentation, with rods being passed subfascially across pedicle screws and extending caudally to iliac fixation. This contrasts with the open midline approach, which requires more extensive soft tissue dissection and results in increased blood loss compared to percutaneous techniques. Modern imaging techniques, including CT navigation and robotics, facilitate the precise placement of sacral S2AI screw instrumentation in both open and percutaneous methods, all while safely avoiding previously placed trans-sacral fixation and other existing hardware, such as acetabular screws. Trans-sacral screws are typically percutaneously inserted first by the orthopedic trauma service, utilizing inlet, outlet, and lateral sacral fluoroscopic guidance to navigate the limited available corridor. With the advent of MIS techniques, trauma patients can now benefit from faster postoperative rehabilitation, minimal blood loss, decreased pain, and quicker mobilization. This article will review current concepts on spinopelvic anatomy, fracture patterns, indications for treatment, and current concepts for minimally invasive percutaneous lumbopelvic fixation, and it will present illustrative examples.</t>
  </si>
  <si>
    <t>[Girgis, Mina Y.; Tang, Alex; Pheasant, Michael S.] Geisinger Orthopaed Surg Northeast Residency, Wilkes Barre, PA 18711 USA; [Koury, Kenneth L.; Jung, Michael T.] Geisinger Wyoming Valley Med Ctr, Dept Orthopaed Trauma Surg, Wilkes Barre, PA 18711 USA; [Chen, Tan] Geisinger Med Ctr, Dept Orthopaed Spine Surg, Danville, PA 18721 USA</t>
  </si>
  <si>
    <t>Geisinger Medical Center</t>
  </si>
  <si>
    <t>Chen, T (corresponding author), Geisinger Med Ctr, Dept Orthopaed Spine Surg, Danville, PA 18721 USA.</t>
  </si>
  <si>
    <t>tchen1@geisinger.edu</t>
  </si>
  <si>
    <t>Tang, Alex/0000-0001-7086-4355</t>
  </si>
  <si>
    <t>10.3390/jcm14041289</t>
  </si>
  <si>
    <t>Y4Q3Z</t>
  </si>
  <si>
    <t>WOS:001431985700001</t>
  </si>
  <si>
    <t>Li, XH; Fan, DF; Feng, JJ; Lei, Y; Cheng, C; Li, XN</t>
  </si>
  <si>
    <t>Li, Xiaohui; Fan, Dongfang; Feng, Junjie; Lei, Yu; Cheng, Chao; Li, Xiangnan</t>
  </si>
  <si>
    <t>Systematic review of motion capture in virtual reality: Enhancing the precision of sports training</t>
  </si>
  <si>
    <t>JOURNAL OF AMBIENT INTELLIGENCE AND SMART ENVIRONMENTS</t>
  </si>
  <si>
    <t>virtual reality; motion capture; sports training; immersive experience; real-time feedback; injury prevention</t>
  </si>
  <si>
    <t>REHABILITATION; INJURY; ROBOT; RECOGNITION; PERFORMANCE; TECHNOLOGY; STRATEGIES; CHILDREN; QUALITY; TIME</t>
  </si>
  <si>
    <t>In the modern era of sports training, the synergy between motion capture and Virtual Reality (VR) offers an innovative approach to enhancing training precision. This systematic review delves into the application of motion capture within VR for sports training, highlighting its transformative potential. Through a comprehensive literature search, we examined the myriad applications, from physical conditioning enhancements to accelerated rehabilitation processes. Our findings underscore the capability of real-time feedback, immersive training environments, and tailored regimes that this fusion provides. However, despite its promise, challenges such as hardware constraints, data processing complexities, and interaction interface limitations persist. Future trajectories indicate an increasing influence of AI and deep learning, promising more sophisticated hardware and a broader spectrum of applications, including niche sports disciplines. The review concludes with an emphasis on the wider societal implications, suggesting a shift towards a holistic athlete well-being approach.</t>
  </si>
  <si>
    <t>[Li, Xiaohui; Feng, Junjie] Shaolin Wushu Coll, Dept Wushu, Zhengzhou, Peoples R China; [Li, Xiaohui] Univ Punjab, Dept Hist &amp; Pakistan, Lahore, Pakistan; [Fan, Dongfang] Henan Univ, Wushu Coll, Zhengzhou, Peoples R China; [Lei, Yu] Hunan Int Econ Univ, Changsha, Peoples R China; [Cheng, Chao] Jilin Univ, Key Lab Bion Engn, Minist Educ, Changchun, Peoples R China; [Li, Xiangnan] Yantai Sci &amp; Technol Innovat Promot Ctr, Yantai, Peoples R China</t>
  </si>
  <si>
    <t>University of Punjab; Henan University; Jilin University; Ministry of Education - China</t>
  </si>
  <si>
    <t>Lei, Y (corresponding author), Hunan Int Econ Univ, Changsha, Peoples R China.;Cheng, C (corresponding author), Jilin Univ, Key Lab Bion Engn, Minist Educ, Changchun, Peoples R China.</t>
  </si>
  <si>
    <t>rwysxy@hieu.edu.cn; chengchao@jlu.edu.cn</t>
  </si>
  <si>
    <t>Feng, Junjie/GXG-4500-2022</t>
  </si>
  <si>
    <t>Sports Research Project of Henan Provincial Sports Bureau [202327]</t>
  </si>
  <si>
    <t>Sports Research Project of Henan Provincial Sports Bureau</t>
  </si>
  <si>
    <t>This review is supported by Sports Research Project of Henan Provincial Sports Bureau under Grant No. 202327.</t>
  </si>
  <si>
    <t>1876-1364</t>
  </si>
  <si>
    <t>1876-1372</t>
  </si>
  <si>
    <t>J AMB INTEL SMART EN</t>
  </si>
  <si>
    <t>J. Ambient Intell. Smart Environ.</t>
  </si>
  <si>
    <t>10.3233/AIS-230198</t>
  </si>
  <si>
    <t>Computer Science, Artificial Intelligence; Computer Science, Information Systems; Telecommunications</t>
  </si>
  <si>
    <t>Computer Science; Telecommunications</t>
  </si>
  <si>
    <t>1HS5R</t>
  </si>
  <si>
    <t>WOS:001465299500003</t>
  </si>
  <si>
    <t>Lin, WQ; Dong, H; Gao, YZ; Wang, WD; Long, Y; He, L; Mao, XW; Wu, DM; Dong, W</t>
  </si>
  <si>
    <t>Lin, Weiqi; Dong, Hui; Gao, Yongzhuo; Wang, Wenda; Long, Yi; He, Long; Mao, Xiwang; Wu, Dongmei; Dong, Wei</t>
  </si>
  <si>
    <t>A Systematic Review of Locomotion Assistance Exoskeletons: Prototype Development and Technical Challenges</t>
  </si>
  <si>
    <t>TECHNOLOGIES</t>
  </si>
  <si>
    <t>exoskeleton; exosuit; locomotion assistance; wearable robot</t>
  </si>
  <si>
    <t>COMPACT ELASTIC MODULE; LOWER-LIMB EXOSKELETON; HIP EXOSKELETON; METABOLIC COST; WALKING; LIGHTWEIGHT; COMFORT; EXOSUIT; DESIGN; ENERGY</t>
  </si>
  <si>
    <t>Exoskeletons can track the wearer's movements in real time, thereby enhancing physical performance or restoring mobility for individuals with gait impairments. These wearable assistive devices have demonstrated significant potential in both rehabilitation and industrial applications. This review focuses on the major advancements in exoskeleton technology published since 2020, with particular emphasis on the development of structural designs for lower-limb exoskeletons employed in locomotion assistance. We employed a systematic literature review methodology, categorizing the included studies into three main types: rigid exoskeleton, soft exoskeleton, and tethered platform. The current development status of robotic exoskeletons is analyzed based on publication year, system weight, target assistive joints, and main effects. Furthermore, we examine the factors driving these advancements and their implications for the field. The key challenges and opportunities that may influence the future development of exoskeleton technologies are also highlighted in this review.</t>
  </si>
  <si>
    <t>[Lin, Weiqi; Dong, Hui; Gao, Yongzhuo; Wang, Wenda; Wu, Dongmei; Dong, Wei] Harbin Inst Technol, State Key Lab Robot &amp; Syst, Harbin 150001, Peoples R China; [Long, Yi] Northeastern Univ, Fac Robot Sci &amp; Engn, Foshan 528311, Peoples R China; [He, Long; Mao, Xiwang] Zhiyuan Res Inst, Hangzhou 310024, Peoples R China</t>
  </si>
  <si>
    <t>Harbin Institute of Technology; Northeastern University - China</t>
  </si>
  <si>
    <t>Dong, W (corresponding author), Harbin Inst Technol, State Key Lab Robot &amp; Syst, Harbin 150001, Peoples R China.</t>
  </si>
  <si>
    <t>linweiqi@stu.hit.edu.cn; dongh@hit.edu.cn; gaoyongzhuo@hit.edu.cn; 24b908111@stu.hit.edu.cn; longyi@mail.neu.edu.cn; wdm@hit.edu.cn; dongwei@hit.edu.cn</t>
  </si>
  <si>
    <t>Dong, Wei/J-5171-2013; Gao, Yongzhuo/HHM-2832-2022; Dong, Hui/MIP-4150-2025</t>
  </si>
  <si>
    <t>Dong, Hui/0000-0002-8562-6787</t>
  </si>
  <si>
    <t>National Natural Science Foundation of China; [U21A20120]</t>
  </si>
  <si>
    <t>National Natural Science Foundation of China(National Natural Science Foundation of China (NSFC));</t>
  </si>
  <si>
    <t>This work was supported by the National Natural Science Foundation of China under Grant No. U21A20120.</t>
  </si>
  <si>
    <t>2227-7080</t>
  </si>
  <si>
    <t>Technologies</t>
  </si>
  <si>
    <t>10.3390/technologies13020069</t>
  </si>
  <si>
    <t>Y1B5S</t>
  </si>
  <si>
    <t>WOS:001429570200001</t>
  </si>
  <si>
    <t>Cinnera, AM; Ciancarelli, I; Paolucci, T; Merla, A; Di Nicola, M; Perpetuini, D; D'Arienzo, M; Genovesi, G; Moretti, A; Russo, EF; Gatta, MT; Gimigliano, F; Cardone, D; Morone, G</t>
  </si>
  <si>
    <t>Cinnera, Alex Martino; Ciancarelli, Irene; Paolucci, Teresa; Merla, Arcangelo; Di Nicola, Marta; Perpetuini, David; D'Arienzo, Martina; Genovesi, Giorgia; Moretti, Antimo; Russo, Emanuele Francesco; Gatta, Maria Teresa; Gimigliano, Francesca; Cardone, Daniela; Morone, Giovanni</t>
  </si>
  <si>
    <t>Evaluation of the Effectiveness of Lokomat® Robot-assisted Gait Training in Children with Cerebral Palsy: A Systematic Review</t>
  </si>
  <si>
    <t>NEUROREHABILITATION</t>
  </si>
  <si>
    <t>exoskeleton; rehabilitation; motor recovery; cerebral palsy</t>
  </si>
  <si>
    <t>OF-THE-ART; WALKING ABILITY; BALANCE; STROKE; REHABILITATION; CLASSIFICATION; INTERVENTION; PATIENT; DEVICES; IMPACT</t>
  </si>
  <si>
    <t>Background: Children with cerebral palsy (CP) may present motor and gait impairment. Objective: This systematic review aims to assess the potential of robot-assisted gait training (RAGT) with Lokomat (R) exoskeleton to improve gait in children with CP. Methods: The search was conducted and repoted according to PRISMA guidelines on PubMed, Scopus, Cochrane Library and PEDro databases. All randomised controlled trials (RCT) including children with CP who underwent RAGT with Lokomat (R) were considered eligible. Risk of bias was assessed with the Rob2 tool by two blinded reviewers. The review was previously registered on the PROSPERO database (CRD42023488699). Results: 948 articles were found, and 9 studies involving 403 children with CP met the inclusion criteria. We found a heterogeneity in the RAGT protocol and a higher risk of bias for two included studies. Seven out nine studies reported a statistically significant improvement (p &lt; 0.05) on gait, balance, or global functions with respect to control groups. Specifically, walking speed and stride length were improved after RAGT. Conclusions: Children with CP can benefit from the add-on therapy with RAGT through Lokomat (R) to improve walking and balance function. There is a need for RCTs with better patient stratification and with less heterogeneity in outcomes to improve the quality of the pooled evidence.</t>
  </si>
  <si>
    <t>[Cinnera, Alex Martino; D'Arienzo, Martina] IRCCS Santa Lucia Fdn, Sci Inst Res Hospitalisat &amp; Hlth Care, Rome, Italy; [Ciancarelli, Irene; Morone, Giovanni] Univ Laquila, Dept Life Hlth &amp; Environm Sci, Laquila, Italy; [Paolucci, Teresa; Di Nicola, Marta] G Dannunzio Univ Chieti Pescara, Dept Oral Med Sci &amp; Biotechnol, Chieti, Italy; [Merla, Arcangelo; Perpetuini, David; Cardone, Daniela] Univ G dAnnunzio, Dept Engn &amp; Geol, Pescara, Italy; [Genovesi, Giorgia] Univ Laquila, Dept Life Hlth &amp; Environm Sci, Degree Course Neurodev Disorders Therapy, Laquila, Italy; [Moretti, Antimo] Univ Campania Luigi Vanvitelli, Multidisciplinary Dept Med &amp; Surg Specialties &amp; De, Naples, Italy; [Russo, Emanuele Francesco; Gatta, Maria Teresa] Padre Pio Fdn &amp; Rehabil Ctr, San Giovanni Rotondo, Italy; [Gimigliano, Francesca] Univ Campania Luigi Vanvitelli, Dept Mental &amp; Phys Hlth &amp; Prevent Med, Naples, Italy; [Morone, Giovanni] San Raffaele Inst Sulmona, Sulmona, Italy</t>
  </si>
  <si>
    <t>IRCCS Santa Lucia; University of L'Aquila; G d'Annunzio University of Chieti-Pescara; G d'Annunzio University of Chieti-Pescara; University of L'Aquila; Universita della Campania Vanvitelli; Universita della Campania Vanvitelli</t>
  </si>
  <si>
    <t>Ciancarelli, I (corresponding author), Univ Laquila, Dept Life Hlth &amp; Environm Sci, Laquila, Italy.</t>
  </si>
  <si>
    <t>irene.ciancarelli@univaq.it</t>
  </si>
  <si>
    <t>Paolucci, Teresa/HJY-2790-2023; Cardone, Daniela/AAJ-2288-2021; Morone, Giovanni/AAN-2666-2020; Russo, Emanuele/AAV-2974-2021; Martino Cinnera, Alex/K-4259-2018; Morone, Giovanni/A-9561-2013</t>
  </si>
  <si>
    <t>Morone, Giovanni/0000-0003-3602-4197</t>
  </si>
  <si>
    <t>European Union [CUP D53D23021770001]</t>
  </si>
  <si>
    <t>This work was supported by the European Union-Next Generation EU, Mission 4, Component 1, CUP D53D23021770001, Project Name: AID2GAIT. The funding source had no role in the design of this study and will not have any role during its execution, analyses, interpretation of the data, or decision to submit results.</t>
  </si>
  <si>
    <t>1053-8135</t>
  </si>
  <si>
    <t>1878-6448</t>
  </si>
  <si>
    <t>Neurorehabilitation</t>
  </si>
  <si>
    <t>10.1177/10538135241296010</t>
  </si>
  <si>
    <t>JAN 2025</t>
  </si>
  <si>
    <t>1JD7A</t>
  </si>
  <si>
    <t>WOS:001465218000001</t>
  </si>
  <si>
    <t>Cardone, D; Perpetuini, D; Di Nicola, M; Merla, A; Morone, G; Ciancarelli, I; Moretti, A; Gimigliano, F; Cichelli, A; De Flaviis, F; Cinnera, AM; Paolucci, T</t>
  </si>
  <si>
    <t>Cardone, Daniela; Perpetuini, David; Di Nicola, Marta; Merla, Arcangelo; Morone, Giovanni; Ciancarelli, Irene; Moretti, Antimo; Gimigliano, Francesca; Cichelli, Alice; De Flaviis, Francesco; Cinnera, Alex Martino; Paolucci, Teresa</t>
  </si>
  <si>
    <t>Robot-assisted upper limb therapy for personalized rehabilitation in children with cerebral palsy: a systematic review</t>
  </si>
  <si>
    <t>rehabilitation; robotics; hemiplegia; upper extremities; exoskeleton; endeffector</t>
  </si>
  <si>
    <t>INTERVENTION; BIOFEEDBACK; PATIENT; IMPACT</t>
  </si>
  <si>
    <t>Introduction: Cerebral palsy (CP) is a group of permanent disorders of movement development that may cause activity limitations. In this context, robot-assisted therapy might play a key role in clinical management. This comprehensive systematic review aimed to investigate the efficacy of robotic systems in improving upper limb (UL) functions in children with CP. Methods: PubMed, EMBASE, Scopus, and PEDro were searched from inception to February 2024. The risk of bias was assessed with the Joanna Briggs Institute critical appraisal tools battery. Results: Of 756 articles identified, 14 studies involving 193 children with CP with a judged to be of good methodological quality, but with a lack in the study design, were included in the final synthesis. In the included studies a wide range of devices was used, both exoskeletons and end-effectors, both wearable and non-wearable. The CP children who underwent robot-assisted therapy reported a significant overall increase in clinical assessment, specifically in UL movements and manual dexterity. The clinical improvement was often accompanied by a gain also in instrumental assessments (i.e., kinematic analysis, EMG). Discussion: The present review suggested that robot-assisted therapy can improve UL motor functions in children with CP. Moreover, the availability of different devices with adjustable parameters can represent an important resource in proposing patient-centered-personalized rehabilitation protocols to enhance the efficacy of rehabilitation and integration into daily life. However, the limited sample size and lack of standardized and clearly reproducible protocols impose to recommend the use of robot-assisted therapy as an integration to usual rehabilitation and not as a replacement.</t>
  </si>
  <si>
    <t>[Cardone, Daniela; Perpetuini, David; Merla, Arcangelo] Univ G dAnnunzio, Dept Engn &amp; Geol, Pescara, Italy; [Di Nicola, Marta; Cichelli, Alice; De Flaviis, Francesco; Paolucci, Teresa] Univ G Dannunzio Chieti &amp; Pescara, Dept Oral Med Sci &amp; Biotechnol, Phys &amp; Rehabil Med, BIND,CARES, Chieti, Italy; [Morone, Giovanni; Ciancarelli, Irene] Univ Aquila, Dept Life Hlth &amp; Environm Sci, Laquila, Italy; [Morone, Giovanni] San Raffaele Inst Sulmona, Sulmona, Italy; [Moretti, Antimo; Gimigliano, Francesca; Cinnera, Alex Martino] Univ Campania Luigi Vanvitelli, Dept Med &amp; Surg Specialties &amp; Dent, Naples, Italy; [Moretti, Antimo] Univ Campania Luigi Vanvitelli, Multidisciplinary Dept Med &amp; Surg Specialties &amp; De, Naples, Italy; [Gimigliano, Francesca] Univ Campania Luigi Vanvitelli, Dept Mental &amp; Phys Hlth &amp; Prevent Med, Naples, Italy; [Cinnera, Alex Martino] IRCCS Santa Lucia Fdn, Sci Inst Res Hospitalisat &amp; Hlth Care, Rome, Italy</t>
  </si>
  <si>
    <t>G d'Annunzio University of Chieti-Pescara; G d'Annunzio University of Chieti-Pescara; University of L'Aquila; Universita della Campania Vanvitelli; Universita della Campania Vanvitelli; Universita della Campania Vanvitelli; IRCCS Santa Lucia</t>
  </si>
  <si>
    <t>Cinnera, AM (corresponding author), Univ Campania Luigi Vanvitelli, Dept Med &amp; Surg Specialties &amp; Dent, Naples, Italy.</t>
  </si>
  <si>
    <t>a.martino@hsantalucia.it</t>
  </si>
  <si>
    <t>Cardone, Daniela/AAJ-2288-2021; Moretti, Antimo/T-8571-2017; Martino Cinnera, Alex/K-4259-2018; Paolucci, Teresa/HJY-2790-2023; Morone, Giovanni/AAN-2666-2020; Morone, Giovanni/A-9561-2013</t>
  </si>
  <si>
    <t>European Union - Next Generation EU [CUP D53D23021770001, AID2GAIT]</t>
  </si>
  <si>
    <t>European Union - Next Generation EU</t>
  </si>
  <si>
    <t>The author(s) declare that financial support was received for the research, authorship, and/or publication of this article. This work was supported by the European Union - Next Generation EU, Mission 4, Component 1, CUP D53D23021770001, Project Name: AID2GAIT.</t>
  </si>
  <si>
    <t>JAN 6</t>
  </si>
  <si>
    <t>10.3389/fneur.2024.1499249</t>
  </si>
  <si>
    <t>S7W4B</t>
  </si>
  <si>
    <t>WOS:001400275600001</t>
  </si>
  <si>
    <t>Almeida, JF; Santos, CP</t>
  </si>
  <si>
    <t>Almeida, Joana F.; Santos, Cristina P.</t>
  </si>
  <si>
    <t>Bio-inspired control strategies in wearable robotics: A comprehensive review of CPGs and DMPs</t>
  </si>
  <si>
    <t>ANNUAL REVIEWS IN CONTROL</t>
  </si>
  <si>
    <t>Central pattern generators; Dynamic movement primitives; Exoskeletons; Orthoses; Assisted locomotion</t>
  </si>
  <si>
    <t>CENTRAL PATTERN GENERATORS; LOCOMOTION CONTROL; PRIMITIVES; STABILITY; MODELS</t>
  </si>
  <si>
    <t>Wearable robotic devices such as exoskeletons and orthoses have undergone significant advancements over the past two decades, aiming to support human mobility in rehabilitation, daily life, and industrial settings. Central to their effectiveness is the implementation of control strategies that generate smooth, adaptive, and user-synchronized movements. Among these, bio-inspired approaches that emulate neural and motor mechanisms of human locomotion have gained increasing attention. This review presents a comprehensive analysis of two prominent bio-inspired control frameworks-Central Pattern Generators (CPGs) and Dynamic Movement Primitives (DMPs)-implemented in wearable lower-limb robotic systems. A total of 45 articles were systematically analysed to identify trends and challenges in their application. The review examines the purposes of these controllers, the joints and degrees of freedom addressed, the sensors employed, the structural characteristics of each approach, the integration of sensory feedback and intention decoding, the tracking controllers used, and the validation methodologies adopted. The findings reveal that CPGs and DMPs are primarily adopted for generating adaptive joint trajectories, enabling stable, rhythmic, and responsive locomotion. Their flexibility allows for encoding motion patterns that adapt to user-specific and task-specific requirements. However, challenges such as parameter tuning, integration of sensory feedback, real-time intention decoding, and validation robustness remain open issues. This work highlights the potential of CPG-and DMP-based strategies to enhance the autonomy, safety, and personalization of wearable robots and provides future research directions to address their current limitations and improve their practical applicability.</t>
  </si>
  <si>
    <t>[Almeida, Joana F.; Santos, Cristina P.] Univ Minho, Ctr MicroElectro Mech Syst CMEMS, P-4800058 Guimaraes, Portugal; [Santos, Cristina P.] Univ Minho, Associate Lab LABBELS, P-4710057 Braga, Portugal; [Santos, Cristina P.] Univ Minho, P-4800058 Guimaraes, Portugal</t>
  </si>
  <si>
    <t>Universidade do Minho; Universidade do Minho; Universidade do Minho</t>
  </si>
  <si>
    <t>Almeida, JF (corresponding author), Univ Minho, Ctr MicroElectro Mech Syst CMEMS, P-4800058 Guimaraes, Portugal.</t>
  </si>
  <si>
    <t>pg50435@alunos.uminho.pt; cristina@dei.uminho.pt</t>
  </si>
  <si>
    <t>1367-5788</t>
  </si>
  <si>
    <t>1872-9088</t>
  </si>
  <si>
    <t>ANNU REV CONTROL</t>
  </si>
  <si>
    <t>Annu. Rev. Control</t>
  </si>
  <si>
    <t>10.1016/j.arcontrol.2025.100991</t>
  </si>
  <si>
    <t>Automation &amp; Control Systems</t>
  </si>
  <si>
    <t>3FI3K</t>
  </si>
  <si>
    <t>WOS:001498990100001</t>
  </si>
  <si>
    <t>Alwadai, B; Lazem, H; Almoajil, H; Hall, AJ; Mansoubi, M; Dawes, H</t>
  </si>
  <si>
    <t>Alwadai, Bayan; Lazem, Hatem; Almoajil, Hajar; Hall, Abigail J.; Mansoubi, Maedeh; Dawes, Helen</t>
  </si>
  <si>
    <t>Telerehabilitation and Its Impact Following Stroke: An Umbrella Review of Systematic Reviews</t>
  </si>
  <si>
    <t>telerehabilitation; stroke; motor function; balance; gait; activities of daily living; quality of life; satisfaction; adherence to treatment; cost-effectiveness</t>
  </si>
  <si>
    <t>CARE; THERAPY</t>
  </si>
  <si>
    <t>Objectives: To summarize the impact of various telerehabilitation interventions on motor function, balance, gait, activities of daily living (ADLs), and quality of life (QoL) among patients with stroke and to determine the existing telerehabilitation interventions for delivering physiotherapy sessions in clinical practice. Methods: Six electronic databases were searched to identify relevant quantitative systematic reviews (SRs). Due to substantial heterogeneity, the data were analysed narratively. Results: A total of 28 systematic reviews (n = 245 primary studies) were included that examined various telerehabilitation interventions after stroke. Motor function was the most studied outcome domain across the reviews (20 SRs), followed by ADL (18 SRs), and balance (14 SRs) domains. For primary outcomes, our findings highlight moderate- to high-quality evidence showing either a significant effect or no significant difference between telerehabilitation and other interventions. There was insufficient evidence to draw a conclusion regarding feasibility outcomes, including participant satisfaction, adherence to treatment, and cost. Most reviews under this umbrella included patients with stroke in the subacute or chronic phase (12 SRs). Simple and complex telerehabilitation interventions such as telephone calls, videoconferencing, smartphone- or tablet-based mobile health applications, messaging, virtual reality, robot-assisted devices, and 3D animation videos, either alone or in combination with other interventions, were included across reviews. Conclusions: Various telerehabilitation interventions have shown either a significant effect or no significant difference compared to other interventions in improving upper and lower limb motor function, balance, gait, ADLs, and QoL, regardless of whether simple or complex approaches were used. Further research is needed to support the delivery of rehabilitation services through telerehabilitation intervention following a stroke.</t>
  </si>
  <si>
    <t>[Alwadai, Bayan; Lazem, Hatem; Hall, Abigail J.; Mansoubi, Maedeh; Dawes, Helen] Univ Exeter, Fac Hlth &amp; Life Sci, Dept Publ Hlth &amp; Sport Sci, Med Sch, Exeter EX1 2LU, England; [Alwadai, Bayan] Najran Univ, Phys Therapy Dept, Coll Appl Med Sci, Najran 11001, Saudi Arabia; [Lazem, Hatem] Cairo Univ, Fac Phys Therapy, Basic Sci Dept, Cairo 12613, Egypt; [Almoajil, Hajar] Imam Abdulrahman Bin Faisal Univ, Phys Therapy Dept, Coll Appl Med Sci, Dammam 34212, Saudi Arabia; [Mansoubi, Maedeh; Dawes, Helen] Univ Exeter, Exeter NIHR BRC Med Sch, Fac Hlth &amp; Life Sci, Exeter EX1 2LU, England</t>
  </si>
  <si>
    <t>University of Exeter; Najran University; Egyptian Knowledge Bank (EKB); Cairo University; Imam Abdulrahman Bin Faisal University; University of Exeter</t>
  </si>
  <si>
    <t>Alwadai, B (corresponding author), Univ Exeter, Fac Hlth &amp; Life Sci, Dept Publ Hlth &amp; Sport Sci, Med Sch, Exeter EX1 2LU, England.;Alwadai, B (corresponding author), Najran Univ, Phys Therapy Dept, Coll Appl Med Sci, Najran 11001, Saudi Arabia.</t>
  </si>
  <si>
    <t>ba447@exeter.ac.uk; hl756@exeter.ac.uk; halmoajil@iau.edu.sa; a.hall4@exeter.ac.uk; m.mansoubi@exeter.ac.uk; h.dawes@exeter.ac.uk</t>
  </si>
  <si>
    <t>lazem, hatem/GXV-1314-2022; Mansoubi, Maedeh/HIU-0064-2022; Almoajil, Hajar/HQZ-6235-2023</t>
  </si>
  <si>
    <t>Dawes, Helen/0000-0002-2933-5213; Almoajil, Hajar/0000-0001-5308-3362; Mansoubi, Maedeh/0000-0002-8829-2217; Lazem, Hatem/0000-0002-6617-8886; Alwadai, Bayan/0009-0002-3767-1070</t>
  </si>
  <si>
    <t>Najran University; Najran University, Ministry of Education, Saudi Arabia</t>
  </si>
  <si>
    <t>Najran University(Najran University); Najran University, Ministry of Education, Saudi Arabia</t>
  </si>
  <si>
    <t>This research was funded for postgraduate scholarship by Najran University, Ministry of Education, Saudi Arabia.</t>
  </si>
  <si>
    <t>10.3390/jcm14010050</t>
  </si>
  <si>
    <t>R8F4H</t>
  </si>
  <si>
    <t>WOS:001393736700001</t>
  </si>
  <si>
    <t>Bhatia, D; Acharjee, T; Sengupta, A</t>
  </si>
  <si>
    <t>Bhatia, Dinesh; Acharjee, Tania; Sengupta, Agnila</t>
  </si>
  <si>
    <t>Robotics in healthcare: A review</t>
  </si>
  <si>
    <t>INNOVATION AND EMERGING TECHNOLOGIES</t>
  </si>
  <si>
    <t>Robotics; Healthcare; Surgical Robot; Diagnostic Robot; Telepresence Robot; Rehabilitation Robot; Service Robot</t>
  </si>
  <si>
    <t>MOTION; DIAGNOSIS; SURGERY; EXOSKELETON; MOVEMENT; SERVICE</t>
  </si>
  <si>
    <t>From early industrial prototypes in the 1960s and 1970s to sophisticated systems integrated into contemporary medical practice, healthcare robotics has come a long way in the last 10 years. Human potential has been enhanced by robotics in many ways, most notably in the areas of safety, accuracy, and repeatability. When paired with artificial intelligence (AI), these developments have enormous potential for the healthcare industry in the 21st century. These days, robots help in various places, such as healthcare facilities, assisted living apartments, and rehabilitation centers. For example, Aethon's TUG robots carry supplies throughout hospitals effectively and lessen the effort of hospital staff. The main applications of healthcare robotics, including telepresence, rehabilitation, and operating rooms, are outlined in this chapter. Giraff and other telepresence robots allow doctors to observe patients from a distance. HugoTM RAS system from Medtronic has recently garnered notice because of its availability as a modular minimally invasive surgery solution that directly competes with the Da Vinci System in hospitals across the globe. Taking a focus on surgery rooms, telemedicine, and assistive care, this manuscript offers a broad review of the most recent advancements in healthcare robotics. It highlights the difficulties in properly integrating these technologies into the medical field.</t>
  </si>
  <si>
    <t>[Bhatia, Dinesh; Acharjee, Tania; Sengupta, Agnila] North Eastern Hill Univ NEHU, Cent Univ, Dept Biomed Engn, Shillong 793022, Meghalaya, India</t>
  </si>
  <si>
    <t>North Eastern Hill University</t>
  </si>
  <si>
    <t>Bhatia, D (corresponding author), North Eastern Hill Univ NEHU, Cent Univ, Dept Biomed Engn, Shillong 793022, Meghalaya, India.</t>
  </si>
  <si>
    <t>bhatiadinesh@rediffmail.com</t>
  </si>
  <si>
    <t>Bhatia, Dinesh/0000-0001-5412-8868</t>
  </si>
  <si>
    <t>2737-5994</t>
  </si>
  <si>
    <t>2810-9007</t>
  </si>
  <si>
    <t>INNOV EMERG TECHNOL</t>
  </si>
  <si>
    <t>Innovation Emerg. Technol.</t>
  </si>
  <si>
    <t>10.1142/S2737599425300016</t>
  </si>
  <si>
    <t>Z9A7D</t>
  </si>
  <si>
    <t>WOS:001441751800001</t>
  </si>
  <si>
    <t>Chio, N; Quiles-Cucarella, E</t>
  </si>
  <si>
    <t>Chio, Nayibe; Quiles-Cucarella, Eduardo</t>
  </si>
  <si>
    <t>A Bibliometric Review of Brain-Computer Interfaces in Motor Imagery and Steady-State Visually Evoked Potentials for Applications in Rehabilitation and Robotics</t>
  </si>
  <si>
    <t>brain-computer interface; steady-state visually evoked potential; motor imagery; rehabilitation; robot arm; robot hand</t>
  </si>
  <si>
    <t>MACHINE INTERFACE; HAND ORTHOSIS; BCI; STIMULATION; STROKE</t>
  </si>
  <si>
    <t>In this paper, a bibliometric review is conducted on brain-computer interfaces (BCI) in non-invasive paradigms like motor imagery (MI) and steady-state visually evoked potentials (SSVEP) for applications in rehabilitation and robotics. An exploratory and descriptive approach is used in the analysis. Computational tools such as the biblioshiny application for R-Bibliometrix and VOSViewer are employed to generate data on years, sources, authors, affiliation, country, documents, co-author, co-citation, and co-occurrence. This article allows for the identification of different bibliometric indicators such as the research process, evolution, visibility, volume, influence, impact, and production in the field of brain-computer interfaces for MI and SSVEP paradigms in rehabilitation and robotics applications from 2000 to August 2024.</t>
  </si>
  <si>
    <t>[Chio, Nayibe; Quiles-Cucarella, Eduardo] Univ Politecn Valencia, Inst Automat Informat Ind, Valencia 46022, Spain; [Chio, Nayibe] Univ Autonoma Bucaramanga, Fac Ingn Ingn Mecatron, Bucaramanga 680003, Colombia</t>
  </si>
  <si>
    <t>Universitat Politecnica de Valencia; Universidad Autonoma de Bucaramanga</t>
  </si>
  <si>
    <t>Quiles-Cucarella, E (corresponding author), Univ Politecn Valencia, Inst Automat Informat Ind, Valencia 46022, Spain.</t>
  </si>
  <si>
    <t>nachch@posgrado.upv.es; equiles@isa.upv.es</t>
  </si>
  <si>
    <t>Quiles Cucarella, Eduardo/AAE-8663-2019; Quiles, Eduardo/L-8379-2014</t>
  </si>
  <si>
    <t>Quiles, Eduardo/0000-0003-0578-4716; CHIO-CHO, NAYIBE/0000-0002-9459-4350</t>
  </si>
  <si>
    <t>10.3390/s25010154</t>
  </si>
  <si>
    <t>R8J4I</t>
  </si>
  <si>
    <t>WOS:001393840800001</t>
  </si>
  <si>
    <t>Gherman, B; Zima, I; Vaida, C; Tucan, P; Pisla, A; Birlescu, I; Machado, J; Pisla, D</t>
  </si>
  <si>
    <t>Gherman, Bogdan; Zima, Ionut; Vaida, Calin; Tucan, Paul; Pisla, Adrian; Birlescu, Iosif; Machado, Jose; Pisla, Doina</t>
  </si>
  <si>
    <t>Robotic Systems for Hand Rehabilitation-Past, Present and Future</t>
  </si>
  <si>
    <t>hand exoskeleton; rehabilitation robotics; stroke rehabilitation; hand rehabilitation; exoskeleton</t>
  </si>
  <si>
    <t>ACTUATED FINGER EXOSKELETON; UPPER-LIMB REHABILITATION; SERIES ELASTIC ACTUATION; WEARABLE HAND; UPPER EXTREMITY; PNEUMATIC ACTUATORS; THUMB EXOSKELETON; DISABILITY SCALE; LEARNING CONTROL; STROKE PATIENTS</t>
  </si>
  <si>
    <t>Background: Cerebrovascular accident, commonly known as stroke, Parkinson's disease, and multiple sclerosis represent significant neurological conditions affecting millions globally. Stroke remains the third leading cause of death worldwide and significantly impacts patients' hand functionality, making hand rehabilitation crucial for improving quality of life. Methods: A comprehensive literature review was conducted analyzing over 300 papers, and categorizing them based on mechanical design, mobility, and actuation systems. To evaluate each device, a database with 45 distinct criteria was developed to systematically assess their characteristics. Results: The analysis revealed three main categories of devices: rigid exoskeletons, soft exoskeletons, and hybrid devices. Electric actuation represents the most common source of power. The dorsal placement of the mechanism is predominant, followed by glove-based, lateral, and palmar configurations. A correlation between mass and functionality was observed during the analysis; an increase in the number of actuated fingers or in functionality automatically increases the mass of the device. The research shows significant technological evolution with considerable variation in design complexity, with 29.4% of devices using five or more actuators while 24.8% employ one or two actuators. Conclusions: While substantial progress has been made in recent years, several challenges persist, including missing information or incomplete data from source papers and a limited number of clinical studies to evaluate device effectiveness. Significant opportunities remain to improve device functionality, usability, and therapeutic effectiveness, as well as to implement advanced power systems for portable devices.</t>
  </si>
  <si>
    <t>[Gherman, Bogdan; Zima, Ionut; Vaida, Calin; Tucan, Paul; Pisla, Adrian; Birlescu, Iosif; Machado, Jose; Pisla, Doina] Tech Univ Cluj Napoca, CESTER, Memorandumului 28, Cluj Napoca 400114, Romania; [Machado, Jose] Univ Minho, MEtRICs Res Ctr, Campus Azurem, P-4800058 Guimaraes, Portugal; [Pisla, Doina] Tech Sci Acad Romania, B dul Dacia 26, Bucharest 030167, Romania</t>
  </si>
  <si>
    <t>Technical University of Cluj Napoca; Universidade do Minho</t>
  </si>
  <si>
    <t>Zima, I; Pisla, D (corresponding author), Tech Univ Cluj Napoca, CESTER, Memorandumului 28, Cluj Napoca 400114, Romania.;Pisla, D (corresponding author), Tech Sci Acad Romania, B dul Dacia 26, Bucharest 030167, Romania.</t>
  </si>
  <si>
    <t>bogdan.gherman@mep.utcluj.ro; ionut.zima@mep.utcluj.ro; calin.vaida@mep.utcluj.ro; paul.tucan@mep.utcluj.ro; adrian.pisla@muri.utcluj.ro; iosif.birlescu@mep.utcluj.ro; jmachado@dem.uminho.pt; doina.pisla@mep.utcluj.ro</t>
  </si>
  <si>
    <t>Gherman, Bogdan/ADB-1418-2022; Pisla, Adrian/AEG-3273-2022; Pisla, Doina/G-7985-2011; Birlescu, Iosif/AAB-1359-2020; Vaida, Calin/B-4548-2015; Tucan, Paul/GPP-2548-2022; Machado, Jose/L-9312-2013</t>
  </si>
  <si>
    <t>Pisla, Doina/0000-0001-7014-9431; Gherman, Bogdan/0000-0002-4427-6231; Vaida, Calin/0000-0003-2822-9790; Tucan, Paul/0000-0001-5660-8259; Machado, Jose/0000-0002-4917-2474</t>
  </si>
  <si>
    <t>Project New Frontiers in Adaptive Modular Robotics for Patient-centered Medical Rehabilitation-ASKLEPIOS - European Union [760071/23]; Romanian Ministry of Research, Innovation and Digitalization</t>
  </si>
  <si>
    <t>Project New Frontiers in Adaptive Modular Robotics for Patient-centered Medical Rehabilitation-ASKLEPIOS - European Union; Romanian Ministry of Research, Innovation and Digitalization(Ministry of Research, Innovation and Digitization - Romania)</t>
  </si>
  <si>
    <t>This research was supported by the project New Frontiers in Adaptive Modular Robotics for Patient-centered Medical Rehabilitation-ASKLEPIOS, funded by the European Union-NextGenerationEU, and the Romanian Government under the National Recovery and Resilience Plan for Romania, contract no. 760071/23 May 2023, code CF 121/15 November 2022, with the Romanian Ministry of Research, Innovation and Digitalization within Component 9, investment I8.</t>
  </si>
  <si>
    <t>10.3390/technologies13010037</t>
  </si>
  <si>
    <t>T2W6J</t>
  </si>
  <si>
    <t>WOS:001403678100001</t>
  </si>
  <si>
    <t>Pacheco-Chérrez, J; Tudon-Martinez, JC; Lozoya-Santos, JD</t>
  </si>
  <si>
    <t>Pacheco-Cherrez, Josue; Tudon-Martinez, Juan C.; Lozoya-Santos, Jorge de J.</t>
  </si>
  <si>
    <t>Recent Advances in Pediatric Wearable Lower-Limb Exoskeletons for Gait Rehabilitation: A Systematic Review</t>
  </si>
  <si>
    <t>Exoskeletons; Reviews; Pediatrics; Legged locomotion; Robots; Limbs; Market research; Databases; Training; Cerebral palsy; clinical outcomes; exoskeleton; gait rehabilitation; lower-limb exoskeleton; pediatric exoskeletons; review</t>
  </si>
  <si>
    <t>CEREBRAL-PALSY; ANKLE EXOSKELETON; WALKING; CHILDREN; DESIGN; CLASSIFICATION; INDIVIDUALS; PREVALENCE</t>
  </si>
  <si>
    <t>Cerebral palsy (CP) is the most common physical disability affecting children, often resulting in reduced quality of life due to challenges with movement control, posture, balance, and increased energy expenditure required to walk. Lower-limb exoskeletons (LLEs) offer a promising alternative to traditional rehabilitation methods, with the potential to improve mobility in children with CP. This review aims to provide an updated overview of mechanical characteristics, control strategies, technological advancements, clinical efficacy, and limitations associated with pediatric LLEs for gait rehabilitation in children with CP. The main objectives were to evaluate the current state of technology, review the clinical outcomes of exoskeleton use, and identify emerging trends and challenges in this field. To achieve this, a comprehensive search was conducted using Scopus and Web of Science databases to identify relevant recent studies published from 2020 onward. A total of 11 studies were included based on pre-defined inclusion and exclusion criteria. The findings suggest that pediatric exoskeletons have shown promise in improving gait parameters, such as walking speed and joint kinematics while reducing the metabolic cost in children with CP. Despite these positive outcomes, challenges remain regarding device customization, long-term adherence, and integration into clinical practice. The review underscores the potential of pediatric exoskeletons to significantly improve mobility and quality of life in children with CP but also emphasizes the need for further research to optimize device design, long-term outcomes, and standardized guidelines and protocols to conduct and evaluate clinical trials. These findings have important implications for clinicians, researchers, and developers who seek to advance the field of pediatric rehabilitation technologies.</t>
  </si>
  <si>
    <t>[Pacheco-Cherrez, Josue; Tudon-Martinez, Juan C.; Lozoya-Santos, Jorge de J.] Tecnol Monterrey, Sch Engn &amp; Sci, Monterrey 64700, Mexico</t>
  </si>
  <si>
    <t>Tecnologico de Monterrey</t>
  </si>
  <si>
    <t>Pacheco-Chérrez, J; Lozoya-Santos, JD (corresponding author), Tecnol Monterrey, Sch Engn &amp; Sci, Monterrey 64700, Mexico.</t>
  </si>
  <si>
    <t>jpacheco@tec.mx; jorge.lozoya@tec.mx</t>
  </si>
  <si>
    <t>Lozoya-Santos, Jorge/I-2435-2019; Pacheco-Chérrez, Josue/HMP-7783-2023</t>
  </si>
  <si>
    <t>10.1109/ACCESS.2025.3552757</t>
  </si>
  <si>
    <t>0QO2O</t>
  </si>
  <si>
    <t>WOS:001453644600030</t>
  </si>
  <si>
    <t>Ruiz, LKFT; Malaquias, TDM; da Silva, GB Jr; Cunha, ICKO; Pimenta, RA; Dadalt, PA; Haddad, MDFL</t>
  </si>
  <si>
    <t>Ruiz, Lailla Ketly Ferreira Tiradentes; Malaquias, Tatiana da Silva Melo; da Silva Junior, Geraldo Bezerra; Cunha, Isabel Cristina Kowal Olm; Pimenta, Rosangela Aparecida; Dadalt, Patricia Aroni; Haddad, Maria do Carmo Fernandez Lourenco</t>
  </si>
  <si>
    <t>Care provided by humanoid robots: a scoping review</t>
  </si>
  <si>
    <t>INVESTIGACION Y EDUCACION EN ENFERMERIA</t>
  </si>
  <si>
    <t>Robotics; artificial intelligence; patient care; hospital care; ambulatory care; scoping review</t>
  </si>
  <si>
    <t>PEPPER-CPGE; SCHIZOPHRENIA; COVID-19; CHILDREN; PATIENT; SUPPORT; CANCER</t>
  </si>
  <si>
    <t>Objective. To identify the evidence in the literature regarding the care provided to the population by humanoid robots. Methods. A scoping review based on the guidelines established by the Joanna Briggs Institute. The Preferred Reporting Items for Scoping Review (PRISMA-ScR) checklist was followed. The review protocol was registered on the Open Science Framework under the number osf. io/6ur93. The search was conducted in November 2023 in the following databases: PubMed (R), EMBASE (R), LILACS, Web of Science, Scopus (R), and CINAHL, as well as in the gray literature, including Google Scholar and the Catalog of Theses and Dissertations of the Coordination for the Improvement of Higher Education Personnel (CAPES), using the search strategy: humanoid robot* AND patient*. Results. A total of 27 articles were analyzed. Most of the identified studies were conducted in hospital settings (n=13), with a primary focus on adults (n=10) and children (n=8). The countries with the highest number of publications were Japan (n=6), Canada (n=5), and France (n=4). Three areas of care were identified: social interaction (n=17), physical rehabilitation (n=7), and dissemination of health information (n=3). Additionally, only four studies involved collaboration between humanoid robots and healthcare providers. Conclusion. Despite the increasing use of humanoid robots in healthcare, it remains essential to enhance their integration with professionals in the field. Social interaction highlighted the need to improve patient care, underscoring the importance of aligning the capabilities of these robots with the expertise of healthcare providers. Accordingly, future research should focus on developing strategies that ensure this technology not only assists but also optimizes the quality of care and strengthens interdisciplinary collaboration.</t>
  </si>
  <si>
    <t>[Ruiz, Lailla Ketly Ferreira Tiradentes; Pimenta, Rosangela Aparecida; Dadalt, Patricia Aroni; Haddad, Maria do Carmo Fernandez Lourenco] State Univ Londrina UEL, Londrina, PR, Brazil; [Malaquias, Tatiana da Silva Melo] State Univ Ctr Oeste UNICENTRO, Guarapuava, PR, Brazil; [da Silva Junior, Geraldo Bezerra] Univ Fortaleza UNIFOR, Fortaleza, CE, Brazil; [Cunha, Isabel Cristina Kowal Olm] Fed Univ Sao Paulo UNIFESP, Sao Paulo, SP, Brazil</t>
  </si>
  <si>
    <t>Universidade Estadual de Londrina; Universidade Fortaleza; Universidade Federal de Sao Paulo (UNIFESP)</t>
  </si>
  <si>
    <t>Ruiz, LKFT (corresponding author), State Univ Londrina UEL, Londrina, PR, Brazil.</t>
  </si>
  <si>
    <t>laillaftruiz@gmail.com; tatieangel@yahoo.com.br; geraldobezerrajr@unifor.br; isabelcunha@unifesp.br; ropimentaferrari@uel.br; patriciaaroni@uel.br; geraldobezerrajr@unifor.br</t>
  </si>
  <si>
    <t>do Carmo Haddad, Maria/AGU-0055-2022; da Silva, Geraldo/U-5238-2017; Cunha, Isabel Cristina Kowal Olm/D-7750-2012</t>
  </si>
  <si>
    <t>Cunha, Isabel Cristina Kowal Olm/0000-0001-6374-5665</t>
  </si>
  <si>
    <t>UNIV ANTIOQUIA, FAC ENFERMERIA</t>
  </si>
  <si>
    <t>MEDELLIN</t>
  </si>
  <si>
    <t>CALLE 64 N 53-09, APARTADO 1226, MEDELLIN, 00000, COLOMBIA</t>
  </si>
  <si>
    <t>0120-5307</t>
  </si>
  <si>
    <t>2216-0280</t>
  </si>
  <si>
    <t>INVESTIG EDUC ENFERM</t>
  </si>
  <si>
    <t>Investig. Educ. Enferm.</t>
  </si>
  <si>
    <t>JAN-APR</t>
  </si>
  <si>
    <t>e11</t>
  </si>
  <si>
    <t>10.17533/udea.iee.v43n1e11</t>
  </si>
  <si>
    <t>2HW7Q</t>
  </si>
  <si>
    <t>WOS:001483039800006</t>
  </si>
  <si>
    <t>Gefen, N; Mazer, B; Krasovsky, T; Weiss, PL</t>
  </si>
  <si>
    <t>Gefen, Naomi; Mazer, Barbara; Krasovsky, Tal; Weiss, Patrice L.</t>
  </si>
  <si>
    <t>Novel rehabilitation technologies in pediatric rehabilitation: knowledge towards translation</t>
  </si>
  <si>
    <t>Knowledge translation; rehabilitation technology; pediatrics; barriers; facilitators; stakeholders</t>
  </si>
  <si>
    <t>POWERED MOBILITY; YOUNG-CHILDREN; DRIVING ERRORS; INTERVENTIONS; MULTIPLE; BARRIERS; DEVICES</t>
  </si>
  <si>
    <t>Purpose: Knowledge translation (KT) refers to the process of applying the most promising research outcomes into practice to ensure that new discoveries and innovations improve healthcare accessibility, effectiveness, and accountability. The objective of this perspective paper is to discuss and illustrate via examples how the KT process can be implemented in an era of rapid advancement in rehabilitation technologies that have the potential to significantly impact pediatric healthcare.Methods: Using Graham et al.'s (2006) Knowledge-to-Action cycle, which includes the knowledge creation funnel and the action cycle, we illustrate its application in implementing novel technologies into clinical practice and informing healthcare policy changes. We explore three successful applications of technology research: powered mobility, head support systems, and telerehabilitation. Additionally, we examine less clinically mature technologies such as brain-computer interfaces and robotic assistive devices, which are hindered by cost, robustness, and ease-of-use issues.Conclusions: The paper concludes by discussing how technology acceptance and usage in clinical settings are influenced by various barriers and facilitators at different stakeholder levels, including clients, families, clinicians, management, researchers, developers, and society. Recommendations include focusing on early and ongoing design partnerships, transitioning from research to real-life implementation, and identifying optimal timing for clinical adoption of new technologies.</t>
  </si>
  <si>
    <t>[Gefen, Naomi; Weiss, Patrice L.] ALYN Hosp, Helmsley Pediat &amp; Adolescent Rehabil Res Ctr, JERUSALEM, Israel; [Gefen, Naomi] ALYN Hosp, 84 Shmaryahu Levin St,POB 9117, IL-9109002 Jerusalem, Israel; [Gefen, Naomi] Hebrew Univ Jerusalem, Sch Occupat Therapy, Jerusalem, Israel; [Mazer, Barbara] McGill Univ, Fac Med &amp; Hlth Sci, Sch Phys &amp; Occupat Therapy, Montreal, PQ, Canada; [Mazer, Barbara] Ctr Interdisciplinary Res Rehabil CRIR, Montreal, PQ, Canada; [Krasovsky, Tal] Univ Haifa, Fac Social Welf &amp; Hlth Sci, Dept Phys Therapy, IL-3498838 Haifa, Israel; [Krasovsky, Tal] Sheba Med Ctr, Edmond &amp; Lily Safra Childrens Hosp, Dept Pediat Rehabil, Ramat Gan, Israel; [Weiss, Patrice L.] Univ Haifa, Fac Social Welf &amp; Hlth Sci, Dept Occupat Therapy, Haifa, Israel</t>
  </si>
  <si>
    <t>Hebrew University of Jerusalem; ALYN Hospital; Hebrew University of Jerusalem; ALYN Hospital; Hebrew University of Jerusalem; McGill University; Universite de Montreal; University of Haifa; Chaim Sheba Medical Center; Tel Aviv University; University of Haifa</t>
  </si>
  <si>
    <t>Gefen, N (corresponding author), ALYN Hosp, 84 Shmaryahu Levin St,POB 9117, IL-9109002 Jerusalem, Israel.</t>
  </si>
  <si>
    <t>Krasovsky, Tal/AAC-5881-2020</t>
  </si>
  <si>
    <t>Mazer, Barbara/0000-0003-0557-2457; Weiss, Patrice/0000-0001-5633-1210; Gefen, Naomi/0000-0003-1216-0426; Krasovsky, Tal/0000-0003-4691-6797</t>
  </si>
  <si>
    <t>2024 DEC 26</t>
  </si>
  <si>
    <t>10.1080/17483107.2024.2445017</t>
  </si>
  <si>
    <t>Q5I7Q</t>
  </si>
  <si>
    <t>WOS:001385021200001</t>
  </si>
  <si>
    <t>Karoulla, E; Matsangidou, M; Frangoudes, F; Paspalides, P; Neokleous, K; Pattichis, CS</t>
  </si>
  <si>
    <t>Karoulla, Eirini; Matsangidou, Maria; Frangoudes, Fotos; Paspalides, Panayiotis; Neokleous, Kleanthis; Pattichis, Constantinos S.</t>
  </si>
  <si>
    <t>Tracking Upper Limb Motion via Wearable Solutions: Systematic Review of Research From 2011 to 2023</t>
  </si>
  <si>
    <t>motion tracking; motion sensing; posture monitoring; wearable devices; upper limb rehabilitation; interactive feedback; real-time; feedback; wearble technology; upper limb motion</t>
  </si>
  <si>
    <t>HEALTH</t>
  </si>
  <si>
    <t>Background: The development of wearable solutions for tracking upper limb motion has gained research interest over the past decade. This paper provides a systematic review of related research on the type, feasibility, signal processing techniques, and feedback of wearable systems for tracking upper limb motion, mostly in rehabilitation applications, to understand and monitor human movement. Objective: The aim of this article is to investigate how wearables are used to capture upper limb functions, especially related to clinical and rehabilitation applications. Methods: A systematic literature search identified 27 relevant studies published in English from 2011 to 2023, across 4 databases: ACM Digital Library, IEEE Xplore, PubMed, and ScienceDirect. We included papers focusing on motion or posture tracking for the upper limbs, wearable devices, feedback given to end users, and systems having clinical or rehabilitation purposes. We excluded papers focusing on exoskeletons, robotics, prosthetics, orthoses, or activity recognition systems; reviews; and books. Results: The results from this research focus on wearable devices that are designed to monitor upper limb movement. More specifically, studies were divided into 2 distinct categories: clinical motion tracking (15/27, 56%) and rehabilitation (12/27, 44%), involving healthy individuals and patients, with a total of 439 participants. Among the 27 studies, the majority (19/27) used inertial measurement units to track upper limb movement or smart textiles embedded with sensors. These devices were attached to the body with straps (mostly Velcro), providing flexibility and stability. The developed wearable devices positively influenced user motivation through the provided feedback, with visual feedback being the most common owing to the high level of independence provided. Moreover, a variety of signal processing techniques, such as Kalman and Butterworth filters, were applied to ensure data accuracy. However, limitations persist and include sensor positioning, calibration, and battery life, as well as a lack of clinical data on the effectiveness of these systems. The sampling rate of the data collection ranged from 50 Hz to 2000 Hz, which notably affected data quality and battery life. In addition, several findings were inconclusive, and thus, further future research is needed to understand and improve upper limb posture to develop progressive wearable systems. Conclusions: This paper offers a comprehensive overview of wearable monitoring systems, with a focus on upper limb motion tracking and rehabilitation. It emphasizes the various types of available solutions; their efficacy, wearability, and feasibility; and proposed processing techniques. Finally, it presents robust findings regarding feedback accuracy derived from experiments and outlines potential future research directions.</t>
  </si>
  <si>
    <t>[Karoulla, Eirini] Univ Paris Saclay, CEA List, Gif Sur Yvette, France; [Matsangidou, Maria; Frangoudes, Fotos; Paspalides, Panayiotis; Neokleous, Kleanthis; Pattichis, Constantinos S.] CYENS Ctr Excellence, Lellou Demetriades,Plateia Dimarchou 1, CY-1016 Nicosia, Cyprus; [Frangoudes, Fotos; Pattichis, Constantinos S.] Univ Cyprus, Dept Comp Sci, Nicosia, Cyprus; [Pattichis, Constantinos S.] Univ Cyprus, Biomed Engn Res Ctr, Nicosia, Cyprus</t>
  </si>
  <si>
    <t>CEA; Universite Paris Saclay; University of Cyprus; University of Cyprus</t>
  </si>
  <si>
    <t>Matsangidou, M (corresponding author), CYENS Ctr Excellence, Lellou Demetriades,Plateia Dimarchou 1, CY-1016 Nicosia, Cyprus.</t>
  </si>
  <si>
    <t>m.matsangidou@cyens.org.cy</t>
  </si>
  <si>
    <t>Frangoudes, Fotos/ABZ-4099-2022; Pattichis, Constantinos/J-5116-2012</t>
  </si>
  <si>
    <t>Matsangidou, Maria/0000-0003-3804-5565; Frangoudes, Fotos/0000-0002-2543-8194; Karoulla, Eirini/0009-0008-6624-5744; Pattichis, Constantinos/0000-0003-1271-8151; Paspalides, Panayiotis/0009-0009-5661-6895</t>
  </si>
  <si>
    <t>European Union [739578]; Government of the Republic of Cyprus through the Deputy Ministry of Research, Innovation and Digital Policy</t>
  </si>
  <si>
    <t>European Union(European Union (EU)); Government of the Republic of Cyprus through the Deputy Ministry of Research, Innovation and Digital Policy</t>
  </si>
  <si>
    <t>This project has received funding from the European Union's Horizon 2020 Research and Innovation Programme under grant agreement number 739578 and the Government of the Republic of Cyprus through the Deputy Ministry of Research, Innovation and Digital Policy.</t>
  </si>
  <si>
    <t>DEC 23</t>
  </si>
  <si>
    <t>e51994</t>
  </si>
  <si>
    <t>10.2196/51994</t>
  </si>
  <si>
    <t>Q5V5M</t>
  </si>
  <si>
    <t>WOS:001385353600004</t>
  </si>
  <si>
    <t>Pei, YL; Tobita, M; Dirlikov, B; Arnold, D; Tefertiller, C; Gorgey, A</t>
  </si>
  <si>
    <t>Pei, Yalian; Tobita, Mari; Dirlikov, Benjamin; Arnold, Dannae; Tefertiller, Candace; Gorgey, Ashraf</t>
  </si>
  <si>
    <t>Consumer views of functional electrical stimulation and robotic exoskeleton in SCI rehabilitation: A mini review</t>
  </si>
  <si>
    <t>consumer; emerging technology; implementation barrier; neurorehabilitation; SCI; spinal cord injury</t>
  </si>
  <si>
    <t>SPINAL-CORD-INJURY; BODY-COMPOSITION; NEUROPROSTHESIS; SATISFACTION; EXERCISE; WALKING; GAIT; INDIVIDUALS; PERSPECTIVE; PRIORITIES</t>
  </si>
  <si>
    <t>BackgroundFunctional electrical stimulation (FES) and robotic exoskeletons represent emerging technologies with significant potential for restoring critical physical functions such as standing and walking-functions that are most susceptible after spinal cord injury (SCI). However, the further development and successful integration of these technologies into clinical practice and daily life require a deep understanding of consumer perspectives.ObjectiveThis review synthesizes consumer perspectives from a diverse range of technology stakeholders, including medical service providers, researchers, and persons affected by SCI-those living with SCI and their caregivers. By capturing this diverse range of perspectives, the review aims to describe the real-world implications, challenges, and expectations associated with FES and robotic exoskeleton technologies.MethodsRelevant literature was primarily identified through a search in EBSCO, SCOPUS, and Web of Science. The authors supplemented the search by reviewing reference lists including appropriate articles identified by the authors. The PICO question guiding this process was defined as P (persons with SCI and caregivers, researchers, clinicians, and developers), I (use of FES or robotic exoskeletons), C (technology users compared to non-users), and O (stakeholder perspectives and experiences). Each identified article underwent a thorough appraisal, after which findings were summarized to present consumers' viewpoints on FES and robotic exoskeleton technologies.ResultsThe review focuses on key areas such as perceived benefits, limitations, implementation barriers, and consumer expectations. The benefits identified are multifaceted, extending from physical improvements, such as enhanced mobility and muscle strength, to psychological gains including increased confidence and sense of independence. However, these technologies also face perceived limitations, often related to accessibility, cost, and usability challenges. Beyond technical issues, implementation barriers are related to factors like insurance coverage and the need for specialized training for both users and providers. Consumer expectations include hope for technological advancements, increased accessibility and affordability, and a desire for more personalized and adaptable solutions tailored to the unique needs of individuals with SCI.ConclusionThis comprehensive overview of consumer perspectives offers insights into the needs and preferences of the end-users, which are essential for creating user-centric technology and effectively translating research findings into clinical practice.</t>
  </si>
  <si>
    <t>[Pei, Yalian] Syracuse Univ, Dept Commun Disorders &amp; Sci, Syracuse, NY USA; [Tobita, Mari] Rancho Amigos Natl Rehabil Ctr, Dept Phys Med &amp; Rehabil, Downey, CA USA; [Tobita, Mari] Rancho Res Inst, Downey, CA USA; [Tobita, Mari] CHARLES R DREW UNIV MED &amp; SCI, Dept PM&amp;R, LOS ANGELES, CA USA; [Dirlikov, Benjamin] Santa Clara Valley Med Ctr, Rehabil Res Ctr, San Jose, CA USA; [Arnold, Dannae] Baylor Scott &amp; White Inst Rehabil, Res Inst, Dallas, TX USA; [Tefertiller, Candace] Craig Hosp, Res Dept, Englewood, CO USA; [Gorgey, Ashraf] Hunter Holmes McGuire Med Ctr, Dept Vet Affairs, Richmond, VA USA; [Gorgey, Ashraf] Virginia Commonwealth Univ, Dept PM&amp;R, Richmond, VA USA</t>
  </si>
  <si>
    <t>Syracuse University; Charles R. Drew University of Medicine &amp; Science; Santa Clara Valley Medical Center; Hunter Holmes McGuire Veterinary Affairs Medical Center; Virginia Commonwealth University</t>
  </si>
  <si>
    <t>Gorgey, A (corresponding author), Cent Virginia VA Hlth Care Syst, Spinal Cord Injury &amp; Disorders Serv, Richmond, VA 23249 USA.</t>
  </si>
  <si>
    <t>agorgey@gmail.com</t>
  </si>
  <si>
    <t>Gorgey, Ashraf/I-5455-2019; Pei, Yalian/HPF-4134-2023</t>
  </si>
  <si>
    <t>ACRM Research Mentoring Program; FES and Technology Modular Task Force-Spinal Cord Injury Model Systems</t>
  </si>
  <si>
    <t>The work was conducted as a part of the research activities of the FES and Technology Task Force- American Congress of Rehabilitation (ACRM), ACRM Research Mentoring Program and collaborative efforts of members of the FES and Technology Modular Task Force-Spinal Cord Injury Model Systems (SCIMS).</t>
  </si>
  <si>
    <t>10.1111/aor.14925</t>
  </si>
  <si>
    <t>1YF7K</t>
  </si>
  <si>
    <t>WOS:001382047500001</t>
  </si>
  <si>
    <t>Hwang, S; Min, KC; Song, CS</t>
  </si>
  <si>
    <t>Hwang, Sujin; Min, Kyoung-Chul; Song, Chiang-Soon</t>
  </si>
  <si>
    <t>Assistive technology on upper extremity function for stroke patients: A systematic review with meta-analysis</t>
  </si>
  <si>
    <t>JOURNAL OF HAND THERAPY</t>
  </si>
  <si>
    <t>Arm; Assistance; Brain injury; Device; Recovery; Rehabilitation</t>
  </si>
  <si>
    <t>HAND REHABILITATION; THERAPY; EFFICACY; ARM; FEASIBILITY; MULTICENTER; RECOVERY; ORTHOSIS; DEVICE; TRIAL</t>
  </si>
  <si>
    <t>Background: In stroke rehabilitation, the selection of appropriate assistive devices is of paramount importance for patients. Specifically, the choice of device can significantly influence the functional recovery of the upper limb, impacting their overall activities or functional tasks. Objectives: This review aimed to comprehensively analyze and summarize the clinical evidence from randomized controlled trials (RCTs) regarding the therapeutic effects of commonly used assistive devices on upper extremity function in patients with stroke. Methods: To evaluate assistive devices for patients with stroke, we summarized qualitatively throughout synthesis of results, such as therapeutic intervention, intensity, outcome, and summary of results, and examined risk of bias, heterogeneity, mean difference, 95% confidence interval, and I-squared value. To analyze, we used RoB 2 and RevMan 5.4. Results: The qualitative synthesis included 31 RCTs. The randomization process and the reporting of results showed minimal bias, but there were issues with bias from intended interventions, and missing outcome data presented some concerns. The quantitative synthesis included 16 RCTs. There was a significant difference in the Fugl-Meyer assessment-upper extremity functioning (FMA-UE) scores between the groups, with a total mean difference (95% confidence interval) of 2.40 (0.21, 4.60), heterogeneity values were Tau2 = 0.32, chi-square = 8.22, degrees of freedom = 8 (p = 0.41), and I 2 = 3% for FMA-UE and the test for the overall effect produced Z = 2.14 (p = 0.03) in patients with chronic stroke. However, there was no significant difference in all other outcome measures. Conclusions: Upper-limb robots did not demonstrate significant superiority over conventional treatments in improving function of upper limbs, with the exception of FMA-UE scores for patients with chronic stroke. The mean difference of FMA-UE was also lower than minimally important difference. Nonetheless, the usage of upper-limb robots may contribute to enhanced function for patients with stroke, as those devices support clinicians and enable a greater number of movement repetitions within specific time frames. (c) 2024 Elsevier Inc. All rights are reserved, including those for text and data mining, AI training, and similar technologies.</t>
  </si>
  <si>
    <t>[Hwang, Sujin] Baekseok Univ, Dept Phys Therapy, Div Hlth Sci, Cheonan, South Korea; [Hwang, Sujin] Baekseok Univ, Grad Sch Hlth Welf, Seoul, South Korea; [Min, Kyoung-Chul] Wonkwang Univ, Dept Occupat Therpay, Iksan, South Korea; [Song, Chiang-Soon] Chosun Univ, Coll Nat Sci &amp; Publ Hlth &amp; Safety, Dept Occupat Therapy, Gwangju, South Korea</t>
  </si>
  <si>
    <t>Baekseok University; Baekseok University; Wonkwang University; Chosun University</t>
  </si>
  <si>
    <t>Song, CS (corresponding author), Chosun Univ, Dept Occupat Therapy, Nat Sci &amp; Publ Hlth &amp; Safety, 309 Pilmun Daero, Gwangju 501759, South Korea.</t>
  </si>
  <si>
    <t>grsong@chosun.ac.kr</t>
  </si>
  <si>
    <t>HANLEY &amp; BELFUS-ELSEVIER INC</t>
  </si>
  <si>
    <t>0894-1130</t>
  </si>
  <si>
    <t>1545-004X</t>
  </si>
  <si>
    <t>J HAND THER</t>
  </si>
  <si>
    <t>J. Hand Ther.</t>
  </si>
  <si>
    <t>OCT-DEC</t>
  </si>
  <si>
    <t>10.1016/j.jht.2023.12.014</t>
  </si>
  <si>
    <t>Orthopedics; Rehabilitation; Surgery</t>
  </si>
  <si>
    <t>P1N4L</t>
  </si>
  <si>
    <t>WOS:001375662100001</t>
  </si>
  <si>
    <t>Bonnechere, B</t>
  </si>
  <si>
    <t>Bonnechere, Bruno</t>
  </si>
  <si>
    <t>Animals as Architects: Building the Future of Technology-Supported Rehabilitation with Biomimetic Principles</t>
  </si>
  <si>
    <t>rehabilitation technology; animal models; prosthetics; neural plasticity; assistive technology; regenerative medicine</t>
  </si>
  <si>
    <t>MODEL; REGENERATION; LOCOMOTION; CHALLENGES; EVOLUTION; SENSORS</t>
  </si>
  <si>
    <t>Rehabilitation science has evolved significantly with the integration of technology-supported interventions, offering objective assessments, personalized programs, and real-time feedback for patients. Despite these advances, challenges remain in fully addressing the complexities of human recovery through the rehabilitation process. Over the last few years, there has been a growing interest in the application of biomimetics to inspire technological innovation. This review explores the application of biomimetic principles in rehabilitation technologies, focusing on the use of animal models to help the design of assistive devices such as robotic exoskeletons, prosthetics, and wearable sensors. Animal locomotion studies have, for example, inspired energy-efficient exoskeletons that mimic natural gait, while insights from neural plasticity research in species like zebrafish and axolotls are advancing regenerative medicine and rehabilitation techniques. Sensory systems in animals, such as the lateral line in fish, have also led to the development of wearable sensors that provide real-time feedback for motor learning. By integrating biomimetic approaches, rehabilitation technologies can better adapt to patient needs, ultimately improving functional outcomes. As the field advances, challenges related to translating animal research to human applications, ethical considerations, and technical barriers must be addressed to unlock the full potential of biomimetic rehabilitation.</t>
  </si>
  <si>
    <t>[Bonnechere, Bruno] Hasselt Univ, Fac Rehabil Sci, REVAL Rehabil Res Ctr, B-3590 Diepenbeek, Belgium; [Bonnechere, Bruno] Hasselt Univ, Data Sci Inst, Technol Supported &amp; Data Driven Rehabil, B-3590 Diepenbeek, Belgium; [Bonnechere, Bruno] PXL Univ Appl Sci &amp; Arts, Dept PXL Healthcare, B-3500 Hasselt, Belgium</t>
  </si>
  <si>
    <t>Hasselt University; Hasselt University</t>
  </si>
  <si>
    <t>Bonnechere, B (corresponding author), Hasselt Univ, Fac Rehabil Sci, REVAL Rehabil Res Ctr, B-3590 Diepenbeek, Belgium.;Bonnechere, B (corresponding author), Hasselt Univ, Data Sci Inst, Technol Supported &amp; Data Driven Rehabil, B-3590 Diepenbeek, Belgium.;Bonnechere, B (corresponding author), PXL Univ Appl Sci &amp; Arts, Dept PXL Healthcare, B-3500 Hasselt, Belgium.</t>
  </si>
  <si>
    <t>bruno.bonnechere@uhasselt.be</t>
  </si>
  <si>
    <t>Bonnechère, Bruno/A-3374-2014</t>
  </si>
  <si>
    <t>Bonnechere, Bruno/0000-0002-7729-4700</t>
  </si>
  <si>
    <t>10.3390/biomimetics9120723</t>
  </si>
  <si>
    <t>Q7Y7G</t>
  </si>
  <si>
    <t>WOS:001386790400001</t>
  </si>
  <si>
    <t>Cinnera, AM; D'Arienzo, M; Piatti, D; Conti, LC; Deledda, P; Tenore, A; Paolucci, S; Grasso, MG</t>
  </si>
  <si>
    <t>Cinnera, Alex Martino; D'Arienzo, Martina; Piatti, Diego; Conti, Laura Casagrande; Deledda, Pietro; Tenore, Alberto; Paolucci, Stefano; Grasso, Maria Grazia</t>
  </si>
  <si>
    <t>Robot-Assisted Therapy in Guillain-Barrè Syndrome: Systematic Review of Primary Evidence and Study Protocol for a Randomized Clinical Trial</t>
  </si>
  <si>
    <t>robotic rehabilitation; exoskeleton device; polyradiculoneuropathy; chronic inflammatory demyelinating polyradiculoneuropathy; polyradiculopathy</t>
  </si>
  <si>
    <t>UPPER-LIMB; STROKE; REHABILITATION; ARM</t>
  </si>
  <si>
    <t>Background: Guillain-Barr &amp; eacute; syndrome (GBS) is an immune-mediated polyradiculoneuropathy that represents a leading cause of motor impairment. Robot-assisted therapy (RAT) has been widely applied in various neurological conditions. However, the use of RAT in GBS remains underexplored. This systematic review (SR) aims to evaluate the preliminary evidence regarding the efficacy of RAT in terms of motor recovery in people with GBS (pwGBSs). Secondly, the study protocol for a randomized RCT is reported. Methods: A comprehensive SR was conducted on PubMed, Scopus, EMBASE, Cochrane Library, and Epistemikos. Risk of bias was assessed using the National Institute of Health (NIH) study quality assessment. The SR's protocol was recorded in the PROSPERO database. Results: Out of 116 articles found, four studies published in the past four years met the inclusion criteria. These studies investigated the effects of RAT on lower limbs (three studies) and upper limbs (one study) in four pwGBSs. The results showed improvements in motor function and patient engagement, but it is impossible to generalize the findings. Conclusions: Our SRs supports the rationale for an RCT to assess the efficacy of RAT in pwGBSs. We present the protocol for a double-blind RCT to evaluate the effects of RAT on upper limb motor function in pwGBSs.</t>
  </si>
  <si>
    <t>[Cinnera, Alex Martino; D'Arienzo, Martina; Piatti, Diego; Conti, Laura Casagrande; Paolucci, Stefano; Grasso, Maria Grazia] IRCCS Santa Lucia Fdn, Sci Inst Res Hospitalisat &amp; Hlth Care, I-00179 Rome, Italy; [Deledda, Pietro; Tenore, Alberto] Univ Roma Tor Vergata, Sch Physiotherapy, Fac Med &amp; Surg, I-00133 Rome, Italy</t>
  </si>
  <si>
    <t>IRCCS Santa Lucia; University of Rome Tor Vergata</t>
  </si>
  <si>
    <t>Piatti, D (corresponding author), IRCCS Santa Lucia Fdn, Sci Inst Res Hospitalisat &amp; Hlth Care, I-00179 Rome, Italy.</t>
  </si>
  <si>
    <t>a.martino@hsantalucia.it; m.darienzo@hsantalucia.it; d.piatti@hsantalucia.it; laura.casagrandeconti@gmail.com; deleddapietro03@gmail.com; alberto.tenore2203@gmail.com; s.paolucci@hsantalucia.it; mg.grasso@hsantalucia.it</t>
  </si>
  <si>
    <t>Martino Cinnera, Alex/K-4259-2018</t>
  </si>
  <si>
    <t>10.3390/jcm13237153</t>
  </si>
  <si>
    <t>P2W8P</t>
  </si>
  <si>
    <t>WOS:001376585600001</t>
  </si>
  <si>
    <t>Ghobadi, N; Sepehri, N; Kinsner, W; Szturm, T</t>
  </si>
  <si>
    <t>Ghobadi, Narges; Sepehri, Nariman; Kinsner, Witold; Szturm, Tony</t>
  </si>
  <si>
    <t>Beyond Human Touch: Integrating Soft Robotics with Environmental Interaction for Advanced Applications</t>
  </si>
  <si>
    <t>human-robot interaction; soft robotics; soft robotics applications; soft actuators</t>
  </si>
  <si>
    <t>SENSOR FUSION; DESIGN; HYBRID; DRIVEN; FORCE; RECOGNITION; FABRICATION; CONTACT; EXOSUIT; ARM</t>
  </si>
  <si>
    <t>Soft robotics is an emerging field dedicated to the design and development of robots with soft structures. Soft robots offer unique capabilities in terms of flexibility, adaptability, and safety of physical interaction, and therefore provide advanced collaboration between humans and robots. The further incorporation of soft actuators, advanced sensing technologies, user-friendly control interfaces, and safety considerations enhance the interaction experience. Applications in healthcare, specifically in rehabilitation and assistive devices, as well as manufacturing, show how soft robotics has revolutionized human-robot collaboration and improved quality of life. Soft robotics can create new opportunities to enhance human well-being and increase efficiency in human-robot interactions. Nevertheless, challenges persist, and future work must focus on overcoming technological barriers while increasing reliability, refining control methodologies, and enhancing user experience and acceptance. This paper reviews soft robotics and outlines its advantages in scenarios involving human-robot interaction.</t>
  </si>
  <si>
    <t>[Ghobadi, Narges; Sepehri, Nariman] Univ Manitoba, Price Fac Engn, Dept Mech Engn, Winnipeg, MB R3T 5V6, Canada; [Kinsner, Witold] Univ Manitoba, Price Fac Engn, Dept Elect &amp; Comp Engn, Winnipeg, MB R3T 5V6, Canada; [Szturm, Tony] Univ Manitoba, Coll Rehabil Sci, Rady Fac Hlth Sci, Winnipeg, MB R3E 0T6, Canada</t>
  </si>
  <si>
    <t>Sepehri, N (corresponding author), Univ Manitoba, Price Fac Engn, Dept Mech Engn, Winnipeg, MB R3T 5V6, Canada.</t>
  </si>
  <si>
    <t>ghobadin@myumanitoba.ca; nariman.sepehri@umanitoba.ca; witold.kinsner@umanitoba.ca; tony.szturm@umanitoba.ca</t>
  </si>
  <si>
    <t>Kinsner, Witold/IVH-3785-2023</t>
  </si>
  <si>
    <t>Kinsner, Witold/0000-0002-6759-1410; Ghobadi, Narges/0000-0001-8303-3761; Sepehri, Nariman/0000-0002-6384-8776</t>
  </si>
  <si>
    <t>Natural Sciences and Engineering Research Council of Canada (NSERC); [RGPIN-2018-05352]</t>
  </si>
  <si>
    <t>Natural Sciences and Engineering Research Council of Canada (NSERC)(Natural Sciences and Engineering Research Council of Canada (NSERC));</t>
  </si>
  <si>
    <t>This research was funded by the Natural Sciences and Engineering Research Council of Canada (NSERC). Grant number: RGPIN-2018-05352.</t>
  </si>
  <si>
    <t>10.3390/act13120507</t>
  </si>
  <si>
    <t>Q4D9B</t>
  </si>
  <si>
    <t>WOS:001384218900001</t>
  </si>
  <si>
    <t>Jiang, CY; Xiao, JL; Wei, HC; Wang, MY; Chen, C</t>
  </si>
  <si>
    <t>Jiang, Chunyu; Xiao, Junlong; Wei, Haochen; Wang, Michael Yu; Chen, Chao</t>
  </si>
  <si>
    <t>Review on Portable-Powered Lower Limb Exoskeletons</t>
  </si>
  <si>
    <t>lower limb exoskeleton; design; control strategy; sensors; fusion</t>
  </si>
  <si>
    <t>OF-THE-ART; KNEE-JOINT; PERSONALIZED CONTROL; MECHANICAL DESIGN; CONTROL STRATEGY; MODEL; WALKING; ACTUATOR; DRIVEN; REHABILITATION</t>
  </si>
  <si>
    <t>Advancements in science and technology have driven the growing use of robots in daily life, with Portable-Powered Lower Limb Exoskeletons (PPLLEs) emerging as a key innovation. The selection of mechanisms, control strategies, and sensors directly influences the overall performance of the exoskeletons, making it a crucial consideration for research and development. This review examines the current state of PPLLE research, focusing on the aspects of mechanisms, control strategies, and sensors. We discuss the current research status of various technologies, their technological compatibility, and respective benefits comprehensively. Key findings highlight effective designs and strategies, as well as future challenges and opportunities. Finally, we summarize the overall status of PPLLE research and attempt to shed light on the future potential directions of research and development.</t>
  </si>
  <si>
    <t>[Jiang, Chunyu; Xiao, Junlong; Wei, Haochen; Wang, Michael Yu; Chen, Chao] Monash Univ, Dept Mech &amp; Aerosp Engn, Clayton, Vic 3800, Australia</t>
  </si>
  <si>
    <t>Monash University</t>
  </si>
  <si>
    <t>Chen, C (corresponding author), Monash Univ, Dept Mech &amp; Aerosp Engn, Clayton, Vic 3800, Australia.</t>
  </si>
  <si>
    <t>chunyu.jiang@monash.edu; junlong.xiao@monash.edu; haochen.wei@monash.edu; mywang@gbu.edu.cn; chao.chen@monash.edu</t>
  </si>
  <si>
    <t>Xiao, Junlong/HSE-9319-2023</t>
  </si>
  <si>
    <t>Xiao, Junlong/0000-0003-3854-8760; Chen, Chao/0000-0002-1201-2039; Wei, Haochen/0009-0003-2692-1676; Jiang, Chunyu/0009-0000-3512-3017</t>
  </si>
  <si>
    <t>10.3390/s24248090</t>
  </si>
  <si>
    <t>Q9I4L</t>
  </si>
  <si>
    <t>WOS:001387721300001</t>
  </si>
  <si>
    <t>Mahfouz, DM; Shehata, OM; Morgan, EI; Arrichiello, F</t>
  </si>
  <si>
    <t>Mahfouz, Dalia M.; Shehata, Omar M.; Morgan, Elsayed I.; Arrichiello, Filippo</t>
  </si>
  <si>
    <t>A Comprehensive Review of Control Challenges and Methods in End-Effector Upper-Limb Rehabilitation Robots</t>
  </si>
  <si>
    <t>review; end-effector; upper limb; rehabilitation; control; adaptive</t>
  </si>
  <si>
    <t>IMPEDANCE CONTROL; STROKE; DESIGN; PHYSIOTHERAPY; EXOSKELETON; MOVEMENTS; THERAPY; FOREARM; SYSTEM; WRIST</t>
  </si>
  <si>
    <t>In the last decades, there has been an increasing number of human patients who suffer from upper-limb disorders limiting their motor abilities. One of the possible solutions that gained extensive research interest is the development of robot-aided rehabilitation training setups, including either end-effector or exoskeleton robots, which showed various advantages compared to traditional manual rehabilitation therapy. One of the main challenges of these systems is to control the robot's motion to track a desirable rehabilitation training trajectory while being affected by either voluntary or involuntary human forces depending on the patient's recovery state. Several previous studies have been targeting exoskeleton robotic systems focusing on their structure, clinical features, and control methods, with limited review on end-effector-based robotic rehabilitation systems. In this regard, an overview of the most common end-effector robotic devices used for upper-limb rehabilitation is provided in this paper, describing their mechanical structure, features, clinical application, commercialization, advantages, and shortcomings. Additionally, a comprehensive review on possible control methods applied to end-effector rehabilitation exploitation is presented. These control methods are categorized as conventional, robust, intelligent, and most importantly, adaptive controllers implemented to serve for diverse rehabilitation control modes, addressing their development, implementation, findings, and possible drawbacks.</t>
  </si>
  <si>
    <t>[Mahfouz, Dalia M.; Shehata, Omar M.; Morgan, Elsayed I.] German Univ Cairo GUC, Fac Engn &amp; Mat Sci, Mechatron Dept, Cairo 11835, Egypt; [Mahfouz, Dalia M.; Shehata, Omar M.; Morgan, Elsayed I.] Multirobot Syst MRS Res Grp, Cairo 11835, Egypt; [Shehata, Omar M.] Ain Shams Univ ASU, Fac Engn, Mechatron Dept, Cairo 11517, Egypt; [Arrichiello, Filippo] Univ Cassino &amp; Southern Lazio UNICAS, Elect &amp; Informat Engn Dept, I-03043 Cassino, Italy</t>
  </si>
  <si>
    <t>Egyptian Knowledge Bank (EKB); German University in Cairo; Egyptian Knowledge Bank (EKB); Ain Shams University</t>
  </si>
  <si>
    <t>Arrichiello, F (corresponding author), Univ Cassino &amp; Southern Lazio UNICAS, Elect &amp; Informat Engn Dept, I-03043 Cassino, Italy.</t>
  </si>
  <si>
    <t>dalia.mahfoz@guc.edu.eg; mrs.research.lab@gmail.com; elsayed.morgan@guc.edu.eg; f.arrichiello@unicas.it</t>
  </si>
  <si>
    <t>Mahfouz, Dalia/AAW-1112-2021; Shehata, Omar/AAU-6829-2020; Shehata, Omar M./H-6665-2013</t>
  </si>
  <si>
    <t>Mahfouz, Dalia M./0000-0002-1854-1951; Arrichiello, Filippo/0000-0001-9750-8289; Shehata, Omar M./0000-0002-3604-3534</t>
  </si>
  <si>
    <t>MUR [COM3 CUP H53D23000610006]; EU in NextGenerationEU plan through the Italian Bando Prin [2022-D.D. 104 del 02-02-2022]</t>
  </si>
  <si>
    <t>MUR(Ministry of Education, Universities and Research (MIUR)); EU in NextGenerationEU plan through the Italian Bando Prin</t>
  </si>
  <si>
    <t>This research received funding from Project COM3 CUP H53D23000610006 funded by EU in NextGenerationEU plan through the Italian Bando Prin 2022-D.D. 104 del 02-02-2022 by MUR.</t>
  </si>
  <si>
    <t>10.3390/robotics13120181</t>
  </si>
  <si>
    <t>Q4R0P</t>
  </si>
  <si>
    <t>WOS:001384560900001</t>
  </si>
  <si>
    <t>Mohammadi, M; Mohammad, SM; Roshanbin, M; Lomboy, GR; Abubakri, S</t>
  </si>
  <si>
    <t>Mohammadi, Mohsen; Mohammad, Saman Mostafa; Roshanbin, Mehdi; Lomboy, Gilson R.; Abubakri, Shahriar</t>
  </si>
  <si>
    <t>Advances in Concrete Demolition Technologies: A Review of Conventional and Emerging Methods for Sustainable Waste Management</t>
  </si>
  <si>
    <t>ENG</t>
  </si>
  <si>
    <t>demolition concrete; manual demolition; mechanical demolition; robotic demolition</t>
  </si>
  <si>
    <t>BUILDING DECONSTRUCTION; CONSTRUCTION; CEMENT</t>
  </si>
  <si>
    <t>The demolishing of concrete structures such as bridges, tunnels, buildings, and pavements has become a common activity due to reasons such as renovation, rehabilitation, retrofitting, or simply ending the service life of these structures. This upsurge has brought major challenges in managing construction demolition waste (CDW). Traditional demolition techniques are often characterized by high environmental impacts, inefficiency in waste management, and safety concerns. This paper critically reviews traditional and emerging concrete structure demolition technologies in terms of efficiency, safety, environmental impact, waste minimization, and material recyclability. A detailed review of manual demolition, mechanical demolition, implosion, and relatively new techniques such as static blasting, diamond wire sawing, soundless chemical demolition agents, hydro demolition, electrical discharge technology, demolition robots, and microwave heating is conducted. The key findings of this paper are that various alternative technologies have significant advantages over their traditional counterparts by offering minimum environmental pollution, improvements in on-site safety, and a possibility for materials to be reused and recycled. For instance, hydro demolition and diamond wire sawing are very efficient and accurate, meaning that actual waste management is highly improved. This paper underlines that the choice of demolition methods adapted to project needs is crucial for the development of sustainable CDW management. Such findings are useful to practitioners and policymakers who have to make fully informed decisions to promote environmental sustainability and resource conservation goals.</t>
  </si>
  <si>
    <t>[Mohammadi, Mohsen] Schnabel Engn LLC, 220 9th St,Suite 385, Jersey City, NJ 07302 USA; [Mohammad, Saman Mostafa] Kirmanj Construct, 60mt St Opposite Franso Hariri Stadium, Erbil 44002, Iraq; [Roshanbin, Mehdi; Lomboy, Gilson R.; Abubakri, Shahriar] Rowan Univ, Ctr Res &amp; Educ Adv Transportat Engn Syst, Dept Civil &amp; Environm Engn, Glassboro, NJ 08028 USA</t>
  </si>
  <si>
    <t>Rowan University</t>
  </si>
  <si>
    <t>Abubakri, S (corresponding author), Rowan Univ, Ctr Res &amp; Educ Adv Transportat Engn Syst, Dept Civil &amp; Environm Engn, Glassboro, NJ 08028 USA.</t>
  </si>
  <si>
    <t>mmohammadi@schnabel-eng.com; lomboy@rowan.edu; abubakri@rowan.edu</t>
  </si>
  <si>
    <t>Abubakri, Shahriar/ABB-9413-2021; Mohammadi, Mohsen/KHW-5942-2024</t>
  </si>
  <si>
    <t>Abubakri, Shahriar/0000-0001-6046-311X; Mohammadi, Mohsen/0009-0006-8711-1169</t>
  </si>
  <si>
    <t>2673-4117</t>
  </si>
  <si>
    <t>ENG-BASEL</t>
  </si>
  <si>
    <t>Eng</t>
  </si>
  <si>
    <t>10.3390/eng5040167</t>
  </si>
  <si>
    <t>R0W1M</t>
  </si>
  <si>
    <t>WOS:001388753600001</t>
  </si>
  <si>
    <t>Pacheco-Barrios, K; Ortega-Márquez, J; Fregni, F</t>
  </si>
  <si>
    <t>Pacheco-Barrios, Kevin; Ortega-Marquez, Jorge; Fregni, Felipe</t>
  </si>
  <si>
    <t>Haptic Technology: Exploring Its Underexplored Clinical Applications-A Systematic Review</t>
  </si>
  <si>
    <t>haptics; haptic technology; haptic training; multisensory training systems; medical devices; rehabilitation; mental health; cognition; medical innovation</t>
  </si>
  <si>
    <t>VIRTUAL-REALITY; RANDOMIZED CROSSOVER; FEEDBACK; PERCEPTION; DEVICES; INDIVIDUALS; PERFORMANCE; SIMULATION; RECOVERY; GUIDANCE</t>
  </si>
  <si>
    <t>Background/Objectives: Haptic technology has transformed interactions between humans and both tangible and virtual environments. Despite its widespread adoption across various industries, the potential therapeutic applications of this technology have yet to be fully explored. Methods: A systematic review of randomized controlled trials (RCTs) and randomized crossover trials was conducted, utilizing databases such as PubMed, Embase, Cochrane Library, and Web of Science. This review included studies reporting clinical applications of haptic technology in rehabilitation, cognition, wellness, and mental health among adult subjects. Results: This systematic review included 34 studies, of which 20 focused on clinical outcomes and 14 on learning clinical skills. The results showed that haptic devices, both robotic and non-robotic, enhance sensorimotor performance and motor function in rehabilitation settings, especially in post-stroke recovery, with reported effect sizes ranging from 0.2 to 0.7. The majority of the haptic technologies reported were integrated into robotic systems (40%). Haptic devices were also reported to improve clinical skills training by providing tactile feedback that enhances procedural performance and trainee self-efficacy. In fact, surgical simulations accounted for 79% of all the modalities used for medical training. Conclusions: This review underscores the potential yet underexplored applications of haptic technology in healthcare, including medical education, rehabilitation, cognition, and mental health. The key limitations of this review include heterogeneity across studies, small sample sizes, and a scarcity of comprehensive, long-term investigations. Therefore, future research should aim to validate these findings further and expand the applications of haptic technology to maximize its utility in the healthcare industry and clinical practice.</t>
  </si>
  <si>
    <t>[Pacheco-Barrios, Kevin; Ortega-Marquez, Jorge; Fregni, Felipe] Harvard Med Sch, Spaulding Rehabil Hosp, Neuromodulat Ctr &amp; Ctr Clin Res Learning, Boston, MA 02115 USA; [Pacheco-Barrios, Kevin; Ortega-Marquez, Jorge; Fregni, Felipe] Harvard Med Sch, Massachusetts Gen Hosp, Boston, MA 02115 USA; [Pacheco-Barrios, Kevin] Univ San Ignacio Loyola, Unidad Invest Generac &amp; Sintesis Evidencias Salud, Vicerrectorado Invest, Lima 15023, Peru</t>
  </si>
  <si>
    <t>Harvard University; Harvard Medical School; Harvard University Medical Affiliates; Spaulding Rehabilitation Hospital; Harvard University; Harvard Medical School; Harvard University Medical Affiliates; Massachusetts General Hospital; Universidad San Ignacio de Loyola</t>
  </si>
  <si>
    <t>Fregni, F (corresponding author), Harvard Med Sch, Spaulding Rehabil Hosp, Neuromodulat Ctr &amp; Ctr Clin Res Learning, Boston, MA 02115 USA.;Fregni, F (corresponding author), Harvard Med Sch, Massachusetts Gen Hosp, Boston, MA 02115 USA.</t>
  </si>
  <si>
    <t>kpachecobarrios@mgh.harvard.edu; jorge_ortegamarquez@hms.harvard.edu; fregni.felipe@mgh.harvard.edu</t>
  </si>
  <si>
    <t>Pacheco-Barrios, Kevin/N-8216-2016</t>
  </si>
  <si>
    <t>Fregni, Felipe/0000-0002-1703-7526</t>
  </si>
  <si>
    <t>NIH [5R21NS131635-02, 5R01HD082302-08]; NIH (NIH)</t>
  </si>
  <si>
    <t>NIH(United States Department of Health &amp; Human ServicesNational Institutes of Health (NIH) - USA); NIH (NIH)(United States Department of Health &amp; Human ServicesNational Institutes of Health (NIH) - USA)</t>
  </si>
  <si>
    <t>F.F. is a consultant for Woojin Partners and is funded by NIH (NIH grants 5R21NS131635-02 and 5R01HD082302-08).</t>
  </si>
  <si>
    <t>10.3390/biomedicines12122802</t>
  </si>
  <si>
    <t>Q8C9Q</t>
  </si>
  <si>
    <t>WOS:001386900700001</t>
  </si>
  <si>
    <t>Taniyama, Y; Okamoto, H; Sato, C; Ozawa, Y; Ishida, H; Unno, M; Kamei, T</t>
  </si>
  <si>
    <t>Taniyama, Yusuke; Okamoto, Hiroshi; Sato, Chiaki; Ozawa, Yohei; Ishida, Hirotaka; Unno, Michiaki; Kamei, Takashi</t>
  </si>
  <si>
    <t>Prevention and Management of Recurrent Laryngeal Nerve Palsy in Minimally Invasive Esophagectomy: Current Status and Future Perspectives</t>
  </si>
  <si>
    <t>esophageal cancer; minimally invasive esophagectomy; recurrent laryngeal nerve</t>
  </si>
  <si>
    <t>LYMPH-NODE DISSECTION; VOCAL FOLD PARALYSIS; THORACOSCOPIC ESOPHAGECTOMY; CANCER; MCKEOWN; IMPACT; INJURY; COMPLICATIONS</t>
  </si>
  <si>
    <t>Recurrent laryngeal nerve palsy remains a significant complication following minimally invasive esophagectomy for esophageal cancer. Despite advancements in surgical techniques and lymphadenectomy precision, the incidence of recurrent laryngeal nerve palsy has not been improved. Recurrent laryngeal nerve palsy predominantly affects the left side and may lead to unilateral or bilateral vocal cord paralysis, resulting in hoarseness, dysphagia, and an increased risk of aspiration pneumonia. While most cases of recurrent laryngeal nerve palsy are temporary and resolve within 6 to 12 months, some patients may experience permanent nerve dysfunction, severely impacting their quality of life. Prevention strategies, such as nerve integrity monitoring, robotic-assisted minimally invasive esophagectomy, and advanced dissection techniques, aim to minimize nerve injury, though their effectiveness varies. The management of recurrent laryngeal nerve palsy includes voice and swallowing rehabilitation, reinnervation techniques, and, in severe cases, surgical interventions such as thyroplasty and intracordal injection. As recurrent laryngeal nerve palsy can lead to significant postoperative respiratory complications, a multidisciplinary approach involving surgical precision, early detection, and comprehensive rehabilitation is crucial to improving patient outcomes and minimizing long-term morbidity in minimally invasive esophagectomy. This review article aims to inform esophageal surgeons and other clinicians about strategies for the prevention and management of recurrent laryngeal nerve palsy in esophagectomy.</t>
  </si>
  <si>
    <t>[Taniyama, Yusuke; Okamoto, Hiroshi; Sato, Chiaki; Ozawa, Yohei; Ishida, Hirotaka; Unno, Michiaki; Kamei, Takashi] Tohoku Univ, Grad Sch Med, Dept Surg, 2-1 Seiryo-machi Aoba-ku, Sendai, Miyagi 9808575, Japan</t>
  </si>
  <si>
    <t>Tohoku University</t>
  </si>
  <si>
    <t>Taniyama, Y (corresponding author), Tohoku Univ, Grad Sch Med, Dept Surg, 2-1 Seiryo-machi Aoba-ku, Sendai, Miyagi 9808575, Japan.</t>
  </si>
  <si>
    <t>yusuketaniyama@med.tohoku.ac.jp</t>
  </si>
  <si>
    <t>Okamoto, Hiroshi/AAH-9733-2019</t>
  </si>
  <si>
    <t>Sato, Chiaki/0000-0003-1449-2053; Taniyama, Yusuke/0000-0003-2563-247X</t>
  </si>
  <si>
    <t>10.3390/jcm13247611</t>
  </si>
  <si>
    <t>Q9H7K</t>
  </si>
  <si>
    <t>WOS:001387703000001</t>
  </si>
  <si>
    <t>Tsiakiri, A; Plakias, S; Karakitsiou, G; Nikova, A; Christidi, F; Kokkotis, C; Giarmatzis, G; Tsakni, G; Katsouri, IG; Dimitrios, S; Vadikolias, K; Aggelousis, N; Vlotinou, P</t>
  </si>
  <si>
    <t>Tsiakiri, Anna; Plakias, Spyridon; Karakitsiou, Georgia; Nikova, Alexandrina; Christidi, Foteini; Kokkotis, Christos; Giarmatzis, Georgios; Tsakni, Georgia; Katsouri, Ioanna-Giannoula; Dimitrios, Sarris; Vadikolias, Konstantinos; Aggelousis, Nikolaos; Vlotinou, Pinelopi</t>
  </si>
  <si>
    <t>Mapping the Landscape of Biomechanics Research in Stroke Neurorehabilitation: A Bibliometric Perspective</t>
  </si>
  <si>
    <t>BIOMECHANICS</t>
  </si>
  <si>
    <t>biomechanics; stroke; neuroplasticity; rehabilitation</t>
  </si>
  <si>
    <t>GAIT KINEMATICS; MOTOR; REHABILITATION</t>
  </si>
  <si>
    <t>Background/Objectives: The incorporation of biomechanics into stroke neurorehabilitation may serve to strengthen the effectiveness of rehabilitation strategies by increasing our understanding of human movement and recovery processes. The present bibliometric analysis of biomechanics research in stroke neurorehabilitation is conducted with the objectives of identifying influential studies, key trends, and emerging research areas that would inform future research and clinical practice. Methods: A comprehensive bibliometric analysis was performed using documents retrieved from the Scopus database on 6 August 2024. The analysis included performance metrics such as publication counts and citation analysis, as well as science mapping techniques, including co-authorship, bibliographic coupling, co-citation, and keyword co-occurrence analyses. Data visualization tools such as VOSviewer and Power BI were utilized to map the bibliometric networks and trends. Results: An overabundance of recent work has yielded substantial advancements in the application of brain-computer interfaces to electroencephalography and functional neuroimaging during stroke neurorehabilitation., which translate neural activity into control signals for external devices and provide critical insights into the biomechanics of motor recovery by enabling precise tracking and feedback of movement during rehabilitation. A sampling of the most impactful contributors and influential publications identified two leading countries of contribution: the United States and China. Three prominent research topic clusters were also noted: biomechanical evaluation and movement analysis, neurorehabilitation and robotics, and motor recovery and functional rehabilitation. Conclusions: The findings underscore the growing integration of advanced technologies such as robotics, neuroimaging, and virtual reality into neurorehabilitation practices. These innovations are poised to enhance the precision and effectiveness of therapeutic interventions. Future research should focus on the long-term impacts of these technologies and the development of accessible, cost-effective tools for clinical use. The integration of multidisciplinary approaches will be crucial in optimizing patient outcomes and improving the quality of life for stroke survivors.</t>
  </si>
  <si>
    <t>[Tsiakiri, Anna; Christidi, Foteini; Vadikolias, Konstantinos] Democritus Univ Thrace, Sch Med, Dept Neurol, Alexandroupolis 68100, Greece; [Plakias, Spyridon] Univ Thessaly, Dept Phys Educ &amp; Sport Sci, Trikala 42100, Greece; [Karakitsiou, Georgia] Democritus Univ Thrace, Sch Med, Dept Psychiat, Alexandroupolis 68100, Greece; [Nikova, Alexandrina] Asclipio Voulas Hosp, Dept Neurosurg, Athens 16673, Greece; [Kokkotis, Christos; Giarmatzis, Georgios; Aggelousis, Nikolaos] Democritus Univ Thrace, Dept Phys Educ &amp; Sport Sci, Komotini 69100, Greece; [Tsakni, Georgia; Katsouri, Ioanna-Giannoula; Vlotinou, Pinelopi] Univ West Attica, Dept Occupat Therapy, Athens 12243, Greece; [Dimitrios, Sarris] Univ Ioannina, Sch Educ, Dept Early Childhood Educ, Loannina 45110, Greece</t>
  </si>
  <si>
    <t>Democritus University of Thrace; University of Thessaly; Democritus University of Thrace; Democritus University of Thrace; University of West Attica; University of Ioannina</t>
  </si>
  <si>
    <t>Vlotinou, P (corresponding author), Univ West Attica, Dept Occupat Therapy, Athens 12243, Greece.</t>
  </si>
  <si>
    <t>atsiakir@med.duth.gr; spyros_plakias@yahoo.gr; gkarakitsiou@yahoo.gr; nikovaalex@gmail.com; christidi.f.a@gmail.com; ckokkoti@affil.duth.gr; ggiarmat@phyed.duth.gr; ytsakni@uniwa.gr; ykatsouri@uniwa.gr; dsarris@uoi.gr; kvadikol@med.duth.gr; nagelous@phyed.duth.gr; pvlotinou@uniwa.gr</t>
  </si>
  <si>
    <t>Nikova, Alexandrina/L-6263-2019; VADIKOLIAS, KONSTANTINOS/AAK-3620-2021; Tsiakiri, Anna/HFZ-7744-2022; KARAKITSIOU, GEORGIA/KOC-0728-2024; Giarmatzis, Georgios/AAC-1725-2022; Vlotinou, Pinelopi/GZH-1843-2022; PLAKIAS, SPYRIDON/HPF-9496-2023</t>
  </si>
  <si>
    <t>KATSOURI, IOANNA GIANNOULA/0009-0006-2036-2289; Vlotinou, Pinelopi/0000-0002-8828-9093; PLAKIAS, SPYRIDON/0000-0002-9511-6940; Nikova, alexandrina/0000-0002-0800-6955; Aggelousis, Nikos/0000-0001-5108-7335; Tsiakiri, Anna/0000-0003-3341-4093</t>
  </si>
  <si>
    <t>2673-7078</t>
  </si>
  <si>
    <t>BIOMECHANICS-BASEL</t>
  </si>
  <si>
    <t>Biomechanics</t>
  </si>
  <si>
    <t>10.3390/biomechanics4040048</t>
  </si>
  <si>
    <t>Biophysics; Engineering, Biomedical; Sport Sciences</t>
  </si>
  <si>
    <t>Biophysics; Engineering; Sport Sciences</t>
  </si>
  <si>
    <t>Q8C2N</t>
  </si>
  <si>
    <t>WOS:001386882200001</t>
  </si>
  <si>
    <t>Wang, BY; Chen, SJ; Xiao, GX</t>
  </si>
  <si>
    <t>Wang, Boyuan; Chen, Shanji; Xiao, Gexin</t>
  </si>
  <si>
    <t>Advancing healthcare through mobile collaboration: a survey of intelligent nursing robots research</t>
  </si>
  <si>
    <t>internet of things; mobile collaboration; nursing robots; artificial intelligence; clinical applications; review literature</t>
  </si>
  <si>
    <t>Mobile collaborative intelligent nursing robots have gained significant attention in the healthcare sector as an innovative solution to address the challenges posed by the increasing aging population and limited medical resources. This article provides a comprehensive overview of the research advancements in this field, covering hospital care, home older adults care, and rehabilitation assistance. In hospital settings, these robots assist healthcare professionals in tasks such as patient monitoring, medication management, and bedside care. For home older adults care, they enhance the older adults sense of security and quality of life by offering daily life support and monitoring. In rehabilitation, these robots provide services such as physical rehabilitation training and social interaction to facilitate patient recovery. However, the development of intelligent nursing robots faces challenges in technology, ethics, law, and user acceptance. Future efforts should focus on improving robots' perceptual and cognitive abilities, enhancing human-robot interaction, and conducting extensive clinical experiments for broader applications.</t>
  </si>
  <si>
    <t>[Wang, Boyuan] Beijing Xiaotangshan Hosp, Beijing, Peoples R China; [Chen, Shanji] Hunan Univ Med, Affiliated Hosp 1, Huaihua, Peoples R China; [Chen, Shanji] Hunan Primary Digital Engn Technol Res Ctr Med Pre, Huaihua, Peoples R China; [Xiao, Gexin] Natl Inst Hosp Adm NIHA, Beijing, Peoples R China</t>
  </si>
  <si>
    <t>Hunan University of Medicine</t>
  </si>
  <si>
    <t>Xiao, GX (corresponding author), Natl Inst Hosp Adm NIHA, Beijing, Peoples R China.</t>
  </si>
  <si>
    <t>gexin_xiao@sina.com</t>
  </si>
  <si>
    <t>chen, shanji/LLK-2850-2024</t>
  </si>
  <si>
    <t>National Key Research and Development Program of China [2021YFC0122701]; National Institute of Hospital Administration (NIHA) R&amp;D of Intelligent Robot Systems for Critical Care [HLJQRS_2023A15]</t>
  </si>
  <si>
    <t>National Key Research and Development Program of China(National Key Research &amp; Development Program of China); National Institute of Hospital Administration (NIHA) R&amp;D of Intelligent Robot Systems for Critical Care</t>
  </si>
  <si>
    <t>The author(s) declare financial support was received for the research, authorship, and/or publication of this article. This research was funded by the National Key Research and Development Program of China (no. 2021YFC0122701) and National Institute of Hospital Administration (NIHA) R&amp;D of Intelligent Robot Systems for Critical Care Project Collaboration Topic (no. HLJQRS_2023A15).</t>
  </si>
  <si>
    <t>NOV 26</t>
  </si>
  <si>
    <t>10.3389/fpubh.2024.1368805</t>
  </si>
  <si>
    <t>O6R2L</t>
  </si>
  <si>
    <t>WOS:001372367300001</t>
  </si>
  <si>
    <t>Mota-Martínez, MC; Rechy-Ramirez, EJ</t>
  </si>
  <si>
    <t>Mota-Martinez, M. Concepsion; Rechy-Ramirez, Ericka Janet</t>
  </si>
  <si>
    <t>A scoping review on serious games as rehabilitation technologies for ankle rehabilitation: game genres, game accessibility, and game usability</t>
  </si>
  <si>
    <t>UNIVERSAL ACCESS IN THE INFORMATION SOCIETY</t>
  </si>
  <si>
    <t>Serious game; Ankle rehabilitation; Game genre; Game accessibility; Game usability</t>
  </si>
  <si>
    <t>OF-THE-ART; ROBOTIC DEVICE; VIDEO GAMES; STROKE; CHILDREN; SPRAIN; INJURY; TASK; GAIT</t>
  </si>
  <si>
    <t>Owing to accidents and medical conditions, people might suffer ankle injuries; consequently, they might need rehabilitation for recovery. This review analyzes the state-of-the-art on using serious games as rehabilitation technologies for ankle rehabilitation. Specifically, we investigated the genres used in these games and whether these games provide game accessibility and assess game usability. Articles were searched using the IEEE Xplore Digital Library, PubMed, ScienceDirect, and Scopus databases. PRISMA was employed to filter the articles. Articles were analyzed to ensure that they met the following inclusion criteria: using serious games for ankle rehabilitation, performed rehabilitation exercises, written in English, and published between January 2009 and August 2024. 274 articles were retrieved. Only 53 articles met our inclusion criteria; 70 games are proposed in these studies. Sports was the most widely used genre in these games (13 out of 70 games: 18.57%). Games are not accessible because none of them consider visual, hearing, or cognitive impairments. A few studies implemented games with auditory (7.54%) and haptic feedback (3.77%). A few studies (9.43%) assessed three of the four features (learnability, efficiency, errors, satisfaction) considered for game usability. Future research in terms of game accessibility could consider visual, hearing, and cognitive impairments to adjust game difficulty and appearance accordingly. Furthermore, it would be convenient to take into account the four features related to game usability when the game is implemented and tested.</t>
  </si>
  <si>
    <t>[Mota-Martinez, M. Concepsion; Rechy-Ramirez, Ericka Janet] Univ Veracruzana, Inst Invest Inteligencia Artificial, Paseo 112 Lote 2, Xalapa 91097, Veracruz, Mexico</t>
  </si>
  <si>
    <t>Universidad Veracruzana</t>
  </si>
  <si>
    <t>Rechy-Ramirez, EJ (corresponding author), Univ Veracruzana, Inst Invest Inteligencia Artificial, Paseo 112 Lote 2, Xalapa 91097, Veracruz, Mexico.</t>
  </si>
  <si>
    <t>con.mota12@gmail.com; erechy@uv.mx</t>
  </si>
  <si>
    <t>Rechy-Ramirez, Ericka Janet/AAK-4885-2021</t>
  </si>
  <si>
    <t>Rechy-Ramirez, Ericka Janet/0000-0002-8401-1174</t>
  </si>
  <si>
    <t>Mexican National Council of Humanities, Science and Technology Conahcyt (Consejo Nacional de Humanidades, Ciencias y Tecnologias) [771858, 743933]</t>
  </si>
  <si>
    <t>Mexican National Council of Humanities, Science and Technology Conahcyt (Consejo Nacional de Humanidades, Ciencias y Tecnologias)</t>
  </si>
  <si>
    <t>M. C. Mota-Martinez would like to thank the Mexican National Council of Humanities, Science and Technology Conahcyt (Consejo Nacional de Humanidades, Ciencias y Tecnologias) for funding her PhD studies (CVU number: 771858, scholarship number: 743933).</t>
  </si>
  <si>
    <t>1615-5289</t>
  </si>
  <si>
    <t>1615-5297</t>
  </si>
  <si>
    <t>UNIVERSAL ACCESS INF</t>
  </si>
  <si>
    <t>Univers. Access Inf. Soc.</t>
  </si>
  <si>
    <t>2024 NOV 12</t>
  </si>
  <si>
    <t>10.1007/s10209-024-01173-4</t>
  </si>
  <si>
    <t>NOV 2024</t>
  </si>
  <si>
    <t>Computer Science, Cybernetics; Ergonomics</t>
  </si>
  <si>
    <t>L7T6P</t>
  </si>
  <si>
    <t>WOS:001352709000001</t>
  </si>
  <si>
    <t>Sánchez-Gil, JJ; Sáez-Manzano, A; López-Luque, R; Ochoa-Sepúlveda, JJ; Cañete-Carmona, E</t>
  </si>
  <si>
    <t>Sanchez-Gil, Juan J.; Saez-Manzano, Aurora; Lopez-Luque, Rafael; Ochoa-Sepulveda, Juan-Jose; Canete-Carmona, Eduardo</t>
  </si>
  <si>
    <t>Gamified devices for stroke rehabilitation: A systematic review☆</t>
  </si>
  <si>
    <t>COMPUTER METHODS AND PROGRAMS IN BIOMEDICINE</t>
  </si>
  <si>
    <t>Stroke; Gamification; Neurorehabilitation; Neuroplasticity; Gamified therapy; Biomedical engineering</t>
  </si>
  <si>
    <t>IMMERSIVE VIRTUAL-REALITY; UPPER-LIMB REHABILITATION; SERIOUS GAMES; ROBOTIC REHABILITATION; MOTOR REHABILITATION; VIDEO GAMES; GAMIFICATION; THERAPY; RECOVERY; TECHNOLOGY</t>
  </si>
  <si>
    <t>Background and Objective: Rehabilitation after stroke is essential to minimize permanent disability. Gamification, the integration of game elements into non-game environments, has emerged as a promising strategy for increasing motivation and rehabilitation effectiveness. This article systematically reviews the gamified devices used in stroke rehabilitation and evaluates their impact on emotional, social, and personal effects on patients, providing a comprehensive view of gamified rehabilitation. Methods: A comprehensive search using the PRISMA 2020 guidelines was conducted using the IEEE Xplore, PubMed, Springer Link, APA PsycInfo, and ScienceDirect databases. Empirical studies published between January 2019 and December 2023 that quantified the effects of gamification in terms of usability, motivation, engagement, and other qualitative patient responses were selected. Results: In total, 169 studies involving 6404 patients were included. Gamified devices are categorized into four types: robotic/motorized, non-motorized, virtual reality, and neuromuscular electrical stimulation. The results showed that gamified devices not only improved motor and cognitive function but also had a significant positive impact on patients' emotional, social and personal levels. Most studies have reported high levels of patient satisfaction and motivation, highlighting the effectiveness of gamification in stroke rehabilitation. Conclusions: Gamification in stroke rehabilitation offers significant benefits beyond motor and cognitive recovery by improving patients' emotional and social well-being. This systematic review provides a comprehensive overview of the most effective gamified technologies and highlights the need for future multidisciplinary research to optimize the design and implementation of gamified solutions in stroke rehabilitation.</t>
  </si>
  <si>
    <t>[Sanchez-Gil, Juan J.; Saez-Manzano, Aurora; Canete-Carmona, Eduardo] Univ Cordoba, Dept Elect &amp; Comp Engn, Cordoba, Spain; [Lopez-Luque, Rafael; Ochoa-Sepulveda, Juan-Jose] Hosp Cruz Roja Cordoba, Inst Neurosci, Cordoba, Spain</t>
  </si>
  <si>
    <t>Universidad de Cordoba</t>
  </si>
  <si>
    <t>Sánchez-Gil, JJ (corresponding author), Univ Cordoba, Dept Elect &amp; Comp Engn, Cordoba, Spain.</t>
  </si>
  <si>
    <t>sanchezgil@uco.es</t>
  </si>
  <si>
    <t>Sáez, Aurora/IIS-2759-2023; Sánchez Gil, Juan José/JVO-1736-2024; Canete-Carmona, Eduardo/G-3553-2018; Saez, Aurora/L-1060-2017</t>
  </si>
  <si>
    <t>Canete-Carmona, Eduardo/0000-0002-0384-1660; Saez, Aurora/0000-0003-2555-7123; Sanchez Gil, Juan Jose/0009-0000-1401-0910</t>
  </si>
  <si>
    <t>University of Cordoba, Spain [PPG2023-UCOSOCIAL-01]</t>
  </si>
  <si>
    <t>University of Cordoba, Spain</t>
  </si>
  <si>
    <t>This work was supported by the Plan Propio Galileo de Innovacion y Transferencia de la UCO 2023 of the University of Cordoba, Spain (Modality: UCO-Social-Innova) under grant PPG2023-UCOSOCIAL-01.</t>
  </si>
  <si>
    <t>0169-2607</t>
  </si>
  <si>
    <t>1872-7565</t>
  </si>
  <si>
    <t>COMPUT METH PROG BIO</t>
  </si>
  <si>
    <t>Comput. Meth. Programs Biomed.</t>
  </si>
  <si>
    <t>10.1016/j.cmpb.2024.108476</t>
  </si>
  <si>
    <t>Computer Science, Interdisciplinary Applications; Computer Science, Theory &amp; Methods; Engineering, Biomedical; Medical Informatics</t>
  </si>
  <si>
    <t>Computer Science; Engineering; Medical Informatics</t>
  </si>
  <si>
    <t>M1N7H</t>
  </si>
  <si>
    <t>WOS:001355283300001</t>
  </si>
  <si>
    <t>Giorgi, F; Donati, D; Platano, D; Tedeschi, R</t>
  </si>
  <si>
    <t>Giorgi, Federica; Donati, Danilo; Platano, Daniela; Tedeschi, Roberto</t>
  </si>
  <si>
    <t>Focal Vibration Therapy for Motor Deficits and Spasticity Management in Post-Stroke Rehabilitation</t>
  </si>
  <si>
    <t>focal vibration therapy; stroke rehabilitation; spasticity reduction; motor function recovery; pain management</t>
  </si>
  <si>
    <t>MUSCLE VIBRATION; TENDON VIBRATION; UPPER-LIMB; STROKE; RECOVERY; PERFORMANCE</t>
  </si>
  <si>
    <t>Background: Focal mechanical vibration therapy has gained attention as a potential intervention to improve motor function while decreasing spasticity and pain in post-stroke patients. Despite promising results, there remains variability in study designs and outcomes, warranting a review of its clinical efficacy. Methods: A review was conducted to evaluate randomized controlled trials (RCTs) investigating the effects of focal mechanical vibration therapy on post-stroke rehabilitation. Six studies were included, assessing outcomes such as spasticity reduction (using the Modified Ashworth Scale), motor function recovery (Wolf Motor Function Test, Fugl-Meyer Assessment), and pain management (Visual Analog Scale, Numerical Rating Scale). The quality of studies was evaluated using the PEDro scale and RoB-2 tool. An overview review was conducted to provide a comprehensive analysis of the topic. Results: The included studies demonstrated significant reductions in spasticity and improvements in motor function in most patients receiving focal vibration therapy. Notable improvements were observed when focal vibration was combined with other rehabilitation techniques, such as progressive modular rebalancing or robotic rehabilitation. Pain levels were also reduced in several studies. However, differences in vibration parameters (frequency, amplitude), small sample sizes, and short follow-up periods limit the generalizability of the findings. Conclusions: Focal mechanical vibration therapy appears to be an effective adjunct in post-stroke rehabilitation, particularly for reducing spasticity and improving motor function. Although short-term benefits are promising, further research is required to determine long-term efficacy and optimal treatment parameters. This review evaluates the effectiveness of focal vibration therapy in treating motor deficits and spasticity in post-stroke patients. The results suggest its potential to improve these conditions, though further studies with larger sample sizes are needed to confirm its long-term efficacy.</t>
  </si>
  <si>
    <t>[Giorgi, Federica] IRCCS Inst Neurol Sci, Pediat Phys Med &amp; Rehabil Unit, Via Zamboni 33, I-40126 Bologna, Italy; [Donati, Danilo] Policlin Modena, Phys Therapy &amp; Rehabil Unit, I-41125 Modena, Italy; [Donati, Danilo] Univ Modena &amp; Reggio Emilia, Clin &amp; Expt Med PhD Program, I-41125 Modena, Italy; [Platano, Daniela; Tedeschi, Roberto] Univ Bologna, Dept Biomed &amp; Neuromotor Sci, Alma Mater Studiorum, I-40127 Bologna, Italy; [Platano, Daniela] IRCCS Ist Ortoped Rizzoli, Phys Med &amp; Rehabil Unit, I-40136 Bologna, Italy</t>
  </si>
  <si>
    <t>IRCCS Istituto delle Scienze Neurologiche di Bologna (ISNB); Universita di Modena e Reggio Emilia; Universita di Modena e Reggio Emilia; University of Bologna</t>
  </si>
  <si>
    <t>Tedeschi, R (corresponding author), Univ Bologna, Dept Biomed &amp; Neuromotor Sci, Alma Mater Studiorum, I-40127 Bologna, Italy.</t>
  </si>
  <si>
    <t>roberto.tedeschi2@unibo.it</t>
  </si>
  <si>
    <t>Tedeschi, Roberto/GXA-2925-2022; Platano, Daniela/GLU-1392-2022; DONATI, DANILO/HGA-6919-2022</t>
  </si>
  <si>
    <t>Tedeschi, Roberto/0000-0001-9037-4767; platano, daniela/0000-0001-7923-4114</t>
  </si>
  <si>
    <t>10.3390/brainsci14111060</t>
  </si>
  <si>
    <t>N4H9J</t>
  </si>
  <si>
    <t>WOS:001363980300001</t>
  </si>
  <si>
    <t>Su, TT; Wang, MT; Chen, ZY; Feng, L</t>
  </si>
  <si>
    <t>Su, Tingting; Wang, Mengting; Chen, Zhouyang; Feng, Liang</t>
  </si>
  <si>
    <t>Effect of Upper Robot-Assisted Training on Upper Limb Motor, Daily Life Activities, and Muscular Tone in Patients With Stroke: A Systematic Review and Meta-Analysis</t>
  </si>
  <si>
    <t>BRAIN AND BEHAVIOR</t>
  </si>
  <si>
    <t>meta-analysis; rehabilitation; robotics; stroke; systematic review; upper limb</t>
  </si>
  <si>
    <t>SUBACUTE STROKE; REHABILITATION; MULTICENTER</t>
  </si>
  <si>
    <t>BackgroundUpper limb rehabilitation robot is a relatively new technology, but its effectiveness remains debatable due to the inconsistent results of clinical trials. This article intends to assess how upper limb rehabilitation robots help the functional recovery of stroke patients.MethodsPubMed, Embase, Cochrane Library, and Web of Science databases were searched for eligible studies to explore the effect of upper limb rehabilitation robots on upper limb motor function, muscle tone, and daily living activities.ResultsEighteen trials with 573 stroke patients met the inclusion criteria. The results showed that compared to conventional rehabilitation training, patients who received upper limb robotic therapy (RT) had significantly improved Fugl-Meyer Upper Extremity Motor Assessment (FMA-UE) scores (weighted mean differences [WMD]: 5.27, 95% confidence intervals [CI]: 3.36, 7.17), Action Research Arm Test (ARAT) scores (WMD: 4.07, 95% CI: -4.14, 12.28), Modified Barthel Index (MBI) scores (WMD: 9.55, 95% CI: 6.37, 12.73), and modified Ashworth Scale (MAS) scores (WMD: -0.28, 95% CI: -0.50, 0.06), with no significant heterogeneity.ConclusionsUpper limb robot-assisted training is superior to conventional training in terms of improving upper limb motor impairment, ability to perform daily living activities, and muscle tone recovery, which supports the application of robots in clinical practice.</t>
  </si>
  <si>
    <t>[Su, Tingting; Wang, Mengting; Chen, Zhouyang; Feng, Liang] Tongxiang First Peoples Hosp, Dept Rehabil Med, Tongxiang, Zhejiang, Peoples R China</t>
  </si>
  <si>
    <t>Feng, L (corresponding author), Tongxiang First Peoples Hosp, Dept Rehabil Med, Tongxiang, Zhejiang, Peoples R China.</t>
  </si>
  <si>
    <t>ricefeng@163.com</t>
  </si>
  <si>
    <t>chen, zhouyang/GRR-7271-2022</t>
  </si>
  <si>
    <t>su, ting ting/0009-0002-7156-317X</t>
  </si>
  <si>
    <t>2162-3279</t>
  </si>
  <si>
    <t>BRAIN BEHAV</t>
  </si>
  <si>
    <t>Brain Behav.</t>
  </si>
  <si>
    <t>e70117</t>
  </si>
  <si>
    <t>10.1002/brb3.70117</t>
  </si>
  <si>
    <t>Behavioral Sciences; Neurosciences</t>
  </si>
  <si>
    <t>Behavioral Sciences; Neurosciences &amp; Neurology</t>
  </si>
  <si>
    <t>O0K0D</t>
  </si>
  <si>
    <t>WOS:001368105500001</t>
  </si>
  <si>
    <t>Perrelli, M; Lago, F; Garofalo, S; Bruno, L; Mundo, D; Carbone, G</t>
  </si>
  <si>
    <t>Perrelli, Michele; Lago, Francesco; Garofalo, Salvatore; Bruno, Luigi; Mundo, Domenico; Carbone, Giuseppe</t>
  </si>
  <si>
    <t>A critical review and systematic design approach for innovative upper-limb rehabilitation devices</t>
  </si>
  <si>
    <t>Design guidelines; Upper-limb rehabilitation; Systematic design approach; Wearable robotics</t>
  </si>
  <si>
    <t>NORMAL RANGE; SHOULDER; MOTION; SOFT; EXOSKELETON; VALIDATION; EXOSUIT; DRIVEN</t>
  </si>
  <si>
    <t>This paper conducts a thorough literature review and assessment of prevailing upper-limb rehabilitation devices, scrutinizing their strengths and limitations. The focus of this work is mainly on soft exosuit devices but some rigid and hybrid exoskeleton devices are also discussed as a comparative mean. Subsequently, this manuscript delineates explicit design guidelines with the intent of fostering a systematic approach toward innovation in the realm of upper-limb rehabilitation technology. Through an examination of current concepts and technological paradigms, this study seeks to contribute nuanced insights aimed at optimizing both efficacy and user experience in rehabilitation device design. The culmination of this critical analysis results in the proposal of a systematic design procedure to inform and influence the trajectory of specific user- tailored innovations within the domain of upper-limb rehabilitation devices.The proposed approach enables the identification of features and weaknesses in existing devices, facilitating also the design of innovative solutions for unsolved issues in the field of wearable robotics. A design example is presented to clarify the proposed design procedure.</t>
  </si>
  <si>
    <t>[Perrelli, Michele; Lago, Francesco; Garofalo, Salvatore; Bruno, Luigi; Mundo, Domenico; Carbone, Giuseppe] Univ Calabria, DIMEG, I-87036 Arcavacata Di Rende, Italy</t>
  </si>
  <si>
    <t>University of Calabria</t>
  </si>
  <si>
    <t>Perrelli, M (corresponding author), Univ Calabria, DIMEG, I-87036 Arcavacata Di Rende, Italy.</t>
  </si>
  <si>
    <t>michele.perrelli@unical.it</t>
  </si>
  <si>
    <t>Perrelli, Michele/ABD-6717-2020; Mundo, Domenico/X-3151-2019; Bruno, Luigi/Q-7702-2016; Carbone, Giuseppe/J-5846-2012</t>
  </si>
  <si>
    <t>Bruno, Luigi/0000-0002-6745-0466; Garofalo, Salvatore/0009-0001-0966-6621; Carbone, Giuseppe/0000-0003-0831-8358; Lago, Francesco/0000-0003-2556-5983</t>
  </si>
  <si>
    <t>Next Generation EU, National Recovery and Resilience Plan, Investment PE8 - Project Age-It: Ageing Well in an Ageing Society [DM 1557]</t>
  </si>
  <si>
    <t>Next Generation EU, National Recovery and Resilience Plan, Investment PE8 - Project Age-It: Ageing Well in an Ageing Society</t>
  </si>
  <si>
    <t>We gratefully acknowledge support from the Next Generation EU, National Recovery and Resilience Plan, Investment PE8 - Project Age-It: Ageing Well in an Ageing Society DM 1557, 11.10.2022.</t>
  </si>
  <si>
    <t>10.1016/j.robot.2024.104835</t>
  </si>
  <si>
    <t>OCT 2024</t>
  </si>
  <si>
    <t>K5B4I</t>
  </si>
  <si>
    <t>WOS:001344022600001</t>
  </si>
  <si>
    <t>Sidharthan, S; Bhattacharya, R</t>
  </si>
  <si>
    <t>Sidharthan, Sujith; Bhattacharya, Rajarshi</t>
  </si>
  <si>
    <t>Technology Update in Management of Multi-Ligament Knee Injuries</t>
  </si>
  <si>
    <t>INDIAN JOURNAL OF ORTHOPAEDICS</t>
  </si>
  <si>
    <t>Multi-ligament knee injuries; Technology; Artificial intelligence; Data protection</t>
  </si>
  <si>
    <t>ANTERIOR CRUCIATE LIGAMENT; BIOABSORBABLE INTERFERENCE SCREWS; POSTEROLATERAL CORNER; ACL RECONSTRUCTION; POSTOPERATIVE KNEE; GRAFT FIXATION; MRI; TUNNEL; DISLOCATION; REVISION</t>
  </si>
  <si>
    <t>IntroductionMulti-ligament knee injuries present in various combinations of structures around the knee joint, with or without involvement of neurovascular structures, posing significant challenges to the treating physician and therapists. Accurate diagnosis with appropriate surgical intervention and comprehensive rehabilitation to restore function and stability is, therefore, paramount. This article looks at the recent advancements in technology that are aiding in the management of these injuries.MethodAn extensive search of literature was done in PubMed, SCOPUS, and Google Scholar on this topic and the necessary information was derived from the relevant articles for this review. The progress made in the field of diagnosis, surgical management, rehabilitation and patient education tools were explored.DiscussionA wide variety of diagnostic tools exists that are providing a more accurate evaluation of multi-ligament knee injuries both pre-operatively and post operatively. Advances in technology and techniques have aided in transforming their surgical management to a more minimally invasive approach. Patient-specific instrumentation, computer navigation and robotic-assisted surgery are in various stages of development offering enhanced precision and accuracy during ligament reconstruction procedures along with developments in digital technology and artificial intelligence.ConclusionAdvancements in technology have transformed the management of multi-ligament knee injuries, offering new tools and techniques that enhance diagnostic accuracy, surgical precision, and rehabilitation effectiveness. Artificial intelligence and its utility have widened the horizons, while at the same time bringing in the need for regulations necessary to monitor and develop these technologies.</t>
  </si>
  <si>
    <t>[Sidharthan, Sujith; Bhattacharya, Rajarshi] Bays St Marys Hosp, Imperial Coll Healthcare NHS Trust, Dept Trauma &amp; Orthopaed, South Wharf Rd, London W2 1NY, England</t>
  </si>
  <si>
    <t>Imperial College London</t>
  </si>
  <si>
    <t>Sidharthan, S (corresponding author), Bays St Marys Hosp, Imperial Coll Healthcare NHS Trust, Dept Trauma &amp; Orthopaed, South Wharf Rd, London W2 1NY, England.</t>
  </si>
  <si>
    <t>sujsidh@doctors.org.uk</t>
  </si>
  <si>
    <t>Sidharthan, Sujith/0000-0002-2719-1295</t>
  </si>
  <si>
    <t>0019-5413</t>
  </si>
  <si>
    <t>1998-3727</t>
  </si>
  <si>
    <t>INDIAN J ORTHOP</t>
  </si>
  <si>
    <t>Indian J. Orthop.</t>
  </si>
  <si>
    <t>10.1007/s43465-024-01281-6</t>
  </si>
  <si>
    <t>L7H3R</t>
  </si>
  <si>
    <t>WOS:001340279600001</t>
  </si>
  <si>
    <t>Wang, WD; Ren, HZ; Ci, ZL; Yuan, XQ; Zhang, P; Wang, CY</t>
  </si>
  <si>
    <t>Wang, Wendong; Ren, Huizhao; Ci, Zelin; Yuan, Xiaoqing; Zhang, Peng; Wang, Chenyang</t>
  </si>
  <si>
    <t>Control Method of Upper Limb Rehabilitation Exoskeleton for Better Assistance: A Comprehensive Review</t>
  </si>
  <si>
    <t>control method; human-robot interaction; rehabilitation; upper limb exoskeleton</t>
  </si>
  <si>
    <t>SLIDING MODE CONTROL; FUZZY NEURAL-NETWORK; ROBOTIC EXOSKELETON; ADAPTIVE-CONTROL; CONTROL STRATEGY; SYSTEM; DESIGN</t>
  </si>
  <si>
    <t>The upper limb rehabilitation exoskeleton is a robotic-arm-like device that fits the human upper limb and assists in movement, having the potential to be widely used in medical practice. The control method of the upper limb rehabilitation exoskeleton system is an important factor that affects the effectiveness of its rehabilitation training assistance and is also the focus of research in this field. In this article, we divide the control method of the upper limb rehabilitation exoskeleton into two levels, the high-level control mode (including passive mode, active mode, and ANN, etc.) and the low-level controller. The design of the controller aims to meet the requirements of the control mode but faces difficulties such as complex dynamic models of the system, unknown external disturbances, and motion intention recognition to achieve accurate motion trajectory tracking and flexible human-robot interaction. Based on relevant literature in the field of upper limb rehabilitation exoskeleton control methods in recent years, we analyze the rehabilitation training control modes that researchers aim to achieve, as well as the work they have done in controller design to achieve these control modes. We also propose potential research directions for achieving better exoskeleton-assisted training effects.</t>
  </si>
  <si>
    <t>[Wang, Wendong; Ren, Huizhao; Ci, Zelin; Yuan, Xiaoqing; Wang, Chenyang] Northwestern Polytech Univ, Sch Mech Engn, Xian, Peoples R China; [Wang, Wendong] Northwestern Polytech Univ, Chongqing Innovat Ctr, Chongqing, Peoples R China; [Zhang, Peng] Northwestern Polytech Univ, Training Ctr Engn Pract, Xian, Peoples R China</t>
  </si>
  <si>
    <t>Northwestern Polytechnical University; Northwestern Polytechnical University; Northwestern Polytechnical University</t>
  </si>
  <si>
    <t>Wang, WD (corresponding author), Northwestern Polytech Univ, Sch Mech Engn, Xian, Peoples R China.;Wang, WD (corresponding author), Northwestern Polytech Univ, Chongqing Innovat Ctr, Chongqing, Peoples R China.</t>
  </si>
  <si>
    <t>wdwang@nwpu.edu.cn</t>
  </si>
  <si>
    <t>yuan, xiaoqing/C-2065-2014</t>
  </si>
  <si>
    <t>Wang, Wendong/0000-0002-2336-0477; yuan, xiaoqing/0000-0002-0672-6895</t>
  </si>
  <si>
    <t>This work is supported by Natural Science Fundamental Research Plan of Shaanxi Province (Grant No. 2024JC-YBMS-276), Natural Science Foundation of Chongqing (Grant No. CSTB2023NSCQ-MSX0051), and Guangdong Province Basic and Applied Basic Research Foundatio [2024JC-YBMS-276]; Natural Science Fundamental Research Plan of Shaanxi Province [CSTB2023NSCQ-MSX0051]; Natural Science Foundation of Chongqing [2024A1515010786]; Guangdong Province Basic and Applied Basic Research Foundation Project</t>
  </si>
  <si>
    <t>This work is supported by Natural Science Fundamental Research Plan of Shaanxi Province (Grant No. 2024JC-YBMS-276), Natural Science Foundation of Chongqing (Grant No. CSTB2023NSCQ-MSX0051), and Guangdong Province Basic and Applied Basic Research Foundatio; Natural Science Fundamental Research Plan of Shaanxi Province; Natural Science Foundation of Chongqing(Natural Science Foundation of Chongqing); Guangdong Province Basic and Applied Basic Research Foundation Project</t>
  </si>
  <si>
    <t>This work is supported by Natural Science Fundamental Research Plan of Shaanxi Province (Grant No. 2024JC-YBMS-276), Natural Science Foundation of Chongqing (Grant No. CSTB2023NSCQ-MSX0051), and Guangdong Province Basic and Applied Basic Research Foundation Project (Grant No. 2024A1515010786).</t>
  </si>
  <si>
    <t>10.1002/rob.22455</t>
  </si>
  <si>
    <t>2QJ2W</t>
  </si>
  <si>
    <t>WOS:001339797200001</t>
  </si>
  <si>
    <t>Assare-Mokwah, E; Arunkumar, S</t>
  </si>
  <si>
    <t>Assare-Mokwah, Emmanuel; Arunkumar, S.</t>
  </si>
  <si>
    <t>Application of human-centered design principles to wearable exoskeletons: a systematic review</t>
  </si>
  <si>
    <t>Human-centred design; user-centered design; usability; safety; comfort; wearable exoskeleton</t>
  </si>
  <si>
    <t>ROBOTIC EXOSKELETONS</t>
  </si>
  <si>
    <t>Purpose of the article: As technologies continue to advance, designing wearable exoskeletons that are comfortable, safe, reliable, and engaging for users is an arduous task. The integration of HCD principles in exoskeleton development significantly contributes to ensuring that the product meets the needs and preferences of users. This study systematically reviews the application of human-centred design (HCD) principles in the development of wearable exoskeletons.Methodology: It synthesizes existing literature, identifies key HCD concepts and assesses their impact on exoskeleton usability, comfort, and safety. The findings of the study revealed a moderate application of HCD in many of the studies; however, the concepts were found to play a crucial role in enhancing the usability, safety, and comfort of wearable exoskeleton technology implementation. Challenges revealed in the study include limited stakeholder involvement, a lack of standardized evaluation metrics, non-consideration of ethical, legal, and social issues, and a lack of studies on the potential adverse effects of exoskeleton use. Besides identifying the challenges faced in integrating HCD principles into exoskeleton development, the study also proposed pragmatic approaches to overcome them.Results: The study underscores the significance of incorporating human-centred design principles in the design and development of wearable exoskeletons. This has implications for industry, rehabilitation, health, and agriculture to churn out positive outcomes. The research contributes to the expanding literature on wearable exoskeletons and HCD, offering valuable insights into the advancement of this technology in various domains and suggesting areas for future studies to address identified gaps.</t>
  </si>
  <si>
    <t>[Assare-Mokwah, Emmanuel] Vishwa Vidyapeetham, Amrita Sch Sustainable Futures, Amritapuri, India; [Arunkumar, S.] Amrita Vishwa Vidyapeetham, Dept Mech Engn, Amritapuri, India</t>
  </si>
  <si>
    <t>Amrita Vishwa Vidyapeetham; Amrita Vishwa Vidyapeetham Amritapuri</t>
  </si>
  <si>
    <t>Arunkumar, S (corresponding author), Amrita Vishwa Vidyapeetham, Dept Mech Engn, Amritapuri, India.</t>
  </si>
  <si>
    <t>arunkumars@am.amrita.edu</t>
  </si>
  <si>
    <t>Assare-Mokwah, Emmanuel/JKH-9728-2023; Subbaiah, Arunkumar/AAB-6657-2022</t>
  </si>
  <si>
    <t>E4LIFE International Ph.D. Fellowship Program by Amrita vishwa vidyapeetham</t>
  </si>
  <si>
    <t>This project has been funded by the e4liFe international Ph.D. Fellowship Program offered by Amrita vishwa vidyapeetham.</t>
  </si>
  <si>
    <t>10.1080/17483107.2024.2415433</t>
  </si>
  <si>
    <t>2PI0D</t>
  </si>
  <si>
    <t>WOS:001340775300001</t>
  </si>
  <si>
    <t>Dimitrova, M; Chehlarova, N; Madzharov, A; Krastev, A; Chavdarov, I</t>
  </si>
  <si>
    <t>Dimitrova, Maya; Chehlarova, Neda; Madzharov, Anastas; Krastev, Aleksandar; Chavdarov, Ivan</t>
  </si>
  <si>
    <t>Psychophysics of user acceptance of social cyber-physical systems</t>
  </si>
  <si>
    <t>cyber-physical systems; robot acceptance; psychophysics; psychological reactance; categorical perception; uncanny valley effect; probability distribution; accessibility</t>
  </si>
  <si>
    <t>RECOGNITION FAILURE; UNCANNY VALLEY; ROBOTS; LAW; REHABILITATION; MODEL</t>
  </si>
  <si>
    <t>A mini-review of the literature, supporting the view on the psychophysical origins of some user acceptance effects of cyber-physical systems (CPSs), is presented and discussed in this paper. Psychophysics implies the existence of a lawful functional dependence between some aspect/dimension of the stimulation from the environment, entering the senses of the human, and the psychological effect that is being produced by this stimulation, as reflected in the subjective responses. Several psychophysical models are discussed in this mini-review, aiming to support the view that the observed effects of reactance to a robot or the uncanny valley phenomenon are essentially the same subjective effects of different intensity. Justification is provided that human responses to technologically and socially ambiguous stimuli obey some regularity, which can be considered a lawful dependence in a psychophysical sense. The main conclusion is based on the evidence that psychophysics can provide useful and helpful, as well as parsimonious, design recommendations for scenarios with CPSs for social applications.</t>
  </si>
  <si>
    <t>[Dimitrova, Maya; Chehlarova, Neda; Madzharov, Anastas; Krastev, Aleksandar; Chavdarov, Ivan] Bulgarian Acad Sci, Inst Robot, Sofia, Bulgaria; [Chavdarov, Ivan] Sofia Univ, Dept Math &amp; Informat, Sofia, Bulgaria</t>
  </si>
  <si>
    <t>Bulgarian Academy of Sciences; University of Sofia</t>
  </si>
  <si>
    <t>Dimitrova, M (corresponding author), Bulgarian Acad Sci, Inst Robot, Sofia, Bulgaria.</t>
  </si>
  <si>
    <t>maya.dimitrova.ir@gmail.com</t>
  </si>
  <si>
    <t>Chavdarov, Ivan/B-6835-2019; Dimitrova, Maya/AAX-3883-2021; Chehlarova, Neda/ABB-7927-2021; Madzharov, Anastas/AHI-5065-2022</t>
  </si>
  <si>
    <t>Madzharov, Anastas/0000-0002-6282-617X</t>
  </si>
  <si>
    <t>Bulgarian National Science Fund [KP-06-H42/4]; European Regional Development Fund under the Operational Program Scientific Research, Innovation and Digitization for Smart Transformation; Project CoC Smart Mechatronics, Eco- and Energy Saving Systems and Technologies [BG16RFPR002-1.014-0005]</t>
  </si>
  <si>
    <t>Bulgarian National Science Fund(National Science Fund of Bulgaria); European Regional Development Fund under the Operational Program Scientific Research, Innovation and Digitization for Smart Transformation; Project CoC Smart Mechatronics, Eco- and Energy Saving Systems and Technologies</t>
  </si>
  <si>
    <t>The authors thank Dr. Chris Harper, Dr. Dan Withey, and Dr.Virginia Ruis Garate for insightful discussions of the model and their help in programming Alice at Bristol Robotics Laboratory, United Kingdom, within the TERRINet Project of the EC (2017-2021), and the actress Violina for her contribution to the present work.r The author(s) declare that financial support was received for the research, authorship, and/or publication of this article. This research was funded by the Bulgarian National Science Fund, grant number KP-06-H42/4 of 08.12.2020, for the project Digital Accessibility for People with Special Needs: Methodology, Conceptual Models, and Innovative Ecosystems and the European Regional Development Fund under the Operational Program Scientific Research, Innovation and Digitization for Smart Transformation 2021-2027, Project CoC Smart Mechatronics, Eco- and Energy Saving Systems and Technologies, BG16RFPR002-1.014-0005.</t>
  </si>
  <si>
    <t>OCT 15</t>
  </si>
  <si>
    <t>10.3389/frobt.2024.1414853</t>
  </si>
  <si>
    <t>K4Y1U</t>
  </si>
  <si>
    <t>WOS:001343937900001</t>
  </si>
  <si>
    <t>Yin, SK; Yao, DR; Song, Y; Heng, WZ; Ma, XT; Han, H; Gao, W</t>
  </si>
  <si>
    <t>Yin, Shukun; Yao, Dickson R.; Song, Yu; Heng, Wenzheng; Ma, Xiaotian; Han, Hong; Gao, Wei</t>
  </si>
  <si>
    <t>Wearable and Implantable Soft Robots</t>
  </si>
  <si>
    <t>CHEMICAL REVIEWS</t>
  </si>
  <si>
    <t>SHAPE-MEMORY POLYMERS; DRUG-DELIVERY; MEDICAL APPLICATIONS; CAPSULE ENDOSCOPE; BALLOON CATHETERS; ELECTRODE ARRAY; ON-DEMAND; DESIGN; ACTUATION; POLYURETHANE</t>
  </si>
  <si>
    <t>Soft robotics presents innovative solutions across different scales. The flexibility and mechanical characteristics of soft robots make them particularly appealing for wearable and implantable applications. The scale and level of invasiveness required for soft robots depend on the extent of human interaction. This review provides a comprehensive overview of wearable and implantable soft robots, including applications in rehabilitation, assistance, organ simulation, surgical tools, and therapy. We discuss challenges such as the complexity of fabrication processes, the integration of responsive materials, and the need for robust control strategies, while focusing on advances in materials, actuation and sensing mechanisms, and fabrication techniques. Finally, we discuss the future outlook, highlighting key challenges and proposing potential solutions.</t>
  </si>
  <si>
    <t>[Yin, Shukun; Yao, Dickson R.; Song, Yu; Heng, Wenzheng; Ma, Xiaotian; Han, Hong; Gao, Wei] CALTECH, Andrew &amp; Peggy Cherng Dept Med Engn, Div Engn &amp; Appl Sci, Pasadena, CA 91125 USA</t>
  </si>
  <si>
    <t>California Institute of Technology</t>
  </si>
  <si>
    <t>Gao, W (corresponding author), CALTECH, Andrew &amp; Peggy Cherng Dept Med Engn, Div Engn &amp; Appl Sci, Pasadena, CA 91125 USA.</t>
  </si>
  <si>
    <t>weigao@caltech.edu</t>
  </si>
  <si>
    <t>Song, Yu/HTS-9919-2023; Yin, Shukun/ABD-5333-2022; Han, Hong/HZK-8252-2023; Gao, Wei/A-1347-2011</t>
  </si>
  <si>
    <t>Song, Yu/0000-0002-4185-2256; Gao, Wei/0000-0002-8503-4562; Ma, Xiaotian/0009-0000-8357-9916; Yin, Shukun/0000-0002-8218-9219</t>
  </si>
  <si>
    <t>National Institutes of Health [R01HL155815]; National Science Foundation [1931214, 2145802]; Army Research Office [W911NF-23-1-0041]; US Army Medical Research Acquisition Activity grant [HT9425-24-1-0249]; American Cancer Society Research Scholar Grant [RSG-21-181-01-CTPS]; National Research Foundation of Korea (NRF) - Korea government (MSIT) [RS-2024-00411904]; Heritage Medical Research Institute</t>
  </si>
  <si>
    <t>National Institutes of Health(United States Department of Health &amp; Human ServicesNational Institutes of Health (NIH) - USA); National Science Foundation(National Science Foundation (NSF)); Army Research Office; US Army Medical Research Acquisition Activity grant; American Cancer Society Research Scholar Grant(American Cancer Society); National Research Foundation of Korea (NRF) - Korea government (MSIT)(National Research Foundation of KoreaMinistry of Science, ICT &amp; Future Planning, Republic of KoreaMinistry of Science &amp; ICT (MSIT), Republic of Korea); Heritage Medical Research Institute</t>
  </si>
  <si>
    <t>This project was supported by the National Institutes of Health grant R01HL155815, National Science Foundation grants 1931214 and 2145802, Army Research Office grant W911NF-23-1-0041, US Army Medical Research Acquisition Activity grant HT9425-24-1-0249, American Cancer Society Research Scholar Grant RSG-21-181-01-CTPS, National Research Foundation of Korea (NRF) grant funded by the Korea government (MSIT) (grant no. RS-2024-00411904), and Heritage Medical Research Institute.</t>
  </si>
  <si>
    <t>0009-2665</t>
  </si>
  <si>
    <t>1520-6890</t>
  </si>
  <si>
    <t>CHEM REV</t>
  </si>
  <si>
    <t>Chem. Rev.</t>
  </si>
  <si>
    <t>OCT 11</t>
  </si>
  <si>
    <t>10.1021/acs.chemrev.4c00513</t>
  </si>
  <si>
    <t>J8H7P</t>
  </si>
  <si>
    <t>WOS:001337327200001</t>
  </si>
  <si>
    <t>Facciorusso, S; Malfitano, C; Giordano, M; Del Furia, MJ; Mosconi, B; Arienti, C; Cordani, C</t>
  </si>
  <si>
    <t>Facciorusso, Salvatore; Malfitano, Calogero; Giordano, Martino; Del Furia, Matteo Johann; Mosconi, Bianca; Arienti, Chiara; Cordani, Claudio</t>
  </si>
  <si>
    <t>Effectiveness of robotic rehabilitation for gait and balance in people with multiple sclerosis: a systematic review</t>
  </si>
  <si>
    <t>Multiple sclerosis; Rehabilitation; Robotics; Gait; Systematic review</t>
  </si>
  <si>
    <t>OUTCOMES; THERAPY; STROKE</t>
  </si>
  <si>
    <t>This review investigated the effectiveness of robotic-assisted gait training (RAGT) in improving gait and balance performance in adults with multiple sclerosis (MS). Databases and registers were searched from inception to December 2023 to identify randomized controlled trials (RCTs) that analyzed the effects of RAGT on gait speed, function, balance, fatigue, and adverse events. Three reviewers screened studies for eligibility and extracted key information such as participants and intervention characteristics, as well as outcomes of interest. The reviewers assessed the risk of bias of included studies using Cochrane Risk of Bias tool. From the 948 records identified, 8 RCTs were included, involving 335 participants. The studies have demonstrated significant heterogeneity in patient characteristics, intervention protocols, and outcomes measured. The risk of bias assessment revealed concerns, mainly in terms of performance and detection bias. The evidence is uncertain on the effectiveness of RAGT on balance and gait in people with MS, but a multimodal rehabilitation approach, including RAGT, should be encouraged. No serious adverse events seem to be associated with RAGT, suggesting that these interventions are generally safe for use in people with MS. Further studies of higher methodological quality should be led to confirm these positive results.</t>
  </si>
  <si>
    <t>[Facciorusso, Salvatore] Univ Foggia, Dept Med &amp; Surg Sci, Spast &amp; Movement Disorders ReSTaRt, Phys Med &amp; Rehabil Sect, I-71122 Foggia, Italy; [Malfitano, Calogero] Univ La Statale, Dept Biomed Sci Hlth, Milan, Italy; [Malfitano, Calogero] Azienda Servizi Persona Ist Milanesi Martini, Milan, Italy; [Giordano, Martino] Italian Natl Res Ctr Aging INRCA, Res Hosp Casatenovo, Unit Pulm Rehabil, Casatenovo, Italy; [Del Furia, Matteo Johann; Cordani, Claudio] Univ La Statale, Dept Biomed Surg &amp; Dent Sci, Milan, Italy; [Del Furia, Matteo Johann] Univ Campania Luigi Vanvitelli, Dept Mental &amp; Phys Hlth &amp; Prevent Med, Naples, Italy; [Del Furia, Matteo Johann; Cordani, Claudio] IRCCS Ist Ortoped Galeazzi, Milan, Italy; [Mosconi, Bianca] IRCCS Fdn Don Carlo Gnocchi, Via A Capecelatro 66, I-20148 Milan, Italy; [Arienti, Chiara] Humanitas Univ, Clin Epidemiol &amp; Res Ctr, Dept Biomed Sci, Milan, Italy</t>
  </si>
  <si>
    <t>University of Foggia; IRCCS INRCA; Universita della Campania Vanvitelli; IRCCS Istituto Ortopedico Galeazzi; IRCCS Fondazione Don Carlo Gnocchi Onlus; Humanitas University</t>
  </si>
  <si>
    <t>Arienti, Chiara/AAC-5302-2022; Del Furia, Matteo/IPR-1872-2023; Facciorusso, Salvatore/JQW-7103-2023; Cordani, Claudio/J-6590-2018; Malfitano, Calogero/I-2659-2018</t>
  </si>
  <si>
    <t>Malfitano, Calogero/0000-0002-5573-2693; Facciorusso, Salvatore/0000-0001-6748-9152</t>
  </si>
  <si>
    <t>This study was supported by the Italian Ministry of Health-Ricerca Corrente.</t>
  </si>
  <si>
    <t>10.1007/s00415-024-12715-4</t>
  </si>
  <si>
    <t>M0M2P</t>
  </si>
  <si>
    <t>WOS:001329804500003</t>
  </si>
  <si>
    <t>Zhang, LY; Chang, YW; Zhang, FR; Li, JF</t>
  </si>
  <si>
    <t>Zhang, Leiyu; Chang, Yawei; Zhang, Feiran; Li, Jianfeng</t>
  </si>
  <si>
    <t>A Review on Combined Strategy of Non-invasive Brain Stimulation and Robotic Therapy</t>
  </si>
  <si>
    <t>Stroke; Non-invasive brain stimulation; Robotic therapy; Combined strategy</t>
  </si>
  <si>
    <t>TRANSCRANIAL MAGNETIC STIMULATION; CHRONIC STROKE PATIENTS; THETA-BURST STIMULATION; HEMIPARETIC UPPER-LIMB; PRIMARY MOTOR CORTEX; CORTICAL STIMULATION; DOUBLE-BLIND; REHABILITATION; SUBACUTE; PLASTICITY</t>
  </si>
  <si>
    <t>Stroke is a major cause of death and disability among adults in China, and an efficient rehabilitation strategy has been an urgent demand for post-stroke rehabilitation. The non-invasive brain stimulation (NBS) can modulate the excitability of the cerebral cortex and provide after-effects apart from immediate effects to regain extremity motor functions, whereas robotic therapy provides high-intensity and long-duration repetitive movements to stimulate the cerebral cortex backward. The combined strategy of the two techniques is widely regarded as a promising application for stroke patients with dyskinesia. Transcranial magnetic stimulation (TMS) and transcranial electrical stimulation (TES) are important methods of NBS. Their recovery principles, stimulation parameters, and clinical applications have been summarized. The combined treatments of rTMS/tDCS and robotic therapy are analyzed and discussed to overcome the application barriers of the two techniques. The future development trend and the key technical problems are expounded for the clinical applications.</t>
  </si>
  <si>
    <t>[Zhang, Leiyu; Chang, Yawei; Li, Jianfeng] Beijing Univ Technol, Beijing Key Lab Adv Mfg Technol, Beijing 100124, Peoples R China; [Zhang, Feiran] Wuhan Second Ship Design &amp; Res Inst, Wuhan 430064, Peoples R China</t>
  </si>
  <si>
    <t>Beijing University of Technology</t>
  </si>
  <si>
    <t>Li, JF (corresponding author), Beijing Univ Technol, Beijing Key Lab Adv Mfg Technol, Beijing 100124, Peoples R China.;Zhang, FR (corresponding author), Wuhan Second Ship Design &amp; Res Inst, Wuhan 430064, Peoples R China.</t>
  </si>
  <si>
    <t>zhangfeiran1991@foxmail.com; lijianfeng@bjut.edu.cn</t>
  </si>
  <si>
    <t>Zhang, Leiyu/HJA-3572-2022</t>
  </si>
  <si>
    <t>National Natural Science Foundation of China</t>
  </si>
  <si>
    <t>The authors would like to express their sincere gratitude to the anonymous reviewers for their valuable suggestions.</t>
  </si>
  <si>
    <t>OCT 10</t>
  </si>
  <si>
    <t>10.1186/s10033-024-01106-5</t>
  </si>
  <si>
    <t>I3M6M</t>
  </si>
  <si>
    <t>WOS:001329335100001</t>
  </si>
  <si>
    <t>Calderone, A; Latella, D; Bonanno, M; Quartarone, A; Mojdehdehbaher, S; Celesti, A; Calabrò, RS</t>
  </si>
  <si>
    <t>Calderone, Andrea; Latella, Desiree; Bonanno, Mirjam; Quartarone, Angelo; Mojdehdehbaher, Sepehr; Celesti, Antonio; Calabro, Rocco Salvatore</t>
  </si>
  <si>
    <t>Towards Transforming Neurorehabilitation: The Impact of Artificial Intelligence on Diagnosis and Treatment of Neurological Disorders</t>
  </si>
  <si>
    <t>artificial intelligence; prognosis; diagnosis; neurorehabilitation</t>
  </si>
  <si>
    <t>MACHINE LEARNING ALGORITHMS; ACUTE STROKE; PARKINSONS-DISEASE; GLOBAL BURDEN; REHABILITATION; CLASSIFICATION; SYMPTOMS; SENSORS; INJURY; SYSTEM</t>
  </si>
  <si>
    <t>Background and Objectives: Neurological disorders like stroke, spinal cord injury (SCI), and Parkinson's disease (PD) significantly affect global health, requiring accurate diagnosis and long-term neurorehabilitation. Artificial intelligence (AI), such as machine learning (ML), may enhance early diagnosis, personalize treatment, and optimize rehabilitation through predictive analytics, robotic systems, and brain-computer interfaces, improving outcomes for patients. This systematic review examines how AI and ML systems influence diagnosis and treatment in neurorehabilitation among neurological disorders. Materials and Methods: Studies were identified from an online search of PubMed, Web of Science, and Scopus databases with a search time range from 2014 to 2024. This review has been registered on Open OSF (n) EH9PT. Results: Recent advancements in AI and ML are revolutionizing motor rehabilitation and diagnosis for conditions like stroke, SCI, and PD, offering new opportunities for personalized care and improved outcomes. These technologies enhance clinical assessments, therapy personalization, and remote monitoring, providing more precise interventions and better long-term management. Conclusions: AI is revolutionizing neurorehabilitation, offering personalized, data-driven treatments that enhance recovery in neurological disorders. Future efforts should focus on large-scale validation, ethical considerations, and expanding access to advanced, home-based care.</t>
  </si>
  <si>
    <t>[Calderone, Andrea; Latella, Desiree; Bonanno, Mirjam; Quartarone, Angelo; Calabro, Rocco Salvatore] IRCCS Ctr Neurolesi Bonino Pulejo, SS 113 Via Palermo, Cda Casazza, I-98124 Messina, Italy; [Mojdehdehbaher, Sepehr; Celesti, Antonio] Univ Messina, Dept Math &amp; Comp Sci, Phys Sci &amp; Earth Sci, I-98124 Messina, Italy</t>
  </si>
  <si>
    <t>Calabrò, RS (corresponding author), IRCCS Ctr Neurolesi Bonino Pulejo, SS 113 Via Palermo, Cda Casazza, I-98124 Messina, Italy.</t>
  </si>
  <si>
    <t>andrea.calderone95@gmail.com; desiree.latella@irccsme.it; mirjam.bonanno@irccsme.it; angelo.quartarone@irccsme.it; sepehrbaher@gmail.com; antonio.celesti@unime.it; roccos.calabro@irccsme.it</t>
  </si>
  <si>
    <t>Bonanno, Mirjam/IUP-3451-2023; Calabrò, Rocco/K-7520-2016; Latella, Desiree/LQJ-7357-2024; CELESTI, ANTONIO/C-6121-2016</t>
  </si>
  <si>
    <t>Latella, Desiree/0000-0002-1812-8454; Calderone, Andrea/0009-0006-5012-4425; Bonanno, Mirjam/0000-0002-3284-9741; CELESTI, ANTONIO/0000-0001-9003-6194; calabro, rocco salvatore/0000-0002-8566-3166</t>
  </si>
  <si>
    <t>Current Research Funds 2024, Ministry of Health, Italy; Ministry of Health, Italy</t>
  </si>
  <si>
    <t>Current Research Funds 2024, Ministry of Health, Italy; Ministry of Health, Italy(Ministry of Health, Italy)</t>
  </si>
  <si>
    <t>This study was supported by Current Research Funds 2024, Ministry of Health, Italy.</t>
  </si>
  <si>
    <t>10.3390/biomedicines12102415</t>
  </si>
  <si>
    <t>K1V6H</t>
  </si>
  <si>
    <t>WOS:001341830300001</t>
  </si>
  <si>
    <t>Senadheera, I; Hettiarachchi, P; Haslam, B; Nawaratne, R; Sheehan, J; Lockwood, KJ; Alahakoon, D; Carey, LM</t>
  </si>
  <si>
    <t>Senadheera, Isuru; Hettiarachchi, Prasad; Haslam, Brendon; Nawaratne, Rashmika; Sheehan, Jacinta; Lockwood, Kylee J.; Alahakoon, Damminda; Carey, Leeanne M.</t>
  </si>
  <si>
    <t>AI Applications in Adult Stroke Recovery and Rehabilitation: A Scoping Review Using AI</t>
  </si>
  <si>
    <t>artificial intelligence; neurorehabilitation; stroke rehabilitation; recovery; therapy; machine learning</t>
  </si>
  <si>
    <t>ARTIFICIAL-INTELLIGENCE; INERTIAL SENSORS; MOTOR IMAGERY; LIMB; GAIT; SURVIVORS; CLASSIFICATION; RECOGNITION; IMPAIRMENT; MOVEMENT</t>
  </si>
  <si>
    <t>Stroke is a leading cause of long-term disability worldwide. With the advancements in sensor technologies and data availability, artificial intelligence (AI) holds the promise of improving the amount, quality and efficiency of care and enhancing the precision of stroke rehabilitation. We aimed to identify and characterize the existing research on AI applications in stroke recovery and rehabilitation of adults, including categories of application and progression of technologies over time. Data were collected from peer-reviewed articles across various electronic databases up to January 2024. Insights were extracted using AI-enhanced multi-method, data-driven techniques, including clustering of themes and topics. This scoping review summarizes outcomes from 704 studies. Four common themes (impairment, assisted intervention, prediction and imaging, and neuroscience) were identified, in which time-linked patterns emerged. The impairment theme revealed a focus on motor function, gait and mobility, while the assisted intervention theme included applications of robotic and brain-computer interface (BCI) techniques. AI applications progressed over time, starting from conceptualization and then expanding to a broader range of techniques in supervised learning, artificial neural networks (ANN), natural language processing (NLP) and more. Applications focused on upper limb rehabilitation were reviewed in more detail, with machine learning (ML), deep learning techniques and sensors such as inertial measurement units (IMU) used for upper limb and functional movement analysis. AI applications have potential to facilitate tailored therapeutic delivery, thereby contributing to the optimization of rehabilitation outcomes and promoting sustained recovery from rehabilitation to real-world settings.</t>
  </si>
  <si>
    <t>[Senadheera, Isuru; Hettiarachchi, Prasad; Nawaratne, Rashmika; Alahakoon, Damminda] La Trobe Univ, Ctr Data Analyt &amp; Cognit, La Trobe Business Sch, Melbourne, Vic 3086, Australia; [Senadheera, Isuru; Hettiarachchi, Prasad; Haslam, Brendon; Sheehan, Jacinta; Lockwood, Kylee J.; Carey, Leeanne M.] La Trobe Univ, Sch Allied Hlth Human Serv &amp; Sport, Occupat Therapy, Melbourne, Vic 3086, Australia; [Haslam, Brendon; Carey, Leeanne M.] Florey Inst, Neurorehabil &amp; Recovery, Melbourne, Vic 3084, Australia</t>
  </si>
  <si>
    <t>La Trobe University; La Trobe University; Florey Institute of Neuroscience &amp; Mental Health</t>
  </si>
  <si>
    <t>Carey, LM (corresponding author), La Trobe Univ, Sch Allied Hlth Human Serv &amp; Sport, Occupat Therapy, Melbourne, Vic 3086, Australia.;Carey, LM (corresponding author), Florey Inst, Neurorehabil &amp; Recovery, Melbourne, Vic 3084, Australia.</t>
  </si>
  <si>
    <t>i.senadheera@latrobe.edu.au; p.hettiarachchige@latrobe.edu.au; b.haslam@latrobe.edu.au; b.nawaratne@latrobe.edu.au; j.sheehan@latrobe.edu.au; k.lockwood@latrobe.edu.au; d.alahakoon@latrobe.edu.au; l.carey@latrobe.edu.au</t>
  </si>
  <si>
    <t>Carey, Leeanne/AAZ-9844-2021; des, d/GVU-7765-2022; Senadheera, Isuru/HTM-3813-2023; Haslam, Brendon/AGP-7824-2022; Nawaratne, Rashmika/N-8893-2018</t>
  </si>
  <si>
    <t>Hettiarachchi, Prasad/0000-0001-8479-3420; Haslam, Brendon/0000-0003-4289-9328; Nawaratne, Rashmika/0000-0001-6641-2153; Alahakoon, Damminda/0000-0003-3291-888X; Carey, Leeanne/0000-0001-6376-8613; Senadheera, Isuru/0009-0003-4822-3799</t>
  </si>
  <si>
    <t>National Health and Medical Research Council (NHMRC) of Australia Ideas [2004443]; National Health and Medical Research Council (NHMRC) of Australia Ideas grant; La Trobe University Care Economy Research Institute (CERI); La Trobe University Post Graduate Research Scholarships</t>
  </si>
  <si>
    <t>National Health and Medical Research Council (NHMRC) of Australia Ideas(National Health &amp; Medical Research Council (NHMRC) of Australia); National Health and Medical Research Council (NHMRC) of Australia Ideas grant(National Health &amp; Medical Research Council (NHMRC) of Australia); La Trobe University Care Economy Research Institute (CERI); La Trobe University Post Graduate Research Scholarships</t>
  </si>
  <si>
    <t>This research was funded by the National Health and Medical Research Council (NHMRC) of Australia Ideas grant (#2004443). We acknowledge La Trobe University Care Economy Research Institute (CERI); and La Trobe University Post Graduate Research Scholarships awarded to authors (I.S., P.H., R.N.).</t>
  </si>
  <si>
    <t>10.3390/s24206585</t>
  </si>
  <si>
    <t>K1O6A</t>
  </si>
  <si>
    <t>WOS:001341647600001</t>
  </si>
  <si>
    <t>Yang, J; Li, HN</t>
  </si>
  <si>
    <t>Yang, Jun; Li, Hainan</t>
  </si>
  <si>
    <t>Accuracy assessment of robot-assisted implant surgery in dentistry: A systematic review and meta-analysis</t>
  </si>
  <si>
    <t>JOURNAL OF PROSTHETIC DENTISTRY</t>
  </si>
  <si>
    <t>SURGICAL GUIDES; DENTAL IMPLANTS; REHABILITATION</t>
  </si>
  <si>
    <t>Statement of problem. The systematic assessment of accuracy of robot-assisted implant surgery is lacking. Purpose. The purpose of this systematic review and meta-analysis was to evaluate the accuracy of robot-assisted implant surgery and compare it with computer-aided implant surgery in partially and completely edentulous patients and human phantoms. Material and methods. The studies were selected from ScienceDirect, Web of science, Cochrane Library, PubMed, and CNKI databases. The risk of bias of the included studies was evaluated with the risk of bias in nonrandomized studies of interventions tool. The mean and standard deviation of global coronal, apical, and angular deviations of implants were the primary outcome. Meta-analysis was conducted to evaluate the accuracy of the robot-assisted implant surgery and compare it with computer-aided implant surgery in dental implantation (alpha=.05). Results. Eleven in vitro studies with 809 implants and 10 clinical studies with 257 implants were included. For the in vitro studies, the mean global coronal, apical, and angular deviations of robot-assisted implant surgery were 0.7 mm (95% CI: 0.6 to 0.8), 0.8 mm (95% CI: 0.6 to 1.0), and 1.8 degrees (95%CI: 1.2 to 2.5), respectively. For the clinical studies, the average global coronal, apical, and angular deviations of robot-assisted implant surgery were 0.6 mm (95% CI: 0.5 to 0.8), 0.7 mm (95% CI: 0.6 to 0.8), and 1.6 degrees (95%CI: 1.1 to 2.0), respectively. For the in vitro studies, the robot-assisted implant surgery group showed significantly more decrease in global coronal deviation than the computer-assisted implant surgery group (P=.012). The robot-assisted implant surgery group offered smaller global apical deviation (P =.001) and angular deviation (P &lt;.001) than the computer-assisted implant surgery group. Conclusions. Robot navigation is a clinically reliable method of implant placement. Significantly lower global coronal, apical, and angular deviations were observed for robot-assisted implant surgery compared with computer-assisted implant surgery in human phantoms.</t>
  </si>
  <si>
    <t>[Yang, Jun] Chongqing Med Univ, Chongqing Key Lab Oral Dis &amp; Biomed Sci, Chongqing Municipal Key Lab Oral Biomed Engn Highe, Dept Restorat Dent,Stomatol Hosp, 426 Songshi North Rd, Chongqing 400000, Peoples R China; [Li, Hainan] Chongqing Technol &amp; Business Univ, Sch Management Sci &amp; Engn, Chongqing, Peoples R China</t>
  </si>
  <si>
    <t>Chongqing Medical University; Chongqing Technology &amp; Business University</t>
  </si>
  <si>
    <t>Yang, J (corresponding author), Chongqing Med Univ, Chongqing Key Lab Oral Dis &amp; Biomed Sci, Chongqing Municipal Key Lab Oral Biomed Engn Highe, Dept Restorat Dent,Stomatol Hosp, 426 Songshi North Rd, Chongqing 400000, Peoples R China.</t>
  </si>
  <si>
    <t>500253@hospital.cqmu.edu.cn</t>
  </si>
  <si>
    <t>0022-3913</t>
  </si>
  <si>
    <t>1097-6841</t>
  </si>
  <si>
    <t>J PROSTHET DENT</t>
  </si>
  <si>
    <t>J. Prosthet. Dent.</t>
  </si>
  <si>
    <t>10.1016/j.prosdent.2023.12.003</t>
  </si>
  <si>
    <t>I4U3D</t>
  </si>
  <si>
    <t>WOS:001330218400001</t>
  </si>
  <si>
    <t>Huang, HP; Su, XY; Zheng, BS; Cao, MT; Zhang, YQ; Chen, JE</t>
  </si>
  <si>
    <t>Huang, Haiping; Su, Xinyi; Zheng, Beisi; Cao, Manting; Zhang, Yuqian; Chen, Jianer</t>
  </si>
  <si>
    <t>Effect and optimal exercise prescription of robot-assisted gait training on lower extremity motor function in stroke patients: a network meta-analysis</t>
  </si>
  <si>
    <t>Robotics; Lower limb; Stroke; Network meta-analysis</t>
  </si>
  <si>
    <t>REHABILITATION; RECOVERY</t>
  </si>
  <si>
    <t>Objective This study aimed to evaluate the effectiveness of robot-assisted gait training (RAGT) and explore the optimal exercise prescription using a network meta-analysis approach. Data sources A comprehensive search was conducted on randomized controlled trials comparing robotic and conventional rehabilitation published up to January 2024 in PubMed, Web of Science, Cochrane Library, Embase, CNKI, VIP, Wanfang, and SinoMed databases. Review methods The evaluation parameters included Fugl-Meyer Assessment of Lower Extremity (FMA-LE), Functional Ambulation Category (FAC), Berg Balance Scale (BBS), and 6-Minute Walk Test (6MWT). Two investigators independently performed study screening, data extraction, and bias evaluation. Data were merged, analyzed, and plotted using Review Manager 5.4.1 and Stata 18.0 software. Results A total of 21 articles involving 822 subjects were included in the analysis. RAGT positively influenced FMA-LE score (MD = 3.74, 95%CI 3.02-4.46, P &lt; 0.05), FAC score (MD = 0.31, 95%CI 0.1-0.53, P &lt; 0.05), BBS score (MD = 3.63, 95%CI 2.46-4.80, P &lt; 0.05), and 6MWT score (MD = 23.73, 95%CI 15.31-32.14, P &lt; 0.05). Surface under the cumulative ranking curve (SUCRA) values indicated that an exercise time of 40-60 min/training (97.4%), exercise frequency of 2-5 times/week (87.6%), and exercise duration of 8-12 weeks (78.1%) were most effective in improving the FMA-LE score. Conclusions RAGT can effectively improve lower limb motor function, walking function, balance function, and walking endurance in stroke patients. For optimal improvement in FMA-LE score, an exercise time of 40-60 min/training, exercise frequency of 2-5 times/week, and exercise duration of 8-12 weeks are recommended.</t>
  </si>
  <si>
    <t>[Huang, Haiping; Su, Xinyi; Zheng, Beisi; Cao, Manting; Zhang, Yuqian; Chen, Jianer] Zhejiang Chinese Med Univ, Clin Med Coll 3, Hangzhou, Zhejiang, Peoples R China; [Chen, Jianer] Zhejiang Chinese Med Univ, Affiliated Hosp 3, Hangzhou, Zhejiang, Peoples R China; [Chen, Jianer] Zhejiang Rehabil Med Ctr, Dept Neurorehabil, 2828 Binsheng Rd, Hangzhou, Zhejiang, Peoples R China</t>
  </si>
  <si>
    <t>Zhejiang Chinese Medical University; Zhejiang Chinese Medical University</t>
  </si>
  <si>
    <t>Chen, JE (corresponding author), Zhejiang Chinese Med Univ, Clin Med Coll 3, Hangzhou, Zhejiang, Peoples R China.;Chen, JE (corresponding author), Zhejiang Chinese Med Univ, Affiliated Hosp 3, Hangzhou, Zhejiang, Peoples R China.;Chen, JE (corresponding author), Zhejiang Rehabil Med Ctr, Dept Neurorehabil, 2828 Binsheng Rd, Hangzhou, Zhejiang, Peoples R China.</t>
  </si>
  <si>
    <t>chenje@zcmu.edu.cn</t>
  </si>
  <si>
    <t>Haiping, Huang/HNQ-1749-2023</t>
  </si>
  <si>
    <t>Zhejiang Rehabilitation Medical Center [ZKJC2203]; Construct Program of the Key Discipline in Zhejiang Rehabilitation Medical Center, China [ZKXK02]</t>
  </si>
  <si>
    <t>Zhejiang Rehabilitation Medical Center; Construct Program of the Key Discipline in Zhejiang Rehabilitation Medical Center, China</t>
  </si>
  <si>
    <t>This work was supported by scientific research project of Zhejiang Rehabilitation Medical Center(ZKJC2203) and the Construct Program of the Key Discipline in Zhejiang Rehabilitation Medical Center, China (ZKXK02).</t>
  </si>
  <si>
    <t>10.1007/s10072-024-07780-6</t>
  </si>
  <si>
    <t>W8X3R</t>
  </si>
  <si>
    <t>WOS:001318951100001</t>
  </si>
  <si>
    <t>Morita, S; Asamoto, S; Sawada, H; Kojima, K; Arai, T; Momozaki, N; Muto, J; Kawamata, T</t>
  </si>
  <si>
    <t>Morita, Shuhei; Asamoto, Shunji; Sawada, Haruki; Kojima, Kota; Arai, Takashi; Momozaki, Nobuhiko; Muto, Jun; Kawamata, Takakazu</t>
  </si>
  <si>
    <t>The Future of Sustainable Neurosurgery: Is a Moonshot Plan for Artificial Intelligence and Robot-Assisted Surgery Possible in Japan?</t>
  </si>
  <si>
    <t>Artificial intelligence; Neurosurgery; Regional healthcare; Robotic-assisted surgery; Spinal disorders</t>
  </si>
  <si>
    <t>PROSPECTS</t>
  </si>
  <si>
    <t>Japanese neurosurgery faces challenges such as a declining number of neurosurgeons and their concentration in urban areas. Particularly in rural areas, access to neurosurgical care for patients with conditions, such as stroke, is limited, raising concerns about the collapse of regional healthcare. Robot- assisted surgical technologies have advanced in recent years, contributing to the improved precision and safety of deep brain surgery. This study proposes the Artificial Intelligence (AI) and Robot-Assisted Surgery Moonshot Plan for Japan, comprising 5 pillars: 1) establishment of regional medical centers, 2) development of remote surgery systems, 3) enhancement of robotic-assisted surgery training programs, 4) integration of AI technologies, and 5) promotion of industry-academia-government collaboration. In addition, strengthening the approach to spinal surgery is expected to revitalize regional medical centers, optimize the number of neurosurgeons, improve surgical skills, and promote minimally invasive surgery. This study analyzed the current status and challenges of Japanese neurosurgery through a literature review and statistical analysis. AI is used in various aspects of neurosurgery, including diagnostic support, surgical planning and navigation, treatment outcome prediction, intraoperative monitoring, robot-assisted surgery, and rehabilitation. However, challenges, such as data bias, ethical issues, costs, and regulations, remain. In Japan, issues such as the uneven distribution and decline of neurosurgeons, collapse of regional healthcare, and increase in the number of patients with spinal disorders due to aging have been highlighted. The AI and Robot-Assisted Surgery Moonshot Plan serves as a guide to overcome the challenges of neurosurgery in Japan and establish a sustainable medical system.</t>
  </si>
  <si>
    <t>[Morita, Shuhei; Arai, Takashi; Momozaki, Nobuhiko; Kawamata, Takakazu] Tokyo Womens Med Univ, Dept Neurosurg, Tokyo, Japan; [Asamoto, Shunji; Sawada, Haruki] Makita Gen Hosp, Green Sports Alliance, Tokyo, Japan; [Asamoto, Shunji] Makita Gen Hosp, Spine &amp; Spinal Cord Ctr, Dept Neurosurg, Tokyo, Japan; [Asamoto, Shunji; Kojima, Kota] Makita Gen Hosp, Spine &amp; Spinal Cord Ctr, Tokyo, Japan; [Muto, Jun] Fujita Hlth Univ Hosp, Dept Neurosurg, Tokyo, Japan</t>
  </si>
  <si>
    <t>Tokyo Women's Medical University</t>
  </si>
  <si>
    <t>Asamoto, S (corresponding author), Makita Gen Hosp, Green Sports Alliance, Tokyo, Japan.;Asamoto, S (corresponding author), Makita Gen Hosp, Spine &amp; Spinal Cord Ctr, Dept Neurosurg, Tokyo, Japan.;Asamoto, S (corresponding author), Makita Gen Hosp, Spine &amp; Spinal Cord Ctr, Tokyo, Japan.</t>
  </si>
  <si>
    <t>wirbel.meister@gmail.com</t>
  </si>
  <si>
    <t>ARAI, TAKASHI/KZU-4799-2024; Morita, Shuhei/JRY-7151-2023</t>
  </si>
  <si>
    <t>Morita, Shuhei/0000-0002-5073-1659; Sawada, Haruki/0009-0008-6475-166X</t>
  </si>
  <si>
    <t>10.1016/j.wneu.2024.08.126</t>
  </si>
  <si>
    <t>H2P1O</t>
  </si>
  <si>
    <t>WOS:001321900500001</t>
  </si>
  <si>
    <t>Stroppa, F; Majeed, FJ; Batiya, J; Baran, E; Sarac, M</t>
  </si>
  <si>
    <t>Stroppa, Fabio; Majeed, Fatimah Jabbar; Batiya, Jana; Baran, Eray; Sarac, Mine</t>
  </si>
  <si>
    <t>Optimizing soft robot design and tracking with and without evolutionary computation: an intensive survey</t>
  </si>
  <si>
    <t>design; modular robots; biomimetic robots; grasping; navigation; novel applications of robotics; redundant manipulators; serial manipulator design and kinematics; topological modeling of robots</t>
  </si>
  <si>
    <t>INVERSE KINEMATICS; CONTINUUM ROBOTS; GENETIC ALGORITHMS; SIMPLEX-METHOD; OPTIMIZATION; MODEL; SIMULATION; CONVERGENCE; STRATEGIES; NETWORKS</t>
  </si>
  <si>
    <t>Soft robotic devices are designed for applications such as exploration, manipulation, search and rescue, medical surgery, rehabilitation, and assistance. Due to their complex kinematics, various and often hard-to-define degrees of freedom, and nonlinear properties of their material, designing and operating these devices can be quite challenging. Using tools such as optimization methods can improve the efficiency of these devices and help roboticists manufacture the robots they need. In this work, we present an extensive and systematic literature search on the optimization methods used for the mechanical design of soft robots, particularly focusing on literature exploiting evolutionary computation (EC). We completed the search in the IEEE, ACM, Springer, SAGE, Elsevier, MDPI, Scholar, and Scopus databases between 2009 and 2024 using the keywords soft robot, design, and optimization. We categorized our findings in terms of the type of soft robot (i.e., bio-inspired, cable-driven, continuum, fluid-driven, gripper, manipulator, modular), its application (exploration, manipulation, surgery), the optimization metrics (topology, force, locomotion, kinematics, sensors, and energy), and the optimization method (categorized as EC or non-EC methods). After providing a road map of our findings in the state of the art, we offer our observations concerning the implementation of the optimization methods and their advantages. We then conclude our paper with suggestions for future research.</t>
  </si>
  <si>
    <t>[Stroppa, Fabio; Batiya, Jana; Sarac, Mine] Kadir Has Univ, Istanbul, Turkiye; [Majeed, Fatimah Jabbar; Baran, Eray] Istanbul Bilgi Univ, Istanbul, Turkiye</t>
  </si>
  <si>
    <t>Kadir Has University; Istanbul Bilgi University</t>
  </si>
  <si>
    <t>Stroppa, F (corresponding author), Kadir Has Univ, Istanbul, Turkiye.</t>
  </si>
  <si>
    <t>fabio.stroppa@khas.edu.tr</t>
  </si>
  <si>
    <t>Stroppa, Fabio/U-4635-2019; Baran, Eray/U-3499-2019; Sarac, Mine/NMK-2147-2025</t>
  </si>
  <si>
    <t>TUBIdot;TAK within the scope of the 2232-B International Fellowship for Early Stage Researchers Program [121C145]</t>
  </si>
  <si>
    <t>TUBIdot;TAK within the scope of the 2232-B International Fellowship for Early Stage Researchers Program</t>
  </si>
  <si>
    <t>This work is funded by TUB &amp; Idot;TAK within the scope of the 2232-B International Fellowship for Early Stage Researchers Program number 121C145.</t>
  </si>
  <si>
    <t>10.1017/S0263574724001152</t>
  </si>
  <si>
    <t>L8T6N</t>
  </si>
  <si>
    <t>WOS:001316233200001</t>
  </si>
  <si>
    <t>Arunkumar, S; Jayakumar, N</t>
  </si>
  <si>
    <t>Arunkumar, S.; Jayakumar, Nitin</t>
  </si>
  <si>
    <t>A comprehensive review on lower limb exoskeleton: from origin to future expectations</t>
  </si>
  <si>
    <t>INTERNATIONAL JOURNAL OF INTERACTIVE DESIGN AND MANUFACTURING - IJIDEM</t>
  </si>
  <si>
    <t>Lower-limb exoskeleton; Load augmentation; Gait rehabilitation; Fuzzy control; Soft exosuit; Deep learning; Machine learning</t>
  </si>
  <si>
    <t>SPINAL-CORD-INJURY; HUMAN-MACHINE INTERFACE; OF-THE-ART; GAIT REHABILITATION; POWERED EXOSKELETON; ROBOTIC EXOSKELETON; LEG EXOSKELETON; STROKE PATIENTS; FUZZY CONTROL; DESIGN</t>
  </si>
  <si>
    <t>Lower limb exoskeletons (LEEs) have become an essential part of the day-to-day life of humans. These devices are worn on the human body for assisting the user in load augmentation and gait rehabilitation. The initial LLE designs aimed at assisting in simple tasks like walking, running and jumping. With rapid development in technology, LLE design has evolved into a sophisticated structure which can interact with the user and perform its intended task. While there are a number of review articles published, the scope of which is limited to selected areas viz., general aspects, compilation of available LLE designs for various applications, comparison of actuation or control methods. The aim of this review is provide the state-of-the-art of LLE right from its origin to future directions. A comprehensive, comparative and critical overview of history, classification, design considerations, materials and manufacturing methods, positive and negative effects of wearing LLE, efficacies of LLEs in rehabilitation, challenges and future directions of LLE design are presented. The review suggests that for comfortable use of LLE, anthropomorphic and ergonomic principles be incorporated during the design stage. By using soft exosuit the muscular activity is reduced by 63.97% compared to 61.63% for rigid exoskeleton. For the LLE to synergistically with wearer and minimize the metabolic penalty, appropriate control methods, materials and manufacturing methods be chosen respectively.</t>
  </si>
  <si>
    <t>[Arunkumar, S.; Jayakumar, Nitin] Amrita Vishwa Vidyapeetham, Dept Mech Engn, Amritapuri 690525, Kollam, India</t>
  </si>
  <si>
    <t>Arunkumar, S (corresponding author), Amrita Vishwa Vidyapeetham, Dept Mech Engn, Amritapuri 690525, Kollam, India.</t>
  </si>
  <si>
    <t>Subbaiah, Arunkumar/AAB-6657-2022</t>
  </si>
  <si>
    <t>Subbaiah, Arunkumar/0000-0003-1035-8332</t>
  </si>
  <si>
    <t>Due cognizance has been given to the various sources of data used in the study and duly cited.</t>
  </si>
  <si>
    <t>1955-2513</t>
  </si>
  <si>
    <t>1955-2505</t>
  </si>
  <si>
    <t>INT J INTERACT DES M</t>
  </si>
  <si>
    <t>Int. J. Interact. Des. Manuf.-IJIDeM</t>
  </si>
  <si>
    <t>2024 SEP 19</t>
  </si>
  <si>
    <t>10.1007/s12008-024-02076-7</t>
  </si>
  <si>
    <t>Engineering, Manufacturing</t>
  </si>
  <si>
    <t>G3S4P</t>
  </si>
  <si>
    <t>WOS:001315874200001</t>
  </si>
  <si>
    <t>Hu, MM; Wang, S; Wu, CQ; Li, KP; Geng, ZH; Xu, GH; Dong, L</t>
  </si>
  <si>
    <t>Hu, Miao-miao; Wang, Shan; Wu, Cai-qin; Li, Kun-peng; Geng, Zhao-hui; Xu, Guo-hui; Dong, Lu</t>
  </si>
  <si>
    <t>Efficacy of robot-assisted gait training on lower extremity function in subacute stroke patients: a systematic review and meta-analysis</t>
  </si>
  <si>
    <t>Gait; Lower Extremity; Meta-analysis; Robotics; Stroke; Walking Speed</t>
  </si>
  <si>
    <t>REHABILITATION; BALANCE; LIMB; STIMULATION; GUIDELINE; RECOVERY; TRIAL; SPEED</t>
  </si>
  <si>
    <t>Background Robot-Assisted Gait Training (RAGT) is a novel technology widely employed in the field of neurological rehabilitation for patients with subacute stroke. However, the effectiveness of RAGT compared to conventional gait training (CGT) in improving lower extremity function remains a topic of debate. This study aimed to investigate and compare the effects of RAGT and CGT on lower extremity movement in patients with subacute stroke. Methods Comprehensive search was conducted across multiple databases, including PubMed, Web of Science, Cochrane Library, EBSCO, Embase, Scopus, China National Knowledge Infrastructure, Wan Fang, SinoMed and Vip Journal Integration Platform. The database retrieval was performed up until July 9, 2024. Meta-analysis was conducted using RevMan 5.4 software. Results A total of 24 RCTs were included in the analysis. The results indicate that, compared with CGT, RAGT led to significant improvements in the Fugl-Meyer Assessment for Lower Extremity [MD = 2.10, 95%CI (0.62, 3.59), P = 0.005], Functional Ambulation Category[MD = 0.44, 95%CI (0.23, 0.65), P &lt; 0.001], Berg Balance Scale [MD = 4.55, 95%CI (3.00, 6.11), P &lt; 0.001], Timed Up and Go test [MD = -4.05, 95%CI (-5.12, -2.98), P &lt; 0.001], and 6-Minute Walk Test [MD = 30.66, 95%CI (22.36, 38.97), P &lt; 0.001] for patients with subacute stroke. However, it did not show a significant effect on the 10-Meter Walk Test [MD = 0.06, 95%CI (-0.01, 0.14), P = 0.08]. Conclusions This study provides evidence that RAGT can enhance lower extremity function, balance function, walking ability, and endurance levels compared to CGT. However, the quality of evidence for improvements in gait speed remains low.</t>
  </si>
  <si>
    <t>[Hu, Miao-miao; Wang, Shan; Wu, Cai-qin; Geng, Zhao-hui; Dong, Lu] Shanghai Univ Tradit Chinese Med, Sch Nursing, 1200 Cailun Rd,Pudong New Area, Shanghai 201203, Peoples R China; [Li, Kun-peng] Shanghai Univ Sport, Sch Exercise &amp; Hlth, Shanghai 200438, Peoples R China; [Xu, Guo-hui] Fudan Univ, Huadong Hosp Affiliated, 221 West Yanan Rd, Shanghai 200040, Peoples R China</t>
  </si>
  <si>
    <t>Shanghai University of Traditional Chinese Medicine; Shanghai University of Sport; Fudan University</t>
  </si>
  <si>
    <t>Dong, L (corresponding author), Shanghai Univ Tradit Chinese Med, Sch Nursing, 1200 Cailun Rd,Pudong New Area, Shanghai 201203, Peoples R China.;Xu, GH (corresponding author), Fudan Univ, Huadong Hosp Affiliated, 221 West Yanan Rd, Shanghai 200040, Peoples R China.</t>
  </si>
  <si>
    <t>pudongxgh@163.com; donglux@shutcm.edu.cn</t>
  </si>
  <si>
    <t>Hu, MIaomiao/GQQ-7828-2022; Geng, Zhaohui/ACC-4333-2022; 李, 昆鹏/KPB-3270-2024</t>
  </si>
  <si>
    <t>Wang, Shan/0009-0001-2115-9059</t>
  </si>
  <si>
    <t>The authors would like to acknowledge all the participants of the study.</t>
  </si>
  <si>
    <t>SEP 19</t>
  </si>
  <si>
    <t>10.1186/s12984-024-01463-1</t>
  </si>
  <si>
    <t>G5K4D</t>
  </si>
  <si>
    <t>WOS:001317020800003</t>
  </si>
  <si>
    <t>Bonanno, M; Maggio, MG; Quartarone, A; De Nunzio, AM; Calabrò, RS</t>
  </si>
  <si>
    <t>Bonanno, M.; Maggio, M. G.; Quartarone, A.; De Nunzio, A. M.; Calabro, R. S.</t>
  </si>
  <si>
    <t>Simulating space walking: a systematic review on anti-gravity technology in neurorehabilitation</t>
  </si>
  <si>
    <t>Anti-gravity technology; Anti-gravity treadmill; Neurological disorders; Neurorehabilitation</t>
  </si>
  <si>
    <t>WEIGHT SUPPORT; GAIT; REHABILITATION; STROKE; ACTIVATION; DISORDERS; BALANCE</t>
  </si>
  <si>
    <t>Neurological disorders, such as Parkinson's disease (PD), multiple sclerosis (MS), cerebral palsy (CP) and stroke are well-known causes of gait and balance alterations. Innovative devices (i.e., robotics) are often used to promote motor recovery. As an alternative, anti-gravity treadmills, which were developed by NASA, allow early mobilization, walking with less effort to reduce gait energy costs and fatigue. A systematic search, according to PRISMA guidelines, was conducted for all peer-reviewed articles published from January 2010 through September 2023, using the following databases: PubMed, Scopus, PEDro and IEEE Xplore. After an accurate screening, we selected only 16 articles (e.g., 5 RCTs, 2 clinical trials, 7 pilot studies, 1 prospective study and 1 exploratory study). The evidence collected in this systematic review reported promising results in the field of anti-gravity technology for neurological patients, in terms of improvement in gait and balance outcomes. However, we are not able to provide any clinical recommendation about the dose and parameters of anti-gravity treadmill training, because of the lack of robust high-quality RCT studies and large samples.Registration number CRD42023459665.</t>
  </si>
  <si>
    <t>[Bonanno, M.; Maggio, M. G.; Quartarone, A.; Calabro, R. S.] IRCCS Ctr Neurolesi Bonino Pulejo, Via Palermo,SS 113,C Casazza, I-98124 Messina, Italy; [De Nunzio, A. M.] LUNEX, Differdange, Luxembourg</t>
  </si>
  <si>
    <t>IRCCS Bonino Pulejo</t>
  </si>
  <si>
    <t>Calabrò, RS (corresponding author), IRCCS Ctr Neurolesi Bonino Pulejo, Via Palermo,SS 113,C Casazza, I-98124 Messina, Italy.</t>
  </si>
  <si>
    <t>calabro, rocco/L-9570-2019; Maggio, Maria/ABA-1852-2020; Bonanno, Mirjam/IUP-3451-2023</t>
  </si>
  <si>
    <t>Ministry of Health, Italy</t>
  </si>
  <si>
    <t>Ministry of Health, Italy(Ministry of Health, Italy)</t>
  </si>
  <si>
    <t>This study was supported by Current Research funds 2023, Ministry of Health, Italy.</t>
  </si>
  <si>
    <t>SEP 13</t>
  </si>
  <si>
    <t>10.1186/s12984-024-01449-z</t>
  </si>
  <si>
    <t>F8A5B</t>
  </si>
  <si>
    <t>WOS:001311980100001</t>
  </si>
  <si>
    <t>Facciorusso, S; Guanziroli, E; Brambilla, C; Spina, S; Giraud, M; Tosatti, LM; Santamato, A; Molteni, F; Scano, A</t>
  </si>
  <si>
    <t>Facciorusso, Salvatore; Guanziroli, Eleonora; Brambilla, Cristina; Spina, Stefania; Giraud, Manuela; Tosatti, Lorenzo Molinari; Santamato, Andrea; Molteni, Franco; Scano, Alessandro</t>
  </si>
  <si>
    <t>Muscle synergies in upper limb stroke rehabilitation: a scoping review</t>
  </si>
  <si>
    <t>Muscles; Upper extremity; Stroke rehabilitation; Electromyography; Longitudinal studies.</t>
  </si>
  <si>
    <t>NONNEGATIVE MATRIX FACTORIZATION; NEURAL BASIS; SPINAL-CORD; RECOVERY; TASK; ORGANIZATION; PRIMITIVES; IDENTIFICATION; CONSTRUCTION; COMBINATIONS</t>
  </si>
  <si>
    <t>Introduction: Upper limb impairment is a common consequence of stroke, significantly affecting the quality of life and independence of survivors. This scoping review assesses the emerging field of muscle synergy analysis in enhancing upper limb rehabilitation, focusing on the comparison of various methodologies and their outcomes. It aims to standardize these approaches to improve the effectiveness of rehabilitation interventions and drive future research in the domain. Evidence acquisition: Studies included in this scoping review focused on the analysis of muscle synergies during longitudinal rehabilitation of stroke survivors' upper limbs. A systematic literature search was conducted using PubMed, Scopus, and Web of Science databases, until September 2023, and was guided by the PRISMA for scoping review framework. Evidence synthesis: Fourteen studies involving a total of 247 stroke patients were reviewed, featuring varied patient populations and rehabilitative interventions. Protocols differed among studies, with some utilizing robotic assistance and others relying on traditional therapy methods. Muscle synergy extraction was predominantly conducted using Non-Negative Matrix Factorization from electromyography data, focusing on key upper limb muscles essential for shoulder, elbow, and wrist rehabilitation. A notable observation across the studies was the heterogeneity in findings, particularly in the changes observed in the number, weightings, and temporal coefficients of muscle synergies. The studies indicated varied and complex relationships between muscle synergy variations and clinical outcomes. This diversity underscored the complexity involved in interpreting muscle coordination in the stroke population. The variability in results was also influenced by differing methodologies in muscle synergy analysis, highlighting a need for more standardized approaches to improve future research comparability and consistency. Conclusions: The synthesis of evidence presented in this scoping review highlights the promising role of muscle synergy analysis as an indicator of motor control recovery in stroke rehabilitation. By offering a comprehensive overview of the current state of research and advocating for harmonized methodological practices in future longitudinal studies, this scoping review aspires to advance the field of upper limb rehabilitation, ensuring that post-stroke interventions are both scientifically grounded and optimally beneficial for patients.</t>
  </si>
  <si>
    <t>[Facciorusso, Salvatore] Luigi Vanvitelli Univ Campania, Dept Med &amp; Surg Specialties &amp; Dent, Naples, Italy; [Facciorusso, Salvatore; Spina, Stefania; Santamato, Andrea] Univ Foggia, Dept Med &amp; Surg Sci, Sect Phys Med &amp; Rehabil, Spast &amp; Movement Disorders ReSTaRt, Viale Luigi Pinto 1, I-71122 Foggia, Italy; [Guanziroli, Eleonora; Giraud, Manuela; Molteni, Franco] Valduce Hosp Como, Villa Beretta Rehabil Ctr, Costa Masnaga, Lecco, Italy; [Brambilla, Cristina; Tosatti, Lorenzo Molinari; Scano, Alessandro] Italian Council Natl Res, Inst Syst &amp; Technol Ind Intelligent Technol &amp; Adv, Milan, Italy</t>
  </si>
  <si>
    <t>Universita della Campania Vanvitelli; University of Foggia</t>
  </si>
  <si>
    <t>Facciorusso, S (corresponding author), Univ Foggia, Dept Med &amp; Surg Sci, Sect Phys Med &amp; Rehabil, Spast &amp; Movement Disorders ReSTaRt, Viale Luigi Pinto 1, I-71122 Foggia, Italy.</t>
  </si>
  <si>
    <t>s.facciorusso89@gmail.com</t>
  </si>
  <si>
    <t>santamato, andrea/AAB-9751-2022; Spina, Stefania/AEH-6796-2022; Facciorusso, Salvatore/JQW-7103-2023; Molteni, Franco/J-4455-2016; Molinari Tosatti, Lorenzo/B-9608-2015; Brambilla, Cristina/KUD-5515-2024; Scano, Alessandro/AAX-4501-2020; Guanziroli, Eleonora/K-5078-2016</t>
  </si>
  <si>
    <t>Giraud, Manuela/0009-0004-6103-4287; Facciorusso, Salvatore/0000-0001-6748-9152; Scano, Alessandro/0000-0002-1896-9325; BRAMBILLA, CRISTINA/0000-0002-3201-8315</t>
  </si>
  <si>
    <t>The authors report no involvement in the research by the sponsor that could have influenced the outcome of this work. This work was supported in part by the Italian Ministry of Research within the project Fit4MedRob-Fit for Medical Robotics, Piano Nazionale Complementare (PNC) -PNC0000007.</t>
  </si>
  <si>
    <t>10.23736/S1973-9087.24.08438-7</t>
  </si>
  <si>
    <t>L6Z3P</t>
  </si>
  <si>
    <t>WOS:001310447500001</t>
  </si>
  <si>
    <t>Dhatrak, P; Durge, J; Dwivedi, RK; Pradhan, HK; Kolke, S</t>
  </si>
  <si>
    <t>Dhatrak, Pankaj; Durge, Jeet; Dwivedi, Rahul Kumar; Pradhan, Haresh Kumar; Kolke, Sona</t>
  </si>
  <si>
    <t>Interactive design and challenges on exoskeleton performance for upper-limb rehabilitation: a comprehensive review</t>
  </si>
  <si>
    <t>Control strategy; Exoskeleton; Orthoses; Physiotherapy; Rehabilitation; Upper limb</t>
  </si>
  <si>
    <t>HAND EXOSKELETON; ACTUATED EXOSKELETON; ROBOTIC EXOSKELETON; ARM EXOSKELETON; SHOULDER; THERAPY; STROKE; PHYSIOTHERAPY; SYSTEM; MODULE</t>
  </si>
  <si>
    <t>Disabilities due to medical conditions like stroke, paralysis, and frozen shoulder are an increasing issue nowadays and require external rehabilitation. Often, exoskeletons can be a useful aid to carry out rehabilitation. Exoskeletons combine control, sensing, and other automation and display traits from data, bionics, control science, robotics, medicine, and other multidisciplinary areas. The present review aims to study research growth in human movement analysis and methodically compiles advancements in interactive design and challenges in the use of exoskeletons such as human-in-the-loop (HITL) control, human-robot interaction (HRI) using sEMG signals and Machine Learning. This paper encapsulates a comprehensive review of the upper limb exoskeletons which will provide further inputs to physiotherapists and researchers. It is categorized into sections detailing the basic structures of the exoskeletons, and the design principles behind them. Different mechanisms are studied in detail, as well as the challenges faced while designing. It also provides insight into a variety of control strategies and the scope of exoskeleton technology in the future such as 3D printing technology and the application of virtual reality and machine learning technology. Despite these advancements, scope exists for the development of upper limb exoskeletons for paediatric use. The existing exoskeletons are studied and reviewed to draw comparisons between each other. Further discussion is done to modernize the exoskeletons and to note down the key differences that separate them.</t>
  </si>
  <si>
    <t>[Dhatrak, Pankaj; Durge, Jeet; Dwivedi, Rahul Kumar; Pradhan, Haresh Kumar] Dr Vishwanath Karad MIT World Peace Univ, Dept Mech Engn, Pune, Maharashtra, India; [Kolke, Sona] Sancheti Inst Coll Physiotherapy, Dept Physiotherapy, Pune, Maharashtra, India</t>
  </si>
  <si>
    <t>Dr. Vishwanath Karad MIT World Peace University</t>
  </si>
  <si>
    <t>Dhatrak, P (corresponding author), Dr Vishwanath Karad MIT World Peace Univ, Dept Mech Engn, Pune, Maharashtra, India.</t>
  </si>
  <si>
    <t>pankaj.dhatrak@mitwpu.edu.in</t>
  </si>
  <si>
    <t>Dhatrak, Pankaj/AAF-9399-2020</t>
  </si>
  <si>
    <t>Dhatrak, Dr. Pankaj/0000-0002-4179-3524</t>
  </si>
  <si>
    <t>Sancheti Institute College of Physiotherapy, Pune, MS, India</t>
  </si>
  <si>
    <t>This review is supported by Sancheti Institute College of Physiotherapy, Pune 411016, MS, India.</t>
  </si>
  <si>
    <t>2024 SEP 5</t>
  </si>
  <si>
    <t>10.1007/s12008-024-02090-9</t>
  </si>
  <si>
    <t>F1R4N</t>
  </si>
  <si>
    <t>WOS:001307657500002</t>
  </si>
  <si>
    <t>Valenzuela-López, L; Moreno-Verdú, M; Cuenca-Zaldívar, JN; Romero, JP</t>
  </si>
  <si>
    <t>Valenzuela-Lopez, Laura; Moreno-Verdu, Marcos; Cuenca-Zaldivar, Juan Nicola; Romero, Juan Pablo</t>
  </si>
  <si>
    <t>Effects of Hand Motor Interventions on Cognitive Outcomes Post-stroke: A Systematic Review and Bayesian Network Meta-analysis</t>
  </si>
  <si>
    <t>Cognition; Hand motor rehabilitation; Rehabilitation; Robot- assisted training; Strength training; Stroke; Virtual reality</t>
  </si>
  <si>
    <t>MENTAL-STATE-EXAMINATION; STROKE REHABILITATION; UPPER EXTREMITY; RECOVERY; IMPAIRMENT; PERFORMANCE; PREVALENCE; DISORDERS; STRENGTH; EXERCISE</t>
  </si>
  <si>
    <t>Objective: To synthetize the evidence on the effects of hand rehabilitation (RHB) interventions on cognition post-stroke and compare their efficacy. Data Sources: PubMed, Embase, Cochrane, Scopus, Web of Science, and CINAHL were searched from inception to November 2022. Data Selection: Randomized controlled trials conducted in adults with stroke where the effects of hand motor interventions on any cognitive domains were assessed. Data Extraction: Data were extracted by 2 independent reviewers. A Bayesian Network Meta-analysis (NMA) was applied for measures with enough studies and comparisons. Risk of bias was assessed with the Cochrane Risk of Bias tool. Data Synthesis: Fifteen studies were included in qualitative synthesis, and 11 in NMA. Virtual reality (VR) (n=7), robot-assisted (n=5), or hand- grip strength (n=3) training were the experimental interventions and conventional RHB (n=14) control intervention. Two separate NMA were performed with MoCA (n=480 participants) and MMSE (n=350 participants) as outcome measures. Both coincided that the most probable best interventions were robot-assisted and strength training, according to SUCRA and rankogram, followed by conventional RHB and VR training. No significant differences between any of the treatments were found in the MoCA network, but in the MMSE, robot-assisted and strength training were significantly better than conventional RHB and VR. No significant differences between robot-assisted and strength training were found nor between conventional RHB and VR. Conclusions: Motor interventions can improve MoCA/MMSE scores post-stroke. Most probable best interventions were robot-assisted and strength training. Limited literature assessing domain-specific cognitive effects was found.</t>
  </si>
  <si>
    <t>[Valenzuela-Lopez, Laura; Moreno-Verdu, Marcos; Romero, Juan Pablo] Francisco de Vitoria Univ, Fac Expt Sci, Pozuelo De Alarcon, Spain; [Valenzuela-Lopez, Laura; Moreno-Verdu, Marcos; Romero, Juan Pablo] Francisco de Vitoria Univ, Inst Life Sci, Brain Injury &amp; Movement Disorders Neurorehabil Grp, Pozuelo De Alarcon, Spain; [Cuenca-Zaldivar, Juan Nicola] Univ Alcala, Fac Med &amp; Hlth Sci, Dept Nursing &amp; Physiotherapy, Res Grp Physiotherapy &amp; Pain, Alcala De Henares, Spain; [Cuenca-Zaldivar, Juan Nicola] Puerta Hierro Hlth Res Inst Segovia Arana IDIPHISA, Res Grp Nursing &amp; Hlth Care, Madrid, Spain; [Cuenca-Zaldivar, Juan Nicola] Primary Hlth Care Ctr El Abajon, Phys Therapy Unit, Madrid, Spain; [Cuenca-Zaldivar, Juan Nicola] Univ Europea Madrid, Fac Sport Sci, Interdisciplinary Grp Musculoskeletal Disorders, Villaviciosa De Odon, Spain; [Romero, Juan Pablo] Beata Maria Ana Hosp, Brain Damage Unit, Madrid, Spain</t>
  </si>
  <si>
    <t>Universidad Francisco de Vitoria; Universidad Francisco de Vitoria; Universidad de Alcala; European University of Madrid</t>
  </si>
  <si>
    <t>Moreno-Verdú, M (corresponding author), Francisco de Vitoria Univ, Inst Life Sci, Brain Injury &amp; Movement Disorders Neurorehabil Grp, Pozuelo De Alarcon, Spain.</t>
  </si>
  <si>
    <t>; Romero, Juan Pablo/Y-6765-2018</t>
  </si>
  <si>
    <t>Moreno-Verdu, Marcos/0000-0002-9726-8518; Romero, Juan Pablo/0000-0002-3190-1296</t>
  </si>
  <si>
    <t>Spanish Ministry of Science and Innovation [PID2020-113222RBC21/AEI/10.13039/501100011033]</t>
  </si>
  <si>
    <t>Spanish Ministry of Science and Innovation(Spanish Government)</t>
  </si>
  <si>
    <t>This work was supported by the Spanish Ministry of Science and Innovation [grant No PID2020-113222RBC21/AEI/10.13039/501100011033] . This organization was not involved in study design, collection, analysis and interpretation of data, writing of the report or decision to sub-mit the article for publication.</t>
  </si>
  <si>
    <t>10.1016/j.apmr.2023.12.013</t>
  </si>
  <si>
    <t>G4P1R</t>
  </si>
  <si>
    <t>WOS:001316468200001</t>
  </si>
  <si>
    <t>Han, IH; Kim, DH; Nam, KH; Lee, JI; Kim, KH; Park, JH; Ahn, HS</t>
  </si>
  <si>
    <t>Han, In Ho; Kim, Dong Hwan; Nam, Kyoung Hyup; Lee, Jae Il; Kim, Kye-Hyung; Park, Jong-Hwan; Ahn, Ho Seok</t>
  </si>
  <si>
    <t>Human-Robot Interaction and Social Robot: The Emerging Field of Healthcare Robotics and Current and Future Perspectives for Spinal Care</t>
  </si>
  <si>
    <t>NEUROSPINE</t>
  </si>
  <si>
    <t>Human-robot interaction; Robotics; Social robot; Healthcare; Spinal care</t>
  </si>
  <si>
    <t>CHILDREN; AUTISM; PERCEPTION</t>
  </si>
  <si>
    <t>Recent advances in robotics technology and artificial intelligence (AI) have sparked increased interest in humanoid robots that resemble humans and social robots capable of interacting socially. Alongside this trend, a new field of robot research called human-robot interaction (HRI) is gaining prominence. The aim of this review paper is to introduce the fundamental concepts of HRI and social robots, examine their current applications in the medical field, and discuss the current and future prospects of HRI and social robots in spinal care. HRI is an interdisciplinary field where robotics, AI, social sciences, design, and various disciplines collaborate organically to develop robots that successfully interact with humans as the ultimate goal. While social robots are not yet widely deployed in clinical environments, ongoing HRI research encompasses various areas such as nursing and caregiving support, social and emotional assistance, rehabilitation and cognitive enhancement for the elderly, medical information provision and education, as well as patient monitoring and data collection. Although still in its early stages, research related to spinal care includes studies on robotic support for rehabilitation exercises, assistance in gait training, and questionnaire-based assessments for spinal pain. Future applications of social robots in spinal care will require diverse HRI research efforts and active involvement from spinal specialists.</t>
  </si>
  <si>
    <t>[Han, In Ho; Kim, Dong Hwan; Nam, Kyoung Hyup; Lee, Jae Il] Pusan Natl Univ, Sch Med, Dept Neurosurg, Pusan, South Korea; [Han, In Ho; Kim, Dong Hwan; Nam, Kyoung Hyup; Lee, Jae Il; Kim, Kye-Hyung; Park, Jong-Hwan] Pusan Natl Univ Hosp, Med Res Inst, Pusan, South Korea; [Kim, Kye-Hyung] Pusan Natl Univ, Sch Med, Dept Internal Med, Pusan, South Korea; [Ahn, Ho Seok] Univ Auckland, Dept Elect Comp &amp; Software Engn, CARES, Auckland, New Zealand</t>
  </si>
  <si>
    <t>Pusan National University; Pusan National University Hospital; Pusan National University; Pusan National University Hospital; Pusan National University; Pusan National University Hospital; University of Auckland</t>
  </si>
  <si>
    <t>Ahn, HS (corresponding author), Univ Auckland, Dept Elect Comp &amp; Software Engn, Engn Block 5-Bldg 405,5 Grafton RD, Auckland 1010, New Zealand.</t>
  </si>
  <si>
    <t>hs.ahn@auckland.ac.nz</t>
  </si>
  <si>
    <t>Park, Ji/ABG-5893-2020</t>
  </si>
  <si>
    <t>Lee, JaeIl/0000-0003-1412-4146; Kim, Kye-Hyung/0000-0001-9682-9654</t>
  </si>
  <si>
    <t>Technology Innovation Program of the Ministry of Trade, Industry Energy (MOTIE); South Korean government [20015052]</t>
  </si>
  <si>
    <t>Technology Innovation Program of the Ministry of Trade, Industry Energy (MOTIE); South Korean government(Korean Government)</t>
  </si>
  <si>
    <t>Support was received from the Technology Innovation Program of the Ministry of Trade, Industry &amp; Energy (MOTIE), funded by the South Korean government (Grant Number 20015052).</t>
  </si>
  <si>
    <t>KOREAN SPINAL NEUROSURGERY SOC</t>
  </si>
  <si>
    <t>ND #407, DONG-A VILLATE 2 TOWN, 350, SEOCHO-DAERO, SEOCHO-GU, SEOUL, 06631, SOUTH KOREA</t>
  </si>
  <si>
    <t>2586-6583</t>
  </si>
  <si>
    <t>2586-6591</t>
  </si>
  <si>
    <t>Neurospine</t>
  </si>
  <si>
    <t>10.14245/ns.2448432.216</t>
  </si>
  <si>
    <t>I5D5E</t>
  </si>
  <si>
    <t>WOS:001330460000015</t>
  </si>
  <si>
    <t>Moghadasi, AN; Rastkar, M; Mohammadifar, M; Mohammadi, A; Ghajarzadeh, M</t>
  </si>
  <si>
    <t>Moghadasi, Abdorreza Naser; Rastkar, Mohsen; Mohammadifar, Mehdi; Mohammadi, Aida; Ghajarzadeh, Mahsa</t>
  </si>
  <si>
    <t>Effects of robotic rehabilitation on fatigue experience, disability, and quality of life in patients with multiple sclerosis (MS): A systematic review and meta-analysis</t>
  </si>
  <si>
    <t>CASPIAN JOURNAL OF INTERNAL MEDICINE</t>
  </si>
  <si>
    <t>Multiple sclerosis; Robotic; Rehabilitation</t>
  </si>
  <si>
    <t>VIRTUAL-REALITY; DEPRESSION</t>
  </si>
  <si>
    <t>Background: Rehabilitation plays an important role in improving symptoms in patients with multiple sclerosis (MS). There are studies evaluating the effects of robotic rehabilitation in patients with MS, but the results varied between the studies. So, we designed this systematic review and meta-analysis to estimate pooled effects of robotic rehabilitation on fatigue, disability, and quality of life in subjects with MS. Methods: We systematically searched PubMed, Scopus, EMBASE, Web of Science, Google Scholar, and also gray literature including references of the included studies, and also conference abstracts on October 1th 2022. Data regarding the total number of participants, first author, publication year, country of origin, mean age, EDSS, and results of fatigue and quality of life were recorded. Results: The first literature search revealed 6878 results, after deleting duplicates, 5019 studies remained. Two researchers, evaluated the titles and abstracts, and finally 77 full texts were assessed. For meta-analysis, we included 11 studies. The pooled Standardized Mean Difference (SMD) of Kurtzke Expanded Disability Status Scale (EDSS) (afterbefore) estimated as -0.56 (95%CI: -0.89,-0.23). The pooled SMD of Fatigue Severity Scale (FSS) estimated as -0.54(95%CI: -1.06, -0.01) (I2=66.7%, P=0.01). The pooled SMD of physical health subscale of multiple sclerosis quality of life (MSQOL-54) estimated as 0.36(95%CI:-0.23, 0.96) (I2=51.4%, P=0.1). The pooled SMD of mental health subscale of MSQOL54 estimated as 0.48 (95%CI: 0.07, 0.88) (I2=0%, P=0.6). Conclusions: The results of this systematic review and meta-analysis rehabilitation has positive effects on fatigue, and disability in patients with MS.</t>
  </si>
  <si>
    <t>[Moghadasi, Abdorreza Naser] Univ Tehran Med Sci, Neurosci Inst, Multiple Sclerosis Res Ctr, Tehran, Iran; [Rastkar, Mohsen] Univ Tehran Med Sci, Students Sci Res Ctr, Tehran, Iran; [Mohammadifar, Mehdi; Mohammadi, Aida; Ghajarzadeh, Mahsa] Univ Tehran Med Sci, Universal Sci Educ &amp; Res Network USERN, Multiple Sclerosis Res Grp MSRG, Tehran, Iran; [Ghajarzadeh, Mahsa] Johns Hopkins Univ, Dept Neurol, Baltimore, MD 21205 USA</t>
  </si>
  <si>
    <t>Tehran University of Medical Sciences; Tehran University of Medical Sciences; Tehran University of Medical Sciences; Universal Scientific Education &amp; Research Network (USERN); Johns Hopkins University</t>
  </si>
  <si>
    <t>Ghajarzadeh, M (corresponding author), Johns Hopkins Univ, Dept Neurol, Baltimore, MD 21205 USA.</t>
  </si>
  <si>
    <t>mghajar2@jhmi.edu</t>
  </si>
  <si>
    <t>Moghadasi, Abdorreza/A-3104-2019; Rastkar, Mohsen/GPK-2163-2022</t>
  </si>
  <si>
    <t>BABOL UNIV MEDICAL SCIENCES</t>
  </si>
  <si>
    <t>BABOL</t>
  </si>
  <si>
    <t>ENGLISH JOURNAL OFFICE, GANJ AFROOZ AVE, BABOL, 00000, IRAN</t>
  </si>
  <si>
    <t>2008-6164</t>
  </si>
  <si>
    <t>2008-6172</t>
  </si>
  <si>
    <t>CASP J INTERN MED</t>
  </si>
  <si>
    <t>Casp. J. Intern. Med.</t>
  </si>
  <si>
    <t>10.22088/cjim.15.4.589</t>
  </si>
  <si>
    <t>L7U8E</t>
  </si>
  <si>
    <t>WOS:001352739800004</t>
  </si>
  <si>
    <t>Khairi, NAAM; Hanafi, MH; Kassim, NK; Ibrahim, A; Ahmad, WMAW</t>
  </si>
  <si>
    <t>Khairi, Nur Ain Athirah Mohd; Hanafi, Muhammad Hafiz; Kassim, Nur Karyatee; Ibrahim, Al Hafiz; Ahmad, Wan Muhamad Amir W.</t>
  </si>
  <si>
    <t>The Levels of Biomarkers Interleukin 1 (IL-1) and Brain-Derived Neurotrophic Factor (BDNF) in Non-Invasive Conventional Rehabilitation and Robotic Rehabilitation Among Brain Injury Patients: A Narrative Review</t>
  </si>
  <si>
    <t>robotics; rehabilitation; interleukin-1; brain injuries; brain-derived neurotrophic factor</t>
  </si>
  <si>
    <t>MANAGEMENT</t>
  </si>
  <si>
    <t>Acquired brain injury (ABI) is becoming increasingly common in Malaysia as a result of a rise in both strokes and accidents. The present review aims to explore the levels of serum inflammatory markers of interleukin-1 (IL-1) and brain-derived neurotrophic factor (BDNF) following conventional and robotic rehabilitation regimes among ABI patients and the association between serum biomarkers with the Medical Research Council (MRC) scale for muscle strength. Online databases, namely ScienceDirect, PubMed, and Google Scholar were utilized by using search terms such as 'Definition of brain injury', 'Epidemiology of brain injury', 'Interleukin-1 in stroke', 'BDNF in stroke', 'Interleukin-1 in traumatic brain injury', 'BDNF in traumatic brain injury', 'Interleukin-1 level and robotic rehabilitation', 'BDNF and robotic rehabilitation', 'Interleukin-1 level and neurorehabilitation', and 'BDNF and neurorehabilitation'. All types of articles with different levels of evidence were included along with other relevant review articles. Articles that were not in English and were not available in the full text were excluded. The review identifies similar and no significant improvement in the treatment between conventional rehabilitation and robotic rehabilitation concerning serum biomarkers IL-1 and BDNF. This review also identifies that muscle strength and endurance training improved the level of serum BDNF in brain injury patients. Therefore, this review provides evidence of the levels of IL-1 and BDNF in noninvasive conventional rehabilitation and robotic rehabilitation among brain injury patients, as well as their relation with the MRC scale, to give a good functional outcome that will enhance the quality of life of these groups of individuals.</t>
  </si>
  <si>
    <t>[Khairi, Nur Ain Athirah Mohd; Hanafi, Muhammad Hafiz] Univ Sains Malaysia, Sch Med Sci, Dept Neurosci, Kota Baharu, Malaysia; [Kassim, Nur Karyatee; Ahmad, Wan Muhamad Amir W.] Univ Sains Malaysia, Sch Dent Sci, Kota Baharu, Malaysia; [Ibrahim, Al Hafiz] Univ Sains Malaysia, Sch Med Sci, Kota Baharu, Malaysia</t>
  </si>
  <si>
    <t>Universiti Sains Malaysia; Universiti Sains Malaysia; Universiti Sains Malaysia</t>
  </si>
  <si>
    <t>Hanafi, MH (corresponding author), Univ Sains Malaysia, Sch Med Sci, Dept Neurosci, Kota Baharu, Malaysia.</t>
  </si>
  <si>
    <t>drmdhafiz@usm.my</t>
  </si>
  <si>
    <t>Ibrahim, Al/ABC-2139-2020; KASSIM, DR NUR KARYATEE/C-9224-2017; Hanafi, Muhammad/C-6752-2016</t>
  </si>
  <si>
    <t>Ministry of Higher Education Malaysia [FRGS/1/2021/SKK0/USM/02/38]</t>
  </si>
  <si>
    <t>Ministry of Higher Education Malaysia(Ministry of Education, Malaysia)</t>
  </si>
  <si>
    <t>Acknowledgement to Ministry of Higher Education Malaysia for Fundamental Research Grant Scheme (project code: FRGS/1/2021/SKK0/USM/02/38).</t>
  </si>
  <si>
    <t>AUG 31</t>
  </si>
  <si>
    <t>E68332</t>
  </si>
  <si>
    <t>10.7759/cureus.68332</t>
  </si>
  <si>
    <t>E9N2W</t>
  </si>
  <si>
    <t>WOS:001306188300001</t>
  </si>
  <si>
    <t>Vigolo, V; Rodrigues, LAO; Valdiero, AC; da Cruz, DAL; Gonçalves, RS</t>
  </si>
  <si>
    <t>Vigolo, Vinicius; Rodrigues, Lucas A. O.; Valdiero, Antonio Carlos; da Cruz, Daniel A. L.; Goncalves, Rogerio S.</t>
  </si>
  <si>
    <t>HOPE-G: A Dual Belt Treadmill Servo-Pneumatic System for Gait Rehabilitation</t>
  </si>
  <si>
    <t>Gait rehabilitation; Parallel structures; Servo-pneumatic control; Impedance control</t>
  </si>
  <si>
    <t>PARALLEL MECHANISMS; SPINAL-CORD; INJURY; STROKE; ROBOT</t>
  </si>
  <si>
    <t>The use of robotic devices for gait neurological rehabilitation is growing, however, the available options are scarce, expensive, and with high complexity of construction and control. In this way, this paper presents the HOPE-G, a novel gait rehabilitation robot consisting of an active bodyweight support system and a dual belt treadmill servo-pneumatic module. This paper focuses on the development of the dual belt treadmill servo-pneumatic module, which has tipper movement to remove the physical barrier of the patient during the swing phase of the human gait rehabilitation. The mathematical models of the servo-pneumatic system and the treadmill module are provided. An impedance controller was designed to provide a compliant walking surface for the patient. Simulation and test rig results demonstrate the servo-pneumatic system's capability to meet the application requirements and effectively control the surface stiffness. Therefore, it is evidenced that pneumatic systems have shock absorption capabilities, making them a cost-effective solution for application in human rehabilitation tasks.</t>
  </si>
  <si>
    <t>[Vigolo, Vinicius; Valdiero, Antonio Carlos] Univ Fed Santa Catarina, BR-88040900 Florianopolis, SC, Brazil; [Rodrigues, Lucas A. O.; da Cruz, Daniel A. L.; Goncalves, Rogerio S.] Univ Fed Uberlandia, BR-8408100 Uberlandia, MG, Brazil</t>
  </si>
  <si>
    <t>Universidade Federal de Santa Catarina (UFSC); Universidade Federal de Uberlandia</t>
  </si>
  <si>
    <t>Vigolo, V (corresponding author), Univ Fed Santa Catarina, BR-88040900 Florianopolis, SC, Brazil.</t>
  </si>
  <si>
    <t>vinicius.vigolo@laship.ufsc.br</t>
  </si>
  <si>
    <t>Gonçalves, Rogério/R-7483-2019; Valdiero, Antonio/Z-2625-2019</t>
  </si>
  <si>
    <t>Vigolo, Vinicius/0000-0003-0235-9095; , Daniel Cruz/0009-0001-8513-343X</t>
  </si>
  <si>
    <t>University Scholarship Program of Santa Catarina (UNIEDU); National Council for Scientific and Technological Development (CNPq) [303511/2021-4, 406936/2022-6]; Research Support Foundation of the State of Minas Gerais (FAPEMIG) [APQ-02829-17]</t>
  </si>
  <si>
    <t>University Scholarship Program of Santa Catarina (UNIEDU); National Council for Scientific and Technological Development (CNPq)(Conselho Nacional de Desenvolvimento Cientifico e Tecnologico (CNPQ)); Research Support Foundation of the State of Minas Gerais (FAPEMIG)(Fundacao de Amparo a Pesquisa do Estado de Minas Gerais (FAPEMIG))</t>
  </si>
  <si>
    <t>This study was financed in part by the University Scholarship Program of Santa Catarina (UNIEDU), the National Council for Scientific and Technological Development (CNPq), under Grant 303511/2021-4 and 406936/2022-6, and the Research Support Foundation of the State of Minas Gerais (FAPEMIG) under Grant APQ-02829-17.</t>
  </si>
  <si>
    <t>AUG 30</t>
  </si>
  <si>
    <t>10.1007/s10846-024-02158-4</t>
  </si>
  <si>
    <t>E4B1O</t>
  </si>
  <si>
    <t>WOS:001302462500001</t>
  </si>
  <si>
    <t>Langer, S; Lallinger, V; Heine, N; Zapf, J; Glowalla, C</t>
  </si>
  <si>
    <t>Langer, Severin; Lallinger, Vincent; Heine, Niels; Zapf, Julian; Glowalla, Claudio</t>
  </si>
  <si>
    <t>Three-dimensional individual joint reconstruction using Mako robotic arm-assisted surgical technique Possibilities and limitations of the surgical technique</t>
  </si>
  <si>
    <t>Knee; Knee arthroplasty, total; Patient satisfaction; Robot-assisted surgery; Unicondylar knee replacement; Knee; Knee arthroplasty, total; Patient satisfaction; Robot-assisted surgery; Unicondylar knee replacement</t>
  </si>
  <si>
    <t>TOTAL KNEE ARTHROPLASTY; OUTCOMES; SYSTEMS; HIP</t>
  </si>
  <si>
    <t>Background: Although knee arthroplasty is a very successful treatment for gonarthrosis or joint destruction, a significant number of patients are still not completely satisfied with the result. Greater satisfaction and faster rehabilitation seem to be achievable through patient-individualized alignment of the prosthesis and can be reproduced in particular through robot-assisted implantation. Importance of robotics: The topic of robotics in orthopedics and in particular in knee arthroplasty is not new and has been widespread again since its beginnings in the 1990s with the Robodoc system. The resurgence of robotics with new systems can be described as an innovation in the orthopedic operating room. Interest in this has increased significantly not only among surgeons, but also among patients, not least because better joint function and patient satisfaction as well as faster rehabilitation are expected.</t>
  </si>
  <si>
    <t>[Langer, Severin; Lallinger, Vincent; Heine, Niels; Zapf, Julian; Glowalla, Claudio] Tech Univ Munich, Klin Orthopadie, Klinikum Rechts Isar, Sportorthopadie, Ismaninger Str 22, D-81675 Munich, Germany; [Langer, Severin; Glowalla, Claudio] Berufsgenossenschaftl Unfallklin Murnau, Abt Endoprothet, Murnau, Germany</t>
  </si>
  <si>
    <t>Technical University of Munich</t>
  </si>
  <si>
    <t>Langer, S (corresponding author), Tech Univ Munich, Klin Orthopadie, Klinikum Rechts Isar, Sportorthopadie, Ismaninger Str 22, D-81675 Munich, Germany.</t>
  </si>
  <si>
    <t>Severin.Langer@mri.tum.de</t>
  </si>
  <si>
    <t>10.1007/s00132-024-04554-y</t>
  </si>
  <si>
    <t>K8J6L</t>
  </si>
  <si>
    <t>WOS:001304326600001</t>
  </si>
  <si>
    <t>Pitliya, A; Bin Siddiq, A; Oli, D; Wijaya, JH; Batra, V; Vasudevan, SS; Choudhari, J; Singla, R; Pitliya, A</t>
  </si>
  <si>
    <t>Pitliya, Aakanksha; Bin Siddiq, Anas; Oli, Deva; Wijaya, Jeremiah Hilkiah; Batra, Vanshika; Vasudevan, Srivatsa Surya; Choudhari, Jinal; Singla, Ramit; Pitliya, Anmol</t>
  </si>
  <si>
    <t>Telerehabilitation in post-stroke care: a systematic review and meta-analysis of randomized controlled trials</t>
  </si>
  <si>
    <t>TOPICS IN STROKE REHABILITATION</t>
  </si>
  <si>
    <t>Stroke; virtual reality; telerehabilitation; robotics; balance; rehabilitation; stroke survivors</t>
  </si>
  <si>
    <t>VIRTUAL-REALITY; STROKE; BALANCE; REHABILITATION; SATISFACTION; TELEMEDICINE; PROGRAM</t>
  </si>
  <si>
    <t>ObjectivesThis meta-analysis introduces tele-medicine in time-sensitive conditions like stroke and the challenges hindering at-home rehabilitation. It aims to consolidate evidence supporting telerehabilitation effectiveness in post-stroke patients, with a focus on ADL, balance, mobility, and motor control.MethodsWe conducted a meta-analysis using the Preferred Reporting Items for Systematic Reviews and Meta-analysis (PRISMA) 2020 guidelines. A comprehensive search of PubMed, Google Scholar, and Cochrane central databases was conducted. Inclusion criteria involved studies that employed randomized controlled trial (RCT) designs, specifically evaluating various telerehabilitation models in patients diagnosed with a stroke, excluding those with mixed etiology and non-randomized or single-arm designs. Two independent reviewers assessed study quality and bias using Cochrane Risk of Bias 2 before inclusion.ResultsWe included 10 studies (n = 417) with a predominantly male sample (n = 196). The mean age of the pooled sample of 8 studies was 64.87 (13.01) years. Our meta-analysis showed that telerehabilitation may have modest effects on Berg Balance Scale (SMD 0.08 [-0.23; 0.40]; p = 0.54), and trunk impairment scale (SMD 0.26 [-1.00; 1.52]; p = 0.05), slightly inferior effects on Barthel index (SMD -0.34 [-1.00; 0.32]; p = 0.31), but demonstrated a favorable impact on trunk impairment (SMD -0.21 [-1.18; 0.76]; p = 0.02).ConclusionWe found that telerehabilitation may have modest effects on balance and mobility, and slightly inferior results in Activities of daily living but may have a positive effect on trunk impairment. However, more studies with larger cohorts are needed to confirm our results.</t>
  </si>
  <si>
    <t>[Pitliya, Aakanksha] Pamnani Hosp &amp; Res Ctr, Dept Med, Railway Stn Rd, Mandsaur 458001, Madhya Pradesh, India; [Bin Siddiq, Anas] Shadan Inst Med Sci, Dept Med, ,, Hyderabad, TL, India; [Oli, Deva] Reg Hosp Pvt Ltd, Dept Internal Med, Pokhara, Nepal; [Wijaya, Jeremiah Hilkiah] Univ Pelita Harapan, Fac Med, Dept Neurosurg, Tangerang, Banten, Indonesia; [Batra, Vanshika] SGT Med Coll, Dept Pediat, Gurugram, HR, India; [Vasudevan, Srivatsa Surya] Louisiana State Univ, Hlth Ctr, Dept Head &amp; Neck Surg, Shreveport, LA USA; [Choudhari, Jinal] DRAA Larkin Community Hosp, Dept Internal Med, South Miami, FL USA; [Singla, Ramit] Med Univ South Carolina, Dept Neurol, Charleston, SC USA; [Pitliya, Anmol] Univ West Virginia, Camden Clark Med Ctr, Dept Internal Med, Parkersburg, WV USA</t>
  </si>
  <si>
    <t>Universitas Pelita Harapan; Louisiana State University System; Louisiana State University Shreveport; Medical University of South Carolina</t>
  </si>
  <si>
    <t>Pitliya, A (corresponding author), Pamnani Hosp &amp; Res Ctr, Dept Med, Railway Stn Rd, Mandsaur 458001, Madhya Pradesh, India.</t>
  </si>
  <si>
    <t>pitliya.aakanksha@gmail.com</t>
  </si>
  <si>
    <t>Vasudevan, Srivatsa Surya/JVD-9515-2023; Singla, Ramit/HHD-3480-2022; Pitliya, Anmol/L-8886-2019</t>
  </si>
  <si>
    <t>Pitliya, Aakanksha/0000-0003-3688-7267; Vasudevan, Srivatsa Surya/0000-0002-6998-1658</t>
  </si>
  <si>
    <t>1074-9357</t>
  </si>
  <si>
    <t>1945-5119</t>
  </si>
  <si>
    <t>TOP STROKE REHABIL</t>
  </si>
  <si>
    <t>Top. Stroke Rehabil.</t>
  </si>
  <si>
    <t>10.1080/10749357.2024.2392439</t>
  </si>
  <si>
    <t>0GX0B</t>
  </si>
  <si>
    <t>WOS:001296343400001</t>
  </si>
  <si>
    <t>Fatehi, V; Salahzadeh, Z; Mohammadzadeh, Z</t>
  </si>
  <si>
    <t>Fatehi, Vahid; Salahzadeh, Zahra; Mohammadzadeh, Zeinab</t>
  </si>
  <si>
    <t>Mapping and analyzing the application of digital health for stroke rehabilitation: scientometric analysis</t>
  </si>
  <si>
    <t>Digital health; stroke; rehabilitation; recovery; digital innovation</t>
  </si>
  <si>
    <t>INDUCED MOVEMENT THERAPY; CARE; TELESTROKE; DISABILITY; RECOVERY</t>
  </si>
  <si>
    <t>IntroductionA modern and accessible healthcare system requires digital innovation and connectivity. The term Digital health covers vide range technologies, such as mobile health and applications, electronic records, telehealth and telemedicine, wearable devices, robotics, virtual reality and artificial intelligence.MethodsScientometrics is the method that we have done in this study by Cite Space and VOSviewer software, and the result of searching the Web of Science database in plain text format to perform analysis and scientometrics and create outputs in the form of graphs and tables in the field of digital health has been used in stroke rehabilitation.ResultA total of 2933 documents related to digital health technologies in stroke rehabilitation were identified by searching for the terms stroke rehabilitation or stroke recovery in the title and digital health across all fields. The strongest citations related to cerebrovascular disease spanned from 1994 to 2007, with randomised clinical trials occurring almost simultaneously and ended by 2012. Consequently, stroke rehabilitation by virtual reality technology has obtained the most citations and clinical trials and as an important part of digital health in the future research process.ConclusionThis scientometric study offers insights into how digital health technology can assist stroke patients in self-managing their health and well-being, in addition to supporting integrated stroke rehabilitation. The analysis revealed that three themes were present: author contributors and collaboration networks, temporal evolution, the strongest citation explosions for digital health technologies in stroke rehabilitation research, and semantic analysis. The new technology for helping stroke patients get better is a big help to many people with health problems.Newer technologies are now more common, and more patients are using remote health care monitoring. We need to do more research to figure out if these digital health technologies work well over a long period of time.This study connects digital technology and stroke rehab research. It looks at different research areas and trends, and gives a wider view than other similar studies. The findings show where more research should be done and help researchers work together in different areas to improve our knowledge of stroke rehabilitation.</t>
  </si>
  <si>
    <t>[Fatehi, Vahid; Mohammadzadeh, Zeinab] Tabriz Univ Med Sci, Sch Management &amp; Med Informat, Dept Hlth Informat Technol, Daneshgah St, Tabriz 5165665811, Iran; [Salahzadeh, Zahra] Tabriz Univ Med Sci, Sch Rehabil, Dept Physiotherapy, Tabriz, Iran</t>
  </si>
  <si>
    <t>Tabriz University of Medical Science; Tabriz University of Medical Science</t>
  </si>
  <si>
    <t>Mohammadzadeh, Z (corresponding author), Tabriz Univ Med Sci, Sch Management &amp; Med Informat, Dept Hlth Informat Technol, Daneshgah St, Tabriz 5165665811, Iran.</t>
  </si>
  <si>
    <t>z.mohammadzadeh20@gmail.com</t>
  </si>
  <si>
    <t>Salahzadeh, Zahra/G-3872-2015</t>
  </si>
  <si>
    <t>10.1080/17483107.2024.2387101</t>
  </si>
  <si>
    <t>T7W9R</t>
  </si>
  <si>
    <t>WOS:001290748500001</t>
  </si>
  <si>
    <t>Yang, JC; Zhu, YX; Li, HJ; Wang, K; Li, D; Qi, Q</t>
  </si>
  <si>
    <t>Yang, Juncong; Zhu, Yongxin; Li, Haojie; Wang, Kun; Li, Dan; Qi, Qi</t>
  </si>
  <si>
    <t>Effect of robotic exoskeleton training on lower limb function, activity and participation in stroke patients: a systematic review and meta-analysis of randomized controlled trials</t>
  </si>
  <si>
    <t>robotic exoskeleton training; stroke; walking; ICF; rehabilitation</t>
  </si>
  <si>
    <t>ASSISTED GAIT; SUBACUTE STROKE; HEMIPARETIC PATIENTS; WALKING FUNCTION; BRAIN-INJURY; REHABILITATION; RECOVERY; POSTSTROKE; OUTCOMES; THERAPY</t>
  </si>
  <si>
    <t>Background: The current lower limb robotic exoskeleton training (LRET) for treating and managing stroke patients remains a huge challenge. Comprehensive ICF analysis and informative treatment options are needed. This review aims to analyze LRET' s efficacy for stroke patients, based on ICF, and explore the impact of intervention intensities, devices, and stroke phases. Methods: We searched Web of Science, PubMed, and The Cochrane Library for RCTs on LRET for stroke patients. Two authors reviewed studies, extracted data, and assessed quality and bias. Standardized protocols were used. PEDro and ROB2 were employed for quality assessment. All analyses were done with RevMan 5.4. Results: Thirty-four randomized controlled trials (1,166 participants) were included. For function, LRET significantly improved motor control (MD = 1.15, 95%CI = 0.29-2.01, p = 0.009, FMA-LE), and gait parameters (MD = 0.09, 95%CI = 0.03-0.16, p = 0.004, Instrumented Gait Velocity; MD = 0.06, 95%CI = 0.02-0.09, p = 0.002, Step length; MD = 4.48, 95%CI = 0.32-8.65, p = 0.04, Cadence) compared with conventional rehabilitation. For activity, LRET significantly improved walking independence (MD = 0.25, 95%CI = 0.02-0.48, p = 0.03, FAC), Gait Velocity (MD = 0.07, 95%CI = 0.03-0.11, p = 0.001) and balance (MD = 2.34, 95%CI = 0.21-4.47, p = 0.03, BBS). For participation, social participation (MD = 0.12, 95%CI = 0.03-0.21, p = 0.01, EQ-5D) was superior to conventional rehabilitation. Based on subgroup analyses, LRET improved motor control (MD = 1.37, 95%CI = 0.47-2.27, p = 0.003, FMA-LE), gait parameters (MD = 0.08, 95%CI = 0.02-0.14, p = 0.006, Step length), Gait Velocity (MD = 0.11, 95%CI = 0.03-0.19, p = 0.005) and activities of daily living (MD = 2.77, 95%CI = 1.37-4.16, p = 0.0001, BI) for the subacute patients, while no significant improvement for the chronic patients. For exoskeleton devices, treadmill-based exoskeletons showed significant superiority for balance (MD = 4.81, 95%CI = 3.10-6.52, p &lt; 0.00001, BBS) and activities of daily living (MD = 2.67, 95%CI = 1.25-4.09, p = 0.00002, BI), while Over-ground exoskeletons was more effective for gait parameters (MD = 0.05, 95%CI = 0.02-0.08, p = 0.0009, Step length; MD = 6.60, 95%CI = 2.06-11.15, p = 0.004, Cadence) and walking independence (MD = 0.29, 95%CI = 0.14-0.44, p = 0.0002, FAC). Depending on the training regimen, better results may be achieved with daily training intensities of 45-60 min and weekly training intensities of 3 h or more. Conclusion: These findings offer insights for healthcare professionals to make effective LRET choices based on stroke patient needs though uncertainties remain. Particularly, the assessment of ICF participation levels and the design of time-intensive training deserve further study. Systematic review registration: https://www.crd.york.ac.uk/PROSPERO, Unique Identifier: CRD42024501750.</t>
  </si>
  <si>
    <t>[Yang, Juncong; Zhu, Yongxin; Wang, Kun; Li, Dan; Qi, Qi] Shanghai Yangzhi Rehabil Hosp, Shanghai Sunshine Rehabil Ctr, Shanghai, Peoples R China; [Li, Haojie] Shanghai Univ Sport, Sch Exercise &amp; Hlth, Shanghai, Peoples R China; [Qi, Qi] Tongji Univ, Sch Med, Shanghai, Peoples R China</t>
  </si>
  <si>
    <t>Shanghai University of Sport; Tongji University</t>
  </si>
  <si>
    <t>Qi, Q (corresponding author), Shanghai Yangzhi Rehabil Hosp, Shanghai Sunshine Rehabil Ctr, Shanghai, Peoples R China.;Qi, Q (corresponding author), Tongji Univ, Sch Med, Shanghai, Peoples R China.</t>
  </si>
  <si>
    <t>qibuqi133@163.com</t>
  </si>
  <si>
    <t>National Key R&amp;D Program of China [2023YFC3604500]; Ministry of Science and Technology of the People's Republic of China [202340118]; Shanghai Municipal Health Commission</t>
  </si>
  <si>
    <t>National Key R&amp;D Program of China; Ministry of Science and Technology of the People's Republic of China(Ministry of Science and Technology, China); Shanghai Municipal Health Commission</t>
  </si>
  <si>
    <t>The author(s) declare financial support was received for the research, authorship, and/or publication of this article. This research was funded under National Key R&amp;D Program of China (2023YFC3604500), funded by Ministry of Science and Technology of the People's Republic of China. And under Ground Project (202340118), funded by Shanghai Municipal Health Commission.</t>
  </si>
  <si>
    <t>10.3389/fneur.2024.1453781</t>
  </si>
  <si>
    <t>D8V1C</t>
  </si>
  <si>
    <t>WOS:001298894500001</t>
  </si>
  <si>
    <t>Khorev, V; Kiselev, A; Badarin, A; Antipov, V; Drapkina, O; Kurkin, S; Hramov, A</t>
  </si>
  <si>
    <t>Khorev, Vladimir; Kiselev, Anton; Badarin, Artem; Antipov, Vladimir; Drapkina, Oxana; Kurkin, Semen; Hramov, Alexander</t>
  </si>
  <si>
    <t>Review on the use of AI-based methods and tools for treating mental conditions and mental rehabilitation</t>
  </si>
  <si>
    <t>EUROPEAN PHYSICAL JOURNAL-SPECIAL TOPICS</t>
  </si>
  <si>
    <t>ARTIFICIAL-INTELLIGENCE; DECISION-MAKING; OLDER-ADULTS; PERFORMANCE; SYSTEM; SPEECH; TIME; DISABILITIES; INTERFACE; MEDICINE</t>
  </si>
  <si>
    <t>This review provides a thorough examination of recent developments in artificial intelligence analysis methods within mental and psychiatry field. By analyzing and comparing results obtained with various tools and techniques, we provide a comprehensive and systematic understanding of applications. Our main methods include meta-analysis, search queries with the keywords and network-based approach. In our analysis, we observed that terms associated with robotics, human-computer interaction, speech perception, and certain applications, such as chronic fatigue syndrome and psychological adaptation, have been gradually losing prominence. And conversely, techniques such as deep learning, virtual reality, and virtual assistance are gaining traction, and increasing interest was noted for applications involving autistic spectrum disorders, mild cognitive impairments, and psychiatric research areas. The structured and organized presentation of information, along with the accompanying visualizations and diagrams, makes it a valuable resource for scientists and researchers working in the domains of artificial intelligence.</t>
  </si>
  <si>
    <t>[Khorev, Vladimir; Kiselev, Anton; Badarin, Artem; Antipov, Vladimir; Drapkina, Oxana] Natl Med Res Ctr Therapy &amp; Prevent Med, Coordinating Ctr Fundamental Res, 10 Petroverigsky per, Moscow 101990, Russia; [Khorev, Vladimir; Badarin, Artem; Antipov, Vladimir; Kurkin, Semen; Hramov, Alexander] Immanuel Kant Balt Fed Univ, Balt Ctr Artificial Intelligence &amp; Neurotechnol, 14 Alexander Nevsky St, Kaliningrad 236016, Russia; [Khorev, Vladimir] Innopolis Univ, Neurosci &amp; Cognit Technol Lab, 1 Universitetskaya St, Innopolis 420500, Russia</t>
  </si>
  <si>
    <t>National Medical Research Center for Therapy &amp; Preventive Medicine; Immanuel Kant Baltic Federal University; Innopolis University</t>
  </si>
  <si>
    <t>Khorev, V (corresponding author), Natl Med Res Ctr Therapy &amp; Prevent Med, Coordinating Ctr Fundamental Res, 10 Petroverigsky per, Moscow 101990, Russia.;Khorev, V (corresponding author), Immanuel Kant Balt Fed Univ, Balt Ctr Artificial Intelligence &amp; Neurotechnol, 14 Alexander Nevsky St, Kaliningrad 236016, Russia.;Khorev, V (corresponding author), Innopolis Univ, Neurosci &amp; Cognit Technol Lab, 1 Universitetskaya St, Innopolis 420500, Russia.</t>
  </si>
  <si>
    <t>khorevvs@gmail.com; kiselev@gnicpm.ru; badarin.a.a@mail.ru; vantipovm@gmail.com; drapkina@bk.ru; kurkinsa@gmail.com; hramovae@gmail.com</t>
  </si>
  <si>
    <t>Antipov, Vladimir/D-6608-2014; Hramov, Alexander/C-5600-2008; Badarin, Artem/F-3497-2017; Khorev, Vladimir/D-6131-2013; Kiselev, Anton/F-4785-2011</t>
  </si>
  <si>
    <t>Khorev, Vladimir/0000-0001-6613-8940; Kiselev, Anton/0000-0003-3967-3950</t>
  </si>
  <si>
    <t>Russian Ministry of Health as part of the scientific work Development of a multimodal biofeedback-based hardware and software system for rehabilitation of patients with cognitive and motor disorders of different nature [123020600127-4]</t>
  </si>
  <si>
    <t>Russian Ministry of Health as part of the scientific work Development of a multimodal biofeedback-based hardware and software system for rehabilitation of patients with cognitive and motor disorders of different nature</t>
  </si>
  <si>
    <t>This work was supported by the Russian Ministry of Health as part of the scientific work Development of a multimodal biofeedback-based hardware and software system for rehabilitation of patients with cognitive and motor disorders of different nature, No. 123020600127-4, performed at the National Medical Research Center for Therapy and Preventive Medicine in 2023-2025.</t>
  </si>
  <si>
    <t>1951-6355</t>
  </si>
  <si>
    <t>1951-6401</t>
  </si>
  <si>
    <t>EUR PHYS J-SPEC TOP</t>
  </si>
  <si>
    <t>Eur. Phys. J.-Spec. Top.</t>
  </si>
  <si>
    <t>2024 AUG 12</t>
  </si>
  <si>
    <t>10.1140/epjs/s11734-024-01289-x</t>
  </si>
  <si>
    <t>Physics, Multidisciplinary</t>
  </si>
  <si>
    <t>Physics</t>
  </si>
  <si>
    <t>C5R6R</t>
  </si>
  <si>
    <t>WOS:001289940700005</t>
  </si>
  <si>
    <t>Morgante, E; Susinna, C; Culicetto, L; Quartarone, A; Lo Buono, V</t>
  </si>
  <si>
    <t>Morgante, Elena; Susinna, Carla; Culicetto, Laura; Quartarone, Angelo; Lo Buono, Viviana</t>
  </si>
  <si>
    <t>Is it possible for people to develop a sense of empathy toward humanoid robots and establish meaningful relationships with them?</t>
  </si>
  <si>
    <t>FRONTIERS IN PSYCHOLOGY</t>
  </si>
  <si>
    <t>empathy; human-robot interaction; humanoid robots; social robots; rehabilitation</t>
  </si>
  <si>
    <t>SOCIAL ROBOTS; BEHAVIOR</t>
  </si>
  <si>
    <t>Introduction: Empathy can be described as the ability to adopt another person's perspective and comprehend, feel, share, and respond to their emotional experiences. Empathy plays an important role in these relationships and is constructed in human-robot interaction (HRI). This systematic review focuses on studies investigating human empathy toward robots. We intend to define empathy as the cognitive capacity of humans to perceive robots as equipped with emotional and psychological states. Methods: We conducted a systematic search of peer-reviewed articles using the Preferred Reporting Items for Systematic Reviews and Meta-Analyses guidelines. We searched Scopus, PubMed, Web of Science, and Embase databases. All articles were reviewed based on the titles, abstracts, and full texts by two investigators (EM and CS) who independently performed data collection. The researchers read the full-text articles deemed suitable for the study, and in cases of disagreement regarding the inclusion and exclusion criteria, the final decision was made by a third researcher (VLB). Results: The electronic search identified 484 articles. After reading the full texts of the selected publications and applying the predefined inclusion criteria, we selected 11 articles that met our inclusion criteria. Robots that could identify and respond appropriately to the emotional states of humans seemed to evoke empathy. In addition, empathy tended to grow more when the robots exhibited anthropomorphic traits. Discussion: Humanoid robots can be programmed to understand and react to human emotions and simulate empathetic responses; however, they are not endowed with the same innate capacity for empathy as humans.</t>
  </si>
  <si>
    <t>[Morgante, Elena; Susinna, Carla; Culicetto, Laura; Quartarone, Angelo; Lo Buono, Viviana] IRCCS Ctr Neurolesi Bonino Pulejo, Messina, Italy</t>
  </si>
  <si>
    <t>Susinna, C (corresponding author), IRCCS Ctr Neurolesi Bonino Pulejo, Messina, Italy.</t>
  </si>
  <si>
    <t>carla.susinna@irccsme.it</t>
  </si>
  <si>
    <t>Culicetto, Laura/JDD-1358-2023; Lo Buono, Viviana/K-5778-2016</t>
  </si>
  <si>
    <t>The author(s) declare financial support was received for the research, authorship, and/or publication of this article. This work was supported by Current Research Fund 2024 Ministry of Health, Italy.</t>
  </si>
  <si>
    <t>1664-1078</t>
  </si>
  <si>
    <t>FRONT PSYCHOL</t>
  </si>
  <si>
    <t>Front. Psychol.</t>
  </si>
  <si>
    <t>AUG 12</t>
  </si>
  <si>
    <t>10.3389/fpsyg.2024.1391832</t>
  </si>
  <si>
    <t>Psychology, Multidisciplinary</t>
  </si>
  <si>
    <t>D8B7L</t>
  </si>
  <si>
    <t>WOS:001298387200001</t>
  </si>
  <si>
    <t>Burnand, A; Rookes, T; Mahmood, F; Davies, N; Walters, K; Orleans-Foli, S; Sajid, M; Vickerstaff, V; Frost, R</t>
  </si>
  <si>
    <t>Burnand, Alice; Rookes, Tasmin; Mahmood, Farah; Davies, Nathan; Walters, Kate; Orleans-Foli, Stephen; Sajid, Madiha; Vickerstaff, Victoria; Frost, Rachael</t>
  </si>
  <si>
    <t>Non-Pharmacological Interventions in the Management of Dementia-Related Psychosis: A Systematic Review and Meta-Analysis</t>
  </si>
  <si>
    <t>INTERNATIONAL JOURNAL OF GERIATRIC PSYCHIATRY</t>
  </si>
  <si>
    <t>care home; delusions; dementia; hallucinations; interventions; non-pharmacological; nursing home; psychosis</t>
  </si>
  <si>
    <t>NEUROPSYCHIATRIC SYMPTOMS; EFFICACY; CARE; ANTIPSYCHOTICS; STIMULATION; AGITATION; BEHAVIORS; THERAPY; APATHY; TRIAL</t>
  </si>
  <si>
    <t>ObjectiveAs populations age globally, there is an increasing prevalence of dementia, with an estimated 153 million living with dementia by 2050. Up to 70% of people with dementia experience dementia-related psychosis (D-RP). Antipsychotic medications are associated with many adverse effects in older people. This review aims to evaluate the evidence of non-pharmacological interventions in managing D-RP.MethodThe search of Medline, EMBASE, Web of Science, CINAHL, PsycINFO, and Cochrane included randomised controlled trials that evaluated non-pharmacological interventions. Data extraction and assessment of quality were assessed independently by two researchers. Heterogenous interventions were pooled using meta-analysis.ResultsA total of 18 articles (n = 2040 participants) were included and categorised into: sensory-, activity-, cognitive- and multi-component-orientated. Meta-analyses showed no significant impact in reducing hallucinations or delusions but person-centred care, cognitive rehabilitation, music therapy, and robot pets showed promise in single studies.Conclusions and ImplicationsFuture interventions should be developed and evaluated with a specific focus on D-RP as this was not the aim for many of the included articles.</t>
  </si>
  <si>
    <t>[Burnand, Alice; Rookes, Tasmin; Mahmood, Farah; Davies, Nathan; Walters, Kate; Frost, Rachael] UCL, Ctr Ageing Populat Studies, Res Dept Primary Care &amp; Populat Hlth, London, England; [Orleans-Foli, Stephen] West London NHS Trust, Cognit Impairment &amp; Dementia Serv CIDS, Southall, England; [Sajid, Madiha] UCL, London, England; [Vickerstaff, Victoria] UCL, Res Dept Primary Care &amp; Populat Hlth, PRIMENT Clin Trials Unit, London, England; [Frost, Rachael] Liverpool John Moores Univ, Sch Publ &amp; Allied Hlth, Liverpool, England</t>
  </si>
  <si>
    <t>University of London; University College London; University of London; University College London; University of London; University College London; Liverpool John Moores University</t>
  </si>
  <si>
    <t>Burnand, A (corresponding author), UCL, Ctr Ageing Populat Studies, Res Dept Primary Care &amp; Populat Hlth, London, England.</t>
  </si>
  <si>
    <t>a.burnand@ucl.ac.uk</t>
  </si>
  <si>
    <t>Sajid, Muhammad/IQV-9494-2023; Frost, Rachael/KIB-4847-2024; Davies, Nathan/W-6693-2019</t>
  </si>
  <si>
    <t>Burnand, Alice/0000-0002-9361-2457; Rookes, Tasmin Alanna/0000-0001-6330-7059; Davies, Nathan/0000-0001-7757-5353; Vickerstaff, Victoria/0000-0002-3119-670X</t>
  </si>
  <si>
    <t>NIHR School for Primary Care Research</t>
  </si>
  <si>
    <t>NIHR School for Primary Care Research.</t>
  </si>
  <si>
    <t>0885-6230</t>
  </si>
  <si>
    <t>1099-1166</t>
  </si>
  <si>
    <t>INT J GERIATR PSYCH</t>
  </si>
  <si>
    <t>Int. J. Geriatr. Psychiatr.</t>
  </si>
  <si>
    <t>e6129</t>
  </si>
  <si>
    <t>10.1002/gps.6129</t>
  </si>
  <si>
    <t>Geriatrics &amp; Gerontology; Gerontology; Psychiatry</t>
  </si>
  <si>
    <t>Geriatrics &amp; Gerontology; Psychiatry</t>
  </si>
  <si>
    <t>A8V1D</t>
  </si>
  <si>
    <t>Green Published, Green Accepted, hybrid</t>
  </si>
  <si>
    <t>WOS:001285249800001</t>
  </si>
  <si>
    <t>Lee, MH; Tian, MY; Kim, MK</t>
  </si>
  <si>
    <t>Lee, Myoung-Ho; Tian, Ming-Yu; Kim, Myoung-Kwon</t>
  </si>
  <si>
    <t>The Effectiveness of Overground Robot Exoskeleton Gait Training on Gait Outcomes, Balance, and Motor Function in Patients with Stroke: A Systematic Review and Meta-Analysis of Randomized Controlled Trials</t>
  </si>
  <si>
    <t>balance; gait training; overground; robot exoskeleton; stroke</t>
  </si>
  <si>
    <t>HYBRID ASSISTIVE LIMB; PUBLICATION BIAS; DYNAMIC BALANCE; SUBACUTE STROKE; REHABILITATION; PILOT; RELIABILITY; QUALITY; SCALE; SPEED</t>
  </si>
  <si>
    <t>Objective: This study aimed to investigate the effects of overground robot exoskeleton gait training on gait outcomes, balance, and motor function in patients with stroke. Methods: Following the PRISMA guidelines, literature searches were performed in the PubMed, EMBASE, Cochrane Central Register of Controlled Trials, SCOPUS, Ovid-LWW, and RISS databases. A total of 504 articles were identified, of which 19 were included for analysis after application of the inclusion and exclusion criteria. The included literature was qualitatively evaluated using the PEDro scale, while the Egger's regression, funnel plot, and trim-and-fill methods were applied to assess and adjust for publication bias. Results: The averaged PEDro score was 6.21 points, indicating a high level of methodological quality. In the analysis based on dependent variables, higher effect sizes were observed in the following ascending order: gait speed (g = 0.26), motor function (g = 0.21), gait ability (g = 0.18), Timed Up and Go Test (g = -0.15), gait endurance (g = 0.11), and Berg Balance Scale (g = 0.05). Subgroup analyses further revealed significant differences in Asian populations (g = 0.26), sessions lasting longer than 30 min (g = 0.37), training frequency of three times per week or less (g = 0.38), and training duration of four weeks or less (g = 0.25). Overall, the results of this study indicate that overground robot exoskeleton gait training is effective at improving gait speed in patients with stroke, particularly when the sessions exceed 30 min, are conducted three times or less per week, and last for four weeks or less. Conclusion: our results suggest that training is an effective intervention for patients with stroke, provided that appropriate goal-setting and intensity and overground robot exoskeleton gait are applied.</t>
  </si>
  <si>
    <t>[Lee, Myoung-Ho; Tian, Ming-Yu] Daegu Univ, Grad Sch, Dept Rehabil Sci, Gyongsan 712714, Gyeongbuk, South Korea; [Kim, Myoung-Kwon] Daegu Univ, Coll Rehabil Sci, Dept Phys Therapy, Gyongsan 712714, Gyeongbuk, South Korea</t>
  </si>
  <si>
    <t>Daegu University; Daegu University</t>
  </si>
  <si>
    <t>Kim, MK (corresponding author), Daegu Univ, Coll Rehabil Sci, Dept Phys Therapy, Gyongsan 712714, Gyeongbuk, South Korea.</t>
  </si>
  <si>
    <t>hotayaaa@gmail.com; mingyutian5@gmail.com; skybird-98@hanmail.net</t>
  </si>
  <si>
    <t>; Kim, MyoungKwon/K-1633-2015</t>
  </si>
  <si>
    <t>TIAN, MINGYU/0009-0001-4759-274X; Kim, MyoungKwon/0000-0002-7251-6108; /0000-0002-8214-2189</t>
  </si>
  <si>
    <t>the Translational Research Program for Rehabilitation Robots, National Rehabilitation Center, Ministry of Health and Welfare, Republic of Korea [NRCTR-EX22002]; Translational Research Program for Rehabilitation Robots; National Rehabilitation Center, Ministry of Health and Welfare, Republic of Korea</t>
  </si>
  <si>
    <t>the Translational Research Program for Rehabilitation Robots, National Rehabilitation Center, Ministry of Health and Welfare, Republic of Korea; Translational Research Program for Rehabilitation Robots; National Rehabilitation Center, Ministry of Health and Welfare, Republic of Korea(Ministry of Health &amp; Welfare (MOHW), Republic of KoreaNational Rehabilitation Center (NRC), Republic of Korea)</t>
  </si>
  <si>
    <t>This research was funded by the Translational Research Program for Rehabilitation Robots (#NRCTR-EX22002), National Rehabilitation Center, Ministry of Health and Welfare, Republic of Korea.</t>
  </si>
  <si>
    <t>10.3390/brainsci14080834</t>
  </si>
  <si>
    <t>E7Z2M</t>
  </si>
  <si>
    <t>WOS:001305141700001</t>
  </si>
  <si>
    <t>Garofalo, S; Morano, C; Perrelli, M; Pagnotta, L; Carbone, G; Mundo, D; Bruno, L</t>
  </si>
  <si>
    <t>Garofalo, Salvatore; Morano, Chiara; Perrelli, Michele; Pagnotta, Leonardo; Carbone, Giuseppe; Mundo, Domenico; Bruno, Luigi</t>
  </si>
  <si>
    <t>A critical review of transitioning from conventional actuators to artificial muscles in upper-limb rehabilitation devices</t>
  </si>
  <si>
    <t>JOURNAL OF INTELLIGENT MATERIAL SYSTEMS AND STRUCTURES</t>
  </si>
  <si>
    <t>Actuators; artificial muscles; upper limb rehabilitation; exoskeleton; exosuit</t>
  </si>
  <si>
    <t>EXOSKELETON; STROKE; DISABILITY; DESIGN; SYSTEM; ELBOW</t>
  </si>
  <si>
    <t>Brain injuries resulting from spinal cord injuries, strokes, or cerebral palsy are among the traumas most capable of compromising the motor activities of human limbs, hence the necessity for the development of exoskeletons dedicated to the rehabilitation of these organs. This review examines the landscape of actuators essential for the design of cutting-edge upper-limb rehabilitation exoskeletal structures. Beyond merely surveying the current types of actuators available, the paper aims to provide guidelines for selecting actuators that fit optimally with the objectives of upper-limb rehabilitation. The description starts with a brief discussion on the biomechanics of the upper limbs, focusing on the kinematics of pivotal joints (wrist, elbow, shoulder). Subsequently, the existing actuators are systematically reviewed, offering detailed insights into their primary features, operational principles, strengths, weaknesses, and noteworthy applications within the realm of rehabilitation robotics. After the discussion about the actuators, the paper advances by furnishing valuable guidelines for actuators' selection tailored for upper limb rehabilitation. These guidelines discuss crucial factors, such as the forces required and the natural Range Of Motions (ROMs) of upper limb joints. Finally, the manuscript serves as a valuable resource for researchers, engineers, and practitioners involved in the development of innovative upper-limb rehabilitation devices.</t>
  </si>
  <si>
    <t>[Garofalo, Salvatore; Morano, Chiara; Perrelli, Michele; Pagnotta, Leonardo; Carbone, Giuseppe; Mundo, Domenico; Bruno, Luigi] Univ Calabria, Dept Mech Energy &amp; Management Engn, Via Bucci 44C, I-87036 Cosenza, Rende, Italy</t>
  </si>
  <si>
    <t>Bruno, L (corresponding author), Univ Calabria, Dept Mech Energy &amp; Management Engn, Via Bucci 44C, I-87036 Cosenza, Rende, Italy.</t>
  </si>
  <si>
    <t>luigi.bruno@unical.it</t>
  </si>
  <si>
    <t>Morano, Chiara/HTR-4043-2023; Perrelli, Michele/ABD-6717-2020; Pagnotta, Leonardo/AGK-6071-2022; Carbone, Giuseppe/G-7816-2011; Mundo, Domenico/X-3151-2019; Bruno, Luigi/Q-7702-2016</t>
  </si>
  <si>
    <t>Garofalo, Salvatore/0009-0001-0966-6621; Bruno, Luigi/0000-0002-6745-0466</t>
  </si>
  <si>
    <t>Next Generation EU; National Recovery and Resilience Plan, Investment PE8 - Project Age-It: Aging Well in an Aging Society [CUP H23C22000870006]; Next Generation EU [DM 1557 11.10.2022]</t>
  </si>
  <si>
    <t>Next Generation EU; National Recovery and Resilience Plan, Investment PE8 - Project Age-It: Aging Well in an Aging Society; Next Generation EU</t>
  </si>
  <si>
    <t>We acknowledge co-funding from Next Generation EU, in the context of the National Recovery and Resilience Plan, Investment PE8 - Project Age-It: Aging Well in an Aging Society, CUP H23C22000870006. This resource was co-financed by the Next Generation EU [DM 1557 11.10.2022]. The views and opinions expressed are only those of the authors and do not necessarily reflect those of the European Union or the European Commission. Neither the European Union nor the European Commission can be held responsible for them.</t>
  </si>
  <si>
    <t>1045-389X</t>
  </si>
  <si>
    <t>1530-8138</t>
  </si>
  <si>
    <t>J INTEL MAT SYST STR</t>
  </si>
  <si>
    <t>J. Intell. Mater. Syst. Struct.</t>
  </si>
  <si>
    <t>10.1177/1045389X241263878</t>
  </si>
  <si>
    <t>H6B0O</t>
  </si>
  <si>
    <t>WOS:001284864300001</t>
  </si>
  <si>
    <t>Ahmed, E; Buruk, O; Hamari, J</t>
  </si>
  <si>
    <t>Ahmed, Eshtiak; Buruk, Oguz 'Oz'; Hamari, Juho</t>
  </si>
  <si>
    <t>Human-Robot Companionship: Current Trends and Future Agenda</t>
  </si>
  <si>
    <t>INTERNATIONAL JOURNAL OF SOCIAL ROBOTICS</t>
  </si>
  <si>
    <t>Human-robot interaction (HRI); Companion robots; Human-robot companionship; Social robots</t>
  </si>
  <si>
    <t>OLDER-PEOPLE; SOCIAL SUPPORT; HOME; STRESS; WORK; PERSONALITY; CHILDREN; BEHAVIOR; HEALTH; ADULTS</t>
  </si>
  <si>
    <t>The field of robotics has grown exponentially over the years, especially the social aspect, which has enabled robots to interact with humans meaningfully. Robots are now used in many domains, such as manufacturing, healthcare, education, entertainment, rehabilitation, etc. Along with their widespread usage in many real-life environments, robots have been used as companions to humans. With the increased amount of research done on human-robot companionship (HRC), it is important to understand how this domain is developing, in which direction, and what the future might hold. There is also a need to understand the influencing factors and what kind of empirical results are in the literature. To address these questions, we conducted a systematic literature review and analyzed a final number of 134 relevant articles. The findings suggest that anthropomorphic and zoomorphic robots are more popular as human companions, while there is a lack of interest in functional and caricatured robots. Also, human-like and animal-like features are implemented more in companion robots. Studies rarely exploit the mobility available in these robots in companionship scenarios, especially in outdoor settings. In addition to that, co-existence and co-performance-based implementation with humans have been observed rarely. Based on the results, we propose a future research agenda that includes thematic, theoretical, methodological, and technological agendas. This study will help us understand the current state and usage of robotic companions which will then potentially aid in determining how HRC can be leveraged and integrated more seamlessly into human lives for better effectiveness.</t>
  </si>
  <si>
    <t>[Ahmed, Eshtiak; Buruk, Oguz 'Oz'; Hamari, Juho] Tampere Univ, Fac Informat Technol &amp; Commun Sci, Tampere, Finland</t>
  </si>
  <si>
    <t>Tampere University</t>
  </si>
  <si>
    <t>Ahmed, E (corresponding author), Tampere Univ, Fac Informat Technol &amp; Commun Sci, Tampere, Finland.</t>
  </si>
  <si>
    <t>eshtiak.ahmed@tuni.fi; oguz.buruk@tuni.fi; juho.hamari@tuni.fi</t>
  </si>
  <si>
    <t>Hamari, Juho/E-4989-2016; BURUK, Oğuz/AAI-2334-2020; Buruk, Oguz 'Oz'/B-7014-2018</t>
  </si>
  <si>
    <t>Buruk, Oguz 'Oz'/0000-0002-8655-5327; Ahmed, Eshtiak/0000-0001-5280-2118</t>
  </si>
  <si>
    <t>Tampere University (including Tampere University Hospital); Academy of Finland Flagship Programme (Forest-Human-MachineInterplay (UNITE)) [337653]</t>
  </si>
  <si>
    <t>Tampere University (including Tampere University Hospital); Academy of Finland Flagship Programme (Forest-Human-MachineInterplay (UNITE))</t>
  </si>
  <si>
    <t>Open access funding provided by Tampere University (including Tampere University Hospital). This research is funded by the Academy of Finland Flagship Programme (Forest-Human-MachineInterplay (UNITE))-Grant number: 337653.</t>
  </si>
  <si>
    <t>1875-4791</t>
  </si>
  <si>
    <t>1875-4805</t>
  </si>
  <si>
    <t>INT J SOC ROBOT</t>
  </si>
  <si>
    <t>Int. J. Soc. Robot.</t>
  </si>
  <si>
    <t>10.1007/s12369-024-01160-y</t>
  </si>
  <si>
    <t>E0F4X</t>
  </si>
  <si>
    <t>WOS:001275390500001</t>
  </si>
  <si>
    <t>Agbemanyole, KA; Agbohessou, KG; Pons, C; Lenca, P; Rémy-Néris, O; Le Goff-Pronost, M</t>
  </si>
  <si>
    <t>Agbemanyole, Koffi Adzinyo; Agbohessou, Kokouvi Geovani; Pons, Christelle; Lenca, Philippe; Remy-Neris, Olivier; Le Goff-Pronost, Myriam</t>
  </si>
  <si>
    <t>Economic analysis of digital motor rehabilitation technologies: a systematic review</t>
  </si>
  <si>
    <t>HEALTH ECONOMICS REVIEW</t>
  </si>
  <si>
    <t>Cost-effectiveness analysis; Disability; Rehabilitation technologies; QALY; Systematic review</t>
  </si>
  <si>
    <t>TELEREHABILITATION PROGRAM; STROKE REHABILITATION; COST-EFFECTIVENESS; ARM FUNCTION; RECOVERY; THERAPY</t>
  </si>
  <si>
    <t>Rehabilitation technologies offer promising opportunities for interventions for patients with motor disabilities. However, their use in routine care remains limited due to their high cost and persistent doubts about their cost-effectiveness. Providing solid evidence of the economic efficiency of rehabilitation technologies would help dispel these doubts in order to better take advantage of these technologies. In this context, this systematic review aimed to examine the cost-effectiveness of rehabilitation interventions based on the use of digital technologies. In total, 660 articles published between 2011 and 2021 were identified, of which eleven studies met all the inclusion criteria. Of these eleven studies, seven proved to be cost-effective, while four were not. Four studies used cost-utility analyses (CUAs) and seven used cost-minimization analyses (CMAs). The majority (ten studies) focused on the rehabilitation of the upper and/or lower limbs after a stroke, while only one study examined the rehabilitation of the lower limbs after knee arthroplasty. Regarding the evaluated devices, seven studies analyzed the cost-effectiveness of robotic rehabilitation and four analyzed rehabilitation with virtual reality.The assessment of the quality of the included studies using the CHEERS (Consolidated Health Economic Evaluation Reporting Standards) suggested that the quality was related to the economic analysis method: all studies that adopted a cost-utility analysis obtained a high quality score (above 80%), while the quality scores of the cost-minimization analyses were average, with the highest score obtained by a CMA being 72%. The average quality score of all the articles was 75%, ranging between 52 and 100. Of the four studies with a considering score, two concluded that there was equivalence between the intervention and conventional care in terms of cost-effectiveness, one concluded that the intervention dominated, while the last one concluded that usual care dominated. This suggests that even considering the quality of the included studies, rehabilitation interventions based on digital technologies remain cost-effective, they improved health outcomes and quality of life for patients with motor disorders while also allowing cost savings.</t>
  </si>
  <si>
    <t>[Agbemanyole, Koffi Adzinyo; Le Goff-Pronost, Myriam] IMT Atlantique, LaTIM, UMR INSERM 1101, F-29238 Brest, France; [Agbemanyole, Koffi Adzinyo; Lenca, Philippe] IMT Atlantique, Lab STICC, UMR CNRS 6285, F-29238 Brest, France; [Agbohessou, Kokouvi Geovani] Univ Limoges, HAVAE, UR20217, F-87000 Limoges, France; [Pons, Christelle; Remy-Neris, Olivier] Inst Natl Sante &amp; Rech Med, Unite Mixte Rech, LaTIM Lab Med Informat Proc, INSERM UMR 1101, F-29238 Brest, France; [Pons, Christelle; Remy-Neris, Olivier] CHU Brest, Hop Morvan, Phys Med &amp; Rehabil Dept, F-29200 Brest, France; [Pons, Christelle; Remy-Neris, Olivier] Univ Western Brittany UBO, UFR Unite Format &amp; Rech Med, F-29238 Brest, France; [Pons, Christelle] Fdn Ildys, Pediat Rehabil Dept, F-29200 Brest, France</t>
  </si>
  <si>
    <t>Universite de Bretagne Occidentale; IMT - Institut Mines-Telecom; IMT Atlantique; Institut National de la Sante et de la Recherche Medicale (Inserm); IMT - Institut Mines-Telecom; IMT Atlantique; Universite de Bretagne Occidentale; Universite de Limoges; Institut National de la Sante et de la Recherche Medicale (Inserm); CHU Brest; Universite de Bretagne Occidentale; Universite de Bretagne Occidentale</t>
  </si>
  <si>
    <t>Agbemanyole, KA (corresponding author), IMT Atlantique, LaTIM, UMR INSERM 1101, F-29238 Brest, France.;Agbemanyole, KA (corresponding author), IMT Atlantique, Lab STICC, UMR CNRS 6285, F-29238 Brest, France.</t>
  </si>
  <si>
    <t>koffi.agbemanyole@imt-atlantique.fr</t>
  </si>
  <si>
    <t>Lenca, Philippe/AAE-8100-2020</t>
  </si>
  <si>
    <t>Rgion Bretagne , France</t>
  </si>
  <si>
    <t>Disclosure of Funding and Conflicts of Interest</t>
  </si>
  <si>
    <t>2191-1991</t>
  </si>
  <si>
    <t>HEALTH ECON REV</t>
  </si>
  <si>
    <t>Health Econ. Rev.</t>
  </si>
  <si>
    <t>JUL 17</t>
  </si>
  <si>
    <t>10.1186/s13561-024-00523-5</t>
  </si>
  <si>
    <t>Economics; Health Policy &amp; Services</t>
  </si>
  <si>
    <t>Business &amp; Economics; Health Care Sciences &amp; Services</t>
  </si>
  <si>
    <t>YQ2U9</t>
  </si>
  <si>
    <t>WOS:001269892500002</t>
  </si>
  <si>
    <t>Piccolo, A; De Domenico, C; Di Cara, M; Settimo, C; Corallo, F; Leonardi, S; Impallomeni, C; Tripodi, E; Quartarone, A; Cucinotta, F</t>
  </si>
  <si>
    <t>Piccolo, Adriana; De Domenico, Carmela; Di Cara, Marcella; Settimo, Carmela; Corallo, Francesco; Leonardi, Simona; Impallomeni, Caterina; Tripodi, Emanuela; Quartarone, Angelo; Cucinotta, Francesca</t>
  </si>
  <si>
    <t>Parental involvement in robot-mediated intervention: a systematic review</t>
  </si>
  <si>
    <t>robotics; parenting; caregivers; children; pediatric rehabilitation</t>
  </si>
  <si>
    <t>THERAPEUTIC ROBOT; TRAINING PARENTS; CHILDREN; AUTISM; BEHAVIOR; INDIVIDUALS; PERSPECTIVE; PREVENTION; PARADIGM; ANXIETY</t>
  </si>
  <si>
    <t>Introduction Over the years, the conceptual approach to pediatric rehabilitation has reevaluated the parent's role in the therapeutic process, considering parental involvement as a necessary condition for the effectiveness of the intervention. In the field of pediatric intervention, the therapeutic use of robots represents a growing clinical interest, but the feasibility and applicability of these robotic interventions, including those involving parents, remain unclear. This systematic review aims to investigate parental involvement in robot-mediated interventions (RMI) for children and adolescents in the current literature. Our main goal is to analyze and summarize all existing studies to discuss and draw future research directions and implications for clinical practice. Method After collecting results from 1,106 studies, the studies selected were analyzed using thematic analysis. The literature review was conducted in accordance with the PRISMA guidelines by searching databases such as PubMed and Web of Science until 07 February 2023. Studies that met the following inclusion criteria were included: (1) the use of a robot as a therapeutic-rehabilitation tool and (2) the presence/involvement of parents/caregivers in child-robot therapeutic sessions. Results A total of 10 articles were included. The extracted data included study design, participant characteristics, type of robot used, outcome measures, aim, and type of intervention. The results reveal that parental involvement in RMI could be feasible and useful in improving intervention efficacy, particularly in improving the child's social-communicative abilities and the caregiver's educational skills. Discussion RMI intervention with parental participation could be a useful therapeutic strategy in pediatrics. However, to date, few studies have investigated this specific topic, and the reported results may enhance future research to understand its effectiveness in specific areas of use. Systematic review registration identifier: CRD42024553214.</t>
  </si>
  <si>
    <t>[Piccolo, Adriana; De Domenico, Carmela; Di Cara, Marcella; Settimo, Carmela; Corallo, Francesco; Leonardi, Simona; Impallomeni, Caterina; Tripodi, Emanuela; Quartarone, Angelo; Cucinotta, Francesca] IRCCS Ctr Neurolesi Bonino Pulejo, Messina, Italy</t>
  </si>
  <si>
    <t>De Domenico, C (corresponding author), IRCCS Ctr Neurolesi Bonino Pulejo, Messina, Italy.</t>
  </si>
  <si>
    <t>carmela.dedomenico@irccsme.it</t>
  </si>
  <si>
    <t>leonardi, simona/GXI-0230-2022; cucinotta, francesca/HKE-8605-2023; Piccolo, Adriana/AAC-2101-2022; De Domenico, Carmela/JDD-0985-2023</t>
  </si>
  <si>
    <t>The author (s) declare that financial support was received for the research, authorship, and/or publication of this article. This study was supported by the Ministry of Health, Italy, Current Research Funds 2023.</t>
  </si>
  <si>
    <t>10.3389/fpsyg.2024.1355901</t>
  </si>
  <si>
    <t>ZM3C2</t>
  </si>
  <si>
    <t>WOS:001275666700001</t>
  </si>
  <si>
    <t>Aburub, A; Darabseh, MZ; Badran, R; Shurrab, AM; Amro, A; Degens, H</t>
  </si>
  <si>
    <t>Aburub, Aseel; Darabseh, Mohammad Z.; Badran, Rahaf; Shurrab, Ala'a M.; Amro, Anwaar; Degens, Hans</t>
  </si>
  <si>
    <t>The Application of Robotics in Cardiac Rehabilitation: A Systematic Review</t>
  </si>
  <si>
    <t>cardiac rehabilitation; robotics; performance; exercise capacity; physiotherapy</t>
  </si>
  <si>
    <t>FUTURE</t>
  </si>
  <si>
    <t>Background and Objectives: Robotics is commonly used in the rehabilitation of neuro-musculoskeletal injuries and diseases. While in these conditions, robotics has clear benefits, it is unknown whether robotics will also enhance the outcome of cardiac rehabilitation. This systematic review evaluates the use of robotics in cardiac rehabilitation. Methods: A systematic literature search was conducted using PubMed (MEDLINE), CINAHL, AMED, SPORTDiscus, and the Physiotherapy Evidence Database. Longitudinal interventional studies were included if they met specified criteria. Two reviewers independently conducted title, abstract, and full-text screening and data extraction. The quality assessment and risk of bias were conducted according to the PEDRO scale and Cochrane Risk of Bias tool 2, respectively. Results: Four trials were included in this review out of 60 screened studies. The quality of the included studies was good with a low risk of bias. The trials used different robotic systems: Lokomat (R) system, Motomed Letto/Thera Trainer tigo, BEAR, and Myosuit. It was found that interventions that included the use of robotic assistance technologies improved the exercise capacity, VO2 max/peak, left ventricular ejection fraction, QOL, and physical functioning in people with cardiac diseases. Conclusions: Robotic assistance technologies can be used in cardiac rehabilitation programs. Further studies are needed to confirm the results and determine whether the use of robotics enhances intervention outcomes above standard interventions.</t>
  </si>
  <si>
    <t>[Aburub, Aseel; Amro, Anwaar] Appl Sci Private Univ, Dept Physiotherapy, Amman 11931, Jordan; [Darabseh, Mohammad Z.] Univ Jordan, Sch Rehabil Sci, Dept Physiotherapy, Amman 11942, Jordan; [Badran, Rahaf] Middle East Univ, Fac Appl Med Sci, Dept Physiotherapy, Amman 11831, Jordan; [Shurrab, Ala'a M.] Al Balqa Appl Univ, Fac Med, Dept Basic Med Sci, Al Salt 19117, Jordan; [Degens, Hans] Manchester Metropolitan Univ, Inst Sport, Dept Life Sci, Manchester M1 5GD, England; [Degens, Hans] Lithuanian Sports Univ, Inst Sport Sci &amp; Innovat, LT-221 Kaunas, Lithuania</t>
  </si>
  <si>
    <t>Applied Science University - Jordan; University of Jordan; Middle East University; Al-Balqa Applied University; Manchester Metropolitan University; Lithuanian Sports University</t>
  </si>
  <si>
    <t>Darabseh, MZ (corresponding author), Univ Jordan, Sch Rehabil Sci, Dept Physiotherapy, Amman 11942, Jordan.;Badran, R (corresponding author), Middle East Univ, Fac Appl Med Sci, Dept Physiotherapy, Amman 11831, Jordan.</t>
  </si>
  <si>
    <t>a_abualrob@asu.edu.jo; darabseh.moh@gmail.com; rbadran@meu.edu.jo; alaa.shurrab@bau.edu.jo; a_amro@asu.edu.jo; h.degens@mmu.ac.uk</t>
  </si>
  <si>
    <t>Darabseh, Mohammad/AAC-6278-2021; aburub, aseel/JVM-7833-2024; Degens, hans/A-2996-2008</t>
  </si>
  <si>
    <t>Degens, Hans/0000-0001-7399-4841; Badran, Rahaf/0000-0002-6617-6063; Sharab, Ala'/0009-0002-0997-2239; Darabseh, Mohammad/0000-0002-0535-0195</t>
  </si>
  <si>
    <t>10.3390/medicina60071161</t>
  </si>
  <si>
    <t>ZR7W2</t>
  </si>
  <si>
    <t>Green Accepted, gold, Green Published</t>
  </si>
  <si>
    <t>WOS:001277096200001</t>
  </si>
  <si>
    <t>Banerjee, SB</t>
  </si>
  <si>
    <t>Banerjee, Srishti Bipul</t>
  </si>
  <si>
    <t>Neuroplasticity in Multiple Sclerosis: Implications for Rehabilitation</t>
  </si>
  <si>
    <t>JOURNAL OF THE SCIENTIFIC SOCIETY</t>
  </si>
  <si>
    <t>disconnection syndrome; exergaming; multiple sclerosis; neuroplasticity; sick behavior; virtual reality</t>
  </si>
  <si>
    <t>LONG-TERM POTENTIATION; AUTOIMMUNE T-CELLS; SYNAPTIC PLASTICITY; MEMORY CONSOLIDATION; FUNCTIONAL RECOVERY; NEUROTROPHIC FACTOR; NEURONS; ENCEPHALOMYELITIS; DEFICITS; RECEPTOR</t>
  </si>
  <si>
    <t>Multiple sclerosis (MS) is an autoimmune disorder of the central nervous system characterized by demyelination, followed by neurodegeneration. Inflammation, demyelination, and neurodegeneration form the hallmark of MS. The demyelinated lesions get repaired by the process of remyelination. It has been found that the functional reserve of the brain remains viable in MS; hence, the brain has the capacity to undergo adaptive plasticity which plays a major role in clinical recovery. Neuroplasticity occurs at two sites, namely, (1) locally at the site of injury, known as sensory reorganization, and (2) in the distant uninjured areas of the brain, particularly the hippocampus and the default mode network. To achieve enhanced and enduring clinical outcomes, it is essential to implement physiotherapy interventions based on the principles of neuroplasticity. These treatment interventions include bimanual upper extremity training, rehabilitation in functional activities, aerobic training, software-based cognitive training, use of assistive technology, hand rehabilitation robotics, virtual reality, and exergaming. All of these treatment interventions have proven underlying neuroplastic changes that improve treatment outcomes.</t>
  </si>
  <si>
    <t>[Banerjee, Srishti Bipul] LJ Univ, LJ Inst Physiotherapy, Dept Physiotherapy, Ahmadabad, Gujarat, India</t>
  </si>
  <si>
    <t>Banerjee, SB (corresponding author), LJ Inst Physiotherapy, LJ Campus,Off Sarkhej Gandhinagar Highway, Ahmadabad 382210, Gujarat, India.</t>
  </si>
  <si>
    <t>srishtibanerjee5@gmail.com</t>
  </si>
  <si>
    <t>0974-5009</t>
  </si>
  <si>
    <t>2278-7127</t>
  </si>
  <si>
    <t>J SCI SOC</t>
  </si>
  <si>
    <t>J Sci. Soc.</t>
  </si>
  <si>
    <t>10.4103/jss.jss_392_23</t>
  </si>
  <si>
    <t>P0O8D</t>
  </si>
  <si>
    <t>WOS:001375020600011</t>
  </si>
  <si>
    <t>Elashmawi, WH; Ayman, A; Antoun, M; Mohamed, H; Mohamed, SE; Amr, H; Talaat, Y; Ali, A</t>
  </si>
  <si>
    <t>Elashmawi, Walaa H.; Ayman, Abdelrahman; Antoun, Mina; Mohamed, Habiba; Mohamed, Shehab Eldeen; Amr, Habiba; Talaat, Youssef; Ali, Ahmed</t>
  </si>
  <si>
    <t>A Comprehensive Review on Brain-Computer Interface (BCI)-Based Machine and Deep Learning Algorithms for Stroke Rehabilitation</t>
  </si>
  <si>
    <t>brain-computer interface (BCI); electroencephalogram (EEG); deep learning; stroke rehabilitation</t>
  </si>
  <si>
    <t>MOTOR IMAGERY; FEATURE-SELECTION; EEG SIGNALS; CLASSIFICATION; TECHNOLOGY; FRAMEWORK; FEATURES; OUTCOMES</t>
  </si>
  <si>
    <t>This literature review explores the pivotal role of brain-computer interface (BCI) technology, coupled with electroencephalogram (EEG) technology, in advancing rehabilitation for individuals with damaged muscles and motor systems. This study provides a comprehensive overview of recent developments in BCI and motor control for rehabilitation, emphasizing the integration of user-friendly technological support and robotic prosthetics powered by brain activity. This review critically examines the latest strides in BCI technology and its application in motor skill recovery. Special attention is given to prevalent EEG devices adaptable for BCI-driven rehabilitation. The study surveys significant contributions in the realm of machine learning-based and deep learning-based rehabilitation evaluation. The integration of BCI with EEG technology demonstrates promising outcomes for enhancing motor skills in rehabilitation. The study identifies key EEG devices suitable for BCI applications, discusses advancements in machine learning approaches for rehabilitation assessment, and highlights the emergence of novel robotic prosthetics powered by brain activity. Furthermore, it showcases successful case studies illustrating the practical implementation of BCI-driven rehabilitation techniques and their positive impact on diverse patient populations. This review serves as a cornerstone for informed decision-making in the field of BCI technology for rehabilitation. The results highlight BCI's diverse advantages, enhancing motor control and robotic integration. The findings highlight the potential of BCI in reshaping rehabilitation practices and offer insights and recommendations for future research directions. This study contributes significantly to the ongoing transformation of BCI technology, particularly through the utilization of EEG equipment, providing a roadmap for researchers in this dynamic domain.</t>
  </si>
  <si>
    <t>[Elashmawi, Walaa H.] Suez Canal Univ, Fac Comp &amp; Informat, Dept Comp Sci, 4-5 Km Ring Rd, Ismailia 41522, Egypt; [Elashmawi, Walaa H.; Ayman, Abdelrahman; Antoun, Mina; Mohamed, Habiba; Mohamed, Shehab Eldeen; Amr, Habiba; Talaat, Youssef] Misr Int Univ, Fac Comp Sci, Dept Comp Sci, 28 KM Cairo-Ismailia Rd, Cairo 44971, Egypt; [Ali, Ahmed] Prince Sattam Bin Abdulaziz Univ, Coll Comp Engn &amp; Sci, Dept Comp Sci, Al Kharj 11942, Saudi Arabia; [Ali, Ahmed] Higher Future Inst Specialized Technol Studies, Cairo 3044, Egypt</t>
  </si>
  <si>
    <t>Egyptian Knowledge Bank (EKB); Suez Canal University; Egyptian Knowledge Bank (EKB); Misr International University; Prince Sattam Bin Abdulaziz University</t>
  </si>
  <si>
    <t>Ali, A (corresponding author), Prince Sattam Bin Abdulaziz Univ, Coll Comp Engn &amp; Sci, Dept Comp Sci, Al Kharj 11942, Saudi Arabia.;Ali, A (corresponding author), Higher Future Inst Specialized Technol Studies, Cairo 3044, Egypt.</t>
  </si>
  <si>
    <t>w.hashmawi@ci.suez.edu.eg; abdelrahman2000148@miuegypt.edu.eg; mina2011237@miuegypt.edu.eg; habiba2003520@miuegypt.edu.eg; shehabeldeen2011310@miuegypt.edu.eg; habiba2008121@miuegypt.edu.eg; youssef.talaat@miuegypt.edu.eg; a.abdalrahman@psau.edu.sa</t>
  </si>
  <si>
    <t>Ashmawi, Walaa/AAT-4574-2020; Ali, Ahmed/GQQ-6546-2022</t>
  </si>
  <si>
    <t>elashmawi, walaa/0000-0003-0142-0632; Ali, Ahmed/0000-0003-2775-4104</t>
  </si>
  <si>
    <t>Prince Sattam bin Abdulaziz University [PSAU/2024/R/1445]</t>
  </si>
  <si>
    <t>Prince Sattam bin Abdulaziz University(Prince Sattam Bin Abdulaziz University)</t>
  </si>
  <si>
    <t>This study is supported by funding from Prince Sattam bin Abdulaziz University (project number PSAU/2024/R/1445).</t>
  </si>
  <si>
    <t>10.3390/app14146347</t>
  </si>
  <si>
    <t>ZQ5C7</t>
  </si>
  <si>
    <t>WOS:001276764100001</t>
  </si>
  <si>
    <t>Zhao, YN; Han, PP; Zhang, XY; Bi, X</t>
  </si>
  <si>
    <t>Zhao, Yi-Ning; Han, Ping -Ping; Zhang, Xing -Yu; Bi, Xia</t>
  </si>
  <si>
    <t>Applications of Functional Near-Infrared Spectroscopy (fNIRS) Neuroimaging During Rehabilitation Following Stroke: A Review</t>
  </si>
  <si>
    <t>Rehabilitation; Spectroscopy; Near-Infrared; Stroke</t>
  </si>
  <si>
    <t>CORTICAL ACTIVATION; MOTOR IMAGERY; PREFRONTAL CORTEX; BALANCE RECOVERY; WALKING; TASKS; DISORDER; THERAPY; PEOPLE; ROBOT</t>
  </si>
  <si>
    <t>Stroke is a cerebrovascular disease that impairs blood supply to localized brain tissue regions due to various causes. This leads to ischemic and hypoxic lesions, necrosis of the brain tissue, and a variety of functional disorders. Abnormal cortical activation and functional connectivity occur in the brain after a stroke, but the activation patterns and functional reorganization are not well understood. Rehabilitation interventions can enhance functional recovery in stroke patients. However, clinicians require objective measures to support their practice, as outcome measures for functional recovery are based on scale scores. Furthermore, the most effective rehabilitation measures for treating patients are yet to be investigated. Functional near-infrared spectroscopy (fNIRS) is a non-invasive neuroimaging method that detects changes in cerebral hemodynamics during task performance. It is widely used in neurological research and clinical practice due to its safety, portability, high motion tolerance, and low cost. This paper briefly introduces the imaging principle and the advantages and disadvantages of fNIRS to summarize the application of fNIRS in post-stroke rehabilitation.</t>
  </si>
  <si>
    <t>[Zhao, Yi-Ning; Han, Ping -Ping; Zhang, Xing -Yu; Bi, Xia] Shanghai Univ Med &amp; Hlth Sci, Affiliated Zhoupu Hosp, Dept Rehabil Med, Shanghai, Peoples R China; [Zhao, Yi-Ning; Han, Ping -Ping] Shanghai Univ Sport, Dept Sport Rehabil, Shanghai, Peoples R China; [Zhang, Xing -Yu] Shanghai Univ Tradit Chinese Med, Grad Sch, Shanghai, Peoples R China</t>
  </si>
  <si>
    <t>Shanghai University of Medicine &amp; Health Sciences; Shanghai University of Sport; Shanghai University of Traditional Chinese Medicine</t>
  </si>
  <si>
    <t>Bi, X (corresponding author), Shanghai Univ Med &amp; Hlth Sci, Affiliated Zhoupu Hosp, Dept Rehabil Med, Shanghai, Peoples R China.</t>
  </si>
  <si>
    <t>bixiash@163.com</t>
  </si>
  <si>
    <t>Han, Pingping/L-4446-2019; Zhang, Xingyu/GPX-4484-2022; Bi, Xia/NEU-4116-2025</t>
  </si>
  <si>
    <t>Featured Clinical Discipline Project of Shanghai Pudong [PWYts2021-10]; Pudong New Area Health and Family Planning Joint Research Project [PW2021D-07]; Science, Technology and Economic Committee of the Pudong New Area Nature General Project [PKJ2022-Y47]</t>
  </si>
  <si>
    <t>Featured Clinical Discipline Project of Shanghai Pudong; Pudong New Area Health and Family Planning Joint Research Project; Science, Technology and Economic Committee of the Pudong New Area Nature General Project</t>
  </si>
  <si>
    <t>This study was supported by the Featured Clinical Discipline Project of Shanghai Pudong No. PWYts2021-10 (to XB) , Pudong New Area Health and Family Planning Joint Research Project No. PW2021D-07 (to XB) and Science, Technology and Economic Committee of the Pudong New Area Nature General Project No. PKJ2022-Y47 (to XB)</t>
  </si>
  <si>
    <t>JUN 16</t>
  </si>
  <si>
    <t>e943785</t>
  </si>
  <si>
    <t>10.12659/MSM.943785</t>
  </si>
  <si>
    <t>UN5K5</t>
  </si>
  <si>
    <t>WOS:001248750000001</t>
  </si>
  <si>
    <t>Kaurani, P; Apolaro, AVMD; Kunchala, K; Maini, S; Rges, HAF; Isaac, A; Lakkimsetti, M; Raake, M; Nazir, Z</t>
  </si>
  <si>
    <t>Kaurani, Purvi; de Marchi Apolaro, Ana Vitoria Moreira; Kunchala, Keerthi; Maini, Shriya; Rges, Huda A. F.; Isaac, Ashley; Lakkimsetti, Mohit; Raake, Mohammed; Nazir, Zahra</t>
  </si>
  <si>
    <t>Advances in Neurorehabilitation: Strategies and Outcomes for Traumatic Brain Injury Recovery</t>
  </si>
  <si>
    <t>virtual reality simulation; axonal injury; neurorehabilitation neurorehab; concussion; traumatic brain injury</t>
  </si>
  <si>
    <t>INCOG 2.0 GUIDELINES; RANDOMIZED CONTROLLED-TRIAL; MAGNETIC STIMULATION; SELF-AWARENESS; REHABILITATION; APHASIA; STROKE; PEOPLE; CARE; AMANTADINE</t>
  </si>
  <si>
    <t>Traumatic brain injury (TBI) consists of an external physical force that causes brain function impairment or pathology and globally affects 50 million people each year, with a cost of 400 billion US dollars. Clinical presentation of TBI can occur in many forms, and patients usually require prolonged hospital care and lifelong rehabilitation, which leads to an impact on the quality of life. For this narrative review, no particular method was used to extract data. With the aid of health descriptors and Medical Subject Heading (MeSH) terms, a search was thoroughly conducted in databases such as PubMed and Google Scholar. After the application of exclusion and inclusion criteria, a total of 146 articles were effectively used for this review. Results indicate that rehabilitation after TBI happens through neuroplasticity, which combines neural regeneration and functional reorganization. The role of technology, including artificial intelligence, virtual reality, robotics, computer interface, and neuromodulation, is to impact rehabilitation and life quality improvement significantly. Pharmacological intervention, however, did not result in any benefit when compared to standard care and still needs further research. It is possible to conclude that, given the high and diverse degree of disability associated with TBI, rehabilitation interventions should be precocious and tailored according to the individual's needs in order to achieve the best possible results. An interdisciplinary patient-centered care health team and well-oriented family members should be involved in every stage. Lastly, strategies must be adequate, well-planned, and communicated to patients and caregivers to attain higher functional outcomes.</t>
  </si>
  <si>
    <t>[Kaurani, Purvi] DY Patil Univ Sch Med, Neurol, Navi Mumbai, India; [de Marchi Apolaro, Ana Vitoria Moreira] Fac Med Santa Marcelina, Med, Sao Paulo, Brazil; [Kunchala, Keerthi] Sri Venkateswara Med Coll, Internal Med, Tirupati, India; [Maini, Shriya] Dayanand Med Coll &amp; Hosp, Med &amp; Surg, Ludhiana, India; [Rges, Huda A. F.] Natl Author Mental Hlth &amp; Psychosocial Support, Mental Hlth, Benghazi, Libya; [Isaac, Ashley] Isra Univ Hosp, Gen Med, Hyderabad, Pakistan; [Lakkimsetti, Mohit] Mamata Med Coll, Internal Med, Khammam, India; [Raake, Mohammed] Annamalai Univ, Surg, Chennai, India; [Nazir, Zahra] Combined Mil Hosp, Internal Med, Quetta, Pakistan</t>
  </si>
  <si>
    <t>Dayanand Medical College &amp; Hospital; Annamalai University</t>
  </si>
  <si>
    <t>Nazir, Z (corresponding author), Combined Mil Hosp, Internal Med, Quetta, Pakistan.</t>
  </si>
  <si>
    <t>naz_zahra93@outlook.com</t>
  </si>
  <si>
    <t>JUN 12</t>
  </si>
  <si>
    <t>e62242</t>
  </si>
  <si>
    <t>10.7759/cureus.62242</t>
  </si>
  <si>
    <t>WZ3G1</t>
  </si>
  <si>
    <t>WOS:001258650100009</t>
  </si>
  <si>
    <t>Alashram, AR</t>
  </si>
  <si>
    <t>Alashram, Anas R.</t>
  </si>
  <si>
    <t>Combined robot-assisted therapy virtual reality for upper limb rehabilitation in stroke survivors: a systematic review of randomized controlled trials</t>
  </si>
  <si>
    <t>Stroke; Virtual reality; Robotics; Upper limb; Rehabilitation</t>
  </si>
  <si>
    <t>OF-THE-ART; ISCHEMIC-STROKE; FUNCTIONAL RECOVERY; MOTOR RECOVERY; RELIABILITY; STATEMENT; CARE</t>
  </si>
  <si>
    <t>BackgroundUpper limb impairments are among the most common consequences following a stroke. Recently, robot-assisted therapy (RT) and virtual reality (VR) have been used to improve upper limb function in stroke survivors.ObjectivesThis review aims to investigate the effects of combined RT and VR on upper limb function in stroke survivors and to provide recommendations for researchers and clinicians in the medical field.MethodsWe searched PubMed, SCOPUS, REHABDATA, PEDro, EMBASE, and Web of Science from inception to March 28, 2024. Randomized controlled trials (RCTs) involving stroke survivors that compared combined RT and VR interventions with either passive (i.e., sham, rest) or active (i.e., traditional therapy, VR, RT) interventions and assessed outcomes related to upper limb function (e.g., strength, muscle tone, or overall function) were included. The Cochrane Collaboration tool was used to evaluate the methodological quality of the included studies.ResultsSix studies were included in this review. In total, 201 patients with stroke (mean age 57.84 years) were involved in this review. Four studies were considered 'high quality', while two were considered as 'moderate quality' on the Cochrane Collaboration tool. The findings showed inconsistent results for the effects of combined RT and VR interventions on upper limb function poststroke.ConclusionIn conclusion, there are potential effects of combined RT and VR interventions on improving upper limb function, but further research is needed to confirm these findings, understand the underlying mechanisms, and assess the consistency and generalizability of the results.</t>
  </si>
  <si>
    <t>[Alashram, Anas R.] Middle East Univ, Dept Physiotherapy, Amman, Jordan; [Alashram, Anas R.] Appl Sci Private Univ, Appl Sci Res Ctr, Amman, Jordan; [Alashram, Anas R.] San Raffaele Roma Open Univ, Dept Human Sci &amp; Promot Qual Life, Rome, Italy</t>
  </si>
  <si>
    <t>Middle East University; Applied Science University - Jordan</t>
  </si>
  <si>
    <t>Alashram, AR (corresponding author), Middle East Univ, Dept Physiotherapy, Amman, Jordan.;Alashram, AR (corresponding author), Appl Sci Private Univ, Appl Sci Res Ctr, Amman, Jordan.;Alashram, AR (corresponding author), San Raffaele Roma Open Univ, Dept Human Sci &amp; Promot Qual Life, Rome, Italy.</t>
  </si>
  <si>
    <t>anasalashram@gmail.com</t>
  </si>
  <si>
    <t>Alashram, Anas/AAU-4481-2021</t>
  </si>
  <si>
    <t>Alashram, Anas/0000-0002-3066-3943</t>
  </si>
  <si>
    <t>10.1007/s10072-024-07628-z</t>
  </si>
  <si>
    <t>J3X6G</t>
  </si>
  <si>
    <t>WOS:001243294800002</t>
  </si>
  <si>
    <t>Alashram, AR; Alashram, A</t>
  </si>
  <si>
    <t>Alashram, Anas R.; Alashram, Anas</t>
  </si>
  <si>
    <t>Effectiveness of combined robotics and virtual reality on lower limb functional ability in stroke survivors: A systematic review of randomized controlled trials</t>
  </si>
  <si>
    <t>Stroke; Lower limb; Function; Rehabilitation; Virtual reality; Robotics</t>
  </si>
  <si>
    <t>MOTOR FUNCTION; GAIT; BALANCE; REHABILITATION; THERAPY; OUTCOMES</t>
  </si>
  <si>
    <t>Lower limb impairments are common consequences of stroke. Robotics and virtual reality (VR) play crucial roles in improving lower limb function post-stroke. This review aims to assess the effects of combined robot and VR interventions on lower limb functional ability poststroke and to provide recommendations for future studies in the rehabilitation field. PubMed, SCOPUS, CINAHL, MEDLINE, EMBASE, and Web of Science were searched from inception to March 1, 2024. Randomized controlled trials (RCTs) involving patients with a stroke, administering combined robot and VR compared with passive (i.e., rest) or active (any intervention), and including at least one outcome evaluating lower limb function (i.e., balance, gait, mobility, muscle tone, muscle strength, range of motion) or activities of daily living were selected. The Cochrane Collaboration tool was employed to evaluate the risk of bias in the included studies. Nine studies met the eligibility criteria. In total, 364 stroke survivors (Mean age 55.62 years) were involved in this review. According to the Cochrane Collaboration tool, five studies were classified as high quality, moderate quality (n=3), and low quality (n=1). There are mixed findings on the effects of combined robot and VR on lower limb functional ability in stroke survivors. The evidence for the effects of combined robot and VR on lower limb functional ability post-stroke is promising. Further trials with long-term follow-up are strongly warranted to understand the immediate and long-term effect of combined robot and VR intervention on various lower limb impairments and to define the optimal treatment protocols.</t>
  </si>
  <si>
    <t>[Alashram, Anas R.; Alashram, Anas] Middle East Univ, Dept Physiotherapy, Airport Rd, Amman 11831, Jordan; [Alashram, Anas R.] Appl Sci Private Univ, Appl Sci Res Ctr, Amman, Jordan; [Alashram, Anas R.] San Raffaele Roma Open Univ, Dept Human Sci &amp; Promot Qual Life, Rome, Italy</t>
  </si>
  <si>
    <t>Alashram, AR (corresponding author), Middle East Univ, Dept Physiotherapy, Airport Rd, Amman 11831, Jordan.;Alashram, AR (corresponding author), Appl Sci Private Univ, Appl Sci Res Ctr, Amman, Jordan.;Alashram, AR (corresponding author), San Raffaele Roma Open Univ, Dept Human Sci &amp; Promot Qual Life, Rome, Italy.</t>
  </si>
  <si>
    <t>10.1007/s10072-024-07618-1</t>
  </si>
  <si>
    <t>G9N9X</t>
  </si>
  <si>
    <t>WOS:001238160300002</t>
  </si>
  <si>
    <t>Andriollo, L; Rossi, SM; Sangaletti, R; Polizzi, A; Montagna, A; Matascioli, L; Perticarini, L; Benazzo, F</t>
  </si>
  <si>
    <t>Andriollo, Luca; Rossi, Stefano M.; Sangaletti, Rudy; Polizzi, Alberto; Montagna, Alice; Matascioli, Luca; Perticarini, Loris; Benazzo, Francesco</t>
  </si>
  <si>
    <t>Total arthroplasty in valgus knee: an update in the robotics era</t>
  </si>
  <si>
    <t>MINERVA ORTHOPEDICS</t>
  </si>
  <si>
    <t>Knee; Knee replacement arthroplasty; Congenital abnormalities</t>
  </si>
  <si>
    <t>CONSTRAINED CONDYLAR KNEE; LATERAL APPROACH; MEDIAL APPROACH; SYNOVIAL-FLUID; DEFORMITY; ALIGNMENT; RELEASE; OSTEOARTHRITIS; REPLACEMENT; VARUS</t>
  </si>
  <si>
    <t>Total knee arthroplasty can be a complex procedure, especially in the presence of valgus knee deformity, which poses significant challenges in terms of soft tissue balancing and implant alignment. This study aims to delineate the intricacies of managing valgus deformities in total knee arthroplasty, highlighting the role of robotic-assisted techniques. In detail, the paper presents anatomical and biomechanical considerations unique to the valgus knee, the importance of thorough clinical and radiographic evaluation, classifications of valgus deformity, and the implications for implant choice and surgical approaches. It underscores the necessity of precise bone cuts and alignment to ensure the success of the procedure and the significance of meticulous soft tissue release to achieve knee stability and optimal functional outcomes. This review explores the complex aspects of surgery, including the use of robotic systems which have shown promise in improving the accuracy of implant placement and alignment, a critical factor in the longevity and functionality of total knee arthroplasty implants. It describes the authors' technique in the robotics era, emphasizing preoperative planning, intraoperative assessments, and postoperative rehabilitation. This comprehensive approach to total knee arthroplasty in valgus knees provides an outline for achieving neutral alignment, gap balancing, and stability, which are crucial for successful patient outcomes. The study concludes that the integration of modern robotics, combined with a deep understanding of knee deformity correction, implant selection, and soft tissue management, is revolutionizing total knee arthroplasty, making it a safer and more reproducible technique, even in severe valgus deformities associated with osteoarthritis.</t>
  </si>
  <si>
    <t>[Andriollo, Luca; Rossi, Stefano M.; Sangaletti, Rudy; Polizzi, Alberto; Montagna, Alice; Matascioli, Luca; Perticarini, Loris; Benazzo, Francesco] Fdn Poliambulanza Hosp, Robot Prosthet Surg Unit, Via Bissolati 57, I-25124 Brescia, Italy; [Andriollo, Luca; Rossi, Stefano M.; Sangaletti, Rudy; Polizzi, Alberto; Montagna, Alice; Matascioli, Luca; Perticarini, Loris; Benazzo, Francesco] Fdn Poliambulanza Hosp, Sports Traumatol Unit, Via Bissolati 57, I-25124 Brescia, Italy; [Andriollo, Luca] Sacred Heart Catholic Univ, Dept Orthoped &amp; Traumatol, Rome, Italy; [Montagna, Alice] Univ Pavia, Dept Orthoped &amp; Traumatol, Pavia, Italy; [Benazzo, Francesco] IUSS Univ, Sch Adv Studies, Biomed Sci Area, Pavia, Italy</t>
  </si>
  <si>
    <t>Fondazione Poliambulanza di Brescia; Fondazione Poliambulanza di Brescia; Catholic University of the Sacred Heart; IRCCS Policlinico Gemelli; University of Pavia</t>
  </si>
  <si>
    <t>Andriollo, L (corresponding author), Fdn Poliambulanza Hosp, Robot Prosthet Surg Unit, Via Bissolati 57, I-25124 Brescia, Italy.;Andriollo, L (corresponding author), Fdn Poliambulanza Hosp, Sports Traumatol Unit, Via Bissolati 57, I-25124 Brescia, Italy.</t>
  </si>
  <si>
    <t>andriollo.luca@gmail.com</t>
  </si>
  <si>
    <t>Perticarini, Loris/ISB-2252-2023; Rossi, Stefano Marco Paolo/KGL-1404-2024; Benazzo, Francesco/AAV-9990-2020</t>
  </si>
  <si>
    <t>Andriollo, Luca/0009-0007-1586-2542</t>
  </si>
  <si>
    <t>2784-8469</t>
  </si>
  <si>
    <t>2784-871X</t>
  </si>
  <si>
    <t>MINERVA ORTHOP</t>
  </si>
  <si>
    <t>Minerva Orthop.</t>
  </si>
  <si>
    <t>10.23736/S2784-8469.24.04429-8</t>
  </si>
  <si>
    <t>C8V3D</t>
  </si>
  <si>
    <t>WOS:001292083200003</t>
  </si>
  <si>
    <t>De Pasquale, P; Bonanno, M; Mojdehdehbaher, S; Quartarone, A; Calabrò, RS</t>
  </si>
  <si>
    <t>De Pasquale, Paolo; Bonanno, Mirjam; Mojdehdehbaher, Sepehr; Quartarone, Angelo; Calabro, Rocco Salvatore</t>
  </si>
  <si>
    <t>The Use of Head-Mounted Display Systems for Upper Limb Kinematic Analysis in Post-Stroke Patients: A Perspective Review on Benefits, Challenges and Other Solutions</t>
  </si>
  <si>
    <t>motion capture; head-mounted display; virtual reality; upper limb kinematics; post-stroke; neurorehabilitation</t>
  </si>
  <si>
    <t>In recent years, there has been a notable increase in the clinical adoption of instrumental upper limb kinematic assessment. This trend aligns with the rising prevalence of cerebrovascular impairments, one of the most prevalent neurological disorders. Indeed, there is a growing need for more objective outcomes to facilitate tailored rehabilitation interventions following stroke. Emerging technologies, like head-mounted virtual reality (HMD-VR) platforms, have responded to this demand by integrating diverse tracking methodologies. Specifically, HMD-VR technology enables the comprehensive tracking of body posture, encompassing hand position and gesture, facilitated either through specific tracker placements or via integrated cameras coupled with sophisticated computer graphics algorithms embedded within the helmet. This review aims to present the state-of-the-art applications of HMD-VR platforms for kinematic analysis of the upper limb in post-stroke patients, comparing them with conventional tracking systems. Additionally, we address the potential benefits and challenges associated with these platforms. These systems might represent a promising avenue for safe, cost-effective, and portable objective motor assessment within the field of neurorehabilitation, although other systems, including robots, should be taken into consideration.</t>
  </si>
  <si>
    <t>[De Pasquale, Paolo; Bonanno, Mirjam; Quartarone, Angelo; Calabro, Rocco Salvatore] IRCCS Ctr Neurolesi Bonino Pulejo, Cda Casazza,SS 113, I-98124 Messina, Italy; [Mojdehdehbaher, Sepehr] Univ Messina, Dept Math Comp Sci Phys &amp; Earth Sci MIFT, Viale Ferdinando Stagno Alcontres,31, I-98166 Messina, Italy</t>
  </si>
  <si>
    <t>Bonanno, M (corresponding author), IRCCS Ctr Neurolesi Bonino Pulejo, Cda Casazza,SS 113, I-98124 Messina, Italy.</t>
  </si>
  <si>
    <t>paolo.depasquale@irccsme.it; mirjam.bonanno@irccsme.it; sepehrbaher@gmail.com; angelo.quartarone@irccsme.it; roccos.calabro@irccsme.it</t>
  </si>
  <si>
    <t>Bonanno, Mirjam/IUP-3451-2023; calabro, rocco/L-9570-2019; De Pasquale, Paolo/AAB-6969-2019</t>
  </si>
  <si>
    <t>Bonanno, Mirjam/0000-0002-3284-9741; De Pasquale, Paolo/0000-0003-1688-2151; calabro, rocco salvatore/0000-0002-8566-3166</t>
  </si>
  <si>
    <t>Italian Ministry of Health</t>
  </si>
  <si>
    <t>This research was supported by Current Research Funds, 2024, Italian Ministry of Health.</t>
  </si>
  <si>
    <t>10.3390/bioengineering11060538</t>
  </si>
  <si>
    <t>WJ1D2</t>
  </si>
  <si>
    <t>WOS:001254402900001</t>
  </si>
  <si>
    <t>Lim, JH; Kang, EY; Park, SJ; Kim, BG</t>
  </si>
  <si>
    <t>Lim, Jae-Hyun; Kang, Eun-Young; Park, Se-Ju; Kim, Byeong-Geun</t>
  </si>
  <si>
    <t>Effects of robot rehabilitation on the motor function and gait in children with cerebral palsy: a systematic review and meta-analysis</t>
  </si>
  <si>
    <t>JOURNAL OF EXERCISE REHABILITATION</t>
  </si>
  <si>
    <t>Cerebral palsy; Child; Robot rehabilitation; Motor function; Gait</t>
  </si>
  <si>
    <t>VIRTUAL-REALITY; CLASSIFICATION; INDIVIDUALS; DEFINITION; THERAPY</t>
  </si>
  <si>
    <t>This study was to determine the effects of robot rehabilitation on motor function and gait in children with cerebral palsy (CP) and the effect of robot type. Inclusion criteria were children with any type of CP, robot rehabilitation studies, non -robot rehabilitation comparison groups, outcomes related to motor function and gait, and randomized controlled trials. PubMed, Embase, Cochrane Library, CINAHL, and Web of Science databases were searched. Risk of bias was assessed using physiotherapy evidence database. Seven studies with a total of 228 participants were selected. Motor function was significantly improved in three studies comparing robot rehabilitation and control groups (standard mean difference [SMD], 0.79; 95% confidence intervals [CIs], 0.34-1.24; I 2 = 73%). Gait was not significantly improved in five studies comparing robot rehabilitation and control groups (SMD, 0.27; 95% CI, -0.09 to 0.63; I 2 = 45%). When comparing effects by robot type, robotic -assisted gate training (RAGT) showed significant improvements in both motor function (SMD, 0.89; 95% CI, 0.36-1.43; I 2 = 77%) and gait (SMD, 0.62; 95% CI, 0.12-1.11; I 2 = 44%). Robot rehabilitation effectively improved motor function, and among the robot types, RAGT was found to be effective in improving motor function and gait.</t>
  </si>
  <si>
    <t>[Lim, Jae-Hyun] Nambu Univ, Grad Sch, Dept Phys Therapy, Gwangju, South Korea; [Lim, Jae-Hyun] Wise Rehabil Hosp, Phys Therapy Room, Gwangju, South Korea; [Kang, Eun-Young] Kwangju Christian Hosp, Dept Rehabil Med, Gwangju, South Korea; [Park, Se-Ju] Songwon Univ, Dept Rehabil, Gwangju, South Korea; [Kim, Byeong-Geun] Nambu Univ, Dept Phys Therapy, 1 Nambudae Gil, Gwangju 62271, South Korea</t>
  </si>
  <si>
    <t>Nambu University; Nambu University</t>
  </si>
  <si>
    <t>Kim, BG (corresponding author), Nambu Univ, Dept Phys Therapy, 1 Nambudae Gil, Gwangju 62271, South Korea.</t>
  </si>
  <si>
    <t>qudrms_92@naver.com</t>
  </si>
  <si>
    <t>Kim, Byeonggeun/AAG-3252-2021; lim, jaehyun/R-2955-2019</t>
  </si>
  <si>
    <t>Kim, Byeong-Geun/0000-0002-7358-7389</t>
  </si>
  <si>
    <t>KOREAN SOC EXERCISE REHABILITATION</t>
  </si>
  <si>
    <t>264 BAEKJEGOBUN-RO, SONGPA-GU, SEOUL, 138-841, SOUTH KOREA</t>
  </si>
  <si>
    <t>2288-176X</t>
  </si>
  <si>
    <t>2288-1778</t>
  </si>
  <si>
    <t>J EXERC REHABIL</t>
  </si>
  <si>
    <t>J. Exerc. Rehabil.</t>
  </si>
  <si>
    <t>10.12965/jer.2448186.093</t>
  </si>
  <si>
    <t>WM7I6</t>
  </si>
  <si>
    <t>WOS:001255350800002</t>
  </si>
  <si>
    <t>Marchesi, G; Arena, G; Parey, A; De Luca, A; Casadio, M; Pierella, C; Squeri, V</t>
  </si>
  <si>
    <t>Marchesi, Giorgia; Arena, Greta; Parey, Alice; De Luca, Alice; Casadio, Maura; Pierella, Camilla; Squeri, Valentina</t>
  </si>
  <si>
    <t>A Strong Core for a Strong Recovery: A Scoping Review of Methods to Improve Trunk Control and Core Stability of People with Different Neurological Conditions</t>
  </si>
  <si>
    <t>core stability; rehabilitation; robotic training; sitting balance; trunk control</t>
  </si>
  <si>
    <t>QUALITY-OF-LIFE; SITTING BALANCE; POSTURAL CONTROL; SUBACUTE STROKE; MULTIPLE-SCLEROSIS; VISUAL FEEDBACK; STABILIZATION EXERCISES; FUNCTIONAL-CAPACITY; PARKINSONS-DISEASE; MUSCLE ACTIVATION</t>
  </si>
  <si>
    <t>Objective: The purpose of this scoping review is to provide valuable insights for clinicians and researchers for designing rehabilitative interventions targeting the trunk and core for individuals who have experienced traumatic events, such as stroke or spinal cord injury, or are grappling with neurological diseases such as multiple sclerosis and Parkinson's disease. We investigated training methods used to enhance balance, trunk control, and core stability. Methods: We conducted an extensive literature search across several electronic databases, including Web of Science, PubMed, SCOPUS, Google Scholar, and IEEE Xplore. Results: A total of 109 articles met the inclusion criteria and were included in this review. The results shed light on the diversity of rehabilitation methods that target the trunk and core. These methods have demonstrated effectiveness in improving various outcomes, including balance, trunk control, gait, the management of trunk muscles, overall independence, and individuals' quality of life. Conclusions: Our scoping review provides an overview on the methods and technologies employed in trunk rehabilitation and core strengthening, offering insights into the added value of core training and specific robotic training, focusing on the importance of different types of feedback to enhance training effectiveness.</t>
  </si>
  <si>
    <t>[Marchesi, Giorgia; Arena, Greta] Movendo Technol Srl, Clin &amp; Prod Div, I-16149 Genoa, Italy; [Parey, Alice] IMT Atlantique Bretagne Pays De La Loire, Campus Brest,Technopole Brest Iroise CS 83818, F- 29238 Brest, France; [De Luca, Alice] Italian Inst Technol, Unit Visually Impaired People &amp; Bioinspired Soft R, I-16163 Genoa, Italy; [Casadio, Maura; Pierella, Camilla] Univ Genoa, Dept Informat Bioengn Robot &amp; Syst Engn DIBRIS, I-16145 Genoa, Italy; [Squeri, Valentina] Italian Inst Technol, Rehab Technol INAIL IIT Lab, I-16163 Genoa, Italy</t>
  </si>
  <si>
    <t>IMT - Institut Mines-Telecom; IMT Atlantique; Istituto Italiano di Tecnologia - IIT; University of Genoa; Istituto Italiano di Tecnologia - IIT</t>
  </si>
  <si>
    <t>Pierella, C (corresponding author), Univ Genoa, Dept Informat Bioengn Robot &amp; Syst Engn DIBRIS, I-16145 Genoa, Italy.</t>
  </si>
  <si>
    <t>giorgia.marchesi@movendo.technology; greta.arena@movendo.technology; alice.parey@imt-atlantique.net; alice.deluca@iit.it; maura.casadio@unige.it; camilla.pierella@unige.it; valentina.squeri@iit.it</t>
  </si>
  <si>
    <t>Pierella, Camilla/AAA-2326-2021; Casadio, Maura/AFM-0496-2022</t>
  </si>
  <si>
    <t>Pierella, Camilla/0000-0002-8108-9363</t>
  </si>
  <si>
    <t>European Union-NextGenerationEU</t>
  </si>
  <si>
    <t>10.3390/app14114889</t>
  </si>
  <si>
    <t>UB5D0</t>
  </si>
  <si>
    <t>WOS:001245605800001</t>
  </si>
  <si>
    <t>Park, JM; Kim, YW; Lee, SJ; Shin, JC</t>
  </si>
  <si>
    <t>Park, Jong Mi; Kim, Yong Wook; Lee, Su Ji; Shin, Ji Cheol</t>
  </si>
  <si>
    <t>Robot-Assisted Gait Training in Individuals With Spinal Cord Injury: A Systematic Review and Meta-Analysis of Randomized Controlled Trials</t>
  </si>
  <si>
    <t>ANNALS OF REHABILITATION MEDICINE-ARM</t>
  </si>
  <si>
    <t>Spinal cord injuries; Robotics; Locomotion; Gait; Recovery of function</t>
  </si>
  <si>
    <t>INTERVENTIONS; PLASTICITY; STRENGTH; THERAPY; PEOPLE</t>
  </si>
  <si>
    <t>Spinal cord injury (SCI) rehabilitation emphasizes locomotion. Robotic-assisted gait training (RAGT) is widely used in clinical settings because of its benefits; however, its efficacy remains controversial. We conducted a systematic review and meta-analysis to investigate the efficacy of RAGT in patients with SCI. We searched international and domestic databases for articles published until April 18, 2024. The meta-analysis employed a random effects model to determine the effect size as either mean difference (MD) or standardized MD (SMD). Evidence quality was evaluated using the Grading of Recommendations Assessment, Development and Evaluation (GRADE) approach. Twenty-three studies with a total of 690 participants were included in the final analysis. The overall pooled effect size for improvement in activities of daily living was 0.24, with SMD (95% confidence interval [95% CI], 0.04-0.43; GRADE: high) favoring RAGT over conventional rehabilitation. Muscular strength (MD, 0.23; 95% CI, 0.02- 0.44; GRADE: high), walking index for SCI (MD, 0.31; 95% CI, 0.07-0.55; GRADE: moderate) and 6 min walk test distance (MD, 0.38; 95% CI, 0.14-0.63; GRADE: moderate) showed significant improvement in the robot group. Subgroup analysis revealed that subacute patients and intervention periods &gt;2 months were more effective. This meta-analysis revealed that RAGT significantly improved activities of daily living, muscular strength, and walking abilities. Additional studies are needed to identify the optimal treatment protocol and specific patient groups for which the protocol is most effective.</t>
  </si>
  <si>
    <t>[Park, Jong Mi] Hallym Univ, Coll Med, Sacred Heart Hosp, Dept Phys Med &amp; Rehabil, Anyang, South Korea; [Kim, Yong Wook; Lee, Su Ji; Shin, Ji Cheol] Yonsei Univ, Dept &amp; Res Inst Rehabil Med, Coll Med, Seoul, South Korea</t>
  </si>
  <si>
    <t>Hallym University; Yonsei University; Yonsei University Health System</t>
  </si>
  <si>
    <t>Shin, JC (corresponding author), Yonsei Univ, Med Ctr, Dept Rehabil Med, 50-1 Yonsei Ro, Seoul 03722, South Korea.</t>
  </si>
  <si>
    <t>jcsevrm@yuhs.ac</t>
  </si>
  <si>
    <t>Kim, Min Chul/IYJ-9897-2023</t>
  </si>
  <si>
    <t>Lee, Su Ji/0000-0002-6376-0125; Shin, Ji Cheol/0000-0002-1133-1361; KIM, YONGWOOK/0000-0002-5234-2454; Park, Jong Mi/0000-0003-4272-7489</t>
  </si>
  <si>
    <t>Special Research Fund for ARM Development of the Korean Academy of Rehabilitation Medicine</t>
  </si>
  <si>
    <t>This study was supported by the Special Research Fund for ARM Development of the Korean Academy of Rehabilitation Medicine in 2023.</t>
  </si>
  <si>
    <t>KOREAN ACAD REHABILITATION MEDICINE</t>
  </si>
  <si>
    <t>5F, YOUNGHAN BLDG, 742-22 BANPO-DONG, SEOCHO-GU, SEOUL, 137-040, SOUTH KOREA</t>
  </si>
  <si>
    <t>2234-0653</t>
  </si>
  <si>
    <t>ANN REHABIL MED-ARM</t>
  </si>
  <si>
    <t>Ann. Rehabil. Med.-ARM</t>
  </si>
  <si>
    <t>10.5535/arm.230039</t>
  </si>
  <si>
    <t>XO8I7</t>
  </si>
  <si>
    <t>WOS:001262712500001</t>
  </si>
  <si>
    <t>Chen, X; Yin, L; Hou, YB; Wang, J; Li, YY; Yan, JT; Tao, JM; Ma, SJ</t>
  </si>
  <si>
    <t>Chen, Xiao; Yin, Lu; Hou, Yangbo; Wang, Jie; Li, Yongyi; Yan, Juntao; Tao, Jiming; Ma, Shujie</t>
  </si>
  <si>
    <t>Effect of robot-assisted gait training on improving cardiopulmonary function in stroke patients: a meta-analysis</t>
  </si>
  <si>
    <t>Robot-assisted gait training; Cardiopulmonary fitness; Stroke; 6MWT; Meta-analysis</t>
  </si>
  <si>
    <t>EXERCISE CAPACITY; HEART-FAILURE; PERFORMANCE; FITNESS</t>
  </si>
  <si>
    <t>Objective Understanding the characteristics related to cardiorespiratory fitness after stroke can provide reference values for patients in clinical rehabilitation exercise. This meta- analysis aimed to investigate the effect of robot-assisted gait training in improving cardiorespiratory fitness in post-stroke patients, compared to conventional rehabilitation training. Methods PubMed, EMBASE, Web of Science, Cochrane Database of Systematic Reviews, CBM, CNKI and Wanfang databases were searched until March 18th, 2024. Randomized controlled trials (RCTs) comparing the effectiveness of robot-assisted gait training versus control group were included. The main outcome variable was peak oxygen uptake. 6-minute walking test, peak heart rate, peak inspiratory expiratory ratio as our secondary indicators. RevMan 5.3 software was used for statistical analysis. Results A total of 17 articles were included, involving 689 subjects. The results showed a significant effect for robot-assisted gait training to improve VO2peak (MD = 1.85; 95% CI: -0.13 to 3.57; p = 0.04) and 6WMT (MD = 19.26; 95% CI: 10.43 to 28.08; p &lt; 0.0001). However, no significant difference favouring robot-assisted gait training were found in HRpeak (MD = 3.56; 95% CI: -1.90 to 9.02; p = 0.20) and RERpeak (MD = -0.01; 95% CI: -0.04 to 0.01; p = 0.34). Conclusion These results showed that robot-assisted gait training may have a beneficial effect in improving VO2peak and 6WMT, with a moderate recommendation level according to the GRADE guidelines.</t>
  </si>
  <si>
    <t>[Chen, Xiao; Tao, Jiming] Shanghai Univ Tradit Chinese Med, Shuguang Hosp, Dept Rehabil Med, Shanghai, Peoples R China; [Yin, Lu] Shanghai Univ Tradit Chinese Med, Yueyang Hosp Integrated Tradit Chinese &amp; Western M, Dept Rehabil Med, Shanghai, Peoples R China; [Hou, Yangbo] Shanghai Univ Tradit Chinese Med, Putuo Hosp, Dept Neurol, Shanghai, Peoples R China; [Wang, Jie; Li, Yongyi; Ma, Shujie] Second Rehabil Hosp Shanghai, Rehabil Dept Tradit Chinese Med, Shanghai, Peoples R China; [Yan, Juntao] Shanghai Univ Tradit Chinese Med, Yueyang Hosp Integrated Tradit Chinese &amp; Western M, Dept Tuina, Shanghai, Peoples R China</t>
  </si>
  <si>
    <t>Shanghai University of Traditional Chinese Medicine; Shanghai University of Traditional Chinese Medicine; Shanghai University of Traditional Chinese Medicine; Shanghai University of Traditional Chinese Medicine</t>
  </si>
  <si>
    <t>Tao, JM (corresponding author), Shanghai Univ Tradit Chinese Med, Shuguang Hosp, Dept Rehabil Med, Shanghai, Peoples R China.;Ma, SJ (corresponding author), Second Rehabil Hosp Shanghai, Rehabil Dept Tradit Chinese Med, Shanghai, Peoples R China.;Yan, JT (corresponding author), Shanghai Univ Tradit Chinese Med, Yueyang Hosp Integrated Tradit Chinese &amp; Western M, Dept Tuina, Shanghai, Peoples R China.</t>
  </si>
  <si>
    <t>doctoryjt@163.com; taoyecheng@163.com; mashujie86@163.com</t>
  </si>
  <si>
    <t>National Science Foundation for Young Scientists of China [81603713]; Budget project of Shanghai University of Traditional Chinese Medicine [2021LK055]; Shanghai Shenkang Center Medical Enterprise Integration and Innovation Collaborative Special Project [SHDC2022CRT018]; Medical Key Specialized Project of Baoshan District [BSZK-2023-BZ12]; Construction of Demonstration Research Wards in Shanghai Shenkang Center [SHDC2022CRW010]; Shanghai Health System Key Supporting Discipline Construction Project [2023ZDFC0301]; Shanghai Putuo District Health System Clinical Characteristic Special Disease Construction Project [2023tszb04]</t>
  </si>
  <si>
    <t>National Science Foundation for Young Scientists of China; Budget project of Shanghai University of Traditional Chinese Medicine; Shanghai Shenkang Center Medical Enterprise Integration and Innovation Collaborative Special Project; Medical Key Specialized Project of Baoshan District; Construction of Demonstration Research Wards in Shanghai Shenkang Center; Shanghai Health System Key Supporting Discipline Construction Project; Shanghai Putuo District Health System Clinical Characteristic Special Disease Construction Project</t>
  </si>
  <si>
    <t>This work was supported by the National Science Foundation for Young Scientists of China (grant number 81603713); Budget project of Shanghai University of Traditional Chinese Medicine (grant number 2021LK055); Shanghai Shenkang Center Medical Enterprise Integration and Innovation Collaborative Special Project(grant number SHDC2022CRT018); the Medical Key Specialized Project of Baoshan District (grant number BSZK-2023-BZ12); Construction of Demonstration Research Wards in Shanghai Shenkang Center(grant number SHDC2022CRW010); Shanghai Health System Key Supporting Discipline Construction Project(grant number 2023ZDFC0301). Shanghai Putuo District Health System Clinical Characteristic Special Disease Construction Project (2023tszb04).</t>
  </si>
  <si>
    <t>MAY 30</t>
  </si>
  <si>
    <t>10.1186/s12984-024-01388-9</t>
  </si>
  <si>
    <t>WP3Y0</t>
  </si>
  <si>
    <t>WOS:001256050400001</t>
  </si>
  <si>
    <t>Mulpuri, RP; Konda, N; Gadde, ST; Amalakanti, S; Valiveti, SC</t>
  </si>
  <si>
    <t>Mulpuri, Rajendra P.; Konda, Nikhitha; Gadde, Sai T.; Amalakanti, Sridhar; Valiveti, Sindhu Chowdary</t>
  </si>
  <si>
    <t>Artificial Intelligence and Machine Learning inNeuroregeneration: A Systematic Review</t>
  </si>
  <si>
    <t>regenerative medicine; neural networks; deep neural networks; machine learning; artificial intelligence; neuroregeneration</t>
  </si>
  <si>
    <t>MIXED METHODS; INTEGRATION; QUALITY</t>
  </si>
  <si>
    <t>Artificial intelligence (AI) and machine learning (ML) show promise in various medical domains,including medical imaging, precise diagnoses, and pharmaceutical research. In neuroscience andneurosurgery, AI/ML advancements enhance brain-computer interfaces, neuroprosthetics, andsurgical planning. They are poised to revolutionize neuroregeneration by unraveling the nervoussystem's complexities. However, research on AI/ML in neuroregeneration is fragmented,necessitating a comprehensive review. Adhering to Preferred Reporting Items for SystematicReviews and Meta-Analyses (PRISMA) recommendations, 19 English-language papers focusing onAI/ML in neuroregeneration were selected from a total of 247. Two researchers independentlyconducted data extraction and quality assessment using the Mixed Methods Appraisal Tool (MMAT)2018. Eight studies were deemed high quality, 10 moderate, and four low. Primary goals includeddiagnosing neurological disorders (35%), robotic rehabilitation (18%), and drug discovery (12%each). Methods ranged from analyzing imaging data (24%) to animal models (24%) and electronichealth records (12%). Deep learning accounted for 41% of AI/ML techniques, while standard MLalgorithms constituted 29%. The review underscores the growing interest in AI/ML forneuroregenerative medicine, with increasing publications. These technologies aid in diagnosingdiseases and facilitating functional recovery through robotics and targeted stimulation. AI-drivendrug discovery holds promise for identifying neuroregenerative therapies. Nonetheless, addressingexisting limitations remains crucial in this rapidly evolving field.</t>
  </si>
  <si>
    <t>[Mulpuri, Rajendra P.; Gadde, Sai T.; Amalakanti, Sridhar] All India Inst Med Sci, Gen Med, Mangalagiri, India; [Konda, Nikhitha] Alluri Sitaramaraju Acad Med Sci, Internal Med, Eluru, India; [Valiveti, Sindhu Chowdary] Sri Padmavathi Med Coll Women, Intern Gen Med, Tirupati, India</t>
  </si>
  <si>
    <t>Amalakanti, S (corresponding author), All India Inst Med Sci, Gen Med, Mangalagiri, India.</t>
  </si>
  <si>
    <t>iamimenotu@gmail.com</t>
  </si>
  <si>
    <t>AMALAKANTI, SRIDHAR/JHT-5186-2023</t>
  </si>
  <si>
    <t>e61400</t>
  </si>
  <si>
    <t>10.7759/cureus.61400</t>
  </si>
  <si>
    <t>TL7B5</t>
  </si>
  <si>
    <t>WOS:001241471500003</t>
  </si>
  <si>
    <t>Li, Y; Wang, M; Wang, L; Cao, Y; Liu, YY; Zhao, Y; Yuan, R; Yang, MM; Lu, SQ; Sun, ZC; Zhou, FH; Qian, ZR; Kang, HJ</t>
  </si>
  <si>
    <t>Li, Yun; Wang, Min; Wang, Lu; Cao, Yuan; Liu, Yuyan; Zhao, Yan; Yuan, Rui; Yang, Mengmeng; Lu, Siqian; Sun, Zhichao; Zhou, Feihu; Qian, Zhirong; Kang, Hongjun</t>
  </si>
  <si>
    <t>Advances in the Application of AI Robots in Critical Care: Scoping Review</t>
  </si>
  <si>
    <t>critical care medicine; artificial intelligence; AI; robotics; intensive care unit; ICU</t>
  </si>
  <si>
    <t>DRUG-DELIVERY SYSTEM; ARTIFICIAL-INTELLIGENCE; SENSORIMOTOR DEFICITS; CRITICAL ILLNESS; ILL PATIENTS; TECHNOLOGY; ANESTHESIA; TELEMEDICINE; DESIGN; UNIT</t>
  </si>
  <si>
    <t>Background: In recent epochs, the field of critical medicine has experienced significant advancements due to the integration of artificial intelligence (AI). Specifically, AI robots have evolved from theoretical concepts to being actively implemented in clinical trials and applications. The intensive care unit (ICU), known for its reliance on a vast amount of medical information, presents a promising avenue for the deployment of robotic AI, anticipated to bring substantial improvements to patient care. Objective: This review aims to comprehensively summarize the current state of AI robots in the field of critical care by searching for previous studies, developments, and applications of AI robots related to ICU wards. In addition, it seeks to address the ethical challenges arising from their use, including concerns related to safety, patient privacy, responsibility delineation, and cost -benefit analysis. Methods: Following the scoping review framework proposed by Arksey and O'Malley and the PRISMA (Preferred Reporting Items for Systematic Reviews and Meta -Analyses) guidelines, we conducted a scoping review to delineate the breadth of research in this field of AI robots in ICU and reported the findings. The literature search was carried out on May 1, 2023, across 3 databases: PubMed, Embase, and the IEEE Xplore Digital Library. Eligible publications were initially screened based on their titles and abstracts. Publications that passed the preliminary screening underwent a comprehensive review. Various research characteristics were extracted, summarized, and analyzed from the final publications. Results: Of the 5908 publications screened, 77 (1.3%) underwent a full review. These studies collectively spanned 21 ICU robotics projects, encompassing their system development and testing, clinical trials, and approval processes. Upon an expert -reviewed classification framework, these were categorized into 5 main types: therapeutic assistance robots, nursing assistance robots, rehabilitation assistance robots, telepresence robots, and logistics and disinfection robots. Most of these are already widely deployed and commercialized in ICUs, although a select few remain under testing. All robotic systems and tools are engineered to deliver more personalized, convenient, and intelligent medical services to patients in the ICU, concurrently aiming to reduce the substantial workload on ICU medical staff and promote therapeutic and care procedures. This review further explored the prevailing challenges, particularly focusing on ethical and safety concerns, proposing viable solutions or methodologies, and illustrating the prospective capabilities and potential of AI -driven robotic technologies in the ICU environment. Ultimately, we foresee a pivotal role for robots in a future scenario of a fully automated continuum from admission to discharge within the ICU. Conclusions: This review highlights the potential of AI robots to transform ICU care by improving patient treatment, support, and rehabilitation processes. However, it also recognizes the ethical complexities and operational challenges that come with their implementation, offering possible solutions for future development and optimization.</t>
  </si>
  <si>
    <t>[Li, Yun; Wang, Min; Wang, Lu; Liu, Yuyan; Yuan, Rui] Med Sch Chinese PLA, Beijing, Peoples R China; [Li, Yun; Wang, Min; Wang, Lu; Liu, Yuyan; Zhao, Yan; Yuan, Rui; Yang, Mengmeng; Zhou, Feihu; Kang, Hongjun] Chinese Peoples Liberat Army Gen Hosp, Med Ctr 1, Dept Biotherapeut, 28 Fuxing Rd, Beijing 100853, Peoples R China; [Cao, Yuan] Hebei Med Univ, Hosp 2, Shijiazhuang, Hebei, Peoples R China; [Lu, Siqian; Sun, Zhichao; Qian, Zhirong] Beidou Acad &amp; Res Ctr, Beidou Life Sci, Guangzhou, Peoples R China; [Qian, Zhirong] Fujian Med Univ, Union Hosp, Dept Radiat Oncol, Fuzhou, Fujian, Peoples R China; [Qian, Zhirong] Sun Yat Sen Univ, Affiliated Hosp 7, Shenzhen, Peoples R China</t>
  </si>
  <si>
    <t>Chinese People's Liberation Army General Hospital; Chinese People's Liberation Army General Hospital; Hebei Medical University; Fujian Medical University; Sun Yat Sen University</t>
  </si>
  <si>
    <t>Kang, HJ (corresponding author), Chinese Peoples Liberat Army Gen Hosp, Med Ctr 1, Dept Biotherapeut, 28 Fuxing Rd, Beijing 100853, Peoples R China.</t>
  </si>
  <si>
    <t>doctorkang301@163.com</t>
  </si>
  <si>
    <t>Yang, Mengmeng/AAV-5795-2021; Wang, Lu/HJY-9131-2023; Wang, Min/JGL-8741-2023</t>
  </si>
  <si>
    <t>Li, Yun/0000-0001-9648-3948; wang, min/0000-0003-1865-9113; sun, zhichao/0000-0003-0662-7480; WANG, Lu/0000-0002-8912-5496</t>
  </si>
  <si>
    <t>e54095</t>
  </si>
  <si>
    <t>10.2196/54095</t>
  </si>
  <si>
    <t>TC6C4</t>
  </si>
  <si>
    <t>WOS:001239089600001</t>
  </si>
  <si>
    <t>Wen, SS; Huang, RA; Liu, L; Zheng, Y; Yu, HG</t>
  </si>
  <si>
    <t>Wen, Shuangshuang; Huang, Ruina; Liu, Lu; Zheng, Yan; Yu, Hegao</t>
  </si>
  <si>
    <t>Robotic exoskeleton-assisted walking rehabilitation for stroke patients: a bibliometric and visual analysis</t>
  </si>
  <si>
    <t>FRONTIERS IN BIOENGINEERING AND BIOTECHNOLOGY</t>
  </si>
  <si>
    <t>robotic exoskeleton; rehabilitation; stroke; walking; bibliometric</t>
  </si>
  <si>
    <t>OF-THE-ART; GAIT REHABILITATION; ISCHEMIC-STROKE; EPIDEMIOLOGY; MULTICENTER</t>
  </si>
  <si>
    <t>Objective: This study aimed to conduct a bibliometric analysis of the literature on exoskeleton robot assisted walking rehabilitation for stroke patients in the Web of Science Core Collection over the past decade.Method: Retrieved literature on exoskeleton robot assisted gait training for stroke hemiplegic patients from the Web of Science Core Collection from 1 January 2014 to 31 January 2024. The search method was topic search, and the types of documents were article, meeting abstract, review article, early access. CiteSpace was used to analyze the search results from countries, institutions, keywords, cited references and cited authors.Result: A total of 1,349 articles were retrieved, and 1,034 were ultimately included for visualization analysis. The annual publication volume showed an upward trend, with countries, institutions, and authors from Europe and America in a leading position. The core literature was also published by authors from European and American countries. The keywords were divided into 8 clusters: # 0 soft robotic exit, # 1 robot assisted gain training, # 2 multiple scales, # 3 magnetic rheological brake, # 4 test retest reliability, # 5 electromechanical assisted training, # 6 cerebra salary, and # 7 slow gain. The early research direction focused on the development of exoskeleton robots, verifying their reliability and feasibility. Later, the focus was on the combination of exoskeleton robot with machine learning and other technologies, rehabilitation costs, and patient quality of life.Conclusion: This study provides a visual display of the research status, development trends, and research hotspots, which helps researchers in this field to grasp the research hotspots and choose future research directions.</t>
  </si>
  <si>
    <t>[Wen, Shuangshuang; Huang, Ruina; Liu, Lu; Yu, Hegao] Sun Yat Sen Univ, Affiliated Hosp 8, Shenzhen, Peoples R China; [Zheng, Yan] Shenzhen Hlth Capac Bldg &amp; Continuing Educ Ctr, Shenzhen, Peoples R China</t>
  </si>
  <si>
    <t>Sun Yat Sen University</t>
  </si>
  <si>
    <t>Yu, HG (corresponding author), Sun Yat Sen Univ, Affiliated Hosp 8, Shenzhen, Peoples R China.</t>
  </si>
  <si>
    <t>yuhg3@mail.sysu.edu.cn</t>
  </si>
  <si>
    <t>National Natural Science Foundation of China [62373346]</t>
  </si>
  <si>
    <t>The author(s) declare that financial support was received for the research, authorship, and/or publication of this article. The work was supported in part by the National Natural Science Foundation of China under Grant 62373346.</t>
  </si>
  <si>
    <t>2296-4185</t>
  </si>
  <si>
    <t>FRONT BIOENG BIOTECH</t>
  </si>
  <si>
    <t>Front. Bioeng. Biotechnol.</t>
  </si>
  <si>
    <t>MAY 17</t>
  </si>
  <si>
    <t>10.3389/fbioe.2024.1391322</t>
  </si>
  <si>
    <t>SN9U4</t>
  </si>
  <si>
    <t>WOS:001235256900001</t>
  </si>
  <si>
    <t>Nepomuceno, P; Souza, WH; Pakosh, M; Musselman, KE; Craven, BC</t>
  </si>
  <si>
    <t>Nepomuceno, Patrik; Souza, Wagner H.; Pakosh, Maureen; Musselman, Kristin E.; Craven, B. Catharine</t>
  </si>
  <si>
    <t>Exoskeleton-based exercises for overground gait and balance rehabilitation in spinal cord injury: a systematic review of dose and dosage parameters</t>
  </si>
  <si>
    <t>Exoskeleton; Gait; Neurorehabilitation; Overground training; Posture; Spinal cord injury</t>
  </si>
  <si>
    <t>WEARABLE ROBOTIC EXOSKELETON; POWERED EXOSKELETON; BODY-COMPOSITION; ASSISTED WALKING; RESTORATION; INDIVIDUALS; DEVICES; ABILITY; PEOPLE; ADULTS</t>
  </si>
  <si>
    <t>Background Exoskeletons are increasingly applied during overground gait and balance rehabilitation following neurological impairment, although optimal parameters for specific indications are yet to be established.Objective This systematic review aimed to identify dose and dosage of exoskeleton-based therapy protocols for overground locomotor training in spinal cord injury/disease.Methods A systematic review was conducted in accordance with the Preferred Reporting Items Systematic Reviews and Meta-Analyses guidelines. A literature search was performed using the CINAHL Complete, Embase, Emcare Nursing, Medline ALL, and Web of Science databases. Studies in adults with subacute and/or chronic spinal cord injury/disease were included if they reported (1) dose (e.g., single session duration and total number of sessions) and dosage (e.g., frequency of sessions/week and total duration of intervention) parameters, and (2) at least one gait and/or balance outcome measure.Results Of 2,108 studies identified, after removing duplicates and filtering for inclusion, 19 were selected and dose, dosage and efficacy were abstracted. Data revealed a great heterogeneity in dose, dosage, and indications, with overall recommendation of 60-min sessions delivered 3 times a week, for 9 weeks in 27 sessions. Specific protocols were also identified for functional restoration (60-min, 3 times a week, for 8 weeks/24 sessions) and cardiorespiratory rehabilitation (60-min, 3 times a week, for 12 weeks/36 sessions).Conclusion This review provides evidence-based best practice recommendations for overground exoskeleton training among individuals with spinal cord injury/disease based on individual therapeutic goals - functional restoration or cardiorespiratory rehabilitation. There is a need for structured exoskeleton clinical translation studies based on standardized methods and common therapeutic outcomes.</t>
  </si>
  <si>
    <t>[Nepomuceno, Patrik; Souza, Wagner H.; Pakosh, Maureen; Musselman, Kristin E.; Craven, B. Catharine] Univ Hlth Network, KITE Res Inst, Toronto, ON, Canada; [Nepomuceno, Patrik] Univ Santa Cruz Do Sul, Dept Hlth Sci, Grad Program Hlth Promot, Santa Cruz Do Sul, RS, Brazil; [Musselman, Kristin E.] Univ Toronto, Temerty Fac Med, Dept Phys Therapy, Toronto, ON, Canada; [Craven, B. Catharine] Univ Toronto, Temerty Fac Med, Dept Med, Toronto, ON, Canada; [Nepomuceno, Patrik; Craven, B. Catharine] Univ Toronto, Inst Hlth Policy Management &amp; Evaluat, Toronto, ON, Canada; [Musselman, Kristin E.; Craven, B. Catharine] Univ Toronto, Rehabil Sci Inst, Temerty Fac Med, Toronto, ON, Canada</t>
  </si>
  <si>
    <t>University of Toronto; University Health Network Toronto; Toronto Rehabilitation Institute; Universidade de Santa Cruz do Sul; University of Toronto; University of Toronto; University of Toronto; University of Toronto</t>
  </si>
  <si>
    <t>Craven, BC (corresponding author), Univ Hlth Network, KITE Res Inst, Toronto, ON, Canada.;Craven, BC (corresponding author), Univ Toronto, Temerty Fac Med, Dept Med, Toronto, ON, Canada.;Craven, BC (corresponding author), Univ Toronto, Inst Hlth Policy Management &amp; Evaluat, Toronto, ON, Canada.;Craven, BC (corresponding author), Univ Toronto, Rehabil Sci Inst, Temerty Fac Med, Toronto, ON, Canada.</t>
  </si>
  <si>
    <t>cathy.craven@uhn.ca</t>
  </si>
  <si>
    <t>Craven, Beverley/D-5001-2015; Souza, Wagner/KRQ-1360-2024; Nepomuceno, Patrik/AAB-3968-2019; Pakosh, Maureen/C-8501-2015</t>
  </si>
  <si>
    <t>H. Souza, Wagner/0000-0003-3982-5475</t>
  </si>
  <si>
    <t>Emerging Leaders in the Americas Program; Government of Canada; University Health Network (UHN) Foundation and Spinal Cord Injury Ontario; UHN Foundation</t>
  </si>
  <si>
    <t>Emerging Leaders in the Americas Program; Government of Canada(CGIAR); University Health Network (UHN) Foundation and Spinal Cord Injury Ontario; UHN Foundation</t>
  </si>
  <si>
    <t>Patrik Nepomuceno acknowledges receipt of a scholarship through the Emerging Leaders in the Americas Program with the support of Global Affairs Canada and Government of Canada. Dr. Wagner H. Souza acknowledges fellowship support from the University Health Network (UHN) Foundation and Spinal Cord Injury Ontario, and inspiration from Mr. Robert MacDonald. Dr. Craven acknowledges support from the UHN Foundation for her UHN/University of Toronto Chair in SCI Rehabilitation.</t>
  </si>
  <si>
    <t>MAY 5</t>
  </si>
  <si>
    <t>10.1186/s12984-024-01365-2</t>
  </si>
  <si>
    <t>UW2G5</t>
  </si>
  <si>
    <t>WOS:001251028900001</t>
  </si>
  <si>
    <t>Basalic, EB; Roman, N; Tuchel, VI; Miclaus, RS</t>
  </si>
  <si>
    <t>Basalic, Elena Bianca; Roman, Nadinne; Tuchel, Vlad Ionut; Miclaus, Roxana Steliana</t>
  </si>
  <si>
    <t>Virtual Reality Applications for Balance Rehabilitation and Efficacy in Addressing Other Symptoms in Multiple Sclerosis-A Review</t>
  </si>
  <si>
    <t>balance; multiple sclerosis; rehabilitation; gait; quality of life; fatigue; risk fall; virtual reality</t>
  </si>
  <si>
    <t>PEOPLE; OUTCOMES</t>
  </si>
  <si>
    <t>(1) Background: Since multiple sclerosis (MS) is a neurological pathology known for its disabling effects across many domains, the introduction of virtual reality (VR) usage has been attempted, as it represents a new method of approach to rehabilitation and treatment of chronic neurological pathologies. Encouraging research has explored the use of video game consoles and VR-assisted Robot-Assisted Gait Training (RAGT) to address balance disturbances in this population. (2) Methods: The search involved two databases, Web of Science and PubMed, utilizing a selection of terms including Virtual reality, Multiple sclerosis, Balance, and Rehabilitation. Two reviewers initiated and performed the search for articles, subsequently selecting and extracting data from the studies. The PEDro scale was the tool for evaluating the quality of the articles that we introduced in our research. (3) Results: After rigorous scanning, nine articles remained eligible for our study. VR interventions, particularly compared to standard balance training, consistently improved balance in multiple sclerosis. Robotic-assisted technology with 2D VR yielded superior results in balance rehabilitation. VR interventions had varied effects on walking speed. They have shown promise in decreasing the risk of falls and improving patients' daily lives while reducing fatigue in multiple sclerosis. (4) Conclusions: VR offers comparable or superior benefits to classical exercise and no intervention for balance but does not significantly improve functional mobility. However, it shows the potential to improve quality of life and fatigue in MS patients. Investigation of VR alongside RAGT is important to be performed with larger sample sizes and comprehensive results are needed to fully understand its efficacy in MS rehabilitation.</t>
  </si>
  <si>
    <t>[Basalic, Elena Bianca; Roman, Nadinne; Tuchel, Vlad Ionut; Miclaus, Roxana Steliana] Transilvania Univ Brasov, Fac Med, Dept Fundamental Prevent &amp; Clin Disciplines, Brasov 500036, Romania; [Roman, Nadinne; Tuchel, Vlad Ionut; Miclaus, Roxana Steliana] Clin Hosp Psychiat &amp; Neurol, Neuroreahabilitat Dept, Brasov 500036, Romania</t>
  </si>
  <si>
    <t>Roman, N (corresponding author), Transilvania Univ Brasov, Fac Med, Dept Fundamental Prevent &amp; Clin Disciplines, Brasov 500036, Romania.;Roman, N (corresponding author), Clin Hosp Psychiat &amp; Neurol, Neuroreahabilitat Dept, Brasov 500036, Romania.</t>
  </si>
  <si>
    <t>elena.basalic@unitbv.ro; nadinneroman@unitbv.ro; ionut.tuchel@unitbv.ro; roxicum@unitbv.ro</t>
  </si>
  <si>
    <t>Miclaus, Roxana/0000-0003-1796-1038; Roman, Nadinne/0000-0002-4263-2589; Tuchel, Ionut Vlad/0009-0003-1531-9014</t>
  </si>
  <si>
    <t>10.3390/app14104244</t>
  </si>
  <si>
    <t>SF6M9</t>
  </si>
  <si>
    <t>WOS:001233081700001</t>
  </si>
  <si>
    <t>Diego, P; Herrero, S; Macho, E; Corral, J; Diez, M; Campa, FJ; Pinto, C</t>
  </si>
  <si>
    <t>Diego, Paul; Herrero, Saioa; Macho, Erik; Corral, Javier; Diez, Mikel; Campa, Francisco J.; Pinto, Charles</t>
  </si>
  <si>
    <t>Devices for Gait and Balance Rehabilitation: General Classification and a Narrative Review of End Effector-Based Manipulators</t>
  </si>
  <si>
    <t>rehabilitation; balance; gait; end effectors; neurological disorders; parallel manipulators</t>
  </si>
  <si>
    <t>OF-THE-ART; SPINAL-CORD-INJURY; LOWER-LIMB; STROKE PATIENTS; DIMENSIONAL SYNTHESIS; TRANSLATING EVIDENCE; CONCEPTUAL DESIGN; ROBOTIC PLATFORM; IMPROVE BALANCE; PARALLEL ROBOT</t>
  </si>
  <si>
    <t>Gait and balance have a direct impact on patients' independence and quality of life. Due to a higher life expectancy, the number of patients suffering neurological disorders has increased exponentially, with gait and balance impairments being the main side effects. In this context, the use of rehabilitation robotic devices arises as an effective and complementary tool to recover gait and balance functions. Among rehabilitation devices, end effectors present some advantages and have shown encouraging outcomes. The objective of this study is twofold: to propose a general classification of devices for gait and balance rehabilitation and to provide a review of the existing end effectors for such purposes. We classified the devices into five groups: treadmills, exoskeletons, patient-guided systems, perturbation platforms, and end effectors. Overall, 55 end effectors were identified in the literature, of which 16 were commercialized. We found a disproportionate number of end effectors capable of providing both types of rehabilitation (2/55) and those focused on either balance (21/55) or gait (32/55). The analysis of their features from a mechanical standpoint (degrees of freedom, topology, and training mode) allowed us to identify the potential of parallel manipulators as driving mechanisms of end effector devices and to suggest several future research directions.</t>
  </si>
  <si>
    <t>[Diego, Paul; Herrero, Saioa; Macho, Erik; Corral, Javier; Diez, Mikel; Campa, Francisco J.; Pinto, Charles] Univ Basque Country UPV EHU, Bilbao Sch Engn, Plaza Ingeniero Torres Quevedo 1, Bilbao 48013, Spain</t>
  </si>
  <si>
    <t>University of Basque Country</t>
  </si>
  <si>
    <t>Diego, P (corresponding author), Univ Basque Country UPV EHU, Bilbao Sch Engn, Plaza Ingeniero Torres Quevedo 1, Bilbao 48013, Spain.</t>
  </si>
  <si>
    <t>paul.diego@ehu.eus; saioa.herrero@ehu.eus; erik.macho@ehu.eus; j.corral@ehu.eus; mikel.diez@ehu.eus; fran.campa@ehu.eus; charles.pinto@ehu.eus</t>
  </si>
  <si>
    <t>Diez, Mikel/Z-6275-2019; Corral, Javier/Y-1842-2019; Herrero, Saioa/AAA-6998-2019; Diego, Paul/HLH-5972-2023; Macho, Erik/G-7495-2015; Pinto, Charles/G-9909-2015; Campa, Francisco J./I-1669-2015</t>
  </si>
  <si>
    <t>Herrero, Saioa/0000-0002-1747-729X; Diez, Mikel/0000-0002-3364-5003; Macho, Erik/0000-0002-6499-3932; Pinto, Charles/0000-0002-0630-8888; Campa, Francisco J./0000-0002-6916-9467; DIEGO MARTIN, PAUL/0000-0002-4275-9491; CORRAL SAIZ, JAVIER/0000-0002-0595-7325</t>
  </si>
  <si>
    <t>MCIN/AEI/10.13039/501100011033</t>
  </si>
  <si>
    <t>10.3390/app14104147</t>
  </si>
  <si>
    <t>SF7K8</t>
  </si>
  <si>
    <t>WOS:001233105600001</t>
  </si>
  <si>
    <t>Garcia, GF; Gonçalves, RS; Carbone, G</t>
  </si>
  <si>
    <t>Garcia, Gabriella Faina; Goncalves, Rogerio Sales; Carbone, Giuseppe</t>
  </si>
  <si>
    <t>A Review of Wrist Rehabilitation Robots and Highlights Needed for New Devices</t>
  </si>
  <si>
    <t>wrist; rehabilitation; robotics; review; artificial intelligence</t>
  </si>
  <si>
    <t>EXOSKELETON; DESIGN; STROKE</t>
  </si>
  <si>
    <t>Various conditions, including traffic accidents, sports injuries, and neurological disorders, can impair human wrist movements, underscoring the importance of effective rehabilitation methods. Robotic devices play a crucial role in this regard, particularly in wrist rehabilitation, given the complexity of the human wrist joint, which encompasses three degrees of freedom: flexion/extension, pronation/supination, and radial/ulnar deviation. This paper provides a comprehensive review of wrist rehabilitation devices, employing a methodological approach based on primary articles sourced from PubMed, ScienceDirect, Scopus, and IEEE, using the keywords wrist rehabilitation robot from 2007 onwards. The findings highlight a diverse array of wrist rehabilitation devices, systematically organized in a tabular format for enhanced comprehension. Serving as a valuable resource for researchers, this paper enables comparative analyses of robotic wrist rehabilitation devices across various attributes, offering insights into future advancements. Particularly noteworthy is the integration of serious games with simplified wrist rehabilitation devices, signaling a promising avenue for enhancing rehabilitation outcomes. These insights lay the groundwork for the development of new robotic wrist rehabilitation devices or to make improvements to existing prototypes incorporating a forward-looking approach to improve rehabilitation outcomes.</t>
  </si>
  <si>
    <t>[Garcia, Gabriella Faina; Goncalves, Rogerio Sales] Univ Fed Uberlandia, Fac Mech Engn, BR-38400902 Uberlandia, Brazil; [Carbone, Giuseppe] Univ Calabria, Dept Mech Engn Energy &amp; Management, I-87036 Calabria, Italy</t>
  </si>
  <si>
    <t>Universidade Federal de Uberlandia; University of Calabria</t>
  </si>
  <si>
    <t>Gonçalves, RS (corresponding author), Univ Fed Uberlandia, Fac Mech Engn, BR-38400902 Uberlandia, Brazil.</t>
  </si>
  <si>
    <t>gabriella.garcia@ufu.br; rsgoncalves@ufu.br; giuseppe.carbone@unical.it</t>
  </si>
  <si>
    <t>Carbone, Giuseppe/J-5846-2012</t>
  </si>
  <si>
    <t>Carbone, Giuseppe/0000-0003-0831-8358; Goncalves, Rogerio/0000-0002-1378-0363</t>
  </si>
  <si>
    <t>Coordenao de Aperfeioamento de Pessoal de Nvel Superior-Brasil (CAPES)</t>
  </si>
  <si>
    <t>Coordenao de Aperfeioamento de Pessoal de Nvel Superior-Brasil (CAPES)(Coordenacao de Aperfeicoamento de Pessoal de Nivel Superior (CAPES))</t>
  </si>
  <si>
    <t>10.3390/machines12050315</t>
  </si>
  <si>
    <t>SE5Q5</t>
  </si>
  <si>
    <t>WOS:001232799100001</t>
  </si>
  <si>
    <t>Lu, ZX; Zhang, J; Yao, LG; Chen, JS; Luo, HB</t>
  </si>
  <si>
    <t>Lu Zongxing; Zhang Jie; Yao Ligang; Chen Jinshui; Luo Hongbin</t>
  </si>
  <si>
    <t>The HumanMachine Interaction Methods and Strategies for Upper and Lower Extremity Rehabilitation Robots: A Review</t>
  </si>
  <si>
    <t>IEEE SENSORS JOURNAL</t>
  </si>
  <si>
    <t>Control strategies; human intention recognition; human-machine interaction (HMI); rehabilitation robot; sensing methods</t>
  </si>
  <si>
    <t>BRAIN-COMPUTER INTERFACE; SLIDING MODE CONTROL; GESTURE RECOGNITION; PARALLEL ROBOT; ANKLE; STROKE; LIMB; ELECTROMYOGRAPHY; CLASSIFICATION; EXOSKELETON</t>
  </si>
  <si>
    <t>The development of intelligent rehabilitation robots has greatly reduced the workload of rehabilitation physicians. Human-machine interaction (HMI) control methods are a critical technology for intelligent rehabilitation robots. Therefore, we systematically review the HMI methods and control strategies for upper and lower limb rehabilitation robots and summarizing the HMI methods with different sensors. The integration of rehabilitation robots and HMI control methods has grown significantly in recent years. For this reason, this article takes the sensing methods as the entry point to give readers a quick overview of the current status of HMI research. We present different sensing methods, interactive control strategies, applications, and evaluation methods and discuss the limitations and future development directions in the field. The results show that the mainstream control methods of HMI are based on motion signals, surface electromyography (sEMG), ultrasound (US), and electroencephalogram (EEG). In the field of rehabilitation robotics, human intention recognition-based interaction strategy is the mainstream HMI strategy, which mainly collects biosignals, force/moment, spatial angle, and other information for human intention recognition. Future research may focus on the use of multimodal sensing interactions, flexible control strategies, and generalized rehabilitation assessment mechanism.</t>
  </si>
  <si>
    <t>[Lu Zongxing; Zhang Jie; Yao Ligang] Fuzhou Univ, Sch Mech Engn &amp; Automat, Fuzhou 350108, Peoples R China; [Chen Jinshui] Fujian Med Univ, Fuzong Clin Med Coll, Dept Orthoped, 900th Hosp Joint Logist Team, Fuzhou 350025, Peoples R China; [Luo Hongbin] Fujian Med Univ, Affiliated Hosp 1, Fuzhou 350005, Peoples R China</t>
  </si>
  <si>
    <t>Fuzhou University; Fujian Medical University; Fujian Medical University</t>
  </si>
  <si>
    <t>Lu, ZX (corresponding author), Fuzhou Univ, Sch Mech Engn &amp; Automat, Fuzhou 350108, Peoples R China.</t>
  </si>
  <si>
    <t>luzongxing@fzu.edu.cn; zhangjiefzu@sina.com; ylgyao@fzu.edu.cn; cjswater@qq.com; robin1752@fjmu.edu.cn</t>
  </si>
  <si>
    <t>Lu, Zongxing/ACG-6489-2022; 罗, 洪斌/GSN-6738-2022</t>
  </si>
  <si>
    <t>Zhang, Jie/0009-0001-9416-1491; (Lu Zongxing), lu zong xing/0000-0002-0965-1120</t>
  </si>
  <si>
    <t>National Natural Science Foundation of China [61801122]; Natural Science Foundation of Fujian Province [2022J01542]</t>
  </si>
  <si>
    <t>National Natural Science Foundation of China(National Natural Science Foundation of China (NSFC)); Natural Science Foundation of Fujian Province(Natural Science Foundation of Fujian Province)</t>
  </si>
  <si>
    <t>This work was supported in part by the National Natural Science Foundation of China under Grant 61801122 and in part by the Natural Science Foundation of Fujian Province under Grant 2022J01542.</t>
  </si>
  <si>
    <t>1530-437X</t>
  </si>
  <si>
    <t>1558-1748</t>
  </si>
  <si>
    <t>IEEE SENS J</t>
  </si>
  <si>
    <t>IEEE Sens. J.</t>
  </si>
  <si>
    <t>MAY 1</t>
  </si>
  <si>
    <t>10.1109/JSEN.2024.3374344</t>
  </si>
  <si>
    <t>Engineering, Electrical &amp; Electronic; Instruments &amp; Instrumentation; Physics, Applied</t>
  </si>
  <si>
    <t>Engineering; Instruments &amp; Instrumentation; Physics</t>
  </si>
  <si>
    <t>QG2D9</t>
  </si>
  <si>
    <t>WOS:001219652600009</t>
  </si>
  <si>
    <t>Ray, S; Tawar, S; Singh, N; Singh, G</t>
  </si>
  <si>
    <t>Ray, Sougat; Tawar, Shabeena; Singh, Neha; Singh, Gurpreet</t>
  </si>
  <si>
    <t>Transition toward Technological Transformation: Challenges of Implementing Virtual Reality and Augmented Reality in the Health Sector</t>
  </si>
  <si>
    <t>JOURNAL OF MARINE MEDICAL SOCIETY</t>
  </si>
  <si>
    <t>Augmented reality; challenges; cost effectiveness; cyber security; ethical; health care; virtual reality</t>
  </si>
  <si>
    <t>ETHICAL-ISSUES</t>
  </si>
  <si>
    <t>Background: Metaverse, the disruptive digital technology, has demonstrated significant effectiveness in the fields of preventive and cognitive therapy, diagnostics, surgical interventions and rehabilitation. Virtual Reality (VR), a part of Metaverse, integrates imaging data and input from users and deliver a 3D graphical output which can be visualised through a wearable headset. Augmented reality (AR) on the other hand, can control the presence of the user in the real world. Methodology: A review was undertaken of peer-reviewed literature on the emerging evidence on the applications of AR and VR in healthcare. Research studies carried out to identify effectiveness of AR and VR technologies were included. Result: AR &amp; VR have been effective in rehabilitation of patients of Autism Spectrum Disorders and Mild Cognitive Impairment by improving motor skills, social skills and various cognitive indices like task learning and attention. In the surgical field, AR head mounted device (HMD) can provide three-dimensional, patient specific anatomic information during surgery. It minimises surgical complications and improves patient satisfaction. AR is of particular interest in complicated spinal surgeries and orthopaedic manoeuvres which require high level of surgical skill. AR has also been used successfully in different types of robotic surgeries as well. In several countries AR technology have been used in basic medical and advanced surgical training. Major challenges in implementing AR and VR in the field of health care persist in the domains of cyber security, ethical issues and cost effectiveness. Conclusion: VR and AR technology can maximise patient outcomes and rapidly develop satisfactory patient management in fields of cognitive research and surgical interventions. More clinical trials with immersive digital technologies are required. Ethical and cyber security challenges are present but there are ways to overcome them. It is our duty as physicians to participate in the development of these innovations to ensure virtual health reality benefits for our patients in real-world setting.</t>
  </si>
  <si>
    <t>[Ray, Sougat] Army Coll Med Sci, Dept Community Med, New Delhi, India; [Tawar, Shabeena] Armed Forces Med Coll, Dept Community Med, Pune, Maharashtra, India; [Singh, Neha] AIIMS, Dept Community Med, New Delhi, India; [Singh, Gurpreet] Air Force Stn, Dept Community Med, New Delhi, India</t>
  </si>
  <si>
    <t>Armed Forces Medical College; All India Institute of Medical Sciences (AIIMS) New Delhi</t>
  </si>
  <si>
    <t>Ray, S (corresponding author), West Block 3, New Delhi 110066, India.</t>
  </si>
  <si>
    <t>sougatray@hotmail.com</t>
  </si>
  <si>
    <t>0975-3605</t>
  </si>
  <si>
    <t>2589-1235</t>
  </si>
  <si>
    <t>J MAR MED SOC</t>
  </si>
  <si>
    <t>J. Mar. Med. Soc.</t>
  </si>
  <si>
    <t>MAY-AUG</t>
  </si>
  <si>
    <t>10.4103/jmms.jmms_89_23</t>
  </si>
  <si>
    <t>G4Q6Q</t>
  </si>
  <si>
    <t>WOS:001316507300003</t>
  </si>
  <si>
    <t>Liu, J; Xiu, WL; Duan, GQ; Wang, B; Jiang, NN; Dong, Q; Xia, N; Lin, AQ</t>
  </si>
  <si>
    <t>Liu, Jie; Xiu, Wenli; Duan, Guangqi; Wang, Bao; Jiang, Nannan; Dong, Qian; Xia, Nan; Lin, Aiqin</t>
  </si>
  <si>
    <t>Digital medicine and minimally invasive surgery in pediatric hepatoblastoma: An update</t>
  </si>
  <si>
    <t>ASIAN JOURNAL OF SURGERY</t>
  </si>
  <si>
    <t>Hepatoblastoma; Pediatric; Children; Digital surgery; Minimally invasive</t>
  </si>
  <si>
    <t>RIGHT HEPATECTOMY; LIVER; SIMULATION; RESECTION; CHILDREN; VISUALIZATION; PROGNOSIS; SYSTEM</t>
  </si>
  <si>
    <t>Hepatoblastoma (HB) is the most common liver malignancy in children, accounting for approximately 60 % of liver tumors in this population. However, the exact cause of HB remains unclear. The combination of surgery and neoadjuvant chemotherapy has significantly improved the overall survival rate of children with HB, increasing it from 40 % in the past to over 70 %. The concept of precise hepatectomy, which aims to achieve the best rehabilitation outcomes with minimal trauma and maximum liver protection, has been widely accepted by hepatobiliary surgeons. This article provides a comprehensive review of the recent advancements in surgical treatment of HB, focusing on digital surgery and minimally invasive techniques. (c) 2024 Asian Surgical Association and Taiwan Robotic Surgery Association. Publishing services by Elsevier B.V. This is an open access article under the CC BY-NC-ND license (http://creativecommons.org/ licenses/by-nc-nd/4.0/).</t>
  </si>
  <si>
    <t>[Liu, Jie; Duan, Guangqi; Wang, Bao; Jiang, Nannan] Yijishan Hosp, Wannan Med Coll, Dept Pediat Surg, Wuhu, Peoples R China; [Liu, Jie; Lin, Aiqin] Wannan Med Coll, Dept Med Biol, Wuhu 241002, Peoples R China; [Xiu, Wenli; Dong, Qian] Qingdao Univ, Affiliated Hosp, Dept Pediat Surg, 16 Jiangsu Rd, Qingdao 266000, Shandong, Peoples R China; [Xia, Nan] Qingdao Univ, Inst Digital Med &amp; Comp Assisted Surg, 308 Ningxia Rd, Qingdao 266071, Shandong, Peoples R China; [Xia, Nan] Shandong Prov Key Lab Digital Med &amp; Comp Assisted, Qingdao, Peoples R China</t>
  </si>
  <si>
    <t>Wannan Medical College; Wannan Medical College; Qingdao University; Qingdao University</t>
  </si>
  <si>
    <t>Lin, AQ (corresponding author), Wannan Med Coll, Dept Med Biol, Wuhu 241002, Peoples R China.;Dong, Q (corresponding author), Qingdao Univ, Affiliated Hosp, Dept Pediat Surg, 16 Jiangsu Rd, Qingdao 266000, Shandong, Peoples R China.;Xia, N (corresponding author), Qingdao Univ, Inst Digital Med &amp; Comp Assisted Surg, 308 Ningxia Rd, Qingdao 266071, Shandong, Peoples R China.</t>
  </si>
  <si>
    <t>dongqianyz3@163.com; loojourney@163.com; linaiqin945@163.com</t>
  </si>
  <si>
    <t>Liu, Jie/0000-0003-3956-3209</t>
  </si>
  <si>
    <t>Anhui provincial Department of Education university research project [2023AH051763]; Talent Introduction Fund of Yijishan Hospital of Wannan Medical College [YR202203]; Scientific Research Project of Wannan Medical College [WK2022ZF08]; Applied basic research project of Science and Technology Bureau of Wuhu City [2023jc25]; AnHui Province Educational Natural Science Project [2023AH040254]</t>
  </si>
  <si>
    <t>Anhui provincial Department of Education university research project; Talent Introduction Fund of Yijishan Hospital of Wannan Medical College; Scientific Research Project of Wannan Medical College; Applied basic research project of Science and Technology Bureau of Wuhu City; AnHui Province Educational Natural Science Project</t>
  </si>
  <si>
    <t>This study was funded by the Anhui provincial Department of Education university research project (Grant No. 2023AH051763), Talent Introduction Fund of Yijishan Hospital of Wannan Medical College (Grant No. YR202203), the Scientific Research Project of Wannan Medical College (Grant No. WK2022ZF08), the Applied basic research project of Science and Technology Bureau of Wuhu City (Grant No. 2023jc25), the AnHui Province Educational Natural Science Project (Grant No. 2023AH040254). The funders had no role in the design of the study and collection, analysis, and inter- pretation of data and in writing the manuscript.</t>
  </si>
  <si>
    <t>1015-9584</t>
  </si>
  <si>
    <t>0219-3108</t>
  </si>
  <si>
    <t>ASIAN J SURG</t>
  </si>
  <si>
    <t>Asian J. Surg.</t>
  </si>
  <si>
    <t>10.1016/j.asjsur.2024.01.134</t>
  </si>
  <si>
    <t>APR 2024</t>
  </si>
  <si>
    <t>TA5K5</t>
  </si>
  <si>
    <t>WOS:001238546900001</t>
  </si>
  <si>
    <t>Xiroudakis, G; Saratsis, G; Manoutsoglou, E</t>
  </si>
  <si>
    <t>Xiroudakis, George; Saratsis, George; Manoutsoglou, Emmanouil</t>
  </si>
  <si>
    <t>The Smallest Miner of the Animal Kingdom and Its Importance for Raw Materials Exploitation</t>
  </si>
  <si>
    <t>MINING</t>
  </si>
  <si>
    <t>mining and ants; ant colony algorithms; robotic miners; ant miner</t>
  </si>
  <si>
    <t>COAL-MINE; ANTS; VENTILATION; RECLAMATION; INDICATORS; DIVERSITY; ALGORITHM; NESTS; WELL</t>
  </si>
  <si>
    <t>The mining industry is the leading supplier of raw materials in modern society. This sector of human activity has experienced a severe crisis due to the energy transition and has been revived in recent years due to the need for critical metals that are essential in the post-coal era. In underground and open pit mining, processes such as extraction, transportation, safety, underground ventilation, waste management, and rehabilitation are of major importance, and their design is critical to the economic survival of the mine. All the above processes required to operate a mine are strongly reminiscent of an example of nature's workman: the ant. The sympatric insect uses the same processes as the ones aforementioned during the creation of its nest. The ants dig to extract material from the ground, and they transport this material from the nest's site to the waste deposition location. The ants ensure the safety of the underground opening and the proper ventilation needed for them to live there for a long time. This article attempts to identify the relations between all the above processes and sub-processes, and how human mining and ant colony development correlate with each other. Furthermore, we examine how an ant colony has aided in the development of mining technology, and what more humans can learn and adopt from a miner that is 66 million years old, in order to improve their processes.</t>
  </si>
  <si>
    <t>[Xiroudakis, George; Saratsis, George; Manoutsoglou, Emmanouil] Tech Univ Crete, Sch Mineral Resources Engn, Khania 73100, Greece</t>
  </si>
  <si>
    <t>Technical University of Crete</t>
  </si>
  <si>
    <t>Xiroudakis, G (corresponding author), Tech Univ Crete, Sch Mineral Resources Engn, Khania 73100, Greece.</t>
  </si>
  <si>
    <t>gxiroudakis@tuc.gr; gsaratsis@tuc.gr; emanoutsoglou@tuc.gr</t>
  </si>
  <si>
    <t>Manoutsoglou, Emmanouil/JXX-8118-2024; Xiroudakis, George/GSE-5492-2022</t>
  </si>
  <si>
    <t>Manoutsoglou, Emmanouil/0000-0003-2464-5463</t>
  </si>
  <si>
    <t>2673-6489</t>
  </si>
  <si>
    <t>MINING-BASEL</t>
  </si>
  <si>
    <t>Mining</t>
  </si>
  <si>
    <t>APR 23</t>
  </si>
  <si>
    <t>10.3390/mining4020016</t>
  </si>
  <si>
    <t>Mining &amp; Mineral Processing</t>
  </si>
  <si>
    <t>1JY7E</t>
  </si>
  <si>
    <t>WOS:001466817600001</t>
  </si>
  <si>
    <t>Chen, SS; Zhang, WY; Wang, DY; Chen, ZM</t>
  </si>
  <si>
    <t>Chen, Shishi; Zhang, Wanying; Wang, Dingyu; Chen, Zhaoming</t>
  </si>
  <si>
    <t>How robot-assisted gait training affects gait ability, balance and kinematic parameters after stroke: a systematic review and meta-analysis</t>
  </si>
  <si>
    <t>Stroke; Walking; Gait; Meta-analysis</t>
  </si>
  <si>
    <t>WALKING; RECOVERY; REHABILITATION; POSTSTROKE; SUBACUTE; DEVICE</t>
  </si>
  <si>
    <t>INTRODUCTION: Gait ability is often cited by stroke survivors. Robot-assisted gait training (RAGT) can help stroke patients with lower limb motor impairment regain motor coordination. EVIDENCE ACQUISITION: PubMed, Cochrane Library, Embase were systematically searched until September 2023, to identify randomized controlled trials presenting: stroke survivors as participants; RAGT as intervention; conventional rehabilitation as a comparator; gait assessment, through scales or quantitative parameters, as outcome measures. EVIDENCE SYNTHESIS: Twenty-seven publications involving 1167 patients met the inclusion criteria. Meta -analysis showed no significant differences in speed, cadence, spatial symmetry, and changes in joint mobility angles between the RAGT group and the control group. In addition, RAGT was associated with changes in affected side step length (SMD=0.02, 95% CI: 0.01, 0.03; P&lt;0.0001), temporal symmetry (SMD=-0.38, 95% CI: -0.6, -0.16; P=0.0006], Six-Minute Walk Test (SMD=25.14, 95% CI: 10.19, 40.09; P=0.0010] and Functional Ambulation Categories (SMD=0.32, 95% CI: 0.01, 0.63; P=0.04). According to the PEDro scale, 19 (70.4%) studies were of high quality and eight were of moderate quality (29.6%). CONCLUSIONS: Taken together, the review synthesis showed that RAGT might have a potential role in the recovery of walking dysfunction after stroke. However, its superiority over conventional rehabilitation requires further research. Additionally, it may provide unexpected benefits that the effects of RAGT with different types or treatment protocols were further compared.</t>
  </si>
  <si>
    <t>[Chen, Shishi; Zhang, Wanying; Wang, Dingyu] Zhejiang Chinese Med Univ, Clin Med Coll 3, Hangzhou, Zhejiang, Peoples R China; [Chen, Shishi; Zhang, Wanying] Zhejiang Chinese Med Univ, Affiliated Hosp 3, Dept Rehabil, Hangzhou, Zhejiang, Peoples R China; [Chen, Zhaoming] Zhejiang Prov Peoples Hosp, Affiliated Peoples Hosp, Rehabil &amp; Sports Med Res Inst Zhejiang Prov, Hangzhou Med Coll,Ctr Rehabilitat Med,Dept Rehabil, Hangzhou 310053, Zhejiang, Peoples R China</t>
  </si>
  <si>
    <t>Zhejiang Chinese Medical University; Zhejiang Chinese Medical University; Hangzhou Medical College; Zhejiang Provincial People's Hospital</t>
  </si>
  <si>
    <t>Chen, ZM (corresponding author), Zhejiang Prov Peoples Hosp, Affiliated Peoples Hosp, Rehabil &amp; Sports Med Res Inst Zhejiang Prov, Hangzhou Med Coll,Ctr Rehabilitat Med,Dept Rehabil, Hangzhou 310053, Zhejiang, Peoples R China.</t>
  </si>
  <si>
    <t>591005167@qq.com</t>
  </si>
  <si>
    <t>Zhang, Wanying/HMO-7118-2023; Wang, Yuqing/JVZ-7185-2024</t>
  </si>
  <si>
    <t>10.23736/S1973-9087.24.08354-0</t>
  </si>
  <si>
    <t>D0E4U</t>
  </si>
  <si>
    <t>WOS:001216608000001</t>
  </si>
  <si>
    <t>Christodoulou, VN; Varvarousis, DN; Ntritsos, G; Dimopoulos, D; Giannakeas, N; Vasileiadis, GI; Korompilias, A; Ploumis, A</t>
  </si>
  <si>
    <t>Christodoulou, Vasileios N.; Varvarousis, Dimitrios N.; Ntritsos, Georgios; Dimopoulos, Dimitrios; Giannakeas, Nikolaos; Vasileiadis, Georgios I.; Korompilias, Anastasios; Ploumis, Avraam</t>
  </si>
  <si>
    <t>Robotic assisted and exoskeleton gait training effect in mental health and fatigue of multiple sclerosis patients. A systematic review and a meta-analysis</t>
  </si>
  <si>
    <t>Exoskeleton; robotic-assistive; gait training; multiple sclerosis; quality of life; fatigue; psychology</t>
  </si>
  <si>
    <t>DIAGNOSTIC-CRITERIA; SCALE; REHABILITATION; DEPRESSION; STROKE; SF-36; STATE; VALIDATION; COMPONENT; IMPACT</t>
  </si>
  <si>
    <t>PurposeRobotic and Exoskeleton Assisted Gait Training (REAGT) has become the mainstream gait training module. Studies are investigating the psychosocial effects of REAGT mostly as secondary outcomes. Our systematic review and meta-analysis aims to investigate the effects of REAGT in MS patients' mental health and fatigue.Materials and methodsWe searched the electronic databases (Scopus, PubMed, Pedro, Cochrane Trials, Dare) for RCT studies fulfilling our inclusion criteria. A meta-analysis of available assessment tools was conducted calculating the summary mean differences in two different timepoints, before and after the intervention using random-effects models.ResultsThe systematic search of the electronic databases identified 302 studies. Seven RCT studies were considered eligible for data extraction and meta-analysis, according to our eligibility criteria. We were able to obtain adequate data to proceed with a quantitative synthesis for QoL SF36-MC (Mental Component), QoL SF-36 mental and psychosocial subscales, Multiple Sclerosis Quality of Life-54-Mental Health Composite (MSQoL-54-MHC), Patient's Health Questionnaire (PHQ-9) and Fatigue Severity Scale (FSS).ConclusionsOverall, REAGT seems to have a positive effect to Quality of Life, especially in MS patients' perspective of General and Mental Health and a slight positive effect in depression as measured by PHQ-9.Implications for rehabilitationMultiple Sclerosis (MS) decreases physical and non-physical aspects of patients' quality of life perspective.Rehabilitation strategy must take into consideration the non-physical effects of a training intervention.Robotic and Exoskeleton Gait Training has a positive effect in MS patients' non-physical quality of life and a slight positive effect in depression.</t>
  </si>
  <si>
    <t>[Christodoulou, Vasileios N.; Dimopoulos, Dimitrios; Vasileiadis, Georgios I.; Ploumis, Avraam] Univ Ioannina, Dept Phys Med &amp; Rehabil PMR, POB 1186, Ioannina 45110, Greece; [Varvarousis, Dimitrios N.] Univ Ioannina, Lab Anat Histol Embryol, Ioannina, Greece; [Ntritsos, Georgios] Univ Ioannina, Dept Hyg &amp; Epidemiol, Ioannina, Greece; [Ntritsos, Georgios; Giannakeas, Nikolaos] Univ Ioannina, Dept Informat &amp; Telecommun, Ioannina, Greece; [Korompilias, Anastasios] Univ Ioannina, Dept Orthopaed, Ioannina, Greece</t>
  </si>
  <si>
    <t>University of Ioannina; University of Ioannina; University of Ioannina; University of Ioannina; University of Ioannina</t>
  </si>
  <si>
    <t>Christodoulou, VN (corresponding author), Univ Ioannina, Dept Phys Med &amp; Rehabil PMR, POB 1186, Ioannina 45110, Greece.</t>
  </si>
  <si>
    <t>v.christodoulou@uoi.gr</t>
  </si>
  <si>
    <t>Christodoulou, Vasileios/GPF-9219-2022; Giannakeas, Nikolaos/J-5603-2019</t>
  </si>
  <si>
    <t>Christodoulou (Christodoulou), Vasileios (Basileios)/0000-0002-2089-0384</t>
  </si>
  <si>
    <t>Project MEGATRON [MIS 5047227]; Operational Program Competitiveness, Entrepreneurship and Innovation (NSRF 2014-2020); European Union (European Regional Development Fund)</t>
  </si>
  <si>
    <t>Project MEGATRON; Operational Program Competitiveness, Entrepreneurship and Innovation (NSRF 2014-2020); European Union (European Regional Development Fund)(European Union (EU))</t>
  </si>
  <si>
    <t>The authors received the support of this work by the project MEGATRON (MIS 5047227) which is implemented under the Action Reinforcement of the Research and Innovation Infrastructure, funded by the Operational Program Competitiveness, Entrepreneurship and Innovation (NSRF 2014-2020) and co-financed by Greece and the European Union (European Regional Development Fund). No commercial party having a direct financial interest in the results of the research supporting this article has or will confer a benefit upon the author(s) or upon any organization with which the author(s) is/are associated.</t>
  </si>
  <si>
    <t>JAN 16</t>
  </si>
  <si>
    <t>10.1080/09638288.2024.2338197</t>
  </si>
  <si>
    <t>R1O5L</t>
  </si>
  <si>
    <t>WOS:001203835800001</t>
  </si>
  <si>
    <t>Chen, YL; Zhou, ZJ; Wu, N; Du, SY; Luan, Z; Peng, X</t>
  </si>
  <si>
    <t>Chen, Yulu; Zhou, Zijun; Wu, Nan; Du, Shiyuan; Luan, Ze; Peng, Xin</t>
  </si>
  <si>
    <t>Effectiveness of Virtual Reality-Based Interventions for Upper Limb Rehabilitation in Breast Cancer Patients: Systematic Review and Meta-Analysis</t>
  </si>
  <si>
    <t>GAMES FOR HEALTH JOURNAL</t>
  </si>
  <si>
    <t>Virtual reality; Upper limb mobility; Shoulder muscle strength; Breast cancer patients; Meta-analysis</t>
  </si>
  <si>
    <t>PAIN; THERAPY; PHYSIOTHERAPY; PREVALENCE; MANAGEMENT; SURVIVORS; STRENGTH; SURGERY; ANXIETY</t>
  </si>
  <si>
    <t>Purpose: To investigate the effectiveness of virtual reality (VR)-based interventions for functional rehabilitation of the upper limb in breast cancer patients through a systematic review and meta-analysis. Methods: The PubMed, Cochrane, Web of Science, CINAHL, Scopus, CNKI, Wanfang, and VIP databases were systematically searched for relevant literature published from the establishment of the database to June 2023. Differences in the effectiveness of VR-based interventions and other intervention therapies were compared using random effects model meta-analysis and standard deviation (SMD). Results: Seven eligible articles were identified and included in the meta-analysis. The combined analysis found that VR-based interventions had a positive impact on patients' upper limb mobility in terms of flexion (SMD = 1.33, 95% confidence interval; CI [0.48-2.19], P = 0.002), abduction (SMD = 1.22, 95% CI [0.58-1.86], P = 0.0002), and external rotation (SMD = 0.94, 95% CI [0.48-1.40], P &lt; 0.0001). In addition, VR-based interventions could significantly improve the postoperative pain of patients with breast cancer. However, in grip strength (SMD = 0.43, 95% CI [-3.05 to 3.92], P = 0.81), shoulder muscle strength in flexion strength (SMD = 0.05, 95% CI [-2.07 to 2.18], P = 0.96), abduction strength (SMD = -0.10, 95% CI [-1.32 to 1.12], P = 0.88), external rotation strength (SMD = 0.46, 95% CI [-1.96 to 2.88], P = 0.71), and lymphedema, VR was as effective as other intervention treatments. A subgroup analysis showed that patients younger than 55 years had more benefit with VR-based rehabilitation than with other interventions and showed improvements with the intervention within 2 weeks. The intervention effect of using auxiliary equipment such as robotic arms is better than VR exercise based solely on games. Conclusion: The results of meta-analysis show that the intervention measures based on VR have positive effects on the improvement of upper limb mobility and pain relief in breast cancer patients. However, considering the low quality of evidence and small sample size, more clinical studies should be conducted to improve the credibility of the results.</t>
  </si>
  <si>
    <t>[Chen, Yulu; Wu, Nan; Du, Shiyuan; Luan, Ze; Peng, Xin] Jilin Univ, Sch Nursing, Changchun, Peoples R China; [Zhou, Zijun] Jilin Prov Canc Hosp, Changchun, Peoples R China</t>
  </si>
  <si>
    <t>Jilin University</t>
  </si>
  <si>
    <t>Peng, X (corresponding author), Jilin Univ, Sch Nursing, Dept Nursing, Changchun 130000, Peoples R China.</t>
  </si>
  <si>
    <t>pengxin2016@163.com</t>
  </si>
  <si>
    <t>Wu, Nan/HZK-9183-2023; Zhou, Zijun/JBS-6942-2023</t>
  </si>
  <si>
    <t>chen, yu lu/0009-0009-3328-5966</t>
  </si>
  <si>
    <t>Jilin University Graduate Education Teaching Reform and Research Project [2021JGY32]; Jilin Province Health Technology Capability Enhancement Project [2023GL006]</t>
  </si>
  <si>
    <t>Jilin University Graduate Education Teaching Reform and Research Project; Jilin Province Health Technology Capability Enhancement Project</t>
  </si>
  <si>
    <t>Jilin University Graduate Education Teaching Reform and Research Project, project number 2021JGY32. Jilin Province Health Technology Capability Enhancement Project, Project Number 2023GL006.</t>
  </si>
  <si>
    <t>MARY ANN LIEBERT, INC</t>
  </si>
  <si>
    <t>NEW ROCHELLE</t>
  </si>
  <si>
    <t>140 HUGUENOT STREET, 3RD FL, NEW ROCHELLE, NY 10801 USA</t>
  </si>
  <si>
    <t>2161-783X</t>
  </si>
  <si>
    <t>2161-7856</t>
  </si>
  <si>
    <t>GAMES HEALTH J</t>
  </si>
  <si>
    <t>Games Health J.</t>
  </si>
  <si>
    <t>JUN 1</t>
  </si>
  <si>
    <t>10.1089/g4h.2023.0040</t>
  </si>
  <si>
    <t>Health Policy &amp; Services; Public, Environmental &amp; Occupational Health; Rehabilitation</t>
  </si>
  <si>
    <t>Health Care Sciences &amp; Services; Public, Environmental &amp; Occupational Health; Rehabilitation</t>
  </si>
  <si>
    <t>A3G7M</t>
  </si>
  <si>
    <t>WOS:001195553100001</t>
  </si>
  <si>
    <t>Calliess, T; Christen, B; Theus-Steinmann, C</t>
  </si>
  <si>
    <t>Calliess, Tilman; Christen, Bernhard; Theus-Steinmann, Carlo</t>
  </si>
  <si>
    <t>The combination of partial knee arthroplasties in knee osteoarthritis with an intact anterior cruciate ligament - a future model?</t>
  </si>
  <si>
    <t>Indication; Osteoarthritis of knee; Partial knee replacement; Robotic-assisted surgery; Unicondylar knee arthroplasty</t>
  </si>
  <si>
    <t>KINEMATICS; RETURN; REPLACEMENT; OUTCOMES; LIFE; UKA</t>
  </si>
  <si>
    <t>Background: Preserving both cruciate ligaments in knee prosthetics enables approximately physiological joint kinematics. In this way, faster rehabilitation and a higher return-to-sports rate can be achieved. Accordingly, there are considerations to preserve both cruciate ligaments by combining two partial prostheses in the case of symptomatic bicompartmental (BiCom) knee osteoarthritis. Methods: This article summarizes the literature on BiCom arthroplasty and describes our own experiences from 54 consecutive cases with robotic-assisted technology. Results: According to current data, BiCom arthroplasty shows good clinical results, without being able to demonstrate a clear advantage over conventional TKA. The revision risk is slightly increased in the short-term interval, which could be positively addressed with robotic-assistance. The disadvantages are the increased implant costs and the risk of subsequent osteoarthritis. Accordingly, patients who may potentially take advantage of this treatment must be critically selected.</t>
  </si>
  <si>
    <t>[Calliess, Tilman; Christen, Bernhard; Theus-Steinmann, Carlo] Salem Spital, Berner Prothetikzentrum, Articon Spezialpraxis Gelenkchirurgie, Schanzlistr 39, CH-3013 Bern, Switzerland</t>
  </si>
  <si>
    <t>Calliess, T (corresponding author), Salem Spital, Berner Prothetikzentrum, Articon Spezialpraxis Gelenkchirurgie, Schanzlistr 39, CH-3013 Bern, Switzerland.</t>
  </si>
  <si>
    <t>t.calliess@articon.ch</t>
  </si>
  <si>
    <t>10.1007/s00132-024-04482-x</t>
  </si>
  <si>
    <t>NX8K4</t>
  </si>
  <si>
    <t>WOS:001203841600004</t>
  </si>
  <si>
    <t>Laic, RAG; Firouzi, M; Claeys, R; Bautmans, I; Swinnen, E; Beckwée, D</t>
  </si>
  <si>
    <t>Laic, Rebeca Alejandra Gavrila; Firouzi, Mahyar; Claeys, Reinhard; Bautmans, Ivan; Swinnen, Eva; Beckwee, David</t>
  </si>
  <si>
    <t>A State-of-the-Art of Exoskeletons in Line with the WHO's Vision on Healthy Aging: From Rehabilitation of Intrinsic Capacities to Augmentation of Functional Abilities</t>
  </si>
  <si>
    <t>exoskeletons; assistive technology; older adults; healthy aging; intrinsic capacity; functional ability</t>
  </si>
  <si>
    <t>PHYSICAL-ACTIVITY; OLDER-ADULTS; GAIT; WALKING; FEASIBILITY; ASSISTANCE; EFFICIENCY; BALANCE; QUALITY; FRAILTY</t>
  </si>
  <si>
    <t>The global aging population faces significant health challenges, including an increasing vulnerability to disability due to natural aging processes. Wearable lower limb exoskeletons (LLEs) have emerged as a promising solution to enhance physical function in older individuals. This systematic review synthesizes the use of LLEs in alignment with the WHO's healthy aging vision, examining their impact on intrinsic capacities and functional abilities. We conducted a comprehensive literature search in six databases, yielding 36 relevant articles covering older adults (65+) with various health conditions, including sarcopenia, stroke, Parkinson's Disease, osteoarthritis, and more. The interventions, spanning one to forty sessions, utilized a range of LLE technologies such as Ekso (R), HAL (R), Stride Management Assist (R), Honda Walking Assist (R), Lokomat (R), Walkbot (R), Healbot (R), Keeogo Rehab (R), EX1 (R), overground wearable exoskeletons, Eksoband (R), powered ankle-foot orthoses, HAL (R) lumbar type, Human Body Posturizer (R), Gait Enhancing and Motivation System (R), soft robotic suits, and active pelvis orthoses. The findings revealed substantial positive outcomes across diverse health conditions. LLE training led to improvements in key performance indicators, such as the 10 Meter Walk Test, Five Times Sit-to-Stand test, Timed Up and Go test, and more. Additionally, enhancements were observed in gait quality, joint mobility, muscle strength, and balance. These improvements were accompanied by reductions in sedentary behavior, pain perception, muscle exertion, and metabolic cost while walking. While longer intervention durations can aid in the rehabilitation of intrinsic capacities, even the instantaneous augmentation of functional abilities can be observed in a single session. In summary, this review demonstrates consistent and significant enhancements in critical parameters across a broad spectrum of health conditions following LLE interventions in older adults. These findings underscore the potential of LLE in promoting healthy aging and enhancing the well-being of older adults.</t>
  </si>
  <si>
    <t>[Laic, Rebeca Alejandra Gavrila; Firouzi, Mahyar; Claeys, Reinhard; Swinnen, Eva; Beckwee, David] Vrije Univ Brussel, Dept Physiotherapy Human Physiol &amp; Anat, Rehabil Res, Laarbeeklaan 103, B-1090 Jette, Belgium; [Firouzi, Mahyar] Vrije Univ Brussel, Fac Psychol &amp; Educ Sci, Brain Body &amp; Cognit Res Grp, Pleinlaan 2, B-1050 Elsene, Belgium; [Firouzi, Mahyar; Claeys, Reinhard; Swinnen, Eva] Vrije Univ Brussel, Ctr Neurosci C4N, Pleinlaan 2, B-1050 Elsene, Belgium; [Firouzi, Mahyar; Claeys, Reinhard; Swinnen, Eva; Beckwee, David] Vrije Univ Brussel, Brubot Human Robot Res Ctr, Pleinlaan 2, B-1050 Elsene, Belgium; [Bautmans, Ivan; Beckwee, David] Vrije Univ Brussel, FRIA, Frailty Ageing, Laarbeeklaan 103, BE-1090 Brussels, Belgium</t>
  </si>
  <si>
    <t>Vrije Universiteit Brussel; Vrije Universiteit Brussel; Vrije Universiteit Brussel; Vrije Universiteit Brussel; Vrije Universiteit Brussel</t>
  </si>
  <si>
    <t>Swinnen, E (corresponding author), Vrije Univ Brussel, Dept Physiotherapy Human Physiol &amp; Anat, Rehabil Res, Laarbeeklaan 103, B-1090 Jette, Belgium.;Swinnen, E (corresponding author), Vrije Univ Brussel, Ctr Neurosci C4N, Pleinlaan 2, B-1050 Elsene, Belgium.;Swinnen, E (corresponding author), Vrije Univ Brussel, Brubot Human Robot Res Ctr, Pleinlaan 2, B-1050 Elsene, Belgium.</t>
  </si>
  <si>
    <t>rebecagavrila@gmail.com; mahyar.firouzi@vub.be; reinhard.claeys@vub.be; ivan.bautmans@vub.be; eva.swinnen@vub.be; david.beckwee@vub.be</t>
  </si>
  <si>
    <t>Firouzi, Mahyar/IYJ-6988-2023; Swinnen, Eva/GLS-9171-2022; Bautmans, Ivan/I-3303-2019; Bautmans, Ivan/C-3435-2014; Swinnen, Eva/H-7964-2014</t>
  </si>
  <si>
    <t>Bautmans, Ivan/0000-0002-6820-9586; Firouzi, Mahyar/0000-0002-8689-7642; Swinnen, Eva/0000-0002-3771-9479; Claeys, Reinhard/0009-0002-0300-6777</t>
  </si>
  <si>
    <t>Research Foundation-Flanders (FWO)</t>
  </si>
  <si>
    <t>Research Foundation-Flanders (FWO)(FWO)</t>
  </si>
  <si>
    <t>10.3390/s24072230</t>
  </si>
  <si>
    <t>NM3Q4</t>
  </si>
  <si>
    <t>WOS:001200834900001</t>
  </si>
  <si>
    <t>Matos, LL; Kowalski, LP; Chaves, ALF; de Oliveira, TB; Marta, GN; Curado, MP; de Castro, G Jr; Farias, TP; Bardales, GS; Cabrera, MA; Capuzzo, RD; de Carvalho, GB; Cernea, CR; Dedivitis, RA; Dias, FL; Estefan, AM; Falco, AH; Ferraris, GA; Gonzalez-Motta, A; Gouveia, AG; Jacinto, AA; Kulcsar, MAV; Leite, AK; Lira, RB; Mak, MP; De Marchi, P; de Mello, ES; de Matos, FCM; Montero, PH; de Moraes, ED; de Moraes, FY; Morais, DCR; Poenitz, FM; Poitevin, A; Riveros, HO; Sanabria, A; Ticona-Castro, M; Vartanian, JG; Viani, G; Vines, EF; William, WN Jr; Conway, D; Virani, S; Brennan, P</t>
  </si>
  <si>
    <t>Matos, Leandro Luongo; Kowalski, Luiz Paulo; Chaves, Aline Lauda Freitas; de Oliveira, Thiago Bueno; Marta, Gustavo Nader; Curado, Maria Paula; de Castro Junior, Gilberto; Farias, Terence P.; Bardales, Gustavo Sarria; Cabrera, Mario Avila; Capuzzo, Renato de Castro; de Carvalho, Genival Barbosa; Cernea, Claudio Roberto; Dedivitis, Rogerio Aparecido; Dias, Fernando Luiz; Estefan, Andres Munyo; Falco, Agustin Horacio; Ferraris, Gustavo Alberto; Gonzalez-Motta, Alejandro; Gouveia, Andre Guimaraes; Jacinto, Alexandre Arthur; Kulcsar, Marco Aurelio Vamondes; Leite, Ana Kober; Lira, Renan Bezerra; Mak, Milena Perez; De Marchi, Pedro; de Mello, Evandro Sobroza; de Matos, Fatima Cristina Mendes; Montero, Pablo H.; de Moraes, Eduardo Dias; de Moraes, Fabio Ynoe; Morais, Diego Chaves Rezende; Poenitz, Fernando Miguel; Poitevin, Adela; Riveros, Hernan Ortiz; Sanabria, Alvaro; Ticona-Castro, Miguel; Vartanian, Jose Guilherme; Viani, Gustavo; Vines, Eugenio F.; William Junior, William Nassib; Conway, David; Virani, Shama; Brennan, Paul</t>
  </si>
  <si>
    <t>HEADSpAcE Consortium</t>
  </si>
  <si>
    <t>Latin American Consensus on the Treatment of Head and Neck Cancer</t>
  </si>
  <si>
    <t>JCO GLOBAL ONCOLOGY</t>
  </si>
  <si>
    <t>SQUAMOUS-CELL-CARCINOMA; TRANSORAL ROBOTIC SURGERY; LOCALLY ADVANCED HEAD; LYMPH-NODE METASTASES; MODULATED RADIATION-THERAPY; ADVANCED LARYNGEAL-CANCER; PHASE-III TRIAL; SUPRACRICOID PARTIAL LARYNGECTOMY; THYROID-GLAND INVASION; SET-UP ERRORS</t>
  </si>
  <si>
    <t>Head and neck squamous cell carcinoma (HNSCC) is well known as a serious health problem worldwide, especially in low-income countries or those with limited resources, such as most countries in Latin America. International guidelines cannot always be applied to a population from a large region with specific conditions. This study established a Latin American guideline for care of patients with head and neck cancer and presented evidence of HNSCC management considering availability and oncologic benefit. A panel composed of 41 head and neck cancer experts systematically worked according to a modified Delphi process on (1) document compilation of evidence-based answers to different questions contextualized by resource availability and oncologic benefit regarding Latin America (region of limited resources and/or without access to all necessary health care system infrastructure), (2) revision of the answers and the classification of levels of evidence and degrees of recommendations of all recommendations, (3) validation of the consensus through two rounds of online surveys, and (4) manuscript composition. The consensus consists of 12 sections: Head and neck cancer staging, Histopathologic evaluation of head and neck cancer, Head and neck surgery-oral cavity, Clinical oncology-oral cavity, Head and neck surgery-oropharynx, Clinical oncology-oropharynx, Head and neck surgery-larynx, Head and neck surgery-larynx/hypopharynx, Clinical oncology-larynx/hypopharynx, Clinical oncology-recurrent and metastatic head and neck cancer, Head and neck surgery-reconstruction and rehabilitation, and Radiation therapy. The present consensus established 48 recommendations on HNSCC patient care considering the availability of resources and focusing on oncologic benefit. These recommendations could also be used to formulate strategies in other regions like Latin America countries. This study formulated 48 recommendations for the care of HNSCC patients, accounting for resource availability and prioritizing oncological benefits.</t>
  </si>
  <si>
    <t>[Matos, Leandro Luongo] Univ Sao Paulo Icesp HCFMUSP, Hosp Clin, Inst Canc Estado Sao Paulo, Head &amp; Neck Surg, Sao Paulo, Brazil; [Matos, Leandro Luongo] Fac Israelita Ciencias Saude Albert Einstein, Sao Paulo, Brazil; [Kowalski, Luiz Paulo] Univ Sao Paulo FMUSP, Sao Paulo, Brazil; [Chaves, Aline Lauda Freitas] DOM Oncol, Divinopolis, Brazil; [de Oliveira, Thiago Bueno] AC Camargo Canc Ctr, Head &amp; Neck Canc Reference Ctr, Sao Paulo, Brazil; [Marta, Gustavo Nader] Hosp Sirio Libanes, Dept Radiat Oncol, Sao Paulo, Brazil; [Curado, Maria Paula; de Carvalho, Genival Barbosa] A C Camargo Canc Ctr, Sao Paulo, Brazil; [de Castro Junior, Gilberto] Univ Sao Paulo Icesp HCFMUSP, Hosp Clin, Inst Canc Estado Sao Paulo, Clin Oncol, Sao Paulo, Brazil; [Farias, Terence P.] Natl Canc Inst, Rio De Janeiro, Brazil; [Bardales, Gustavo Sarria] INEN AUNA, Lima, Peru; [Cabrera, Mario Avila; Capuzzo, Renato de Castro; Jacinto, Alexandre Arthur] Barretos Canc Hosp, Barretos, Brazil; [Cernea, Claudio Roberto] Univ Sao Paulo, Sch Med, Sao Paulo, Brazil; [Dedivitis, Rogerio Aparecido] Univ Sao Paulo HCFMUSP, Hosp Clin, Sao Paulo, Brazil; [Dias, Fernando Luiz] Brazilian Natl Canc Inst, Rio De Janeiro, Brazil; [Estefan, Andres Munyo] Hosp Clin, Otorrinolaringol, Montevideu, Uruguay; [Falco, Agustin Horacio] Inst Alexander Fleming, Buenos Aires, Argentina; [Ferraris, Gustavo Alberto] Ctr Radioterapia Dean Funes, Cordoba, Argentina; [Gonzalez-Motta, Alejandro] Luis Carlos Sarmiento Angulo Canc Treatment &amp; Res, Bogota, Colombia; [Gouveia, Andre Guimaraes] McMaster Univ, Juravinski Canc Ctr, Dept Oncol, Div Radiat Oncol, Hamilton, ON, Canada; [Kulcsar, Marco Aurelio Vamondes; Leite, Ana Kober] Univ Sao Paulo Icesp HCFMUSP, Hosp Clin, Inst Canc Estado Sao Paulo, Sao Paulo, Brazil; [Lira, Renan Bezerra] AC Camargo Canc Ctr, Sao Paulo, Brazil; [Lira, Renan Bezerra] Hosp Albert Einstein, Sao Paulo, Brazil; [Mak, Milena Perez] Univ Sao Paulo HCFMUSP, Inst Canc Estado Sao Paulo, Hosp Clin, Fac Med, Sao Paulo, Brazil; [De Marchi, Pedro] Grp Oncoclin, Rio De Janeiro, Brazil; [de Mello, Evandro Sobroza] Univ Sao Paulo, Dept Pathol, Sch Med, Sao Paulo, Brazil; [de Matos, Fatima Cristina Mendes] Univ Pernambuco UPE, Recife, Brazil; [Montero, Pablo H.] Pontificia Univ Catolica Chile, Dept Surg Oncol &amp; Head &amp; Neck Surg, Div Surg, Santiago, Chile; [de Moraes, Eduardo Dias] Grp Oncoclin, Salvador, Brazil; [de Moraes, Fabio Ynoe] Queens Univ, Dept Oncol, Kingston, ON, Canada; [Morais, Diego Chaves Rezende] Oncoclin Recife &amp; Hosp Santa Agueda, Caruaru, Brazil; [Poenitz, Fernando Miguel; Poitevin, Adela] Medicasur, Mexico City, Mexico; [Riveros, Hernan Ortiz] Hosp Clin, Inst Nacl Canc, Asuncion, Paraguay; [Sanabria, Alvaro] Univ Antioquia, Hosp Alma Mater, Dept Surg, Medellin, Colombia; [Ticona-Castro, Miguel] Peruvian Soc Med Oncol SPOM Member, ESMO Member, La Molina, Peru; [Vartanian, Jose Guilherme] AC Camargo Canc Ctr, Head &amp; Neck Surg &amp; Otorhinolaryngol Dept, Sao Paulo, Brazil; [Viani, Gustavo] Univ Sao Paulo, Ribeirao Preto Med Sch, Ribeirao Preto, Brazil; [Vines, Eugenio F.] Pontificia Univ Catolica Chile, Santigo, Chile; [William Junior, William Nassib] Univ Texas MD Anderson Canc Ctr, Houston, TX USA; [Conway, David] Univ Glasgow, Glasgow, Scotland; [Virani, Shama; Brennan, Paul] Int Agcy Res Canc IARC WHO, Genom Epidemiol Branch, Lyon, France</t>
  </si>
  <si>
    <t>Universidade de Sao Paulo; Universidade de Sao Paulo; A.C.Camargo Cancer Center; Hospital Sirio Libanes; A.C.Camargo Cancer Center; Universidade de Sao Paulo; National Cancer Institute (Inca); Hospital de Cancer de Barretos; Universidade de Sao Paulo; Universidade de Sao Paulo; National Cancer Institute (Inca); McMaster University; Universidade de Sao Paulo; A.C.Camargo Cancer Center; Hospital Israelita Albert Einstein; Universidade de Sao Paulo; Universidade de Sao Paulo; Universidade de Pernambuco (UPE); Pontificia Universidad Catolica de Chile; Queens University - Canada; Universidad de Antioquia; A.C.Camargo Cancer Center; Universidade de Sao Paulo; Pontificia Universidad Catolica de Chile; University of Texas System; UTMD Anderson Cancer Center; University of Glasgow; World Health Organization; International Agency for Research on Cancer (IARC)</t>
  </si>
  <si>
    <t>Matos, LL (corresponding author), Univ Sao Paulo Icesp HCFMUSP, Hosp Clin, Inst Canc Estado Sao Paulo, Head &amp; Neck Surg, Sao Paulo, Brazil.;Matos, LL (corresponding author), Fac Israelita Ciencias Saude Albert Einstein, Sao Paulo, Brazil.</t>
  </si>
  <si>
    <t>l.matos@fm.usp.br</t>
  </si>
  <si>
    <t>Mak, Milena/J-5504-2014; Mello, Evandro/AHD-4795-2022; William, William/GRX-5352-2022; Dedivitis, Rogerio/J-2992-2014; Gouveia, Andre/KHZ-9512-2024; Marta, Gustavo/KBP-9624-2024; Leite, Ana/AAY-9678-2020; Montero-Robina, Pablo/R-5789-2019; Kulcsar, Marco Aurelio/L-8779-2013; Virani, Shama/AAX-3943-2020; JACINTO, ALEXANDRE/AFU-6817-2022; Moraes, Fabio/AAE-9645-2019; Sanabria, Alvaro/AAS-8277-2021; Chaves, Aline/NGS-0831-2025; /O-3928-2014; Matos, Leandro/B-8344-2008; de Castro Junior, Gilberto/C-1627-2013; Curado, Maria Paula/M-6200-2013</t>
  </si>
  <si>
    <t>Sarria Bardales, Gustavo/0000-0002-7459-7730; /0000-0002-3298-3684; Matos, Leandro/0000-0002-5068-8208; Matos, Fatima/0000-0002-9135-8117; de Castro Junior, Gilberto/0000-0001-8765-3044; Curado, Maria Paula/0000-0001-8172-2483; Gouveia, Andre/0000-0001-7055-3557; Gonzalez-Motta, Alejandro/0000-0003-0990-0657; Oliveira, Thiago/0000-0002-6472-3596</t>
  </si>
  <si>
    <t>European Union [825771]</t>
  </si>
  <si>
    <t>This project has received funding from the European Union's Horizon 2020 research and innovation programme under grant agreement No. 825771.</t>
  </si>
  <si>
    <t>2687-8941</t>
  </si>
  <si>
    <t>JCO GLOB ONCOL</t>
  </si>
  <si>
    <t>JCO Glob. Oncol.</t>
  </si>
  <si>
    <t>e2300343</t>
  </si>
  <si>
    <t>10.1200/GO.23.00343</t>
  </si>
  <si>
    <t>XL4F2</t>
  </si>
  <si>
    <t>WOS:001261819200008</t>
  </si>
  <si>
    <t>Rikhof, CJH; Feenstra, Y; Fleuren, JFM; Buurke, JH; Prinsen, EC; Rietman, JS; Prange-Lasonder, GB</t>
  </si>
  <si>
    <t>Rikhof, C. J. H.; Feenstra, Y.; Fleuren, J. F. M.; Buurke, J. H.; Prinsen, E. C.; Rietman, J. S.; Prange-Lasonder, G. B.</t>
  </si>
  <si>
    <t>Robot-assisted support combined with electrical stimulation for the lower extremity in stroke patients: a systematic review</t>
  </si>
  <si>
    <t>JOURNAL OF NEURAL ENGINEERING</t>
  </si>
  <si>
    <t>stroke; rehabilitation; electrical stimulation; robot</t>
  </si>
  <si>
    <t>ELECTROMECHANICAL GAIT TRAINER; SUBACUTE STROKE; FEASIBILITY; INDIVIDUALS; RECOVERY; IMPROVES; REHABILITATION; HEMIPARESIS; FES</t>
  </si>
  <si>
    <t>Objective. The incidence of stroke rising, leading to an increased demand for rehabilitation services. Literature has consistently shown that early and intensive rehabilitation is beneficial for stroke patients. Robot-assisted devices have been extensively studied in this context, as they have the potential to increase the frequency of therapy sessions and thereby the intensity. Robot-assisted systems can be combined with electrical stimulation (ES) to further enhance muscle activation and patient compliance. The objective of this study was to review the effectiveness of ES combined with all types of robot-assisted technology for lower extremity rehabilitation in stroke patients. Approach. A thorough search of peer-reviewed articles was conducted. The quality of the included studies was assessed using a modified version of the Downs and Black checklist. Relevant information regarding the interventions, devices, study populations, and more was extracted from the selected articles. Main results. A total of 26 articles were included in the review, with 23 of them scoring at least fair on the methodological quality. The analyzed devices could be categorized into two main groups: cycling combined with ES and robots combined with ES. Overall, all the studies demonstrated improvements in body function and structure, as well as activity level, as per the International Classification of Functioning, Disability, and Health model. Half of the studies in this review showed superiority of training with the combination of robot and ES over robot training alone or over conventional treatment. Significance. The combination of robot-assisted technology with ES is gaining increasing interest in stroke rehabilitation. However, the studies identified in this review present challenges in terms of comparability due to variations in outcome measures and intervention protocols. Future research should focus on actively involving and engaging patients in executing movements and strive for standardization in outcome values and intervention protocols.</t>
  </si>
  <si>
    <t>[Rikhof, C. J. H.; Fleuren, J. F. M.; Buurke, J. H.; Prinsen, E. C.; Rietman, J. S.; Prange-Lasonder, G. B.] Roessingh Res &amp; Dev, Roessinghsbleekweg 33b, NL-7522 AH Enschede, Netherlands; [Rikhof, C. J. H.; Prinsen, E. C.; Rietman, J. S.; Prange-Lasonder, G. B.] Univ Twente, Biomech Engn, Drienerlolaan 5, NL-7522 NB Enschede, Netherlands; [Feenstra, Y.; Fleuren, J. F. M.; Rietman, J. S.] Rehabil Ctr Klimmendaal, NL-7522 AH Arnhem, Netherlands; [Buurke, J. H.] Univ Twente, Biomed Signals &amp; Syst, NL-7522 NB Enschede, Netherlands</t>
  </si>
  <si>
    <t>University of Twente; University of Twente</t>
  </si>
  <si>
    <t>Rikhof, CJH (corresponding author), Roessingh Res &amp; Dev, Roessinghsbleekweg 33b, NL-7522 AH Enschede, Netherlands.;Rikhof, CJH (corresponding author), Univ Twente, Biomech Engn, Drienerlolaan 5, NL-7522 NB Enschede, Netherlands.</t>
  </si>
  <si>
    <t>c.j.h.rikhof@utwente.nl</t>
  </si>
  <si>
    <t>Rikhof, Cindy/0000-0002-6543-354X</t>
  </si>
  <si>
    <t>1741-2560</t>
  </si>
  <si>
    <t>1741-2552</t>
  </si>
  <si>
    <t>J NEURAL ENG</t>
  </si>
  <si>
    <t>J. Neural Eng.</t>
  </si>
  <si>
    <t>10.1088/1741-2552/ad377c</t>
  </si>
  <si>
    <t>Engineering, Biomedical; Neurosciences</t>
  </si>
  <si>
    <t>Engineering; Neurosciences &amp; Neurology</t>
  </si>
  <si>
    <t>MV1L6</t>
  </si>
  <si>
    <t>WOS:001196318400001</t>
  </si>
  <si>
    <t>Sánchez-Silverio, V; Abuín-Porras, V; Pedersini, P; Villafañe, JH; Leigheb, M; Rodríguez-Costa, I</t>
  </si>
  <si>
    <t>Sanchez-Silverio, Victor; Abuin-Porras, Vanesa; Pedersini, Paolo; Villafane, Jorge Hugo; Leigheb, Massimiliano; Rodriguez-Costa, Isabel</t>
  </si>
  <si>
    <t>Analysis of Motor Learning Principles Applied in Tasks or Motor Skills Trained by Stroke Patients</t>
  </si>
  <si>
    <t>TOPICS IN GERIATRIC REHABILITATION</t>
  </si>
  <si>
    <t>motor learning; motor skill; stroke; task; training</t>
  </si>
  <si>
    <t>ROBOT-ASSISTED REHABILITATION; RECOVERY; PERFORMANCE; THERAPY; PAIN; LIMB</t>
  </si>
  <si>
    <t>Objective:To analyze the principles applied to promote and evaluate motor learning in tasks or motor skills trained by stroke patients.Methods:Articles were included if they used motor learning principles in tasks or motor skills trained by stroke patients.Results:Twelve studies were included in this review. Quality was good for the included studies. Articles used motor learning principle based on practice (N = 12), repetitive training (N = 9), and feedback (N = 5).Conclusions:There are different motor learning principles to promote and evaluate motor learning in stroke patients. These findings could guide clinicians during training of tasks or motor skills.</t>
  </si>
  <si>
    <t>[Sanchez-Silverio, Victor] Pontificia Univ Catolica Madre &amp; Maestra, Sch Med, Santiago De Los Caballero, Dominican Rep; [Villafane, Jorge Hugo] Univ Europea Madrid, Fac Sport Sci, Musculoskeletal Pain &amp; Motor Control Res Grp, Villaviciosa De Odon, Spain; [Abuin-Porras, Vanesa; Villafane, Jorge Hugo] Univ Europea Madrid, Dept Physiotherapy, Fac Sport Sci, Madrid, Spain; [Abuin-Porras, Vanesa] Fdn DACER, I D I Area, Milan, Italy; [Pedersini, Paolo] IRCCS Fdn Don Carlo Gnocchi, I-20121 Milan, Italy; [Leigheb, Massimiliano] Policlin Monza Grp, San Gaudenzio Clin, Orthoped Unit, Novara, Italy; [Rodriguez-Costa, Isabel] Univ Alcala, Dept Nursing &amp; Physiotherapy, Madrid, Spain</t>
  </si>
  <si>
    <t>Pontificia Universidad Catolica Madre y Maestra; European University of Madrid; European University of Madrid; IRCCS Fondazione Don Carlo Gnocchi Onlus; Universidad de Alcala</t>
  </si>
  <si>
    <t>Pedersini, P (corresponding author), IRCCS Fdn Don Carlo Gnocchi, I-20121 Milan, Italy.</t>
  </si>
  <si>
    <t>ve.sanchez@ce.pucmm.edu.do; abuinvanesa@gmail.com; pedersini93@gmail.com; mail@villafane.it; massimiliano.leigheb@uniupo.it; isabel.rodriguezc@uah.es</t>
  </si>
  <si>
    <t>Leigheb, Massimiliano/AAK-8135-2021; Villafañe, Jorge/K-6858-2015; Pedersini, Paolo/AAA-2686-2019</t>
  </si>
  <si>
    <t>Abuin-Porras, Vanesa/0000-0002-1782-2524; Sanchez Silverio, Victor/0000-0001-8602-7842; Pedersini, Paolo/0000-0003-0224-1783</t>
  </si>
  <si>
    <t>0882-7524</t>
  </si>
  <si>
    <t>1550-2414</t>
  </si>
  <si>
    <t>TOP GERIATR REHABIL</t>
  </si>
  <si>
    <t>Top. Geriatr. Rehabil.</t>
  </si>
  <si>
    <t>APR-JUN</t>
  </si>
  <si>
    <t>10.1097/TGR.0000000000000433</t>
  </si>
  <si>
    <t>Gerontology; Rehabilitation</t>
  </si>
  <si>
    <t>Geriatrics &amp; Gerontology; Rehabilitation</t>
  </si>
  <si>
    <t>SJ8I5</t>
  </si>
  <si>
    <t>WOS:001234173800001</t>
  </si>
  <si>
    <t>Yao, YM; Shao, DQ; Tarabini, M; Moezi, SA; Li, K; Saccomandi, P</t>
  </si>
  <si>
    <t>Yao, Yumeng; Shao, Dongqing; Tarabini, Marco; Moezi, Seyed Alireza; Li, Kun; Saccomandi, Paola</t>
  </si>
  <si>
    <t>Advancements in Sensor Technologies and Control Strategies for Lower-Limb Rehabilitation Exoskeletons: A Comprehensive Review</t>
  </si>
  <si>
    <t>lower limb exoskeleton; rehabilitation exoskeleton; comprehensive review; rehabilitation robot</t>
  </si>
  <si>
    <t>CONTROL SCHEME; ORTHOSIS; ASSISTANCE; ROBOT; DESIGN; SYSTEM; FREQUENCY; MOVEMENT; PEOPLE; FUSION</t>
  </si>
  <si>
    <t>Lower-limb rehabilitation exoskeletons offer a transformative approach to enhancing recovery in patients with movement disorders affecting the lower extremities. This comprehensive systematic review delves into the literature on sensor technologies and the control strategies integrated into these exoskeletons, evaluating their capacity to address user needs and scrutinizing their structural designs regarding sensor distribution as well as control algorithms. The review examines various sensing modalities, including electromyography (EMG), force, displacement, and other innovative sensor types, employed in these devices to facilitate accurate and responsive motion control. Furthermore, the review explores the strengths and limitations of a diverse array of lower-limb rehabilitation-exoskeleton designs, highlighting areas of improvement and potential avenues for further development. In addition, the review investigates the latest control algorithms and analysis methods that have been utilized in conjunction with these sensor systems to optimize exoskeleton performance and ensure safe and effective user interactions. By building a deeper understanding of the diverse sensor technologies and monitoring systems, this review aims to contribute to the ongoing advancement of lower-limb rehabilitation exoskeletons, ultimately improving the quality of life for patients with mobility impairments.</t>
  </si>
  <si>
    <t>[Yao, Yumeng; Shao, Dongqing] Univ Shanghai Sci &amp; Technol, Sch Mech Engn, Shanghai 200093, Peoples R China; [Tarabini, Marco; Saccomandi, Paola] Politecn Milan, Dept Mech Engn, I-20133 Milan, Italy; [Moezi, Seyed Alireza] Concordia Univ, Dept Mech Ind &amp; Aerosp Engn, Montreal, PQ H3G 1M8, Canada; [Li, Kun] Coll Mech &amp; Vehicle Engn, Chongqing 400044, Peoples R China; [Li, Kun] Chongqing Univ, State Key Lab Mech Transmission Adv Equipment, Chongqing 400044, Peoples R China</t>
  </si>
  <si>
    <t>University of Shanghai for Science &amp; Technology; Polytechnic University of Milan; Concordia University - Canada; Chongqing University</t>
  </si>
  <si>
    <t>Li, K (corresponding author), Coll Mech &amp; Vehicle Engn, Chongqing 400044, Peoples R China.;Li, K (corresponding author), Chongqing Univ, State Key Lab Mech Transmission Adv Equipment, Chongqing 400044, Peoples R China.</t>
  </si>
  <si>
    <t>yu_yao@usst.edu.cn; kun.li@cqu.edu.cn</t>
  </si>
  <si>
    <t>Li, Kun/AAX-5672-2021; Yao, Yumeng/AAL-9446-2020; Saccomandi, Paola/J-5606-2018; Tarabini, Marco/D-3624-2011; Moezi, Seyed Alireza/I-5488-2013</t>
  </si>
  <si>
    <t>Yao, Yumeng/0000-0003-2105-2494; Li, Kun/0000-0001-9100-0302; Saccomandi, Paola/0000-0003-4236-8033; Tarabini, Marco/0000-0002-2640-1764; Moezi, Seyed Alireza/0000-0001-6216-7373; SHAO, DONGQING/0009-0006-2761-6157</t>
  </si>
  <si>
    <t>10.3390/mi15040489</t>
  </si>
  <si>
    <t>OX3X5</t>
  </si>
  <si>
    <t>WOS:001210548700001</t>
  </si>
  <si>
    <t>Zhang, WX; Wang, Z; Ma, K; Liu, F; Cheng, PZ; Ding, XL</t>
  </si>
  <si>
    <t>Zhang, Wuxiang; Wang, Zhi; Ma, Ke; Liu, Fei; Cheng, Pengzhi; Ding, Xilun</t>
  </si>
  <si>
    <t>State of the art in movement around a remote point: a review of remote center of motion in robotics</t>
  </si>
  <si>
    <t>FRONTIERS OF MECHANICAL ENGINEERING</t>
  </si>
  <si>
    <t>remote center of motion; mechanism; robotics; medical robot; orientation device; exoskeleton</t>
  </si>
  <si>
    <t>PARALLEL MANIPULATOR; KINEMATIC ANALYSIS; SURGICAL ROBOT; RCM MECHANISM; DESIGN; OPTIMIZATION; SURGERY; WRIST; REHABILITATION; CONTROLLER</t>
  </si>
  <si>
    <t>The concept of remote center of motion (RCM) is pivotal in a myriad of robotic applications, encompassing areas such as medical robotics, orientation devices, and exoskeletal systems. The efficacy of RCM technology is a determining factor in the success of these robotic domains. This paper offers an exhaustive review of RCM technologies, elaborating on their various methodologies and practical implementations. It delves into the unique characteristics of RCM across different degrees of freedom (DOFs), aiming to distill their fundamental principles. In addition, this paper categorizes RCM approaches into two primary classifications: design based and control based. These are further organized according to their respective DOFs, providing a concise summary of their core methodologies. Building upon the understanding of RCM's versatile capabilities, this paper then transitions to an in-depth exploration of its applications across diverse robotic fields. Concluding this review, we critically analyze the existing research challenges and issues that are inherently present in both RCM methodologies and their applications. This discussion is intended to serve as a guiding framework for future research endeavors and practical deployments in related areas.</t>
  </si>
  <si>
    <t>[Zhang, Wuxiang; Wang, Zhi; Ma, Ke; Liu, Fei; Ding, Xilun] Beihang Univ, Sch Mech Engn &amp; Automat, Beijing 100191, Peoples R China; [Zhang, Wuxiang; Ding, Xilun] Beihang Univ, Ningbo Inst Technol, Ningbo 315832, Peoples R China; [Cheng, Pengzhi] Intelligent Aerosp Mfg Engn Technol Co Ltd, Beijing 100191, Peoples R China</t>
  </si>
  <si>
    <t>Beihang University; Beihang University</t>
  </si>
  <si>
    <t>Zhang, WX (corresponding author), Beihang Univ, Sch Mech Engn &amp; Automat, Beijing 100191, Peoples R China.;Zhang, WX (corresponding author), Beihang Univ, Ningbo Inst Technol, Ningbo 315832, Peoples R China.</t>
  </si>
  <si>
    <t>zhangwuxiang@buaa.edu.cn</t>
  </si>
  <si>
    <t>National Key R&amp;D Program of China [2022YFB4701200]; Ningbo Key Projects of Science and Technology Innovation 2025 Plan of China [2022Z070]; Zhejiang Provincial Natural Science Foundation of China [LD22E050011]; Science Fund for Creative Research Groups of the National Natural Science Foundation of China [T2121003]; National Natural Science Foundation of China [52205003]</t>
  </si>
  <si>
    <t>National Key R&amp;D Program of China; Ningbo Key Projects of Science and Technology Innovation 2025 Plan of China; Zhejiang Provincial Natural Science Foundation of China(Natural Science Foundation of Zhejiang Province); Science Fund for Creative Research Groups of the National Natural Science Foundation of China(National Natural Science Foundation of China (NSFC)); National Natural Science Foundation of China(National Natural Science Foundation of China (NSFC))</t>
  </si>
  <si>
    <t>This work was supported in part by the National Key R&amp;D Program of China (Grant No. 2022YFB4701200), the Ningbo Key Projects of Science and Technology Innovation 2025 Plan of China (Grant No. 2022Z070), the Zhejiang Provincial Natural Science Foundation of China (Grant No. LD22E050011), the Science Fund for Creative Research Groups of the National Natural Science Foundation of China (Grant No. T2121003), and the National Natural Science Foundation of China (Grant No. 52205003). The authors gratefully acknowledge these supporting agencies.</t>
  </si>
  <si>
    <t>HIGHER EDUCATION PRESS</t>
  </si>
  <si>
    <t>BEIJING</t>
  </si>
  <si>
    <t>CHAOYANG DIST, 4, HUIXINDONGJIE, FUSHENG BLDG, BEIJING 100029, PEOPLES R CHINA</t>
  </si>
  <si>
    <t>2095-0233</t>
  </si>
  <si>
    <t>2095-0241</t>
  </si>
  <si>
    <t>FRONT MECH ENG-PRC</t>
  </si>
  <si>
    <t>Front. Mech. Eng.</t>
  </si>
  <si>
    <t>10.1007/s11465-024-0785-3</t>
  </si>
  <si>
    <t>SR7L4</t>
  </si>
  <si>
    <t>WOS:001236241700005</t>
  </si>
  <si>
    <t>Phadke, V; Sharma, R; Sharma, N; Mitra, S</t>
  </si>
  <si>
    <t>Phadke, Vandana; Sharma, Ridhi; Sharma, Navita; Mitra, Shambhovi</t>
  </si>
  <si>
    <t>Global Research Trends on Gait Rehabilitation in Individuals With Spinal Cord Injury- A Bibliometric Analysis</t>
  </si>
  <si>
    <t>GLOBAL SPINE JOURNAL</t>
  </si>
  <si>
    <t>spinal cord injury; gait; rehabilitation; bibliometrics; research trends</t>
  </si>
  <si>
    <t>WALKING; EPIDEMIOLOGY; TOOL</t>
  </si>
  <si>
    <t>Study Design Bibliometric analysis.Objective The study aims to comprehensively assess the literature related to gait rehabilitation for individuals with spinal cord injury (SCI) to identify significant contributors, and to explore the collaborations and emerging themes in the field.Methods Original and review articles in English using relevant keywords were searched in the Clarivate Web of Science database. The data from the selected articles were imported into R software. Bibliometric indicators were assessed to determine author contributions, country affiliations, journal sources, and thematic trends.Results A total of 1313 relevant articles were identified. The USA, followed by Canada and Switzerland were the most prolific countries contributing to gait rehabilitation research in SCI. The most relevant journals were Spinal Cord, Archives of Physical Medicine and Rehabilitation, Journal of Spinal Cord Medicine, Journal of NeuroEngineering, and Journal of Neurotrauma. The highest contributions came from Northwestern University, the University of Miami, and the University of Alberta. The analysis revealed an increase in research interest in gait rehabilitation after 2000, with a focus on interdisciplinary approaches and emerging technologies like robotics, exoskeletons, and neuromodulation.Conclusion The analysis demonstrates the importance of collaborative and interdisciplinary research in gait rehabilitation. The results indicate a shift in research focus from traditional methods to the integration of technology. The impact of publications from the USA and Europe is a notable finding. The study highlights the growth of articles related to technology-driven approaches and understanding neuroplasticity in gait rehabilitation.</t>
  </si>
  <si>
    <t>[Phadke, Vandana; Sharma, Ridhi; Sharma, Navita] Indian Spinal Injuries Ctr, Res Dept, New Delhi, India; [Mitra, Shambhovi] Indian Spinal Injuries Ctr, New Delhi, India; [Mitra, Shambhovi] Indian Spinal Injuries Ctr, Sect C, New Delhi 110070, India</t>
  </si>
  <si>
    <t>Mitra, S (corresponding author), Indian Spinal Injuries Ctr, Sect C, New Delhi 110070, India.</t>
  </si>
  <si>
    <t>shams.physio@gmail.com</t>
  </si>
  <si>
    <t>Phadke, Vandana/G-9060-2012</t>
  </si>
  <si>
    <t>mitra, shambhovi/0000-0002-2359-699X</t>
  </si>
  <si>
    <t>2192-5682</t>
  </si>
  <si>
    <t>2192-5690</t>
  </si>
  <si>
    <t>GLOB SPINE J</t>
  </si>
  <si>
    <t>Glob. Spine J.</t>
  </si>
  <si>
    <t>10.1177/21925682241243074</t>
  </si>
  <si>
    <t>Clinical Neurology; Orthopedics</t>
  </si>
  <si>
    <t>Neurosciences &amp; Neurology; Orthopedics</t>
  </si>
  <si>
    <t>L0Y9R</t>
  </si>
  <si>
    <t>WOS:001193713800001</t>
  </si>
  <si>
    <t>Jiryaei, Z; Jafarpisheh, AS</t>
  </si>
  <si>
    <t>Jiryaei, Zahra; Jafarpisheh, Amir Salar</t>
  </si>
  <si>
    <t>The usefulness of assistive soft robotics in the rehabilitation of patients with hand impairment: A systematic review</t>
  </si>
  <si>
    <t>JOURNAL OF BODYWORK AND MOVEMENT THERAPIES</t>
  </si>
  <si>
    <t>Disability; Orthosis; Exoskeleton; Hand; Function; Grip</t>
  </si>
  <si>
    <t>GLOVE; EXOSKELETON; FEASIBILITY</t>
  </si>
  <si>
    <t>Introduction: Loss of hand function causes severe limitations in activity in daily living. The hand-soft robot is one of the methods that has recently been growing to increase the patient's independence. The purpose of the present systematic review was to provide a classification, a comparison, and a design overview of mechanisms and the efficacy of the soft hand robots to help researchers approach this field. Methods: The literature research regarding such tools was conducted in PubMed, Google Scholar, Science Direct, and Cochrane Central Register for Controlled Trials. We included peer-reviewed studies that considered a soft robot glove as an assistive device to provide function. The two investigators screened the titles and abstracts, then independently reviewed the full-text articles. Disagreements about inclusion were resolved by consensus or a third reviewer. Results: A total of 15 articles were identified, describing 210 participants (23 healthy subjects). The tools were in three categories according to their actuation type (pneumatic system, cable-driven, another design). The most critical outcomes in studies included functional tasks (fourteen studies), grip strength (four studies), range of motion (ROM) (five studies), and user satisfaction (five studies). Discussion: Function and grip parameters are the most common critical parameters for tests of hand robots. Cabledriven transmission and soft pneumatic actuators are the most common choices for the actuation unit. Radder et al. study had the highest grade from other studies. That was the only RCT among studies. Conclusion: Although few soft robotic gloves can be considered ready to reach the market, it seems these tools have the potential to be practical for people with a disability. But, we lack consistent evidence of comparing two or more soft robot gloves on the hand functions. Future research needs to assess the effect of soft robotic gloves on people with hand disorders with more populations.</t>
  </si>
  <si>
    <t>[Jiryaei, Zahra] Iran Univ Med Sci, Rehabil Res Ctr, Sch Rehabil Sci, Dept Orthot &amp; Prosthet, Tehran, Iran; [Jafarpisheh, Amir Salar] Univ Social Welf &amp; Rehabil Sci, Dept Ergon, Tehran, Iran</t>
  </si>
  <si>
    <t>Iran University of Medical Sciences</t>
  </si>
  <si>
    <t>Jafarpisheh, AS (corresponding author), Univ Social Welf &amp; Rehabil Sci, Dept Ergon, Tehran, Iran.</t>
  </si>
  <si>
    <t>am.jafarpisheh@uswr.ac.ir</t>
  </si>
  <si>
    <t>Jafarpisheh, Amir Salar/0000-0002-1616-0928</t>
  </si>
  <si>
    <t>1360-8592</t>
  </si>
  <si>
    <t>1532-9283</t>
  </si>
  <si>
    <t>J BODYW MOV THER</t>
  </si>
  <si>
    <t>J. Bodyw. Mov. Ther.</t>
  </si>
  <si>
    <t>10.1016/j.jbmt.2024.02.025</t>
  </si>
  <si>
    <t>QB4F2</t>
  </si>
  <si>
    <t>WOS:001218400000001</t>
  </si>
  <si>
    <t>Chen, ZX; Renda, F; Le Gall, A; Mocellin, L; Bernabei, M; Dangel, T; Ciuti, G; Cianchetti, M; Stefanini, C</t>
  </si>
  <si>
    <t>Chen, Zixi; Renda, Federico; Le Gall, Alexia; Mocellin, Lorenzo; Bernabei, Matteo; Dangel, Theo; Ciuti, Gastone; Cianchetti, Matteo; Stefanini, Cesare</t>
  </si>
  <si>
    <t>Data-Driven Methods Applied to Soft Robot Modeling and Control: A Review</t>
  </si>
  <si>
    <t>IEEE TRANSACTIONS ON AUTOMATION SCIENCE AND ENGINEERING</t>
  </si>
  <si>
    <t>Soft robot; data-driven method; physical model; Jacobian matrix; statistical model; neural network; reinforcement learning</t>
  </si>
  <si>
    <t>LOOP DYNAMIC CONTROL; CONTINUUM MANIPULATORS; KINEMATIC CONTROL; LEARNING CONTROL; NEURAL-NETWORK; ARM; POSITION; TENDON</t>
  </si>
  <si>
    <t>Soft robots show compliance and have infinite degrees of freedom. Thanks to these properties, such robots can be leveraged for surgery, rehabilitation, biomimetics, unstructured environment exploring, and industrial grippers. In this case, they attract scholars from a variety of areas. However, nonlinearity and hysteresis effects also bring a burden to robot modeling. Moreover, following their flexibility and adaptation, soft robot control is more challenging than rigid robot control. In order to model and control soft robots, a large number of data-driven methods are utilized in pairs or separately. This review first briefly introduces two foundations for data-driven approaches, which are physical models and the Jacobian matrix, then summarizes three kinds of data-driven approaches, which are statistical method, neural network, and reinforcement learning. This review compares the modeling and controller features, e.g., model dynamics, data requirement, and target task, within and among these categories. Finally, we summarize the features of each method. A discussion about the advantages and limitations of the existing modeling and control approaches is presented, and we forecast the future of data-driven approaches in soft robots. A website (https://sites.google.com/view/23zcb) is built for this review and will be updated frequently. Note to Practitioners-This work is motivated by the need for a review introducing soft robot modeling and control methods in parallel. Modeling and control play significant roles in robot research, and they are challenging especially for soft robots. The nonlinear and complex deformation of such robots necessitates specific modeling and control approaches. We introduce the state-of-the-art data-driven methods and survey three approaches widely utilized. This review also compares the performance of these methods, considering some important features like data amount requirement, control frequency, and target task. The features of each approach are summarized, and we discuss the possible future of this area.</t>
  </si>
  <si>
    <t>[Chen, Zixi; Le Gall, Alexia; Mocellin, Lorenzo; Bernabei, Matteo; Dangel, Theo; Ciuti, Gastone; Cianchetti, Matteo; Stefanini, Cesare] Scuola Super Sant Anna, BioRobot Inst, I-56127 Pisa, Italy; [Chen, Zixi; Le Gall, Alexia; Mocellin, Lorenzo; Bernabei, Matteo; Dangel, Theo; Ciuti, Gastone; Cianchetti, Matteo; Stefanini, Cesare] Scuola Super Sant Anna, Dept Excellence Robot &amp; AI, I-56127 Pisa, Italy; [Renda, Federico] Khalifa Univ, Ctr Autonomous Robot Syst, Abu Dhabi, U Arab Emirates</t>
  </si>
  <si>
    <t>Scuola Superiore Sant'Anna; Scuola Superiore Sant'Anna; Khalifa University of Science &amp; Technology</t>
  </si>
  <si>
    <t>Chen, ZX (corresponding author), Scuola Super Sant Anna, BioRobot Inst, I-56127 Pisa, Italy.;Chen, ZX (corresponding author), Scuola Super Sant Anna, Dept Excellence Robot &amp; AI, I-56127 Pisa, Italy.</t>
  </si>
  <si>
    <t>zixi.chen@santannapisa.it; federico.renda@ku.ac.ae; alexiamarie.legall@santannapisa.it; lorenzo.mocellin@santannapisa.it; matteo.bernabei@santannapisa.it; theo.dangel@santannapisa.it; gastone.ciuti@santannapisa.it; matteo.cianchetti@santannapisa.it; cesare.stefanini@santannapisa.it</t>
  </si>
  <si>
    <t>Renda, Federico/AAC-8381-2019; Chen, Zixi/HLX-3001-2023; Cianchetti, Matteo/N-1584-2019; Cianchetti, Matteo/C-8480-2012; CIUTI, Gastone/T-6377-2018</t>
  </si>
  <si>
    <t>Renda, Federico/0000-0002-1833-9809; Cianchetti, Matteo/0000-0002-9016-8039; Mocellin, Lorenzo/0000-0002-4750-8376; Chen, Zixi/0000-0002-2839-924X; Bernabei, Matteo/0009-0004-1807-6895; CIUTI, Gastone/0000-0002-0855-7976</t>
  </si>
  <si>
    <t>European Union (EU) by the Next Generation EU Project Ecosistema dell'Innovazione Tuscany Health Ecosystem [Tuscany Health Ecosystem (THE), Piano Nazionale di Ripresa e Resilienza (PNRR), Spoke 4: Spoke 9: Robotics and Automation for Health] [ECS00000017]; U.S. Office of Naval Research Global [N62909-21-1-2033]; Khalifa University [RC1-2018-KUCARS]</t>
  </si>
  <si>
    <t>European Union (EU) by the Next Generation EU Project Ecosistema dell'Innovazione Tuscany Health Ecosystem [Tuscany Health Ecosystem (THE), Piano Nazionale di Ripresa e Resilienza (PNRR), Spoke 4: Spoke 9: Robotics and Automation for Health]; U.S. Office of Naval Research Global(United States Department of DefenseUnited States NavyOffice of Naval Research); Khalifa University(Khalifa University of Science &amp; Technology)</t>
  </si>
  <si>
    <t>This work was supported in part by European Union (EU) by the Next Generation EU Project Ecosistema dell'Innovazione Tuscany Health Ecosystem [Tuscany Health Ecosystem (THE), Piano Nazionale di Ripresa e Resilienza (PNRR), Spoke 4: Spoke 9: Robotics and Automation for Health] under Grant ECS00000017; in part by U.S. Office of Naval Research Global under Grant N62909-21-1-2033; and in part by Khalifa University under Grant RC1-2018-KUCARS.</t>
  </si>
  <si>
    <t>1545-5955</t>
  </si>
  <si>
    <t>1558-3783</t>
  </si>
  <si>
    <t>IEEE T AUTOM SCI ENG</t>
  </si>
  <si>
    <t>IEEE Trans. Autom. Sci. Eng.</t>
  </si>
  <si>
    <t>10.1109/TASE.2024.3377291</t>
  </si>
  <si>
    <t>X1C8L</t>
  </si>
  <si>
    <t>Green Submitted, hybrid</t>
  </si>
  <si>
    <t>WOS:001189445600001</t>
  </si>
  <si>
    <t>Cano-de-la-Cuerda, R; Blázquez-Fernández, A; Marcos-Antón, S; Sánchez-Herrera-Baeza, P; Fernández-González, P; Collado-Vázquez, S; Jiménez-Antona, C; Laguarta-Val, S</t>
  </si>
  <si>
    <t>Cano-de-la-Cuerda, Roberto; Blazquez-Fernandez, Aitor; Marcos-Anton, Selena; Sanchez-Herrera-Baeza, Patricia; Fernandez-Gonzalez, Pilar; Collado-Vazquez, Susana; Jimenez-Antona, Carmen; Laguarta-Val, Sofia</t>
  </si>
  <si>
    <t>Economic Cost of Rehabilitation with Robotic and Virtual Reality Systems in People with Neurological Disorders: A Systematic Review</t>
  </si>
  <si>
    <t>cost minimization; cost-effectiveness; cost utility; cost benefit; economic cost; neurological disorders; robotic; virtual reality</t>
  </si>
  <si>
    <t>IMPROVE ARM FUNCTION; TELEREHABILITATION PROGRAM; BALANCE RECOVERY; STROKE; PRINCIPLES; USABILITY; PROTOCOL; THERAPY; BENEFIT; TRIAL</t>
  </si>
  <si>
    <t>Background: The prevalence of neurological disorders is increasing worldwide. In recent decades, the conventional rehabilitation for people with neurological disorders has been often reinforced with the use of technological devices (robots and virtual reality). The aim of this systematic review was to identify the evidence on the economic cost of rehabilitation with robotic and virtual reality devices for people with neurological disorders through a review of the scientific publications over the last 15 years. Methods: A systematic review was conducted on partial economic evaluations (cost description, cost analysis, description of costs and results) and complete (cost minimization, cost-effectiveness, cost utility and cost benefit) studies. The Preferred Reporting Items for Systematic Reviews and Meta-Analyses (PRISMA) guidelines were followed. The main data sources used were PubMed, Scopus and Web of Science (WOS). Studies published in English over the last 15 years were considered for inclusion in this review, regardless of the type of neurological disorder. The critical appraisal instrument from the Joanna Briggs Institute for economic evaluation and the Consolidated Health Economic Evaluation Reporting Standards (CHEERS) were used to analyse the methodological quality of all the included papers. Results: A total of 15 studies were included in this review. Ten papers were focused on robotics and five on virtual reality. Most of the studies were focused on people who experienced a stroke. The robotic device most frequently used in the papers included was InMotion (R) (Bionik Co., Watertown, MA, USA), and for those focused on virtual reality, all papers included used semi-immersive virtual reality systems, with commercial video game consoles (Nintendo Wii (R) (Nintendo Co., Ltd., Kyoto, Japan) and Kinect (R) (Microsoft Inc., Redmond, WA, USA)) being used the most. The included studies mainly presented cost minimization outcomes and a general description of costs per intervention, and there were disparities in terms of population, setting, device, protocol and the economic cost outcomes evaluated. Overall, the methodological quality of the included studies was of a moderate level. Conclusions: There is controversy about using robotics in people with neurological disorders in a rehabilitation context in terms of cost minimization, cost-effectiveness, cost utility and cost benefits. Semi-immersive virtual reality devices could involve savings (mainly derived from the low prices of the systems analysed and transportation services if they are applied through telerehabilitation programmes) compared to in-clinic interventions.</t>
  </si>
  <si>
    <t>[Cano-de-la-Cuerda, Roberto; Marcos-Anton, Selena; Sanchez-Herrera-Baeza, Patricia; Fernandez-Gonzalez, Pilar; Collado-Vazquez, Susana; Jimenez-Antona, Carmen; Laguarta-Val, Sofia] Univ Rey Juan Carlos, Fac Hlth Sci, Dept Phys Therapy Occupat Therapy Rehabil &amp; Phys M, Madrid 28922, Spain; [Blazquez-Fernandez, Aitor; Marcos-Anton, Selena] Multiple Sclerosis Assoc Leganes ALEM, Leganes 28915, Spain</t>
  </si>
  <si>
    <t>Universidad Rey Juan Carlos</t>
  </si>
  <si>
    <t>Marcos-Antón, S; Jiménez-Antona, C (corresponding author), Univ Rey Juan Carlos, Fac Hlth Sci, Dept Phys Therapy Occupat Therapy Rehabil &amp; Phys M, Madrid 28922, Spain.;Marcos-Antón, S (corresponding author), Multiple Sclerosis Assoc Leganes ALEM, Leganes 28915, Spain.</t>
  </si>
  <si>
    <t>roberto.cano@urjc.es; aitorblazquezfernandez@outlook.es; selena.marcos@urjc.es; patricia.sanchezherrera@urjc.es; pilar.fernandez@urjc.es; susana.collado@urjc.es; carmen.jimenez@urjc.es; sofia.laguarta@urjc.es</t>
  </si>
  <si>
    <t>Jiménez Antona, Carmen/ABR-8149-2022; Collado-Vázquez, Susana/AGH-5139-2022; Sanchez Herrera, Patricia/ABF-4611-2020; Marcos Anton, Selena/JZQ-2707-2024; Cano de la Cuerda, Roberto/KDO-9312-2024</t>
  </si>
  <si>
    <t>FERNANDEZ-GONZALEZ, PILAR/0000-0002-0113-9077; Marcos Anton, Selena/0000-0003-1296-3296; Jimenez Antona, Carmen/0000-0001-9253-8884; Sanchez-Herrera Baeza, Patricia/0000-0003-1340-8278; Collado-Vazquez, Susana/0000-0002-3957-0057; Cano de la Cuerda, Roberto/0000-0002-1118-4234</t>
  </si>
  <si>
    <t>Regional System of Scientific Research and Technological Innovation between Comunidad Autnoma de Madrid and Rey Juan Carlos University</t>
  </si>
  <si>
    <t>10.3390/jcm13061531</t>
  </si>
  <si>
    <t>TB2P8</t>
  </si>
  <si>
    <t>WOS:001238735900001</t>
  </si>
  <si>
    <t>Gómez-Espinosa, A; Moreno, JC; Pérez-de la Cruz, S</t>
  </si>
  <si>
    <t>Gomez-Espinosa, Ana; Moreno, Jose Carlos; Perez-de la Cruz, Sagrario</t>
  </si>
  <si>
    <t>Assisted Robots in Therapies for Children with Autism in Early Childhood</t>
  </si>
  <si>
    <t>child; early ages; autism; robot; ADS; social robots</t>
  </si>
  <si>
    <t>SPECTRUM DISORDER; SOCIAL ROBOTS; SKILLS; INTERVENTION; DISTRUST; TRIALS</t>
  </si>
  <si>
    <t>Children with autism spectrum disorder (ASD) have deficits that affect their social relationships, communication, and flexibility in reasoning. There are different types of treatment (pharmacological, educational, psychological, and rehabilitative). Currently, one way to address this problem is by using robotic systems to address the abilities that are altered in these children. The aim of this review will be to analyse the effectiveness of the incorporation of the different robotic systems currently existing in the treatment of children up to 10 years of age diagnosed with autism. A systematic review has been carried out in the PubMed, Scopus, Web of Science, and Dialnet databases, with the following descriptors: child, autism, and robot. The search yielded 578 papers, and nine were selected after the application of the PRISMA guideline. The quality of the studies was analysed with the PEDRo scale, and only those with a score between four and six were selected. From this study, the conclusion is that the use of robots, in general, improves children's behaviour in the short term, but longer-term experiences are necessary to achieve more conclusive results.</t>
  </si>
  <si>
    <t>[Gomez-Espinosa, Ana; Moreno, Jose Carlos] Univ Almeria, Dept Informat, CeiA3, CIESOL, Almeria 04120, Spain; [Perez-de la Cruz, Sagrario] Univ Almeria, Dept Nursing Phys Therapy &amp; Med, Almeria 04120, Spain</t>
  </si>
  <si>
    <t>Centro de Investigaciones Energeticas, Medioambientales Tecnologicas; Universidad de Almeria; Ciesol; Universidad de Almeria</t>
  </si>
  <si>
    <t>Moreno, JC (corresponding author), Univ Almeria, Dept Informat, CeiA3, CIESOL, Almeria 04120, Spain.</t>
  </si>
  <si>
    <t>age597@ual.es; jcmoreno@ual.es; spd205@ual.es</t>
  </si>
  <si>
    <t>de la Cruz, Sagrario/AAX-9933-2020; Úbeda, José/H-4736-2018</t>
  </si>
  <si>
    <t>PEREZ-DE LA CRUZ, SAGRARIO/0000-0002-1684-1416; Moreno Ubeda, Jose Carlos/0000-0002-7505-9686</t>
  </si>
  <si>
    <t>University of Almeria and Early Childhood Education Centre Jardines de la Pipa</t>
  </si>
  <si>
    <t>10.3390/s24051503</t>
  </si>
  <si>
    <t>KW1N5</t>
  </si>
  <si>
    <t>WOS:001182909000001</t>
  </si>
  <si>
    <t>Lee, JH; Miri, S; Bayro, A; Kim, M; Jeong, H; Yeo, WH</t>
  </si>
  <si>
    <t>Lee, Jaeho; Miri, Sina; Bayro, Allison; Kim, Myunghee; Jeong, Heejin; Yeo, Woon-Hong</t>
  </si>
  <si>
    <t>Biosignal-integrated robotic systems with emerging trends in visual interfaces: A systematic review</t>
  </si>
  <si>
    <t>BIOPHYSICS REVIEWS</t>
  </si>
  <si>
    <t>HUMAN-HUMANOID INTERACTION; INDIRECT CALORIMETRY; FEATURE-EXTRACTION; FEEDBACK; CLASSIFICATION; STATE; BCI; GENERATION; ASSISTANCE; WALKING</t>
  </si>
  <si>
    <t>Human-machine interfaces (HMI) are currently a trendy and rapidly expanding area of research. Interestingly, the human user does not readily observe the interface between humans and machines. Instead, interactions between the machine and electrical signals from the user's body are obscured by complex control algorithms. The result is effectively a one-way street, wherein data is only transmitted from human to machine. Thus, a gap remains in the literature: how can information be effectively conveyed to the user to enable mutual understanding between humans and machines? Here, this paper reviews recent advancements in biosignal-integrated wearable robotics, with a particular emphasis on visualization-the presentation of relevant data, statistics, and visual feedback to the user. This review article covers various signals of interest, such as electroencephalograms and electromyograms, and explores novel sensor architectures and key materials. Recent developments in wearable robotics are examined from control and mechanical design perspectives. Additionally, we discuss current visualization methods and outline the field's future direction. While much of the HMI field focuses on biomedical and healthcare applications, such as rehabilitation of spinal cord injury and stroke patients, this paper also covers less common applications in manufacturing, defense, and other domains.</t>
  </si>
  <si>
    <t>[Lee, Jaeho; Yeo, Woon-Hong] Georgia Inst Technol, George W Woodruff Sch Mech Engn, Atlanta, GA 30332 USA; [Lee, Jaeho; Yeo, Woon-Hong] Georgia Inst Technol, Inst Elect &amp; Nanotechnol, IEN Ctr Wearable Intelligent Syst &amp; Healthcare, Atlanta, GA 30332 USA; [Lee, Jaeho; Yeo, Woon-Hong] Georgia Inst Technol, Parker H Petit Inst Bioengn &amp; Biosci, Atlanta, GA 30332 USA; [Miri, Sina; Kim, Myunghee] Univ Illinois, Dept Mech &amp; Ind Engn, Chicago, IL 60607 USA; [Bayro, Allison; Jeong, Heejin] Arizona State Univ, Sch Biol &amp; Hlth Syst Engn, Ira A Fulton Sch Engn, Tempe, AZ 85287 USA; [Jeong, Heejin] Arizona State Univ, Polytech Sch, Ira A Fulton Sch Engn, Mesa, AZ 85212 USA; [Yeo, Woon-Hong] Georgia Inst Technol, Wallace H Coulter Dept Biomed Engn, Atlanta, GA 30332 USA; [Yeo, Woon-Hong] Emory Univ, Sch Med, Atlanta, GA 30332 USA; [Yeo, Woon-Hong] Georgia Inst Technol, Inst Mat, Atlanta, GA 30332 USA; [Yeo, Woon-Hong] Georgia Inst Technol, Inst Robot &amp; Intelligent Machines, Atlanta, GA 30332 USA</t>
  </si>
  <si>
    <t>University System of Georgia; Georgia Institute of Technology; University System of Georgia; Georgia Institute of Technology; University System of Georgia; Georgia Institute of Technology; University of Illinois System; University of Illinois Chicago; University of Illinois Chicago Hospital; Arizona State University; Arizona State University-Tempe; Arizona State University; University System of Georgia; Georgia Institute of Technology; Emory University; University System of Georgia; Georgia Institute of Technology; University System of Georgia; Georgia Institute of Technology</t>
  </si>
  <si>
    <t>Yeo, WH (corresponding author), Georgia Inst Technol, George W Woodruff Sch Mech Engn, Atlanta, GA 30332 USA.;Yeo, WH (corresponding author), Georgia Inst Technol, Inst Elect &amp; Nanotechnol, IEN Ctr Wearable Intelligent Syst &amp; Healthcare, Atlanta, GA 30332 USA.;Yeo, WH (corresponding author), Georgia Inst Technol, Parker H Petit Inst Bioengn &amp; Biosci, Atlanta, GA 30332 USA.;Kim, M (corresponding author), Univ Illinois, Dept Mech &amp; Ind Engn, Chicago, IL 60607 USA.;Jeong, H (corresponding author), Arizona State Univ, Sch Biol &amp; Hlth Syst Engn, Ira A Fulton Sch Engn, Tempe, AZ 85287 USA.;Jeong, H (corresponding author), Arizona State Univ, Polytech Sch, Ira A Fulton Sch Engn, Mesa, AZ 85212 USA.;Yeo, WH (corresponding author), Georgia Inst Technol, Wallace H Coulter Dept Biomed Engn, Atlanta, GA 30332 USA.;Yeo, WH (corresponding author), Emory Univ, Sch Med, Atlanta, GA 30332 USA.;Yeo, WH (corresponding author), Georgia Inst Technol, Inst Mat, Atlanta, GA 30332 USA.;Yeo, WH (corresponding author), Georgia Inst Technol, Inst Robot &amp; Intelligent Machines, Atlanta, GA 30332 USA.</t>
  </si>
  <si>
    <t>whyeo@gatech.edu; heejin.jeong@asu.edu; myheekim@uic.edu</t>
  </si>
  <si>
    <t>Jeong, Heejin/X-7062-2019; Yeo, Woon-Hong/G-6430-2011</t>
  </si>
  <si>
    <t>Jeong, Heejin/0000-0002-0122-532X; Lee, Jaeho/0009-0008-3178-8730; Kim, Myunghee/0000-0001-8965-6206; Bayro, Allison/0000-0001-6987-939X; Yeo, Woon-Hong/0000-0002-5526-3882</t>
  </si>
  <si>
    <t>National Science Foundation10.13039/100000001 [NRI-2024742]; National Science Foundation/the Centers for Disease Control and Prevention; Georgia Tech Institute for Electronics and Nanotechnology</t>
  </si>
  <si>
    <t>National Science Foundation10.13039/100000001; National Science Foundation/the Centers for Disease Control and Prevention; Georgia Tech Institute for Electronics and Nanotechnology</t>
  </si>
  <si>
    <t>We acknowledge the support of the National Science Foundation/the Centers for Disease Control and Prevention (Grant No. NRI-2024742). W.-H.Y. acknowledges the support of the IEN Center Grant from the Georgia Tech Institute for Electronics and Nanotechnology.</t>
  </si>
  <si>
    <t>AIP Publishing</t>
  </si>
  <si>
    <t>1305 WALT WHITMAN RD, STE 300, MELVILLE, NY 11747-4501 USA</t>
  </si>
  <si>
    <t>2688-4089</t>
  </si>
  <si>
    <t>BIOPHYS REV-US</t>
  </si>
  <si>
    <t>Biophys. Rev.</t>
  </si>
  <si>
    <t>10.1063/5.0185568</t>
  </si>
  <si>
    <t>Biophysics</t>
  </si>
  <si>
    <t>JN1S6</t>
  </si>
  <si>
    <t>WOS:001173761800001</t>
  </si>
  <si>
    <t>Potcovaru, CG; Salmen, T; Bigu, D; Sandulescu, MI; Filip, PV; Diaconu, LS; Pop, C; Ciobanu, I; Cinteza, D; Berteanu, M</t>
  </si>
  <si>
    <t>Potcovaru, Claudia-Gabriela; Salmen, Teodor; Bigu, Dragos; Sandulescu, Miruna Ioana; Filip, Petruta Violeta; Diaconu, Laura Sorina; Pop, Corina; Ciobanu, Ileana; Cinteza, Delia; Berteanu, Mihai</t>
  </si>
  <si>
    <t>Assessing the Effectiveness of Rehabilitation Interventions through the World Health Organization Disability Assessment Schedule 2.0 on Disability-A Systematic Review</t>
  </si>
  <si>
    <t>disability; WHODAS 2.0; ICF; rehabilitation interventions</t>
  </si>
  <si>
    <t>QUALITY-OF-LIFE; INTERNATIONAL CLASSIFICATION; TELEREHABILITATION; INDIVIDUALS; EXERCISE; PEOPLE; PAIN; TIME</t>
  </si>
  <si>
    <t>(1) Background: The World Health Organization Disability Assessment Schedule 2.0 (WHODAS 2.0) is a tool designed to measure disability in accordance with the International Classification of Functioning, Disability and Health. Measuring disability is becoming increasingly important due to its high prevalence, which continues to rise. Rehabilitation interventions can reduce disability and enhance functioning. (2) Objective: The present study aims to assess the impact of rehabilitation interventions on reducing disability, as measured by the WHODAS 2.0 questionnaire. It also seeks to identify which specific rehabilitation interventions are more effective and to explore other disability assessment questionnaires. (3) Methods: Following the Preferred Reporting Items for Systematic reviews and Meta-Analyses (PRISMA) methodology, we conducted a systematic review, with the protocol registered with the identifier CRD42023495309, focused on WHODAS and rehabilitation using PubMed and Web of Science electronic databases. (4) Results: We identified 18 articles from various regions encompassing patients with various health conditions, related to stroke, the cardiovascular system (cardiovascular disease, chronic heart failure), the pulmonary system (chronic obstructive pulmonary disease), the neurologic system (Parkinson's disease, cerebral palsy, neurodegenerative disease), the musculoskeletal system (orthopaedic surgery), cancer, and chronic pain, and among frail elderly. These patients have received a wide range of rehabilitation interventions: from conventional therapy to virtual reality, robot-assisted arm training, exergaming, and telerehabilitation. (5) Discussion and Conclusions: A wide range of rehabilitation techniques can effectively improve disability with various comorbidities, offering numerous benefits. The WHODAS 2.0 questionnaire proves to be an efficient and reliable tool for measuring disability, and scores have a tendency to decrease after rehabilitation.</t>
  </si>
  <si>
    <t>[Potcovaru, Claudia-Gabriela; Salmen, Teodor; Sandulescu, Miruna Ioana] Univ Med &amp; Pharm Carol Davila, Doctoral Sch, Bucharest 050474, Romania; [Bigu, Dragos] Bucharest Univ Econ Studies, Dept Philosophy &amp; Social &amp; Human Sci, Piata Romana 6, Dist 1, Bucharest 010374, Romania; [Filip, Petruta Violeta; Diaconu, Laura Sorina; Pop, Corina] Univ Med &amp; Pharm Carol Davila, Dept Gastroenterol &amp; Internal Med, Bucharest 050474, Romania; [Ciobanu, Ileana] Elias Univ Emergency Hosp, Phys &amp; Rehabil Med Dept, Bucharest 011461, Romania; [Cinteza, Delia; Berteanu, Mihai] Univ Med &amp; Pharm Carol Davila, Phys Med &amp; Rehabil Dept 9, Bucharest 050474, Romania</t>
  </si>
  <si>
    <t>Carol Davila University of Medicine &amp; Pharmacy; Bucharest University of Economic Studies; Carol Davila University of Medicine &amp; Pharmacy; Carol Davila University of Medicine &amp; Pharmacy</t>
  </si>
  <si>
    <t>Ciobanu, I (corresponding author), Elias Univ Emergency Hosp, Phys &amp; Rehabil Med Dept, Bucharest 011461, Romania.;Cinteza, D (corresponding author), Univ Med &amp; Pharm Carol Davila, Phys Med &amp; Rehabil Dept 9, Bucharest 050474, Romania.</t>
  </si>
  <si>
    <t>claudia-gabriela.potcovaru@drd.umfcd.ro; teodor.salmen@drd.umfcd.ro; dragos.bigu@man.ase.ro; miruna.sandulescu@drd.umfcd.ro; petruta.filip@umfcd.ro; sorina.diaconu@umfcd.ro; cora.pop@umfcd.ro; ileana.ciobanu@umfcd.ro; delia.cinteza@umfcd.ro; mihai.berteanu@umfcd.ro</t>
  </si>
  <si>
    <t>FILIP, PETRUTA/AAV-5733-2021; Potcovaru, Claudia-Gabriela/HTR-7034-2023; pop, corina/AAU-7021-2020; Salmen, Teodor/ABG-2747-2021; Laura Sorina, Diaconu/JBI-7717-2023; Ciobanu, Ileana/KHY-4024-2024; Sandulescu, Miruna/HSH-8547-2023; Cinteza, Delia/KFB-1943-2024; SALMEN, Teodor/ACM-9451-2022</t>
  </si>
  <si>
    <t>Berteanu, Mihai/0000-0001-9379-4580; Ciobanu, Ileana/0000-0002-3531-163X; Sandulescu, Miruna/0000-0002-0808-753X; Potcovaru, Claudia-Gabriela/0009-0003-5801-5416; Cinteza, Delia/0000-0001-6216-6688; SALMEN, Teodor/0000-0003-4548-7441</t>
  </si>
  <si>
    <t>University of Medicine and Pharmacy Carol Davila</t>
  </si>
  <si>
    <t>Publication of this paper was supported by the University of Medicine and Pharmacy Carol Davila, through the institutional program Publish not Perish.</t>
  </si>
  <si>
    <t>10.3390/jcm13051252</t>
  </si>
  <si>
    <t>KW0P4</t>
  </si>
  <si>
    <t>WOS:001182884700001</t>
  </si>
  <si>
    <t>Safavi, F; Olikkal, P; Pei, DY; Kamal, S; Meyerson, H; Penumalee, V; Vinjamuri, R</t>
  </si>
  <si>
    <t>Safavi, Farshad; Olikkal, Parthan; Pei, Dingyi; Kamal, Sadia; Meyerson, Helen; Penumalee, Varsha; Vinjamuri, Ramana</t>
  </si>
  <si>
    <t>Emerging Frontiers in Human-Robot Interaction</t>
  </si>
  <si>
    <t>Human-Robot Interaction; Human-Robot Collaboration; Brain-Computer Interface; Emotional Intelligent Perception; Computer Vision</t>
  </si>
  <si>
    <t>FACIAL EXPRESSION RECOGNITION; MULTIMODAL EMOTION RECOGNITION; BRAIN-COMPUTER INTERFACE; REAL-TIME CONTROL; CORTICAL CONTROL; ARM; BCI; INFORMATION; NETWORKS; MODEL</t>
  </si>
  <si>
    <t>Effective interactions between humans and robots are vital to achieving shared tasks in collaborative processes. Robots can utilize diverse communication channels to interact with humans, such as hearing, speech, sight, touch, and learning. Our focus, amidst the various means of interactions between humans and robots, is on three emerging frontiers that significantly impact the future directions of human-robot interaction (HRI): (i) human-robot collaboration inspired by human-human collaboration, (ii) brain-computer interfaces, and (iii) emotional intelligent perception. First, we explore advanced techniques for human-robot collaboration, covering a range of methods from compliance and performance-based approaches to synergistic and learning-based strategies, including learning from demonstration, active learning, and learning from complex tasks. Then, we examine innovative uses of brain-computer interfaces for enhancing HRI, with a focus on applications in rehabilitation, communication, brain state and emotion recognition. Finally, we investigate the emotional intelligence in robotics, focusing on translating human emotions to robots via facial expressions, body gestures, and eye-tracking for fluid, natural interactions. Recent developments in these emerging frontiers and their impact on HRI were detailed and discussed. We highlight contemporary trends and emerging advancements in the field. Ultimately, this paper underscores the necessity of a multimodal approach in developing systems capable of adaptive behavior and effective interaction between humans and robots, thus offering a thorough understanding of the diverse modalities essential for maximizing the potential of HRI.</t>
  </si>
  <si>
    <t>[Safavi, Farshad; Olikkal, Parthan; Pei, Dingyi; Kamal, Sadia; Meyerson, Helen; Penumalee, Varsha; Vinjamuri, Ramana] Univ Maryland Baltimore Cty, Dept Comp Sci &amp; Elect Engn, Vinjamuri Lab, Baltimore, MD 21250 USA</t>
  </si>
  <si>
    <t>University System of Maryland; University of Maryland Baltimore County</t>
  </si>
  <si>
    <t>Vinjamuri, R (corresponding author), Univ Maryland Baltimore Cty, Dept Comp Sci &amp; Elect Engn, Vinjamuri Lab, Baltimore, MD 21250 USA.</t>
  </si>
  <si>
    <t>fsafavi1@umbc.edu; polikka1@umbc.edu; dpei1@umbc.edu; uj23570@umbc.edu; hfmeyerson@gmail.com; vpenumalee@gmail.com; rvinjam1@umbc.edu</t>
  </si>
  <si>
    <t>Olikkal, Parthan/LGZ-2753-2024</t>
  </si>
  <si>
    <t>Vinjamuri, Ramana Kumar/0000-0003-1650-5524; Pei, Dingyi/0000-0001-7756-3678</t>
  </si>
  <si>
    <t>National Science Foundation</t>
  </si>
  <si>
    <t>National Science Foundation(National Science Foundation (NSF))</t>
  </si>
  <si>
    <t>10.1007/s10846-024-02074-7</t>
  </si>
  <si>
    <t>LS3V3</t>
  </si>
  <si>
    <t>WOS:001188761900001</t>
  </si>
  <si>
    <t>Saldarriaga, A; Gutierrez-Velasquez, EI; Colorado, HA</t>
  </si>
  <si>
    <t>Saldarriaga, Alexander; Gutierrez-Velasquez, Elkin Ivan; Colorado, Henry A.</t>
  </si>
  <si>
    <t>Soft Hand Exoskeletons for Rehabilitation: Approaches to Design, Manufacturing Methods, and Future Prospects</t>
  </si>
  <si>
    <t>stroke; disability; soft robotics; hand exoskeletons; robotic-assisted therapy; bioengineering</t>
  </si>
  <si>
    <t>STROKE RISK-FACTORS; MOTOR REHABILITATION; WEARABLE ROBOT; GLOBAL BURDEN; GLOVE; ORTHOSIS; RECOVERY; NEUROPLASTICITY; TRANSMISSION; MAKERSPACES</t>
  </si>
  <si>
    <t>Stroke, the third leading cause of global disability, poses significant challenges to healthcare systems worldwide. Addressing the restoration of impaired hand functions is crucial, especially amid healthcare workforce shortages. While robotic-assisted therapy shows promise, cost and healthcare community concerns hinder the adoption of hand exoskeletons. However, recent advancements in soft robotics and digital fabrication, particularly 3D printing, have sparked renewed interest in this area. This review article offers a thorough exploration of the current landscape of soft hand exoskeletons, emphasizing recent advancements and alternative designs. It surveys previous reviews in the field and examines relevant aspects of hand anatomy pertinent to wearable rehabilitation devices. Furthermore, the article investigates the design requirements for soft hand exoskeletons and provides a detailed review of various soft exoskeleton gloves, categorized based on their design principles. The discussion encompasses simulation-supported methods, affordability considerations, and future research directions. This review aims to benefit researchers, clinicians, and stakeholders by disseminating the latest advances in soft hand exoskeleton technology, ultimately enhancing stroke rehabilitation outcomes and patient care.</t>
  </si>
  <si>
    <t>[Saldarriaga, Alexander; Colorado, Henry A.] Univ Antioquia UdeA, Mech Engn Dept, CCComposites Lab, Medellin 050010, Colombia; [Gutierrez-Velasquez, Elkin Ivan] Fdn Univ Libertadores, Fac Engn &amp; Basic Sci, Bogota 75087, Colombia</t>
  </si>
  <si>
    <t>Universidad de Antioquia</t>
  </si>
  <si>
    <t>Colorado, HA (corresponding author), Univ Antioquia UdeA, Mech Engn Dept, CCComposites Lab, Medellin 050010, Colombia.</t>
  </si>
  <si>
    <t>henry.colorado@udea.edu.co</t>
  </si>
  <si>
    <t>Colorado, Henry/KEE-7960-2024; Gutiérrez, Elkin/HKW-1307-2023; Gutierrez, Elkin/Q-5981-2017</t>
  </si>
  <si>
    <t>Gutierrez, Elkin/0000-0002-4326-946X; Colorado, Henry/0000-0003-4948-0482</t>
  </si>
  <si>
    <t>10.3390/robotics13030050</t>
  </si>
  <si>
    <t>MH4J6</t>
  </si>
  <si>
    <t>WOS:001192717600001</t>
  </si>
  <si>
    <t>Uddin, M; Ganapathy, K; Syed-Abdul, S</t>
  </si>
  <si>
    <t>Uddin, Mohy; Ganapathy, Krishnan; Syed-Abdul, Shabbir</t>
  </si>
  <si>
    <t>Digital Technology Enablers of TeleNeurorehabilitation in Pre- and Post-COVID-19 Pandemic Era - A Scoping Review</t>
  </si>
  <si>
    <t>INTERNATIONAL JOURNAL OF TELEREHABILITATION</t>
  </si>
  <si>
    <t>COVID-19; Neurorehabilitation; Telehealth; Telemedicine; Tele-Neurorehabilitation</t>
  </si>
  <si>
    <t>VIRTUAL-REALITY; PARKINSONS-DISEASE; IMPROVES BALANCE; BRAIN-INJURY; STEP COUNT; TELEREHABILITATION; REHABILITATION; HOME; STROKE; ABNORMALITIES</t>
  </si>
  <si>
    <t>Neurorehabilitation (NR), a major component of neurosciences, is the process of restoring a patient's damaged/disorganized neurological function, through training, therapy, and education, while focusing on patient's independence and well-being. Since the advent of the COVID-19 pandemic, various applications of telecare and telehealth services surged drastically and became an integral part of current clinical practices. Tele-Neurorehabilitation (TNR) is one of such applications. When rehabilitation services were disrupted globally due to lockdown and travel restrictions, the importance of TNR was recognized, especially in developed, low, and middle-income countries. With exponential deployment of telehealth interventions in neurosciences, TNR has become a distinct stand-alone sub-specialty of neurosciences and telehealth. Digital technologies, such as wearables, robotics, and Virtual Reality (VR) have enabled TNR to improve the quality of patients' lives. Providing NR remotely using digital technologies and customized digital devices is now a reality, and likely to be the new norm soon. This article provides an overview of the needs, utilization, and deployment of TNR, and focuses on digital technology enablers of TNR in pre- and post- COVID-19 pandemic era.</t>
  </si>
  <si>
    <t>[Uddin, Mohy] King Saud bin Abdulaziz Univ Hlth Sci, King Abdullah Int Med Res Ctr, Res Qual Management Sect, Minist Natl Guard Hlth Affairs, Riyadh, Saudi Arabia; [Ganapathy, Krishnan] IIT Kanpur, Kanpur, India; [Ganapathy, Krishnan] Apollo Telemed Networking Fdn, Hyderabad, India; [Syed-Abdul, Shabbir] Taipei Med Univ, Coll Med Sci &amp; Technol, Grad Inst Biomed Informat, Taipei, Taiwan</t>
  </si>
  <si>
    <t>King Saud Bin Abdulaziz University for Health Sciences; Ministry of National Guard - Health Affairs; King Abdullah International Medical Research Center (KAIMRC); Indian Institute of Technology System (IIT System); Indian Institute of Technology (IIT) - Kanpur; Taipei Medical University</t>
  </si>
  <si>
    <t>Syed-Abdul, S (corresponding author), Taipei Med Univ, Coll Med Sci &amp; Technol, Grad Inst Biomed Informat, Taipei, Taiwan.</t>
  </si>
  <si>
    <t>drshabbir@tmu.edu.tw</t>
  </si>
  <si>
    <t>Syed Abdul, Shabbir/AAI-2322-2020</t>
  </si>
  <si>
    <t>UNIV PITTSBURGH, UNIV LIBRARY SYSTEM</t>
  </si>
  <si>
    <t>PITTSBURGH</t>
  </si>
  <si>
    <t>3960 FORBES AVE, PITTSBURGH, PA 15260 USA</t>
  </si>
  <si>
    <t>1945-2020</t>
  </si>
  <si>
    <t>INT J TELEREHABILITA</t>
  </si>
  <si>
    <t>Int. J. Telerehabilitation</t>
  </si>
  <si>
    <t>SPR</t>
  </si>
  <si>
    <t>10.5195/ijt.2024.6611</t>
  </si>
  <si>
    <t>ZV0N2</t>
  </si>
  <si>
    <t>WOS:001277945900011</t>
  </si>
  <si>
    <t>Wang, Y; Hao, TZ; Liu, YB; Xiao, HP; Liu, SH; Zhu, HW</t>
  </si>
  <si>
    <t>Wang, Yang; Hao, Tianze; Liu, Yibo; Xiao, Huaping; Liu, Shuhai; Zhu, Hongwu</t>
  </si>
  <si>
    <t>Anthropomorphic Soft Hand: Dexterity, Sensing, and Machine Learning</t>
  </si>
  <si>
    <t>anthropomorphic soft hand; soft robotics; tactile sensor; dexterous</t>
  </si>
  <si>
    <t>ROBOTIC HAND; DESIGN; FINGER; PERCEPTION; PRESSURE; TACTILE; SYSTEM; ACTUATION; MECHANISM; SELECTION</t>
  </si>
  <si>
    <t>Humans possess dexterous hands that surpass those of other animals, enabling them to perform intricate, complex movements. Soft hands, known for their inherent flexibility, aim to replicate the functionality of human hands. This article provides an overview of the development processes and key directions in soft hand evolution. Starting from basic multi-finger grippers, these hands have made significant advancements in the field of robotics. By mimicking the shape, structure, and functionality of human hands, soft hands can partially replicate human-like movements, offering adaptability and operability during grasping tasks. In addition to mimicking human hand structure, advancements in flexible sensor technology enable soft hands to exhibit touch and perceptual capabilities similar to humans, enhancing their performance in complex tasks. Furthermore, integrating machine learning techniques has significantly promoted the advancement of soft hands, making it possible for them to intelligently adapt to a variety of environments and tasks. It is anticipated that these soft hands, designed to mimic human dexterity, will become a focal point in robotic hand development. They hold significant application potential for industrial flexible gripping solutions, medical rehabilitation, household services, and other domains, offering broad market prospects.</t>
  </si>
  <si>
    <t>[Wang, Yang; Liu, Yibo; Xiao, Huaping; Liu, Shuhai; Zhu, Hongwu] China Univ Petr, Coll Mech &amp; Transportat Engn, Beijing 102249, Peoples R China; [Hao, Tianze] Tianjin Univ Technol, Sch Mech Engn, Tianjin Key Lab Adv Mechatron Syst Design &amp; Intell, Tianjin 300384, Peoples R China; [Hao, Tianze] Tianjin Univ Technol, Natl Demonstrat Ctr Expt Mech &amp; Elect Engn Educ, Sch Mech Engn, Tianjin 300384, Peoples R China; [Xiao, Huaping; Liu, Shuhai] China Univ Petr, Ctr Adv Oil &amp; Gas Equipment, Beijing 102249, Peoples R China</t>
  </si>
  <si>
    <t>China University of Petroleum; Tianjin University of Technology; Tianjin University of Technology; China University of Petroleum</t>
  </si>
  <si>
    <t>Xiao, HP (corresponding author), China Univ Petr, Coll Mech &amp; Transportat Engn, Beijing 102249, Peoples R China.;Xiao, HP (corresponding author), China Univ Petr, Ctr Adv Oil &amp; Gas Equipment, Beijing 102249, Peoples R China.</t>
  </si>
  <si>
    <t>wangy0419@163.com; haotz@email.tjut.edu.cn; 2021310304@student.cup.edu.cn; hxiao@cup.edu.cn; liu_shu_hai@163.com</t>
  </si>
  <si>
    <t>Hao, Tianze/JZT-5860-2024</t>
  </si>
  <si>
    <t>Hao, Tianze/0000-0002-8488-9673</t>
  </si>
  <si>
    <t>Beijing Natural Science Foundation</t>
  </si>
  <si>
    <t>Beijing Natural Science Foundation(Beijing Natural Science Foundation)</t>
  </si>
  <si>
    <t>10.3390/act13030084</t>
  </si>
  <si>
    <t>MD9D6</t>
  </si>
  <si>
    <t>WOS:001191796800001</t>
  </si>
  <si>
    <t>He, YN; Xu, YX; Hai, MH; Feng, Y; Liu, PH; Chen, Z; Duan, WR</t>
  </si>
  <si>
    <t>He, Yana; Xu, Yuxuan; Hai, Minghang; Feng, Yang; Liu, Penghao; Chen, Zan; Duan, Wanru</t>
  </si>
  <si>
    <t>Exoskeleton-Assisted Rehabilitation and Neuroplasticity in Spinal Cord Injury</t>
  </si>
  <si>
    <t>Complications; Exoskeleton; Rehabilitation; Robot; assisted; Spinal cord injury</t>
  </si>
  <si>
    <t>WALKING; AMBULATION; SAFETY; ROBOT</t>
  </si>
  <si>
    <t>Spinal cord injury (SCI) results in neurological deficits below the level of injury, causing motor dysfunction and various severe multisystem complications. Rehabilitative training plays a crucial role in the recovery of individuals with SCI, and exoskeleton serves as an emerging and promising tool for rehabilitation, especially in promoting neuroplasticity and alleviating SCI -related complications. This article reviews the classifications and research progresses of medical exoskeletons designed for SCI patients and describes their performances in practical application separately. Meanwhile, we discuss their mechanisms for enhancing neuroplasticity and functional remodeling, as well as their palliative impacts on secondary complications. The potential trends in exoskeleton design are raised according to current progress and requirements on SCI rehabilitation.</t>
  </si>
  <si>
    <t>[He, Yana; Xu, Yuxuan; Hai, Minghang; Feng, Yang; Liu, Penghao; Chen, Zan; Duan, Wanru] Capital Med Univ, Xuanwu Hosp, Dept Neurosurg, Beijing, Peoples R China; [He, Yana; Xu, Yuxuan; Hai, Minghang; Feng, Yang] Capital Med Univ, Sch Basic Med Sci, Beijing, Peoples R China; [Liu, Penghao; Chen, Zan; Duan, Wanru] China Int Neurosci Inst CHINA INI, Lab Spinal Cord Injury &amp; Funct Reconstruct, Beijing, Peoples R China</t>
  </si>
  <si>
    <t>Capital Medical University; Capital Medical University</t>
  </si>
  <si>
    <t>Duan, WR (corresponding author), Capital Med Univ, Xuanwu Hosp, Dept Neurosurg, Beijing, Peoples R China.;Duan, WR (corresponding author), China Int Neurosci Inst CHINA INI, Lab Spinal Cord Injury &amp; Funct Reconstruct, Beijing, Peoples R China.</t>
  </si>
  <si>
    <t>duanwanru@xwhosp.org</t>
  </si>
  <si>
    <t>Duan, Wanru/MHR-7016-2025</t>
  </si>
  <si>
    <t>Xu, Yuxuan/0009-0002-5218-131X; Duan, Wanru/0000-0003-4751-3666</t>
  </si>
  <si>
    <t>The Young Talents Program, Beijing Municipal Hospital Administration [QML20210801]; Research and application of clinical characteristic diagnosis and treatment Program, Beijing Municipal Science &amp; Technology Commission [Z221100007422019]; National Key R &amp;D Program of China; Ministry of Science &amp; Technology of PRC [2023YFC2509700]; Beijing Natural Science Foundation-Haidian Original Innovation Joint Fund, Beijing Municipal Science &amp; Technology Commission [L232141]</t>
  </si>
  <si>
    <t>The Young Talents Program, Beijing Municipal Hospital Administration; Research and application of clinical characteristic diagnosis and treatment Program, Beijing Municipal Science &amp; Technology Commission; National Key R &amp;D Program of China; Ministry of Science &amp; Technology of PRC; Beijing Natural Science Foundation-Haidian Original Innovation Joint Fund, Beijing Municipal Science &amp; Technology Commission</t>
  </si>
  <si>
    <t>This work was supported by the Young Talents  Program, Beijing Municipal Hospital Administration [grant number QML20210801] ; Research and application of clinical characteristic diagnosis and treatment Program, Beijing Municipal Science &amp; Technology Commission [grant number Z221100007422019] ; National Key R &amp;D Program of China, Research on Prevention and Control of Common Diseases ,Ministry of Science &amp; Technology of PRC [grant number 2023YFC2509700] ; and Beijing Natural Science Foundation-Haidian Original Innovation Joint Fund, Beijing Municipal Science &amp; Technology Commission [grant number L232141] .</t>
  </si>
  <si>
    <t>10.1016/J.WnEU.2024.01.167</t>
  </si>
  <si>
    <t>QO4E9</t>
  </si>
  <si>
    <t>WOS:001221793000001</t>
  </si>
  <si>
    <t>Albanese, GA; Bucchieri, A; Podda, J; Tacchino, A; Buccelli, S; De Momi, E; Laffranchi, M; Mannella, K; Holmes, MWR; Zenzeri, J; De Michieli, L; Brichetto, G; Barresi, G</t>
  </si>
  <si>
    <t>Albanese, Giulia A.; Bucchieri, Anna; Podda, Jessica; Tacchino, Andrea; Buccelli, Stefano; De Momi, Elena; Laffranchi, Matteo; Mannella, Kailynn; Holmes, Michael W. R.; Zenzeri, Jacopo; De Michieli, Lorenzo; Brichetto, Giampaolo; Barresi, Giacinto</t>
  </si>
  <si>
    <t>Robotic systems for upper-limb rehabilitation in multiple sclerosis: a SWOT analysis and the synergies with virtual and augmented environments</t>
  </si>
  <si>
    <t>multiple sclerosis; robotics; rehabilitation; SWOT; virtual reality; augmented reality; digital health</t>
  </si>
  <si>
    <t>ELECTRICAL-STIMULATION; COGNITIVE IMPAIRMENT; EXOSKELETON ROBOTS; ARM MOVEMENT; REALITY; GAIT; ADAPTATION; RECOVERY; DYNAMICS; DESIGN</t>
  </si>
  <si>
    <t>The robotics discipline is exploring precise and versatile solutions for upper-limb rehabilitation in Multiple Sclerosis (MS). People with MS can greatly benefit from robotic systems to help combat the complexities of this disease, which can impair the ability to perform activities of daily living (ADLs). In order to present the potential and the limitations of smart mechatronic devices in the mentioned clinical domain, this review is structured to propose a concise SWOT (Strengths, Weaknesses, Opportunities, and Threats) Analysis of robotic rehabilitation in MS. Through the SWOT Analysis, a method mostly adopted in business management, this paper addresses both internal and external factors that can promote or hinder the adoption of upper-limb rehabilitation robots in MS. Subsequently, it discusses how the synergy with another category of interaction technologies - the systems underlying virtual and augmented environments - may empower Strengths, overcome Weaknesses, expand Opportunities, and handle Threats in rehabilitation robotics for MS. The impactful adaptability of these digital settings (extensively used in rehabilitation for MS, even to approach ADL-like tasks in safe simulated contexts) is the main reason for presenting this approach to face the critical issues of the aforementioned SWOT Analysis. This methodological proposal aims at paving the way for devising further synergistic strategies based on the integration of medical robotic devices with other promising technologies to help upper-limb functional recovery in MS.</t>
  </si>
  <si>
    <t>[Albanese, Giulia A.; Zenzeri, Jacopo] ReWing Srl, Milan, Italy; [Bucchieri, Anna; Buccelli, Stefano; Laffranchi, Matteo; De Michieli, Lorenzo; Barresi, Giacinto] Ist Italiano Tecnol, Rehab Technol Lab, Genoa, Italy; [Bucchieri, Anna; De Momi, Elena] Politecn Milan, Dept Elect Informat &amp; Bioengn, Milan, Italy; [Podda, Jessica; Tacchino, Andrea; Brichetto, Giampaolo] Italian Multiple Sclerosis Fdn FISM, Sci Res Area, Genoa, Italy; [Mannella, Kailynn; Holmes, Michael W. R.] Brock Univ, Dept Kinesiol, St Catharines, ON, Canada; [Brichetto, Giampaolo] Italian Multiple Sclerosis Soc AISM, AISM Rehabil Ctr Liguria, Genoa, Italy</t>
  </si>
  <si>
    <t>Istituto Italiano di Tecnologia - IIT; Polytechnic University of Milan; Brock University</t>
  </si>
  <si>
    <t>Albanese, GA (corresponding author), ReWing Srl, Milan, Italy.</t>
  </si>
  <si>
    <t>giulia.albanese@rewingtech.com</t>
  </si>
  <si>
    <t>Tacchino, Andrea/JXM-9803-2024; Barresi, Giacinto/C-3974-2016; Bucchieri, Anna/JJF-9400-2023; Zenzeri, Jacopo/X-5206-2019; DE MOMI, ELENA/D-7375-2016</t>
  </si>
  <si>
    <t>DE MOMI, ELENA/0000-0002-8819-2734; Bucchieri, Anna/0000-0002-7481-4774</t>
  </si>
  <si>
    <t>ENACT 1 , a FISM (Fondazione Italiana Sclerosi Multipla) Special Project; FISM; IIT (Istituto Italiano di Tecnologia); European Union - NextGenerationEU</t>
  </si>
  <si>
    <t>ENACT 1 , a FISM (Fondazione Italiana Sclerosi Multipla) Special Project; FISM(Fondazione Italiana Sclerosi Multipla (FISM)); IIT (Istituto Italiano di Tecnologia)(Istituto Italiano di Tecnologia - IIT); European Union - NextGenerationEU</t>
  </si>
  <si>
    <t>The authors declare that financial support was received for the research, authorship, and publication of this article, part of ENACT 1 , a FISM (Fondazione Italiana Sclerosi Multipla) Special Project. ENACT is supported by FISM cod. 2021/Special/003 and financed with the a 5 per mille public funding. IIT (Istituto Italiano di Tecnologia) co-funded the study. This work was also carried out within the framework of the project RAISE - Robotics and AI for Socioeconomic Empowerment 2 . RAISE has been supported and funded by European Union - NextGenerationEU. However, the views and opinions expressed are those of the authors alone and do not necessarily reflect those of the European Union or the European Commission. Neither the European Union nor the European Commission can be held responsible for them.</t>
  </si>
  <si>
    <t>FEB 27</t>
  </si>
  <si>
    <t>10.3389/frobt.2024.1335147</t>
  </si>
  <si>
    <t>KR6X3</t>
  </si>
  <si>
    <t>WOS:001181743800001</t>
  </si>
  <si>
    <t>Pirasteh, A; Ghiyasvand, MS; Pouladian, M</t>
  </si>
  <si>
    <t>Pirasteh, Alireza; Ghiyasvand, Manouchehr Shamseini; Pouladian, Majid</t>
  </si>
  <si>
    <t>EEG-based brain-computer interface methods with the aim of rehabilitating advanced stage ALS patients</t>
  </si>
  <si>
    <t>Amyotrophic lateral sclerosis (ALS;); brain-computer interfaces (BCI;); rehabilitation electroencephalography (EEG;); common spatial pattern (CSP;); classification</t>
  </si>
  <si>
    <t>FEATURE-EXTRACTION; CLASSIFICATION; SIGNALS; PATTERN</t>
  </si>
  <si>
    <t>Amyotrophic Lateral Sclerosis (ALS) is a neurodegenerative disease that leads to progressive muscle weakness and paralysis, ultimately resulting in the loss of ability to communicate and control the environment. EEG-based Brain-Computer Interface (BCI) methods have shown promise in providing communication and control with the aim of rehabilitating ALS patients. In particular, P300-based BCI has been widely studied and used for ALS rehabilitation. Other EEG-based BCI methods, such as Motor Imagery (MI) based BCI and Hybrid BCI, have also shown promise in ALS rehabilitation. Nonetheless, EEG-based BCI methods hold great potential for improvement. This review article introduces and reviews FFT, WPD, CSP, CSSP, CSP, and GC feature extraction methods. The Common Spatial Pattern (CSP) is an efficient and common technique for extracting data properties used in BCI systems. In addition, Linear Discriminant Analysis (LDA), Support Vector Machine (SVM), Neural Networks (NN), and Deep Learning (DL) classification methods were introduced and reviewed. SVM is the most appropriate classifier due to its insensitivity to the curse of dimensionality. Also, DL is used in the design of BCI systems and is a good choice for BCI systems based on motor imagery with big datasets. Despite the progress made in the field, there are still challenges to overcome, such as improving the accuracy and reliability of EEG signal detection and developing more intuitive and user-friendly interfaces By using BCI, disabled patients can communicate with their caregivers and control their environment using various devices, including wheelchairs, and robotic arms.</t>
  </si>
  <si>
    <t>[Pirasteh, Alireza; Ghiyasvand, Manouchehr Shamseini] Islamic Azad Univ, Dept Biomed Engn, South Tehran Branch, Tehran, Iran; [Pouladian, Majid] Islamic Azad Univ, Dept Biomed Engn, Sci &amp; Res Branch, Tehran, Iran</t>
  </si>
  <si>
    <t>Islamic Azad University; Islamic Azad University</t>
  </si>
  <si>
    <t>Ghiyasvand, MS (corresponding author), Islamic Azad Univ, Dept Biomed Engn, South Tehran Branch, Tehran, Iran.</t>
  </si>
  <si>
    <t>M_ghiyasvand@azad.ac.ir</t>
  </si>
  <si>
    <t>Pouladian, Majid/AAA-2864-2019</t>
  </si>
  <si>
    <t>Pirasteh, Alireza/0000-0001-6267-0868</t>
  </si>
  <si>
    <t>Department of Biomedical Engineering of South Tehran Branch Azad University</t>
  </si>
  <si>
    <t>This article was extracted from the thesis prepared by Alireza Pirasteh. The authors acknowledge the Department of Biomedical Engineering of South Tehran Branch Azad University, and the Research Deputy for the support of the research.</t>
  </si>
  <si>
    <t>NOV 16</t>
  </si>
  <si>
    <t>10.1080/17483107.2024.2316312</t>
  </si>
  <si>
    <t>L8S5K</t>
  </si>
  <si>
    <t>WOS:001175768700001</t>
  </si>
  <si>
    <t>Wang, YZ; Xie, Z; Huang, HS; Liang, XQ</t>
  </si>
  <si>
    <t>Wang, Yuzhe; Xie, Zhen; Huang, Huishi; Liang, Xinquan</t>
  </si>
  <si>
    <t>Pioneering healthcare with soft robotic devices: A review</t>
  </si>
  <si>
    <t>SMART MEDICINE</t>
  </si>
  <si>
    <t>implants; prosthetics; rehabilitations; soft robotic devices; soft sensors; surgical interventions; wearables</t>
  </si>
  <si>
    <t>INFLATABLE EXOSUIT; ACTUATORS; DRIVEN; DESIGN</t>
  </si>
  <si>
    <t>Recent advancements in soft robotics have been emerging as an exciting paradigm in engineering due to their inherent compliance, safe human interaction, and ease of adaptation with wearable electronics. Soft robotic devices have the potential to provide innovative solutions and expand the horizons of possibilities for biomedical applications by bringing robots closer to natural creatures. In this review, we survey several promising soft robot technologies, including flexible fluidic actuators, shape memory alloys, cable-driven mechanisms, magnetically driven mechanisms, and soft sensors. Selected applications of soft robotic devices as medical devices are discussed, such as surgical intervention, soft implants, rehabilitation and assistive devices, soft robotic exosuits, and prosthetics. We focus on how soft robotics can improve the effectiveness, safety and patient experience for each use case, and highlight current research and clinical challenges, such as biocompatibility, long-term stability, and durability. Finally, we discuss potential directions and approaches to address these challenges for soft robotic devices to move toward real clinical translations in the future. The use of soft actuation mechanisms in robotics has expanded the horizons of possibilities for biomedical applications and brought robots closer to humans. This review surveys several promising soft robotic technologies and presents selected applications of soft robotic devices as medical devices. Current research and clinical challenges are highlighted, and potential future directions to address these challenges for soft robotic devices to move toward real clinical translations are discussed. image</t>
  </si>
  <si>
    <t>[Wang, Yuzhe; Liang, Xinquan] ASTAR, Singapore Inst Mfg Technol, Singapore, Singapore; [Xie, Zhen; Huang, Huishi] Agcy Sci Technol &amp; Res, Adv Remfg &amp; Technol Ctr, Singapore, Singapore; [Huang, Huishi] Natl Univ Singapore, Dept Mech Engn, Singapore, Singapore</t>
  </si>
  <si>
    <t>Agency for Science Technology &amp; Research (A*STAR); A*STAR - Singapore Institute of Manufacturing Technology (SIMTech); Agency for Science Technology &amp; Research (A*STAR); A*STAR - Advanced Remanufacturing &amp; Technology Centre (ARTC); National University of Singapore</t>
  </si>
  <si>
    <t>Wang, YZ (corresponding author), ASTAR, Singapore Inst Mfg Technol, Singapore, Singapore.</t>
  </si>
  <si>
    <t>wangyz@simtech.a-star.edu.sg</t>
  </si>
  <si>
    <t>Wang, Yuzhe/AAB-9473-2022</t>
  </si>
  <si>
    <t>Wang, Yuzhe/0000-0002-5724-1046</t>
  </si>
  <si>
    <t>Agency for Science, Technology and Research, Singapore [C211518007]</t>
  </si>
  <si>
    <t>Agency for Science, Technology and Research, Singapore(Agency for Science Technology &amp; Research (A*STAR))</t>
  </si>
  <si>
    <t>This work was supported by Agency for Science, Technology and Research, Singapore (grant no. C211518007).</t>
  </si>
  <si>
    <t>2751-1871</t>
  </si>
  <si>
    <t>SMART MED</t>
  </si>
  <si>
    <t>Smart Med.</t>
  </si>
  <si>
    <t>e20230045</t>
  </si>
  <si>
    <t>10.1002/SMMD.20230045</t>
  </si>
  <si>
    <t>Engineering, Biomedical; Materials Science, Biomaterials</t>
  </si>
  <si>
    <t>OM2N1</t>
  </si>
  <si>
    <t>WOS:001207625400001</t>
  </si>
  <si>
    <t>He, Q; Yang, Y; Ge, P; Li, S; Chai, X; Luo, Z; Zhao, J</t>
  </si>
  <si>
    <t>He, Qiheng; Yang, Yi; Ge, Peicong; Li, Sining; Chai, Xiaoke; Luo, Zhongqiu; Zhao, Jizong</t>
  </si>
  <si>
    <t>The brain nebula: minimally invasive brain-computer interface by endovascular neural recording and stimulation</t>
  </si>
  <si>
    <t>JOURNAL OF NEUROINTERVENTIONAL SURGERY</t>
  </si>
  <si>
    <t>Brain; Device; EEG; Technique; Technology</t>
  </si>
  <si>
    <t>CAVERNOUS SINUS EEG; ELECTRODE ARRAY; ELECTROENCEPHALOGRAPHY</t>
  </si>
  <si>
    <t>A brain-computer interface (BCI) serves as a direct communication channel between brain activity and external devices, typically a computer or robotic limb. Advances in technology have led to the increasing use of intracranial electrical recording or stimulation in the treatment of conditions such as epilepsy, depression, and movement disorders. This indicates that BCIs can offer clinical neurological rehabilitation for patients with disabilities and functional impairments. They also provide a means to restore consciousness and functionality for patients with sequelae from major brain diseases. Whether invasive or non-invasive, the collected cortical or deep signals can be decoded and translated for communication. This review aims to provide an overview of the advantages of endovascular BCIs compared with conventional BCIs, along with insights into the specific anatomical regions under study. Given the rapid progress, we also provide updates on ongoing clinical trials and the prospects for current research involving endovascular electrodes.</t>
  </si>
  <si>
    <t>[He, Qiheng; Yang, Yi; Ge, Peicong; Zhao, Jizong] Beijing Tiantan Hosp, Capital Med Univ, Dept Neurosurgery, Beijing, Peoples R China; [He, Qiheng; Yang, Yi; Chai, Xiaoke] Beijing Tiantan Hosp, Capital Med Univ, Brain Comp Interface Transit Res Ctr, Beijing, Peoples R China; [Yang, Yi; Zhao, Jizong] China Natl Ctr Neurol Disorders, Beijing, Peoples R China; [Yang, Yi; Zhao, Jizong] China Natl Clin Res Ctr Neurol Dis, Beijing, Peoples R China; [Yang, Yi] Natl Res Ctr Rehabil Tech Aids, Beijing, Peoples R China; [Yang, Yi] Chinese Inst Brain Res, Beijing, Peoples R China; [Yang, Yi] Beijing Inst Brain Disorders, Beijing, Peoples R China; [Li, Sining] Nankai Univ, Tianjin Key Lab Brain Sci &amp; Intelligent Rehabil, Coll Artificial Intelligence, Tianjin, Peoples R China; [Luo, Zhongqiu] Shenzhen Qianhai Shekou Free Trade Zone Hosp, Dept Neurosurgery, Shenzhen, Peoples R China</t>
  </si>
  <si>
    <t>Capital Medical University; Capital Medical University; Capital Medical University; Chinese Institute for Brain Research, Beijing; Nankai University; Shenzhen Qianhai Shekou Free Trade Zone Hospital</t>
  </si>
  <si>
    <t>Zhao, J (corresponding author), Beijing Tiantan Hosp, Capital Med Univ, Dept Neurosurgery, Beijing, Peoples R China.</t>
  </si>
  <si>
    <t>zhaojizong@bjtth.org</t>
  </si>
  <si>
    <t>, 大葱/AAP-3677-2020; He, Qiheng/HNP-1686-2023</t>
  </si>
  <si>
    <t>He, Qiheng/0000-0001-6715-298X</t>
  </si>
  <si>
    <t>The authors thank Ziyi Wang for her assistance in computer science.</t>
  </si>
  <si>
    <t>1759-8478</t>
  </si>
  <si>
    <t>1759-8486</t>
  </si>
  <si>
    <t>J NEUROINTERV SURG</t>
  </si>
  <si>
    <t>J. NeuroInterventional Surg.</t>
  </si>
  <si>
    <t>10.1136/jnis-2023-021296</t>
  </si>
  <si>
    <t>Neuroimaging; Surgery</t>
  </si>
  <si>
    <t>Q5X0Y</t>
  </si>
  <si>
    <t>WOS:001172948300001</t>
  </si>
  <si>
    <t>Tang, DD; Qi, LZ; Xiao, LM; Zhang, YD</t>
  </si>
  <si>
    <t>Tang, Dedong; Qi, Lingzhi; Xiao, Limei; Zhang, Yongde</t>
  </si>
  <si>
    <t>Research progress and development trend of flexible hand rehabilitation gloves</t>
  </si>
  <si>
    <t>PROCEEDINGS OF THE INSTITUTION OF MECHANICAL ENGINEERS PART C-JOURNAL OF MECHANICAL ENGINEERING SCIENCE</t>
  </si>
  <si>
    <t>Hand rehabilitation; pneumatic driven; motor-driven; task-oriented rehabilitation theory; mirror rehabilitation therapy</t>
  </si>
  <si>
    <t>UPPER-LIMB EXOSKELETON; SLIDING MODE CONTROL; POWERED EXOSKELETON; BODY EXOSKELETON; PASSIVE EXOSKELETON; LEG EXOSKELETON; WEARABLE ROBOT; CONTROL DESIGN; LOAD; HYBRID</t>
  </si>
  <si>
    <t>The flexible hand rehabilitation glove is proposed to solve the problems of long rehabilitation training time for patients and high workload for doctors, and to make the treatment more effective. With the advances in robotics, robotic-assisted therapy has developed rapidly and has become an essential complement to conventional treatment. To understand flexible hand rehabilitation glove devices, with the different construction types of actuators and drive methods as the mainline, the corresponding study of these structures as the auxiliary lines. The characteristics and the current state of research have been discussed. A brief introduction to manufacturing actuators and rehabilitation systems is also given. Through the analysis of hand rehabilitation gloves, some current advantages and disadvantages are summarized, and future directions and functional diversification are envisaged. Certain feasible research suggestions have been proposed for future development regarding structure, functional diversity, and a combination of driving methods. These include that there will be more combinations of pneumatic and motor driven, combining the advantages of both methods to overcome the disadvantages of each. The structural design will be more in line with anatomy and ergonomics, make it more esthetically pleasing. More innovative controls methods will be adopted to achieve more complex rehabilitation functions.</t>
  </si>
  <si>
    <t>[Tang, Dedong; Qi, Lingzhi; Zhang, Yongde] Harbin Univ Sci &amp; Technol, Minist Educ, Sch Mech &amp; Power Engn, Key Lab Adv Mfg &amp; Intelligent Technol, 52 Xuefu Rd, Harbin 150080, Peoples R China; [Xiao, Limei] Harbin Univ Sci &amp; Technol, Lib, Harbin, Peoples R China</t>
  </si>
  <si>
    <t>Ministry of Education - China; Harbin University of Science &amp; Technology; Harbin University of Science &amp; Technology</t>
  </si>
  <si>
    <t>Tang, DD (corresponding author), Harbin Univ Sci &amp; Technol, Minist Educ, Sch Mech &amp; Power Engn, Key Lab Adv Mfg &amp; Intelligent Technol, 52 Xuefu Rd, Harbin 150080, Peoples R China.</t>
  </si>
  <si>
    <t>tdd1972@163.com</t>
  </si>
  <si>
    <t>National Natural Science Foundation of China [52275015]</t>
  </si>
  <si>
    <t>The author(s) disclosed receipt of the following financial support for the research, authorship, and/or publication of this article: National Natural Science Foundation of China, Grant/Award Number: 52275015</t>
  </si>
  <si>
    <t>0954-4062</t>
  </si>
  <si>
    <t>2041-2983</t>
  </si>
  <si>
    <t>P I MECH ENG C-J MEC</t>
  </si>
  <si>
    <t>Proc. Inst. Mech. Eng. Part C-J. Eng. Mech. Eng. Sci.</t>
  </si>
  <si>
    <t>10.1177/09544062241230223</t>
  </si>
  <si>
    <t>A2R2X</t>
  </si>
  <si>
    <t>WOS:001163844200001</t>
  </si>
  <si>
    <t>Coser, O; Tamantini, C; Soda, P; Zollo, L</t>
  </si>
  <si>
    <t>Coser, Omar; Tamantini, Christian; Soda, Paolo; Zollo, Loredana</t>
  </si>
  <si>
    <t>AI-based methodologies for exoskeleton-assisted rehabilitation of the lower limb: a review</t>
  </si>
  <si>
    <t>artificial intelligence reinforcement learning; support vector machine; neural network; decision tree; lower extremeties</t>
  </si>
  <si>
    <t>SUPPORT VECTOR MACHINES; PREDICTION; ROBOT; CLASSIFICATION; GENERATION; DESIGN</t>
  </si>
  <si>
    <t>Over the past few years, there has been a noticeable surge in efforts to design novel tools and approaches that incorporate Artificial Intelligence (AI) into rehabilitation of persons with lower-limb impairments, using robotic exoskeletons. The potential benefits include the ability to implement personalized rehabilitation therapies by leveraging AI for robot control and data analysis, facilitating personalized feedback and guidance. Despite this, there is a current lack of literature review specifically focusing on AI applications in lower-limb rehabilitative robotics. To address this gap, our work aims at performing a review of 37 peer-reviewed papers. This review categorizes selected papers based on robotic application scenarios or AI methodologies. Additionally, it uniquely contributes by providing a detailed summary of input features, AI model performance, enrolled populations, exoskeletal systems used in the validation process, and specific tasks for each paper. The innovative aspect lies in offering a clear understanding of the suitability of different algorithms for specific tasks, intending to guide future developments and support informed decision-making in the realm of lower-limb exoskeleton and AI applications.</t>
  </si>
  <si>
    <t>[Coser, Omar; Soda, Paolo] Univ Campus Biomed Roma, Unit Comp Syst &amp; Bioinformat, Rome, Italy; [Coser, Omar; Tamantini, Christian; Zollo, Loredana] Univ Campus Biomed Roma, Unit Adv Robot &amp; Human Ctr Technol, Rome, Italy; [Soda, Paolo] Umea Univ, Dept Diagnost &amp; Intervent, Radiat Phys, Biomed Engn, Umea, Sweden</t>
  </si>
  <si>
    <t>University Campus Bio-Medico - Rome Italy; University Campus Bio-Medico - Rome Italy; Umea University</t>
  </si>
  <si>
    <t>Coser, O (corresponding author), Univ Campus Biomed Roma, Unit Comp Syst &amp; Bioinformat, Rome, Italy.;Coser, O (corresponding author), Univ Campus Biomed Roma, Unit Adv Robot &amp; Human Ctr Technol, Rome, Italy.</t>
  </si>
  <si>
    <t>omar.coser@unicampus.it</t>
  </si>
  <si>
    <t>Zollo, Loredana/AAB-9645-2020; Tamantini, Christian/ABH-4115-2020</t>
  </si>
  <si>
    <t>Tamantini, Christian/0000-0001-6238-2241</t>
  </si>
  <si>
    <t>Ministero dell'Universit e della Ricerca10.13039/501100021856</t>
  </si>
  <si>
    <t>FEB 9</t>
  </si>
  <si>
    <t>10.3389/frobt.2024.1341580</t>
  </si>
  <si>
    <t>IW4B2</t>
  </si>
  <si>
    <t>WOS:001169350300001</t>
  </si>
  <si>
    <t>Chen, KH; Zhu, SY; Tang, YD; Lan, FX; Liu, ZY</t>
  </si>
  <si>
    <t>Chen, Kehan; Zhu, Siyi; Tang, Yidan; Lan, Fuxia; Liu, Zuoyan</t>
  </si>
  <si>
    <t>Advances in balance training to prevent falls in stroke patients: a scoping review</t>
  </si>
  <si>
    <t>stroke; rehabilitation; postural balance; exercise; accidental falls</t>
  </si>
  <si>
    <t>FEEDBACK; IMPROVES; SYSTEM</t>
  </si>
  <si>
    <t>Objective: To summarize the status and characteristics of the available evidence, research gaps, and future research priorities for preventing falls in stroke patients through balance training. Methods: We used a scoping review framework. A systematic search of PUBMED, Embase, and Cochrane databases for main articles was conducted. Our study only included articles that on balance training and fall-related indicators in stroke patients. Two researchers independently screened the literature according to the inclusion and exclusion criteria. The data of demographic, clinical characteristics, intervention, sample, and outcome indicators were extracted. The characteristics and limitations of the included literature were comprehensively analyzed. Results: Of the 1,058 studies, 31 were included. The methods of balance training include regular balance training, Tai Chi, Yoga, task balance training, visual balance training, multisensory training, aquatic balance training, perturbation-based balance training, cognitive balance training, system-based balance training, and robot-assisted balance training. The commonly used outcome measures include clinical balance test, such as Berg balance scale (BBS), Timed Up-and-Go Test (TUG), Fall Risk Index assessment (FRI), Fall Efficacy Scale score (FES), and instrumented balance tests. Conclusion: This scoping review summarizes the existing primary research on preventing falls in stroke patients by balance training. Based on the summary of the existing evidence, the characteristics of balance training and their relation to falls in stroke patients were found. The future researches should explore how to develop personalized training program, the sound combination of various balance training, to more effectively prevent falls.</t>
  </si>
  <si>
    <t>[Chen, Kehan; Zhu, Siyi; Tang, Yidan; Liu, Zuoyan] Sichuan Univ, West China Hosp, Dept Rehabil Med, Rehabil Med Key Lab Sichuan Prov, Chengdu, Sichuan, Peoples R China; [Chen, Kehan; Lan, Fuxia] Sichuan Univ, West China Hosp, Dept Cardiol, Chengdu, Sichuan, Peoples R China; [Chen, Kehan; Liu, Zuoyan] Sichuan Univ, West China Hosp, West China Sch Nursing, Chengdu, Sichuan, Peoples R China</t>
  </si>
  <si>
    <t>Sichuan University; Sichuan University; Sichuan University</t>
  </si>
  <si>
    <t>Liu, ZY (corresponding author), Sichuan Univ, West China Hosp, Dept Rehabil Med, Rehabil Med Key Lab Sichuan Prov, Chengdu, Sichuan, Peoples R China.;Liu, ZY (corresponding author), Sichuan Univ, West China Hosp, West China Sch Nursing, Chengdu, Sichuan, Peoples R China.</t>
  </si>
  <si>
    <t>Zuo.yan.2008@163.com</t>
  </si>
  <si>
    <t>Tang, Yidan/KJM-5286-2024</t>
  </si>
  <si>
    <t>National Natural Science Foundation of China [82272599]; Natural Science Foundation of Sichuan Province [24NSFSC1537]; Nursing discipline development of West China Hospital of Sichuan University [HXHL21040]; Medical Research Project of Chengdu, Sichuan Province [2022030]; 1.3.5 project for disciplines of excellence, West China Hospital, Sichuan University [ZYGD23014]</t>
  </si>
  <si>
    <t>National Natural Science Foundation of China(National Natural Science Foundation of China (NSFC)); Natural Science Foundation of Sichuan Province; Nursing discipline development of West China Hospital of Sichuan University; Medical Research Project of Chengdu, Sichuan Province; 1.3.5 project for disciplines of excellence, West China Hospital, Sichuan University</t>
  </si>
  <si>
    <t>This study was entirely funded by the following funds: National Natural Science Foundation of China (82272599); Natural Science Foundation of Sichuan Province (24NSFSC1537); Nursing discipline development of West China Hospital of Sichuan University (HXHL21040); Medical Research Project of Chengdu, Sichuan Province (2022030); 1.3.5 project for disciplines of excellence, West China Hospital, Sichuan University (ZYGD23014). The funders played no role in the design, conduct, or reporting of this study.r This study was entirely funded by the following funds: National Natural Science Foundation of China (82272599); Natural Science Foundation of Sichuan Province (24NSFSC1537); Nursing discipline development of West China Hospital of Sichuan University (HXHL21040); Medical Research Project of Chengdu, Sichuan Province (2022030); 1.3.5 project for disciplines of excellence, West China Hospital, Sichuan University (ZYGD23014). The funders played no role in the design, conduct, or reporting of this study.</t>
  </si>
  <si>
    <t>FEB 5</t>
  </si>
  <si>
    <t>10.3389/fneur.2024.1167954</t>
  </si>
  <si>
    <t>JB9G7</t>
  </si>
  <si>
    <t>WOS:001170806600001</t>
  </si>
  <si>
    <t>Park, J; Lee, Y; Cho, S; Choe, A; Yeom, J; Ro, YG; Kim, J; Kang, DH; Lee, S; Ko, H</t>
  </si>
  <si>
    <t>Park, Jonghwa; Lee, Youngoh; Cho, Seungse; Choe, Ayoung; Yeom, Jeonghee; Ro, Yun Goo; Kim, Jinyoung; Kang, Dong-hee; Lee, Seungjae; Ko, Hyunhyub</t>
  </si>
  <si>
    <t>Soft Sensors and Actuators for Wearable Human-Machine Interfaces</t>
  </si>
  <si>
    <t>HIGH-PERFORMANCE; LARGE-AREA; ELECTRONIC-SKIN; ON-SKIN; TRIBOELECTRIC NANOGENERATORS; DIELECTRIC ELASTOMERS; HAND REHABILITATION; TACTILE PERCEPTION; PRESSURE SENSORS; COMPUTER VISION</t>
  </si>
  <si>
    <t>Haptic human-machine interfaces (HHMIs) combine tactile sensation and haptic feedback to allow humans to interact closely with machines and robots, providing immersive experiences and convenient lifestyles. Significant progress has been made in developing wearable sensors that accurately detect physical and electrophysiological stimuli with improved softness, functionality, reliability, and selectivity. In addition, soft actuating systems have been developed to provide high-quality haptic feedback by precisely controlling force, displacement, frequency, and spatial resolution. In this Review, we discuss the latest technological advances of soft sensors and actuators for the demonstration of wearable HHMIs. We particularly focus on highlighting material and structural approaches that enable desired sensing and feedback properties necessary for effective wearable HHMIs. Furthermore, promising practical applications of current HHMI technology in various areas such as the metaverse, robotics, and user-interactive devices are discussed in detail. Finally, this Review further concludes by discussing the outlook for next-generation HHMI technology.</t>
  </si>
  <si>
    <t>[Park, Jonghwa; Lee, Youngoh; Cho, Seungse; Choe, Ayoung; Yeom, Jeonghee; Ro, Yun Goo; Kim, Jinyoung; Kang, Dong-hee; Lee, Seungjae; Ko, Hyunhyub] Ulsan Natl Inst Sci &amp; Technol UNIST, Sch Energy &amp; Chem Engn, Ulsan 44919, South Korea</t>
  </si>
  <si>
    <t>Ulsan National Institute of Science &amp; Technology (UNIST)</t>
  </si>
  <si>
    <t>Ko, H (corresponding author), Ulsan Natl Inst Sci &amp; Technol UNIST, Sch Energy &amp; Chem Engn, Ulsan 44919, South Korea.</t>
  </si>
  <si>
    <t>hyunhko@unist.ac.kr</t>
  </si>
  <si>
    <t>Kang, Dong-hee/0000-0002-1826-1052; Lee, Youngoh/0000-0002-7691-6272; Park, Jonghwa/0000-0001-9201-7341</t>
  </si>
  <si>
    <t>National Research Foundation of Korea [2021R1A2C3009222, 2022M3H4A1A02076825]; National Research Foundation (NRF) of Korea</t>
  </si>
  <si>
    <t>National Research Foundation of Korea(National Research Foundation of Korea); National Research Foundation (NRF) of Korea(National Research Foundation of Korea)</t>
  </si>
  <si>
    <t>This work was supported by the National Research Foundation (NRF) of Korea (2021R1A2C3009222, 2022M3H4A1A02076825).</t>
  </si>
  <si>
    <t>10.1021/acs.chemrev.3c00356</t>
  </si>
  <si>
    <t>JW2L2</t>
  </si>
  <si>
    <t>WOS:001163356600001</t>
  </si>
  <si>
    <t>Rangan, RP; Babu, SR</t>
  </si>
  <si>
    <t>Rangan, R. Prashanna; Babu, S. Ramesh</t>
  </si>
  <si>
    <t>Exo skeleton pertinence and control techniques: A state-of-the-art review</t>
  </si>
  <si>
    <t>Exo-skeleton; strength augmentation; rehabilitation therapy; rehabilitation devices; musculoskeletal injury; weight lifting aid; dynamic control of exoskeleton; trend of exoskeleton; growth of exoskeleton; control approaches of exoskeleton</t>
  </si>
  <si>
    <t>UPPER-LIMB EXOSKELETON; SLIDING MODE CONTROL; POWERED EXOSKELETON; BODY EXOSKELETON; PASSIVE EXOSKELETON; LEG EXOSKELETON; WEARABLE ROBOT; CONTROL DESIGN; REHABILITATION; LOAD</t>
  </si>
  <si>
    <t>Exo-Skeleton is a wearable robotic device which was emerged in later 1960s that has a multitude of applications ranging from weightlifting to wearer's stability improvement. This paper makes a novel approach in reviewing the various exo-skeleton models that are available at the present. The idea of this paper is to study and compare the models in terms of medical applicability like gait rehabilitation, physiotherapy, human strength augmentation, various control strategies of exo-skeleton, ergonomic study, and need for exo-skeleton system for enhancing the life of humans. Since exo-skeletons are wearable devices, it requires precise controlling of the actuators and repeatability, and accuracy plays a vital role. The paper elucidated with a detailed analysis, reviewed and summarized the core essence of 300 research papers and patents in the field of exo-skeleton with the aforesaid aspects of application and drive system with their control methodologies from 2007 to 2022 and shown a trend with year-wise data from which it is clear that the future of industrial work will become a collaborative activity involving the exo-skeleton system with human labours. Human - robot interaction is vital and must for enabling an integration which can be achieved with the amelioration in the control and actuation techniques for precise control. With the furtherance in the technology the exo-skeletons can be purpose built that can be of rigid or flexible structures with active, passive, or quasi-passive controls based on the user needs. Joint handed operation of Exo-skeleton with the alternative treatment methodologies will yield a plethora of benefits in the near future in comparison with the present conventional treatment modes that could result in reduction of surgeries.</t>
  </si>
  <si>
    <t>[Rangan, R. Prashanna; Babu, S. Ramesh] Sri Venkateswara Coll Engn, Dept Mech Engn, Sriperumbudur, Tamil Nadu, India</t>
  </si>
  <si>
    <t>Rangan, RP (corresponding author), Sri Venkateswara Coll Engn, Dept Mech Engn, Sriperumbudur 602117, Tamil Nadu, India.</t>
  </si>
  <si>
    <t>prashanna098@gmail.com</t>
  </si>
  <si>
    <t>S, RAMESH/AAK-1622-2021; R, Prashanna Rangan/ADJ-5653-2022</t>
  </si>
  <si>
    <t>R, Prashanna Rangan/0000-0002-4824-5491</t>
  </si>
  <si>
    <t>10.1177/09544062241226842</t>
  </si>
  <si>
    <t>WOS:001156703700001</t>
  </si>
  <si>
    <t>Sherif, O; Bassuoni, MM; Mehrez, O</t>
  </si>
  <si>
    <t>Sherif, Omar; Bassuoni, Mohamed Mahgoub; Mehrez, Omar</t>
  </si>
  <si>
    <t>A survey on the state of the art of force myography technique (FMG): analysis and assessment</t>
  </si>
  <si>
    <t>Biofeedback; FMG; EMG; Machine learning; Robotic exoskeletons; Feature Extraction</t>
  </si>
  <si>
    <t>SURFACE-ELECTROMYOGRAPHY; FEATURE-EXTRACTION; FOREARM FMG; REHABILITATION; PERFORMANCE; MOTION; EMG; BIOFEEDBACK; SIGNALS; SENSORS</t>
  </si>
  <si>
    <t>Precise feedback assures precise control commands especially for assistive or rehabilitation devices. Biofeedback systems integrated with assistive or rehabilitative robotic exoskeletons tend to increase its performance and effectiveness. Therefore, there has been plenty of research in the field of biofeedback covering different aspects such as signal acquisition, conditioning, feature extraction and integration with the control system. Among several types of biofeedback systems, Force myography (FMG) technique is a promising one in terms of affordability, high classification accuracies, ease to use, and low computational cost. Compared to traditional biofeedback systems such as electromyography (EMG) which offers some invasive techniques, FMG offers a completely non-invasive solution with much less effort for preprocessing with high accuracies. This work covers the whole aspects of FMG technique in terms of signal acquisition, feature extraction, signal processing, developing the machine learning model, evaluating tools for the performance of the model. Stating the difference between real-time and offline assessment, also highlighting the main uncovered points for further study, and thus enhancing the development of this technique.</t>
  </si>
  <si>
    <t>[Sherif, Omar; Bassuoni, Mohamed Mahgoub; Mehrez, Omar] Tanta Univ, Fac Engn, Mech Power Engn Dept, Tanta, Egypt</t>
  </si>
  <si>
    <t>Egyptian Knowledge Bank (EKB); Tanta University</t>
  </si>
  <si>
    <t>Sherif, O (corresponding author), Tanta Univ, Fac Engn, Mech Power Engn Dept, Tanta, Egypt.</t>
  </si>
  <si>
    <t>omar_sherif@f-eng.tanta.edu.eg</t>
  </si>
  <si>
    <t>Sherif, Omar/KIH-9245-2024</t>
  </si>
  <si>
    <t>Gamal El-Din, Omar/0009-0006-5840-4659</t>
  </si>
  <si>
    <t>Tanta University</t>
  </si>
  <si>
    <t>Tanta University(Egyptian Knowledge Bank (EKB)Tanta University)</t>
  </si>
  <si>
    <t>10.1007/s11517-024-03019-w</t>
  </si>
  <si>
    <t>NY4B5</t>
  </si>
  <si>
    <t>WOS:001154262400001</t>
  </si>
  <si>
    <t>Murphy, MA; Pradhan, S; Levin, MF; Hancock, NJ</t>
  </si>
  <si>
    <t>Alt Murphy, Margit; Pradhan, Sujata; Levin, Mindy F.; Hancock, Nicola J.</t>
  </si>
  <si>
    <t>Uptake of Technology for Neurorehabilitation in Clinical Practice: A Scoping Review</t>
  </si>
  <si>
    <t>PHYSICAL THERAPY</t>
  </si>
  <si>
    <t>Neurological; Rehabilitation; Neurological Conditions; Scoping; Technology; Translation; Uptake</t>
  </si>
  <si>
    <t>REHABILITATION; EXPERIENCES; EXERCISE; THERAPY; PEOPLE; SYSTEM</t>
  </si>
  <si>
    <t>Objective Technology-based interventions offer many opportunities to enhance neurorehabilitation, with associated research activity gathering pace. Despite this fact, translation for use in clinical practice has lagged research innovation. An overview of the current state of play regarding the extent of clinical uptake and factors that might influence use of technologies is required. This scoping review explored the uptake of technologies as neurorehabilitation interventions in clinical practice and factors that are reported to influence their uptake.Methods This systematic scoping review was conducted with narrative synthesis and evidence mapping. Studies of any design reporting uptake or implementation of technology (wearable devices, virtual reality, robotics, and exergaming) for movement neurorehabilitation after stroke and other neurological conditions were sought via a formal search strategy in MEDLINE (Ovid), CINAHL, AMED, and Embase. Full-text screening and data extraction were completed independently by 2 reviewers.Results Of 609 studies returned, 25 studies were included after title, abstract, and full-text screening. Studies investigated a range of technologies at various stages of development. Only 4 of the included studies explored the sustained use of technology in practice. The following 5 themes representing experiences of technology use emerged: perceived usefulness, technology design, social interaction, integration with services, and suggested improvements to enhance uptake.Conclusion Reporting of uptake and use of neurorehabilitation technologies in clinical practice is limited. The synthesis provided comprehensive knowledge of barriers to and facilitators of uptake to be considered in future protocols, including a steep learning curve required to engage with technology, a need for a supportive organizational culture, and a need for user involvement in both design and development.Impact This scoping review has provided indicators from current evidence of important factors to consider in the planning of research into and clinical implementation of technologies for neurorehabilitation. It serves to support an evidence-based, user-centered platform for improved research on and translation of technologies in neurorehabilitation clinical practice.</t>
  </si>
  <si>
    <t>[Alt Murphy, Margit] Univ Gothenburg, Sahlgrenska Acad, Inst Neurosci &amp; Physiol, Dept Clin Neurosci Rehabil Med, Gothenburg, Sweden; [Alt Murphy, Margit] Sahlgrens Univ Hosp, Dept Occupat Therapy &amp; Physiotherapy, Gothenburg, Sweden; [Pradhan, Sujata] Univ Washington, Dept Rehabil Med, Div Phys Therapy, Seattle, WA USA; [Levin, Mindy F.] McGill Univ, Fac Med &amp; Hlth Sci, Sch Phys &amp; Occupat Therapy, Montreal, PQ, Canada; [Levin, Mindy F.] Ctr Interdisciplinary Res Rehabil Greater Montrea, Montreal, PQ, Canada; [Hancock, Nicola J.] Univ East Anglia, Fac Med &amp; Hlth Sci, Sch Hlth Sci, Norwich, England</t>
  </si>
  <si>
    <t>University of Gothenburg; Sahlgrenska University Hospital; University of Washington; University of Washington Seattle; McGill University; Universite de Montreal; University of East Anglia</t>
  </si>
  <si>
    <t>Hancock, NJ (corresponding author), Univ East Anglia, Fac Med &amp; Hlth Sci, Sch Hlth Sci, Norwich, England.</t>
  </si>
  <si>
    <t>margit.alt-murphy@neuro.gu.se; sujatap@uw.edu; n.hancock@uea.ac.uk</t>
  </si>
  <si>
    <t>Alt Murphy, Margit/AAL-1112-2020</t>
  </si>
  <si>
    <t>Alt Murphy, Margit/0000-0002-3192-7787</t>
  </si>
  <si>
    <t>University of East Anglia</t>
  </si>
  <si>
    <t>We acknowledge Matthew Smith, the faculty librarian at the Faculty of Medicine and Health Sciences, the University of East Anglia, United Kingdom, for his invaluable support in developing the search strategy for this review. We also acknowledge the INPA for organizing the original webinar that was the starting point for this review, which was chaired by the author M.F.L. and at which the other authors presented (M.A.M., S.P., and N.H.).</t>
  </si>
  <si>
    <t>OXFORD UNIV PRESS INC</t>
  </si>
  <si>
    <t>CARY</t>
  </si>
  <si>
    <t>JOURNALS DEPT, 2001 EVANS RD, CARY, NC 27513 USA</t>
  </si>
  <si>
    <t>0031-9023</t>
  </si>
  <si>
    <t>1538-6724</t>
  </si>
  <si>
    <t>PHYS THER</t>
  </si>
  <si>
    <t>Phys. Therapy</t>
  </si>
  <si>
    <t>FEB 1</t>
  </si>
  <si>
    <t>pzad140</t>
  </si>
  <si>
    <t>10.1093/ptj/pzad140</t>
  </si>
  <si>
    <t>IN9G8</t>
  </si>
  <si>
    <t>WOS:001167119500006</t>
  </si>
  <si>
    <t>Bernal-Jimenez, JJ; Polonio-Lopez, B; Sanz-Garcia, A; Martin-Conty, JL; Lerin-Calvo, A; Segura-Fragoso, A; Martin-Rodriguez, F; Cantero-Garlito, PA; Corregidor-Sanchez, AI; Mordillo-Mateos, L</t>
  </si>
  <si>
    <t>Bernal-Jimenez, Juan J.; Polonio-Lopez, Begona; Sanz-Garcia, Ancor; Martin-Conty, Jose L.; Lerin-Calvo, Alfredo; Segura-Fragoso, Antonio; Martin-Rodriguez, Francisco; Cantero-Garlito, Pablo A.; Corregidor-Sanchez, Ana-Isabel; Mordillo-Mateos, Laura</t>
  </si>
  <si>
    <t>Is the Combination of Robot-Assisted Therapy and Transcranial Direct Current Stimulation Useful for Upper Limb Motor Recovery? A Systematic Review with Meta-Analysis</t>
  </si>
  <si>
    <t>robot-assisted therapy (RAT); transcranial direct current stimulation (tDCS); stroke; upper limb recovery; hand dexterity; spasticity</t>
  </si>
  <si>
    <t>NONINVASIVE BRAIN-STIMULATION; CHRONIC STROKE; DOUBLE-BLIND; REHABILITATION; EXCITABILITY; EXOSKELETON; SUBACUTE; PILOT; MODEL; AREA</t>
  </si>
  <si>
    <t>Stroke is the third leading cause of disability in the world, and effective rehabilitation is needed to improve lost functionality post-stroke. In this regard, robot-assisted therapy (RAT) and transcranial direct current stimulation (tDCS) are promising rehabilitative approaches that have been shown to be effective in motor recovery. In the past decade, they have been combined to study whether their combination produces adjuvant and greater effects on stroke recovery. The aim of this study was to estimate the effectiveness of the combined use of RATs and tDCS in the motor recovery of the upper extremities after stroke. After reviewing 227 studies, we included nine randomised clinical trials (RCTs) in this study. We analysed the methodological quality of all nine RCTs in the meta-analysis. The analysed outcomes were deficit severity, hand dexterity, spasticity, and activity. The addition of tDCS to RAT produced a negligible additional benefit on the effects of upper limb function (SMD -0.09, 95% CI -0.31 to 0.12), hand dexterity (SMD 0.12, 95% CI -0.22 to 0.46), spasticity (SMD 0.04, 95% CI -0.24 to 0.32), and activity (SMD 0.66, 95% CI -1.82 to 3.14). There is no evidence of an additional effect when adding tDCS to RAT for upper limb recovery after stroke. Combining tDCS with RAT does not improve upper limb motor function, spasticity, and/or hand dexterity. Future research should focus on the use of RAT protocols in which the patient is given an active role, focusing on the intensity and dosage, and determining how certain variables influence the success of RAT.</t>
  </si>
  <si>
    <t>[Bernal-Jimenez, Juan J.; Polonio-Lopez, Begona; Sanz-Garcia, Ancor; Martin-Conty, Jose L.; Segura-Fragoso, Antonio; Cantero-Garlito, Pablo A.; Corregidor-Sanchez, Ana-Isabel; Mordillo-Mateos, Laura] Univ Castilla La Mancha, Fac Hlth Sci, Talavera De La Reina 45600, Spain; [Bernal-Jimenez, Juan J.; Polonio-Lopez, Begona; Sanz-Garcia, Ancor; Martin-Conty, Jose L.; Segura-Fragoso, Antonio; Cantero-Garlito, Pablo A.; Corregidor-Sanchez, Ana-Isabel; Mordillo-Mateos, Laura] Univ Castilla La Mancha, Fac Hlth Sci, Technol Innovat Appl Hlth Res Grp ITAS Grp, Talavera De La Reina 45600, Spain; [Lerin-Calvo, Alfredo] Neruon Neurobot SL, Madrid 28015, Spain; [Lerin-Calvo, Alfredo] Univ La Salle, Fac Hlth Sci, Dept Physiotherapy, Madrid 28023, Spain; [Martin-Rodriguez, Francisco] Univ Valladolid, Fac Med, Valladolid 47005, Spain; [Martin-Rodriguez, Francisco] Emergency Med Serv SACYL, Adv Life Support, Valladolid 47007, Spain</t>
  </si>
  <si>
    <t>Universidad de Castilla-La Mancha; Universidad de Castilla-La Mancha; Universidad de Valladolid</t>
  </si>
  <si>
    <t>Polonio-Lopez, B (corresponding author), Univ Castilla La Mancha, Fac Hlth Sci, Talavera De La Reina 45600, Spain.;Polonio-Lopez, B (corresponding author), Univ Castilla La Mancha, Fac Hlth Sci, Technol Innovat Appl Hlth Res Grp ITAS Grp, Talavera De La Reina 45600, Spain.</t>
  </si>
  <si>
    <t>juanjose.bernal@uclm.es; begona.polonio@uclm.es; ancor.sanz@uclm.es; joseluis.martinconty@uclm.es; alerin@neuronrehab.es; asegurafr@gmail.com; fmartin@saludcastillayleon.es; pablo.cantero@uclm.es; anaisabel.corregidor@uclm.es; laura.mordillo@uclm.es</t>
  </si>
  <si>
    <t>SANCHEZ, ANA/ABF-1183-2020; Mordillo-Mateos, Laura/M-2548-2014; Sanz-García, Ancor/AAL-8043-2021; Cantero Garlito, Pablo A./D-3855-2009; Martín-Conty, José/AAI-1118-2020; Lerin Calvo, Alfredo/HZI-1431-2023; Polonio-Lopez, Begona/D-3878-2009</t>
  </si>
  <si>
    <t>Martin Conty, Jose Luis/0000-0001-8579-2323; bernal, juan/0000-0001-7031-1611; Corregidor Sanchez, Ana Isabel/0000-0001-8768-1942; Sanz-Garcia, Ancor/0000-0002-5024-5108; Lerin Calvo, Alfredo/0000-0002-7337-8747; Cantero Garlito, Pablo A./0000-0003-4406-392X; Mordillo-Mateos, Laura/0000-0003-3754-2279; Polonio-Lopez, Begona/0000-0003-2922-7519</t>
  </si>
  <si>
    <t>University of Castilla-La Mancha</t>
  </si>
  <si>
    <t>10.3390/healthcare12030337</t>
  </si>
  <si>
    <t>HN1B1</t>
  </si>
  <si>
    <t>WOS:001160080500001</t>
  </si>
  <si>
    <t>Buccilli, B</t>
  </si>
  <si>
    <t>Buccilli, Barbara</t>
  </si>
  <si>
    <t>Exploring new horizons: Emerging therapeutic strategies for pediatric stroke</t>
  </si>
  <si>
    <t>Stroke; Pediatric; Stem cell; Robotics; Neuromodulation; Neurostimulation; Deep brain stimulation</t>
  </si>
  <si>
    <t>DIRECT-CURRENT STIMULATION; TRANSCRANIAL MAGNETIC STIMULATION; MESENCHYMAL STEM-CELLS; NONINVASIVE BRAIN-STIMULATION; HUMAN MOTOR CORTEX; CEREBRAL-PALSY; COMPUTER INTERFACE; PERINATAL STROKE; DEVELOPMENTAL PLASTICITY; HEMIPARETIC CHILDREN</t>
  </si>
  <si>
    <t>Pediatric stroke presents unique challenges, and optimizing treatment strategies is essential for improving outcomes in this vulnerable population. This review aims to provide an overview of new, innovative, and potential treatments for pediatric stroke, with a primary objective to stimulate further research in this field. Our review highlights several promising approaches in the realm of pediatric stroke management, including but not limited to stem cell therapy and robotic rehabilitation. These innovative interventions offer new avenues for enhancing functional recovery, reducing long-term disability, and tailoring treatments to individual patient needs. The findings of this review underscore the importance of ongoing research and development of innovative treatments in pediatric stroke. These advancements hold significant clinical relevance, offering the potential to improve the lives of children affected by stroke by enhancing the precision, efficacy, and accessibility of therapeutic interventions. Embracing these innovations is essential in our pursuit of better outcomes and a brighter future for pediatric stroke care.</t>
  </si>
  <si>
    <t>[Buccilli, Barbara] Icahn Sch Med Mt Sinai, Dept Neurosurg, 1 Gustave L Levy Pl, New York, NY 10029 USA</t>
  </si>
  <si>
    <t>Icahn School of Medicine at Mount Sinai</t>
  </si>
  <si>
    <t>Buccilli, B (corresponding author), Icahn Sch Med Mt Sinai, Dept Neurosurg, 1 Gustave L Levy Pl, New York, NY 10029 USA.</t>
  </si>
  <si>
    <t>doctor.b.buccilli@gmail.com</t>
  </si>
  <si>
    <t>Buccilli, Barbara/IXW-7600-2023</t>
  </si>
  <si>
    <t>Buccilli, Barbara/0000-0002-3084-0217</t>
  </si>
  <si>
    <t>10.1016/j.expneurol.2024.114701</t>
  </si>
  <si>
    <t>JO3Z8</t>
  </si>
  <si>
    <t>WOS:001174082200001</t>
  </si>
  <si>
    <t>Zhang, XQ; Rong, XY; Luo, HW</t>
  </si>
  <si>
    <t>Zhang, Xiaoqian; Rong, Xiyin; Luo, Hanwen</t>
  </si>
  <si>
    <t>Optimizing lower limb rehabilitation: the intersection of machine learning and rehabilitative robotics</t>
  </si>
  <si>
    <t>FRONTIERS IN REHABILITATION SCIENCES</t>
  </si>
  <si>
    <t>lower limb rehabilitation; machine learning; rehabilitation robotics; personalized therapy; algorithm challenges</t>
  </si>
  <si>
    <t>EXOSKELETON; PROGRAM</t>
  </si>
  <si>
    <t>Lower limb rehabilitation is essential for recovery post-injury, stroke, or surgery, improving functional mobility and quality of life. Traditional therapy, dependent on therapists' expertise, faces challenges that are addressed by rehabilitation robotics. In the domain of lower limb rehabilitation, machine learning is progressively manifesting its capabilities in high personalization and data-driven approaches, gradually transforming methods of optimizing treatment protocols and predicting rehabilitation outcomes. However, this evolution faces obstacles, including model interpretability, economic hurdles, and regulatory constraints. This review explores the synergy between machine learning and robotic-assisted lower limb rehabilitation, summarizing scientific literature and highlighting various models, data, and domains. Challenges are critically addressed, and future directions proposed for more effective clinical integration. Emphasis is placed on upcoming applications such as Virtual Reality and the potential of deep learning in refining rehabilitation training. This examination aims to provide insights into the evolving landscape, spotlighting the potential of machine learning in rehabilitation robotics and encouraging balanced exploration of current challenges and future opportunities.</t>
  </si>
  <si>
    <t>[Zhang, Xiaoqian; Luo, Hanwen] Liuzhou Workers Hosp, Dept Joint Osteopathy, Liuzhou 545000, Guangxi, Peoples R China; [Zhang, Xiaoqian] Chinese Acad Sci, Shenzhen Inst Adv Technol, Ctr Neuroengn, Shenzhen, Peoples R China; [Rong, Xiyin] Johnson Intellectual Property Agcy, Patent Dept, Shenzhen, Peoples R China</t>
  </si>
  <si>
    <t>Chinese Academy of Sciences; Shenzhen Institute of Advanced Technology, CAS</t>
  </si>
  <si>
    <t>Luo, HW (corresponding author), Liuzhou Workers Hosp, Dept Joint Osteopathy, Liuzhou 545000, Guangxi, Peoples R China.</t>
  </si>
  <si>
    <t>luohanwen66@163.com</t>
  </si>
  <si>
    <t>Guangxi Science and Technology Department10.13039/501100011785</t>
  </si>
  <si>
    <t>2673-6861</t>
  </si>
  <si>
    <t>FRONT REHABIL SCI</t>
  </si>
  <si>
    <t>Front. Rehabil. Sci.</t>
  </si>
  <si>
    <t>JAN 26</t>
  </si>
  <si>
    <t>10.3389/fresc.2024.1246773</t>
  </si>
  <si>
    <t>HC1I7</t>
  </si>
  <si>
    <t>WOS:001157195200001</t>
  </si>
  <si>
    <t>Effects of robotic therapy associated with noninvasive brain stimulation on motor function in individuals with incomplete spinal cord injury: A systematic review of randomized controlled trials</t>
  </si>
  <si>
    <t>Non-invasive brain stimulation; Transcranial direct current stimulation; Repetitive transcranial magnetic stimulation; Robotics; Rehabilitation; Motor; Spinal cord injury</t>
  </si>
  <si>
    <t>TRANSCRANIAL MAGNETIC STIMULATION; GAIT; RECOVERY; STROKE; RTMS; EXCITABILITY; METAANALYSIS; MODULATION; INCREASES; STRENGTH</t>
  </si>
  <si>
    <t>ContextMotor deficits are among the most common consequences of incomplete spinal cord injury (SCI). These impairments can affect patients' levels of functioning and quality of life. Combined robotic therapy and non-invasive brain stimulation (NIBS) have been used to improve motor impairments in patients with corticospinal tract lesions.ObjectivesTo examine the effects of combined robotic therapy and NIBS on motor function post incomplete SCI.MethodsPubMed, SCOPUS, MEDLINE, PEDro, Web of Science, REHABDATA, CINAHL, and EMBASE were searched from inception until July 2023. The Physiotherapy Evidence Database (PEDro) scale was employed to evaluate the selected studies quality.ResultsOf 557 studies, five randomized trials (n = 122), with 25% of participants being females, were included in this review. The PEDro scores ranged from eight to nine, with a median score of nine. There were variations in treatment protocols and outcome measures, resulting in heterogeneous findings. The findings showed revealed evidence for the impacts of combined robotic therapy and NIBS on motor function in individuals with incomplete SCI.ConclusionsCombined robotic training and NIBS may be safe for individuals with incomplete SCI. The existing evidence concerning its effects on motor outcomes in individuals with SCI is limited. Further experimental studies are needed to understand the effects of combined robotic training and NIBS on motor impairments in SCI populations.</t>
  </si>
  <si>
    <t>[Alashram, Anas R.] Middle East Univ, Dept Physiotherapy, Amman, Jordan; [Alashram, Anas R.] Appl Sci Private Univ, Appl Sci Res Ctr, Amman, Jordan; [Alashram, Anas R.] San Raffaele Roma Open Univ, Dept Human Sci &amp; Promot Qual Life, Rome, Italy; [Alashram, Anas R.] Middle East Univ, Dept Physiotherapy, Airport Rd 1119, Amman, Jordan</t>
  </si>
  <si>
    <t>Middle East University; Applied Science University - Jordan; Middle East University</t>
  </si>
  <si>
    <t>Alashram, AR (corresponding author), Middle East Univ, Dept Physiotherapy, Airport Rd 1119, Amman, Jordan.</t>
  </si>
  <si>
    <t>10.1080/10790268.2024.2304921</t>
  </si>
  <si>
    <t>S7E1L</t>
  </si>
  <si>
    <t>WOS:001148152000001</t>
  </si>
  <si>
    <t>Parsaei, M; Amanollahi, M; Taghavizanjani, F; Khanmohammadi, S; Jameie, M; Moghadasi, AN</t>
  </si>
  <si>
    <t>Parsaei, Mohammadamin; Amanollahi, Mobina; Taghavizanjani, Fateme; Khanmohammadi, Shaghayegh; Jameie, Melika; Moghadasi, Abdorreza Naser</t>
  </si>
  <si>
    <t>Effects of non-pharmacological interventions on gait and balance of persons with Multiple Sclerosis: A narrative review</t>
  </si>
  <si>
    <t>Multiple Sclerosis; Mobility limitation; Walking; Gait; Physiotherapy; Virtual reality</t>
  </si>
  <si>
    <t>FUNCTIONAL ELECTRICAL-STIMULATION; VIRTUAL-REALITY; AUDITORY-STIMULATION; TEXTURED INSOLES; WALKING ABILITY; PARKINSONS-DISEASE; IMPROVE GAIT; PEOPLE; IMPAIRMENT; REHABILITATION</t>
  </si>
  <si>
    <t>Background: Multiple Sclerosis (MS) is among the most common reasons for disability in young adults. Mobility impairment, primarily related to gait and balance, is ranked as the preeminent concern among persons with MS (PwMS). Gait and balance dysfunction can directly affect the quality of life and activities of daily life in PwMS, hence the importance of effective treatment strategies. Previous studies have demonstrated the positive effect of various non -pharmacological rehabilitation methods, including physiotherapy and electrical stimulation, on gait and mobility in PwMS. Non -pharmacological methods can be tailored to the individual needs and abilities of each patient, allowing healthcare providers to create personalized training programs. Furthermore, these methods typically result in minimal or no side effects. Purpose: This review provides a comprehensive overview of an array of non -pharmacological treatment approaches aimed at enhancing ambulatory performance in PwMS. Methods: We performed a narrative review of the original papers available in PubMed, investigating the effects of different nonmedical approaches on the gait and balance performance of the PwMS. Reviewed treatment approaches include exercise, physical rehabilitation, dual -task (DT) rehabilitation, robot -assisted rehabilitation, virtual reality -assisted rehabilitation, game training, electrical stimulation devices, auditory stimulation, visual feedback, and shoe insoles. Results and conclusions: Eighty articles were meticulously reviewed. Our study highlights the positive effects of non -pharmacological interventions on patients' quality of life, reducing disability, fatigue, and muscle spasticity. While some methods, including exercise and physiotherapy, showed substantial promise, further research is needed to evaluate whether visual biofeedback and auditory stimulation are preferable over conventional approaches. Additionally, approaches such as functional electrical stimulation, non-invasive brain stimulation, and shoe insoles demonstrate substantial short-term benefits, prompting further investigation into their long-term effects. Non -pharmacological interventions can serve as a valuable complement to medication -based approaches.</t>
  </si>
  <si>
    <t>[Parsaei, Mohammadamin] Univ Tehran Med Sci, Imam Khomeini Hosp Complex, Family Hlth Res Inst, Maternal Fetal &amp; Neonatal Res Ctr, Tehran, Iran; [Amanollahi, Mobina; Taghavizanjani, Fateme; Khanmohammadi, Shaghayegh] Univ Tehran Med Sci, Sch Med, Tehran, Iran; [Jameie, Melika] Iran Univ Med Sci, Neurosci Res Ctr, Tehran, Iran; [Jameie, Melika] Univ Tehran Med Sci, Neurosci Inst, Iranian Ctr Neurol Res, Tehran, Iran; [Moghadasi, Abdorreza Naser] Univ Tehran Med Sci, Sina Hosp, Neurosci Inst, Multiple Sclerosis Res Ctr, Tehran, Iran</t>
  </si>
  <si>
    <t>Tehran University of Medical Sciences; Tehran University of Medical Sciences; Iran University of Medical Sciences; Tehran University of Medical Sciences; Tehran University of Medical Sciences</t>
  </si>
  <si>
    <t>Jameie, M (corresponding author), Iran Univ Med Sci, Neurosci Res Ctr, Tehran, Iran.;Moghadasi, AN (corresponding author), Univ Tehran Med Sci, Sina Hosp, Neurosci Inst, Multiple Sclerosis Res Ctr, Tehran, Iran.</t>
  </si>
  <si>
    <t>jameiemelika@gmail.com; abdorrezamoghadasi@gmail.com</t>
  </si>
  <si>
    <t>Jameie, Melika/GRR-4350-2022; Moghadasi, Abdorreza/A-3104-2019; Taghavizanjani, Fateme/KJL-5069-2024; Khanmohammadi, Shaghayegh/GLT-9527-2022</t>
  </si>
  <si>
    <t>Khanmohammadi, Shaghayegh/0000-0002-8732-0191; Jameie, Melika/0000-0002-2028-9935; Parsaei, Mohammadamin/0000-0002-7764-0319</t>
  </si>
  <si>
    <t>10.1016/j.msard.2023.105415</t>
  </si>
  <si>
    <t>IB8V9</t>
  </si>
  <si>
    <t>WOS:001163963900001</t>
  </si>
  <si>
    <t>Youssef, Y; De Wet, D; Back, DA; Scherer, J</t>
  </si>
  <si>
    <t>Youssef, Yasmin; De Wet, Deana; Back, David A.; Scherer, Julian</t>
  </si>
  <si>
    <t>Digitalization in orthopaedics: a narrative review</t>
  </si>
  <si>
    <t>FRONTIERS IN SURGERY</t>
  </si>
  <si>
    <t>orthopaedics; telemedicine; digitalization; AI; machine-learning; robotics; sensor technology; smart implants</t>
  </si>
  <si>
    <t>ARTIFICIAL NEURAL-NETWORK; VIRTUAL-REALITY; LIFESAVING INTERVENTIONS; HEALTH-CARE; TRAUMA; SURGERY; TECHNOLOGY; VALIDATION; MODEL; NEED</t>
  </si>
  <si>
    <t>Advances in technology and digital tools like the Internet of Things (IoT), artificial intelligence (AI), and sensors are shaping the field of orthopaedic surgery on all levels, from patient care to research and facilitation of logistic processes. Especially the COVID-19 pandemic, with the associated contact restrictions was an accelerator for the development and introduction of telemedical applications and digital alternatives to classical in-person patient care. Digital applications already used in orthopaedic surgery include telemedical support, online video consultations, monitoring of patients using wearables, smart devices, surgical navigation, robotic-assisted surgery, and applications of artificial intelligence in forms of medical image processing, three-dimensional (3D)-modelling, and simulations. In addition to that immersive technologies like virtual, augmented, and mixed reality are increasingly used in training but also rehabilitative and surgical settings. Digital advances can therefore increase the accessibility, efficiency and capabilities of orthopaedic services and facilitate more data-driven, personalized patient care, strengthening the self-responsibility of patients and supporting interdisciplinary healthcare providers to offer for the optimal care for their patients.</t>
  </si>
  <si>
    <t>[Youssef, Yasmin] Univ Hosp Leipzig, Dept Orthopaed Trauma &amp; Plast Surg, Leipzig, Germany; [De Wet, Deana; Scherer, Julian] Univ Cape Town, Orthopaed Res Unit, Cape Town, South Africa; [Back, David A.] Charite Univ Med Berlin, Ctr Musculoskeletal Surg, Berlin, Germany; [Scherer, Julian] Univ Hosp Zurich, Dept Traumatol, Zurich, Switzerland</t>
  </si>
  <si>
    <t>Leipzig University; University of Cape Town; Berlin Institute of Health; Free University of Berlin; Humboldt University of Berlin; Charite Universitatsmedizin Berlin; University of Zurich; University Zurich Hospital</t>
  </si>
  <si>
    <t>Scherer, J (corresponding author), Univ Cape Town, Orthopaed Res Unit, Cape Town, South Africa.;Scherer, J (corresponding author), Univ Hosp Zurich, Dept Traumatol, Zurich, Switzerland.</t>
  </si>
  <si>
    <t>julian.scherer@usz.ch</t>
  </si>
  <si>
    <t>Scherer, Julian/HKF-6591-2023</t>
  </si>
  <si>
    <t>Back, David Alexander/0000-0001-7552-7753</t>
  </si>
  <si>
    <t>2296-875X</t>
  </si>
  <si>
    <t>FRONT SURG</t>
  </si>
  <si>
    <t>Front. Surg.</t>
  </si>
  <si>
    <t>JAN 11</t>
  </si>
  <si>
    <t>10.3389/fsurg.2023.1325423</t>
  </si>
  <si>
    <t>FT1U8</t>
  </si>
  <si>
    <t>WOS:001148023400001</t>
  </si>
  <si>
    <t>Aljaifi, T; Zain, BAM; Maity, A; Huq, S</t>
  </si>
  <si>
    <t>Aljaifi, Taha; Zain, Badrul Aisham Md; Maity, Arindam; Huq, Saif</t>
  </si>
  <si>
    <t>The Concept of Flexible Lower Limb Powered-Exoskeleton for Human Performance Augmentation: A Review</t>
  </si>
  <si>
    <t>INTERNATIONAL JOURNAL OF INTEGRATED ENGINEERING</t>
  </si>
  <si>
    <t>Lower limb; exoskeleton; gait; two; flexible links; PID controller</t>
  </si>
  <si>
    <t>LOWER-EXTREMITY EXOSKELETON; CHALLENGES; DESIGN; REHABILITATION; PHASE</t>
  </si>
  <si>
    <t>This review covers the lower limb powered exoskeleton by using the two-links flexible to generate the dynamic model for flexible robotic legs. The exoskeletons are defined as wearable robotic mechanisms for carrying loads. Therefore, this paper covers various aspects of two- flexible links in term of modeling methods, dynamical analyses, and control schemes. An introduction to Proportional, Integral, Derivative (PID) controller at the short literature review is provided to improve the performance of flexible robotic legs. This review summarizes the overview of augmenting exoskeletons, types of lower limb exoskeletons, biomechanics of human gait, the mathematical models of two-flexible link, and the control approach of the two-link flexible to generate flexible lower limb powered exoskeleton for carrying load based on the concept of two-link flexible.</t>
  </si>
  <si>
    <t>[Aljaifi, Taha; Zain, Badrul Aisham Md; Maity, Arindam] Univ Tun Hussein Onn Malaysia, Fac Mech Engn &amp; Mfg, Adv Dynam Control Res Grp ADCARe, Batu Pahat 86400, Johor, Malaysia; [Huq, Saif] Inst Technol Sligo, Fac Engn &amp; Design, Dept Mechatron Engn, Ash Lane, Sligo F91 YW50, Ireland</t>
  </si>
  <si>
    <t>University of Tun Hussein Onn Malaysia; Atlantic Technological University (ATU)</t>
  </si>
  <si>
    <t>Zain, BAM (corresponding author), Univ Tun Hussein Onn Malaysia, Fac Mech Engn &amp; Mfg, Adv Dynam Control Res Grp ADCARe, Batu Pahat 86400, Johor, Malaysia.</t>
  </si>
  <si>
    <t>aisham@uthm.edu.my</t>
  </si>
  <si>
    <t>Md Zain, Badrul Aisham/AAJ-4720-2021</t>
  </si>
  <si>
    <t>Research Management Centre, Universiti Tun Hussein Onn Malaysia; [E15501]; [H661]</t>
  </si>
  <si>
    <t>Research Management Centre, Universiti Tun Hussein Onn Malaysia; ;</t>
  </si>
  <si>
    <t>Authors acknowledge the financial support to Research Fund E15501 and GPPS Code H661, Research Management Centre, Universiti Tun Hussein Onn Malaysia.</t>
  </si>
  <si>
    <t>UNIV TUN HUSSEIN ONN MALAYSIA</t>
  </si>
  <si>
    <t>JOHOR</t>
  </si>
  <si>
    <t>86400 PARIT RAJA, BATU PAHAT, JOHOR, 00000, MALAYSIA</t>
  </si>
  <si>
    <t>2229-838X</t>
  </si>
  <si>
    <t>INT J INTEGR ENG</t>
  </si>
  <si>
    <t>Int. J. Integr. Eng.</t>
  </si>
  <si>
    <t>10.30880/ijie.2024.16.09.018</t>
  </si>
  <si>
    <t>S4F4X</t>
  </si>
  <si>
    <t>WOS:001397801100003</t>
  </si>
  <si>
    <t>Belal, M; Alsheikh, N; Aljarah, A; Hussain, I</t>
  </si>
  <si>
    <t>Belal, Mohammad; Alsheikh, Nael; Aljarah, Ahmad; Hussain, Irfan</t>
  </si>
  <si>
    <t>Deep Learning Approaches for Enhanced Lower-Limb Exoskeleton Control: A Review</t>
  </si>
  <si>
    <t>Exoskeletons; Deep learning; Reviews; Task analysis; Robot sensing systems; Medical treatment; Accuracy; Patient rehabilitation; Neural networks; exoskeletons; rehabilitation; neural networks</t>
  </si>
  <si>
    <t>GAIT PHASE ESTIMATION; CONTROL STRATEGIES; JOINT ANGLES; RECOGNITION; WALKING; PREDICTION; STATE; LSTM</t>
  </si>
  <si>
    <t>Recent advancements in robotics have pushed the development of active exoskeletons and orthoses for assistive, augmentative, and rehabilitative purposes. Deep Learning approaches, particularly in motion analysis and prediction, hold promise for enhanced control of lower limb exoskeletons, offering the potential for improved outcomes in assistive and rehabilitative interventions. This review paper explores recent advancements in deep learning approaches for controlling lower limb exoskeletons. The study encompasses papers published from 2018 to the present, focusing on various aspects of deep learning models, including recognition, prediction, and other related tasks. The paper includes 103 papers covering various tasks and parameters like the gait phase, kinematics, and kinetics of the lower limb exoskeleton. Each aspect is thoroughly examined, highlighting the parameters utilized in the respective models. Moreover, the results obtained from these approaches are evaluated and compared against classical control strategies, shedding light on their effectiveness and potential benefits. The review also addresses the limitations of current deep learning techniques in lower limb exoskeleton control and outlines potential avenues for future research and improvement. By consolidating the latest findings and advancements in this field, this review paper provides valuable insights into the application of deep learning in the control of lower limb exoskeletons, paving the way for enhanced rehabilitation and assistive technologies in the future.</t>
  </si>
  <si>
    <t>[Belal, Mohammad; Alsheikh, Nael] Khalifa Univ Sci &amp; Technol, Dept Mech &amp; Nucl Engn, Abu Dhabi, U Arab Emirates; [Aljarah, Ahmad] Khalifa Univ Sci &amp; Technol, Adv Res &amp; Innovat Ctr, Abu Dhabi, U Arab Emirates; [Hussain, Irfan] Khalifa Univ Sci &amp; Technol, Khalifa Univ Ctr Autonomous Robot Syst, Abu Dhabi, U Arab Emirates</t>
  </si>
  <si>
    <t>Khalifa University of Science &amp; Technology; Khalifa University of Science &amp; Technology; Khalifa University of Science &amp; Technology</t>
  </si>
  <si>
    <t>Hussain, I (corresponding author), Khalifa Univ Sci &amp; Technol, Khalifa Univ Ctr Autonomous Robot Syst, Abu Dhabi, U Arab Emirates.</t>
  </si>
  <si>
    <t>irfan.hussain@ku.ac.ae</t>
  </si>
  <si>
    <t>Dias, Jorge/KVC-1993-2024</t>
  </si>
  <si>
    <t>Irshaid, Mohammad/0009-0009-8212-6363; Aljarah, Ahmad/0000-0002-5719-1691</t>
  </si>
  <si>
    <t>Advanced Research and Innovation Center (ARIC); Mubadala, United Arab Emirates (UAE) Clusters; Khalifa University of Science and Technology [8436010]; Khalifa University Center for Autonomous and Robotic Systems [RC1-2018-KUCARS]</t>
  </si>
  <si>
    <t>Advanced Research and Innovation Center (ARIC); Mubadala, United Arab Emirates (UAE) Clusters; Khalifa University of Science and Technology(Khalifa University of Science &amp; Technology); Khalifa University Center for Autonomous and Robotic Systems</t>
  </si>
  <si>
    <t>This work was supported in part by the Advanced Research and Innovation Center (ARIC), jointly funded by Mubadala, United Arab Emirates (UAE) Clusters, and the Khalifa University of Science and Technology under Grant 8436010; and in part by the Khalifa University Center for Autonomous and Robotic Systems under Award RC1-2018-KUCARS.</t>
  </si>
  <si>
    <t>10.1109/ACCESS.2024.3414175</t>
  </si>
  <si>
    <t>J4Y3X</t>
  </si>
  <si>
    <t>WOS:001337133400001</t>
  </si>
  <si>
    <t>Colovic, H; Zlatanovic, D; Zivkovic, V; Stankovic, A; Nikolic, D</t>
  </si>
  <si>
    <t>Colovic, Hristina; Zlatanovic, Dragan; Zivkovic, Vesna; Stankovic, Anita; Nikolic, Dejan</t>
  </si>
  <si>
    <t>Neurorehabilitation in Children with Cerebrovascular Insult: Why Are We Late?</t>
  </si>
  <si>
    <t>ACTA FACULTATIS MEDICAE NAISSENSIS</t>
  </si>
  <si>
    <t>cerebrovascular insult; child; neuroplasticity; robot neurorehabilitation</t>
  </si>
  <si>
    <t>TOXIN TYPE-A; ISCHEMIC-STROKE; CEREBRAL-PALSY; RECOVERY; REHABILITATION; OUTCOMES</t>
  </si>
  <si>
    <t>Introduction. Pediatric stroke (PS) is a rare disease with the global incidence of 1.2 - 13/100,000, but nevertheless, is an important cause of disability in children. What makes it a challenging research topic is its alarming upsurge in the prevalence of 35%. The most prevalent motor deficit in that regard is hemiparesis in 50% to 80% of children with PS. Literature review. The following databases were used for the purpose of this study: PubMed, Medline, Scopus, Google Scholar. Asymptomatic clinical picture and a very rare use of indicated hyperacute recanalization therapy make rehabilitation the primary therapeutic approach in children affected with PS. The present studies suggest that the greater capacity of brain neuroplasticity in children can be relevant in recovery, but also indicate some specific consequences of injury made to a developing brain. Robotic contributes to motor function recovery after brain damage. RNR, in combination with virtual reality, is able to expand the effects of conventional rehabilitation, the children find it interesting, and it motivates them to be actively involved in time-consuming, specific, high-intensity exercises. Motor recovery is intensified by learning and repetition of tasks, with a robot providing additional strength in the performance of movements, with continual measurements of objective parameters. Conclusion. The recommendations for use of RNR in children affected with PS are based on expert consensus and weak evidence, since there is lack of randomized, controlled studies.</t>
  </si>
  <si>
    <t>[Colovic, Hristina; Zlatanovic, Dragan; Zivkovic, Vesna; Stankovic, Anita] Univ Nis, Fac Med, Nish, Serbia; [Colovic, Hristina; Zlatanovic, Dragan; Zivkovic, Vesna; Stankovic, Anita] Univ Clin Ctr Nis, Clin Phys Med &amp; Rehabil, Nish, Serbia; [Nikolic, Dejan] Univ Belgrade, Fac Med, Belgrade, Serbia; [Nikolic, Dejan] Univ Childrens Hosp, Belgrade, Serbia</t>
  </si>
  <si>
    <t>University of Nis; University of Belgrade; University of Belgrade</t>
  </si>
  <si>
    <t>Colovic, H (corresponding author), Univ Nis, Fac Med, Nish, Serbia.;Colovic, H (corresponding author), Univ Clin Ctr Nis, Clin Phys Med &amp; Rehabil, Nish, Serbia.</t>
  </si>
  <si>
    <t>hristina.colovic@medfak.ni.ac.rs</t>
  </si>
  <si>
    <t>Nikolic, Dejan/L-1136-2019</t>
  </si>
  <si>
    <t>Nikolic, Dejan/0000-0002-0609-9916; Colovic, Hristina/0000-0001-6041-2910</t>
  </si>
  <si>
    <t>UNIV NIS, FAC MEDICINE</t>
  </si>
  <si>
    <t>NIS</t>
  </si>
  <si>
    <t>BULEVAR DR ZORANA DINDICA 81, NIS, NISAVA, SERBIA</t>
  </si>
  <si>
    <t>0351-6083</t>
  </si>
  <si>
    <t>2217-2521</t>
  </si>
  <si>
    <t>ACTA FAC MEDICAE NAI</t>
  </si>
  <si>
    <t>Acta Fac. Medicae Naiss.</t>
  </si>
  <si>
    <t>10.5937/afmnai41-47529</t>
  </si>
  <si>
    <t>Q4L9H</t>
  </si>
  <si>
    <t>WOS:001384427500001</t>
  </si>
  <si>
    <t>Colovic, H; Zlatanovic, D; Zivkovic, V; Jankovic, M; Radosavljevic, N; Ducic, S; Ducic, J; Stojkovic, J; Jovanovic, K; Nikolic, D</t>
  </si>
  <si>
    <t>Colovic, Hristina; Zlatanovic, Dragan; Zivkovic, Vesna; Jankovic, Milena; Radosavljevic, Natasa; Ducic, Sinisa; Ducic, Jovan; Stojkovic, Jasna; Jovanovic, Kristina; Nikolic, Dejan</t>
  </si>
  <si>
    <t>A Review of Current Perspectives on Motoric Insufficiency Rehabilitation following Pediatric Stroke</t>
  </si>
  <si>
    <t>stroke; rehabilitation; motoric deficit; children</t>
  </si>
  <si>
    <t>ARTERIAL ISCHEMIC-STROKE; INDUCED MOVEMENT THERAPY; TOXIN TYPE-A; CEREBRAL-PALSY; CONGENITAL HEMIPARESIS; HEMORRHAGIC STROKE; CHILDHOOD STROKE; RISK-FACTORS; CHILDREN; CONSTRAINT</t>
  </si>
  <si>
    <t>Pediatric stroke (PS) is an injury caused by the occlusion or rupture of a blood vessel in the central nervous system (CNS) of children, before or after birth. Hemiparesis is the most common motoric deficit associated with PS in children. Therefore, it is important to emphasize that PS is a significant challenge for rehabilitation, especially since the consequences may also appear during the child's growth and development, reducing functional capacity. The plasticity of the child's CNS is an important predecessor of recovery, but disruption of the neural network, specific to an immature brain, can have harmful and potentially devastating consequences. In this review, we summarize the complexity of the consequences associated with PS and the possibilities and role of modern rehabilitation. An analysis of the current literature reveals that Constraint-Induced Movement Therapy, forced-use therapy, repetitive transcranial magnetic stimulation, functional electrical stimulation and robot-assisted therapy have demonstrated at least partial improvements in motor domains related to hemiparesis or hemiplegia caused by PS, but they are supported with different levels of evidence. Due to the lack of randomized controlled studies, the optimal rehabilitation treatment is still debatable, and therefore, most recommendations are primarily based on expert consensuses, opinions and an insufficient level of evidence.</t>
  </si>
  <si>
    <t>[Colovic, Hristina; Zlatanovic, Dragan; Zivkovic, Vesna] Univ Nis, Fac Med, Dept Phys Med &amp; Rehabil, Nish 18000, Serbia; [Colovic, Hristina; Zlatanovic, Dragan; Zivkovic, Vesna] Univ Clin Ctr Nis, Clin Phys Med &amp; Rehabil, Nish 18000, Serbia; [Jankovic, Milena; Ducic, Sinisa; Ducic, Jovan; Stojkovic, Jasna; Nikolic, Dejan] Univ Belgrade, Fac Med, Belgrade 11000, Serbia; [Jankovic, Milena] Univ Clin Ctr Serbia, Neurol Clin, Belgrade 11000, Serbia; [Radosavljevic, Natasa] State Univ Novi Pazar, Dept Biomed Sci, Novi Pazar 36300, Serbia; [Ducic, Sinisa] Univ Childrens Hosp, Dept Pediat Surg, Belgrade 11000, Serbia; [Stojkovic, Jasna; Nikolic, Dejan] Univ Childrens Hosp, Dept Phys Med &amp; Rehabil, Belgrade 11000, Serbia; [Jovanovic, Kristina] Univ Childrens Hosp, Dept Pediat, Belgrade 11000, Serbia</t>
  </si>
  <si>
    <t>University of Nis; University of Belgrade; Clinical Centre of Serbia; University of Belgrade; University of Belgrade; University of Belgrade</t>
  </si>
  <si>
    <t>Colovic, H (corresponding author), Univ Nis, Fac Med, Dept Phys Med &amp; Rehabil, Nish 18000, Serbia.;Colovic, H (corresponding author), Univ Clin Ctr Nis, Clin Phys Med &amp; Rehabil, Nish 18000, Serbia.</t>
  </si>
  <si>
    <t>hristina.colovic@medfak.ni.ac.rs; draganzlatanovic1@gmail.com; petvesna67@gmail.com; milena.jankovic.82@gmail.com; dr.natasa.radosavljevic@gmail.com; sinisaducic@gmail.com; jovanducic98@gmail.com; stojkovic.jasna@yahoo.com; kristina.jovanovic104@gmail.com; denikol27@gmail.com</t>
  </si>
  <si>
    <t>Radosavljevic, Natasa/IUM-6285-2023; Jankovic, Milena/ABD-7047-2021; Nikolic, Dejan/L-1136-2019</t>
  </si>
  <si>
    <t>Nikolic, Dejan/0000-0002-0609-9916; Jovanovic, Kristina/0009-0003-3161-6967; Radosavljevic, Natasa/0000-0001-6454-390X; Stojkovic, Jasna/0009-0008-8104-6866</t>
  </si>
  <si>
    <t>10.3390/healthcare12020149</t>
  </si>
  <si>
    <t>FW8U5</t>
  </si>
  <si>
    <t>WOS:001148989700001</t>
  </si>
  <si>
    <t>de Paiva, TS; Gonçalves, RS; Carbone, G</t>
  </si>
  <si>
    <t>de Paiva, Thiago Sa; Goncalves, Rogerio Sales; Carbone, Giuseppe</t>
  </si>
  <si>
    <t>A Critical Review and Systematic Design Approach for Linkage-Based Gait Rehabilitation Devices</t>
  </si>
  <si>
    <t>mechanical linkage; gait rehabilitation; gait trainer; systematic design</t>
  </si>
  <si>
    <t>EXOSKELETON C-ALEX; MECHANIZED GAIT; TRAINER; NEUROREHABILITATION; ADAPTATION; PATTERNS</t>
  </si>
  <si>
    <t>This study aims to provide a comprehensive critical review of the existing body of evidence pertaining to gait rehabilitation. It also seeks to introduce a systematic approach for the development of innovative design solutions in this domain. The field of gait rehabilitation has witnessed a surge in the development of novel robotic devices. This trend has emerged in response to limitations observed in most commercial solutions, particularly regarding their high costs. Consequently, there is a growing need to explore more cost-effective alternatives and create opportunities for greater accessibility. Within the realm of cost-effective options, linkage-based gait trainers have emerged as viable alternatives, prompting a thorough examination of this category, which is carried out in this work. Notably, there is a wide heterogeneity in research approaches and presentation methods. This divergence has prompted discourse regarding the standardization of key elements relevant to the proposals of new linkage-based devices. As a result, this study proposes a comprehensive and standardized design process and offers a brief illustration of the application of this design process through the presentation of a potential new design.</t>
  </si>
  <si>
    <t>[de Paiva, Thiago Sa; Goncalves, Rogerio Sales] Univ Fed Uberlandia, Sch Mech Engn, BR-38400902 Uberlandia, Brazil; [de Paiva, Thiago Sa; Carbone, Giuseppe] Univ Calabria, Dept Mech Energy &amp; Management Engn, I-87036 Arcavacata Di Rende, Italy</t>
  </si>
  <si>
    <t>Gonçalves, RS (corresponding author), Univ Fed Uberlandia, Sch Mech Engn, BR-38400902 Uberlandia, Brazil.</t>
  </si>
  <si>
    <t>thiago.paiva@ufu.br; rsgoncalves@ufu.br; giuseppe.carbone@unical.it</t>
  </si>
  <si>
    <t>Paiva, Thiago/AGC-2718-2022; Carbone, Giuseppe/J-5846-2012</t>
  </si>
  <si>
    <t>Carbone, Giuseppe/0000-0003-0831-8358; Goncalves, Rogerio/0000-0002-1378-0363; Paiva, Thiago/0000-0002-3526-2188</t>
  </si>
  <si>
    <t>10.3390/robotics13010011</t>
  </si>
  <si>
    <t>GF7M4</t>
  </si>
  <si>
    <t>WOS:001151316100001</t>
  </si>
  <si>
    <t>Dogan, SK</t>
  </si>
  <si>
    <t>Dogan, Sebnem Koldas</t>
  </si>
  <si>
    <t>Robot-assisted gait training in stroke</t>
  </si>
  <si>
    <t>TURKISH JOURNAL OF PHYSICAL MEDICINE AND REHABILITATION</t>
  </si>
  <si>
    <t>End-effectors; exoskeletons; gait; robot assisted gait training; stroke</t>
  </si>
  <si>
    <t>REHABILITATION; RECOVERY; BALANCE; FEASIBILITY; GUIDELINES; EFFICACY</t>
  </si>
  <si>
    <t>Stroke is the second most common cause of mortality and disability worldwide. Most of the patients cannot regain their walking ability after a stroke. Impaired gait and mobility negatively affect the activities of daily living and quality of life of stroke survivors. Restoring gait and mobility are the most important targets of the rehabilitation approaches. Advances in computers and engineering have enabled robotics to be used in many areas of rehabilitation medicine. One of them is gait training. High-intensity, repetitive task training is crucial for neural plasticity and motor learning. Robot-assisted gait training may be a promising method leading to functional recovery in patients with stroke. In this review, the efficacy of robot-assisted gait training in stroke rehabilitation is discussed in light of current literature.</t>
  </si>
  <si>
    <t>[Dogan, Sebnem Koldas] Univ Hlth Sci, Antalya Training &amp; Res Hosp, Hamidiye Fac Med, Dept Phys Med &amp; Rehabil, Antalya, Turkiye</t>
  </si>
  <si>
    <t>University of Health Sciences Turkey; Antalya Training &amp; Research Hospital</t>
  </si>
  <si>
    <t>Dogan, SK (corresponding author), Antalya Egitim &amp; Arastirma Hastanesi, Hamidiye Tip Fak, Fiziksel Tip &amp; Rehabil Klin, TR-07100 Antalya, Turkiye.</t>
  </si>
  <si>
    <t>sebnemkoldas@yahoo.com</t>
  </si>
  <si>
    <t>Doğan, Şebnem/Z-2007-2018</t>
  </si>
  <si>
    <t>Koldas Dogan, Sebnem/0000-0003-0484-1336</t>
  </si>
  <si>
    <t>Funding: The author received no financial support for the research and/or authorship of this article.</t>
  </si>
  <si>
    <t>BAYCINAR MEDICAL PUBL-BAYCINAR TIBBI YAYINCILIK</t>
  </si>
  <si>
    <t>ATASEHIR</t>
  </si>
  <si>
    <t>ORNEK MH DR SUPHI EZGI SK SARAY APT NO 11 D 6, ATASEHIR, ISTANBUL 34704, Turkiye</t>
  </si>
  <si>
    <t>2587-1250</t>
  </si>
  <si>
    <t>TURK J PH MED REHAB</t>
  </si>
  <si>
    <t>Turk. J. Phys. Med. Rehabil.</t>
  </si>
  <si>
    <t>10.5606/tftrd.2024.15681</t>
  </si>
  <si>
    <t>E3C1F</t>
  </si>
  <si>
    <t>WOS:001301802300001</t>
  </si>
  <si>
    <t>Ganta, GK; Mosca, RC; Varsani, R; Murthy, VR; Cheruvu, K; Lu, MC; Arany, PR</t>
  </si>
  <si>
    <t>Ganta, Gopala Krishna; Mosca, Rodrigo Crespo; Varsani, Ridham; Murthy, Venkata Ramana; Cheruvu, Kamala; Lu, Michael; Arany, Praveen R.</t>
  </si>
  <si>
    <t>Automation in Dentistry with Mechanical Drills and Lasers for Implant Osteotomy: A Narrative-Scoping Review</t>
  </si>
  <si>
    <t>DENTISTRY JOURNAL</t>
  </si>
  <si>
    <t>automation; robotics; implants; osteotomy; lasers</t>
  </si>
  <si>
    <t>ER-YAG LASER; SITE PREPARATION; SURGERY; TISSUE</t>
  </si>
  <si>
    <t>The popularity of implants is increasing with the aging population requiring oral-dental rehabilitation. There are several critical steps in the implant workflow, including case selection, implant design, surgical procedure, biological tissue responses, and functional restoration. Among these steps, surgical osteotomy procedures are a crucial determinant of clinical success. This brief review was aimed at outlining the current state of the field in automation-assisted implant surgical osteotomy technologies. A broad search of the literature was performed to identify current literature. The results are outlined in three broad categories: semi-automated static (image-guided) or dynamic (navigation-assisted) systems, and fully-automated robotic systems. As well as the current mechanical rotary approaches, the literature supporting the use of lasers in further refinement of these approaches is reviewed. The advantages and limitations of adopting autonomous technologies in practical clinical dental practices are discussed. In summary, advances in clinical technologies enable improved precision and efficacious clinical outcomes with implant dentistry. Hard-tissue lasers offer further advancements in precision, improved biological responses, and favorable clinical outcomes that require further investigation.</t>
  </si>
  <si>
    <t>[Ganta, Gopala Krishna; Mosca, Rodrigo Crespo; Varsani, Ridham; Lu, Michael; Arany, Praveen R.] Univ Buffalo, Oral Biol Biomed Engn &amp; Surg, Buffalo, NY 14214 USA; [Ganta, Gopala Krishna] Intercare Community Hlth Network, Bangor, MI 49013 USA; [Murthy, Venkata Ramana] Anil Nirukonda Dent Coll, Dept Maxillofacial Surg, Visakhapatnam 531162, India; [Cheruvu, Kamala] Gandhi Inst Technol &amp; Management Dent Coll, Dept Orthodont, Visakhapatnam 530045, India</t>
  </si>
  <si>
    <t>State University of New York (SUNY) System; University at Buffalo, SUNY; Gandhi Institute of Technology &amp; Management (GITAM)</t>
  </si>
  <si>
    <t>Arany, PR (corresponding author), Univ Buffalo, Oral Biol Biomed Engn &amp; Surg, Buffalo, NY 14214 USA.</t>
  </si>
  <si>
    <t>prarany@buffalo.edu</t>
  </si>
  <si>
    <t>Arany, Praveen/S-5329-2019</t>
  </si>
  <si>
    <t>Arany, Praveen/0000-0002-6116-2340</t>
  </si>
  <si>
    <t>University at Buffalo, School of Dental Medicine (PRA)</t>
  </si>
  <si>
    <t>2304-6767</t>
  </si>
  <si>
    <t>DENT J-BASEL</t>
  </si>
  <si>
    <t>Dent. J.</t>
  </si>
  <si>
    <t>10.3390/dj12010008</t>
  </si>
  <si>
    <t>FY9R3</t>
  </si>
  <si>
    <t>WOS:001149538200001</t>
  </si>
  <si>
    <t>Jiang, XY; Zhou, JP; Chen, Q; Xu, QL; Wang, ST; Yuan, L; Zhang, DQ; Bi, HY; Li, HX</t>
  </si>
  <si>
    <t>Jiang, Xiaoyu; Zhou, Jianpeng; Chen, Qiang; Xu, Qiling; Wang, Shuting; Yuan, Lin; Zhang, Deqi; Bi, Hongyan; Li, Haixia</t>
  </si>
  <si>
    <t>Effect of robot-assisted gait training on motor dysfunction in Parkinson's patients: A systematic review and meta-analysis</t>
  </si>
  <si>
    <t>JOURNAL OF BACK AND MUSCULOSKELETAL REHABILITATION</t>
  </si>
  <si>
    <t>Rehabilitation robot; exercise; movement disorders; Gait Disorders; balance function</t>
  </si>
  <si>
    <t>POSTURAL INSTABILITY; SPINAL-CORD; DISEASE; BALANCE; EPIDEMIOLOGY; SUPERIOR; RISK</t>
  </si>
  <si>
    <t>BACKGROUND: Robot-assisted gait training (RAGT) has been reported to treat motor dysfunction in patients with Parkinson's disease (PD) in the last few years. However, the benefits of RAGT for treating motor dysfunction in PD are still unclear. OBJECTIVES: To investigate the efficacy of RAGT for motor dysfunction in PD patients. METHODS: We searched PubMed, Web of Science, Cochrane Library, Embase, CNKI, Wanfang, Chinese Biomedical Literature Database (CBM), and Chinese VIP Database for randomized controlled trials investigating RAGT to improve motor dysfunction in PD from the databases' inception dates until September 1, 2022. The following outcome indexes were employed to evaluate motor dysfunction: the Berg Balance Scale (BBS), Activities-specific Balance Confidence Scale (ABC), 10-Meter Walk Test gait speed (10-MWT), gait speed, stride length, cadence Unified Parkinson Disease Rating Scale Part III (UPDRS III), 6-Minute Walk Test (6MWT), and the Timed Up and Go test (TUG). The meta-analysis was performed using the proper randomeffect model or fixed-effect model to evaluate the difference in efficacy between the RAGT and the control groups. The Cochrane Risk of Bias Tool was used for the included studies and Grading of Recommendations, Assessment, Development, and Evaluations (GRADE) was used to interpret the certainty of the results. RESULTS: The results consisted of 17 studies comprising a total of 670 participants. Six hundred and seven PD patients with motor dysfunction were included: 335 in the RAGT group and 335 in the control group. This meta-analysis results established that when compared with the control group, robot-assisted gait training improved the BBS results of PD patients (MD: 2.80, 95%CI: 2.11-3.49, P &lt; 0.00001), ABC score (MD: 7.30, 95%CI: 5.08-9.52, P &lt; 0.00001), 10-MWT (MD: 0.06, 95%CI: 0.03-0.10, P = 0.0009), gait speed (MD: 3.67, 95%CI: 2.58-4.76, P &lt; 0.00001), stride length (MD: 5.53, 95%CI: 3.64-7.42, P &lt; 0.00001), cadence (MD: 4.52, 95%CI: 0.94-8.10, P = 0.01), UPDRS III (MD: -2.16, 95%CI: 2.48--1.83, P &lt; 0.00001), 6MWT (MD: 13.87, 95%CI: 11.92-15.82, P &lt; 0.00001). However, RAGT did not significantly improve the TUG test result of patients with PD (MD = -0.56, 95% CI: -1.12-0.00, P = 0.05). No safety concerns or adverse reactions among robot-assisted gait training patients were observed. CONCLUSION: Even though RAGT can improve balance function, walking function, and gait performance and has demonstrated positive results in several studies, there is currently insufficient compelling evidence to suggest that it can improve all aspects of lower motor function.</t>
  </si>
  <si>
    <t>[Jiang, Xiaoyu; Li, Haixia] China Acad Chinese Med Sci, Guanganmen Hosp, Beijing, Peoples R China; [Jiang, Xiaoyu; Chen, Qiang; Xu, Qiling; Wang, Shuting; Yuan, Lin; Zhang, Deqi] Shandong Univ Tradit Chinese Med, Jinan, Shandong, Peoples R China; [Zhou, Jianpeng; Bi, Hongyan] Shandong Univ Tradit Chinese Med, Affiliated Hosp, Jinan, Shandong, Peoples R China</t>
  </si>
  <si>
    <t>China Academy of Chinese Medical Sciences; Guang'anmen Hospital, CACMS; Shandong University of Traditional Chinese Medicine; Shandong University of Traditional Chinese Medicine</t>
  </si>
  <si>
    <t>Li, HX (corresponding author), China Acad Chinese Med Sci, Guanganmen Hosp, Beijing, Peoples R China.</t>
  </si>
  <si>
    <t>2272236055@qq.com</t>
  </si>
  <si>
    <t>IOS PRESS</t>
  </si>
  <si>
    <t>NIEUWE HEMWEG 6B, 1013 BG AMSTERDAM, NETHERLANDS</t>
  </si>
  <si>
    <t>1053-8127</t>
  </si>
  <si>
    <t>1878-6324</t>
  </si>
  <si>
    <t>J BACK MUSCULOSKELET</t>
  </si>
  <si>
    <t>J. Back Musculoskelet. Rehabil.</t>
  </si>
  <si>
    <t>10.3233/BMR-220395</t>
  </si>
  <si>
    <t>OP8B7</t>
  </si>
  <si>
    <t>WOS:001208560100002</t>
  </si>
  <si>
    <t>Meeran, RAM; Durairaj, V; Sekaran, P; Farmer, SE; Pandyan, AD</t>
  </si>
  <si>
    <t>Meeran, Rasheed Ahamed Mohammed; Durairaj, Venugopal; Sekaran, Padmanaban; Farmer, Sybil E.; Pandyan, Anand D.</t>
  </si>
  <si>
    <t>Assistive technologies, including orthotic devices, for the management of contractures in adults after a stroke</t>
  </si>
  <si>
    <t>NEUROMUSCULAR ELECTRICAL-STIMULATION; RANDOMIZED CONTROLLED-TRIAL; BRAIN-INJURY; FLEXION CONTRACTURES; WRIST CONTRACTURE; ANKLE CONTRACTURE; TIME-COURSE; UPPER-LIMB; SPASTICITY; STRETCH</t>
  </si>
  <si>
    <t>Background Contractures (reduced range of motion and increased stiffness of a joint) are a frequent complication of stroke. Contractures can interfere with function and cause cosmetic and hygiene problems. Preventing and managing contractures might improve rehabilitation and recovery after stroke. Objectives To assess the effects of assistive technologies for the management of contractures in adults after a stroke. Search methods We searched CENTRAL, MEDLINE, Embase, five other databases, and three trials registers in May 2022. We also searched for reference lists of relevant studies, contacted experts in the field, and ran forward citation searches. Selection criteria Randomised controlled studies (RCTs) that used electrical, mechanical, or electromechanical devices to manage contractures in adults with stroke were eligible for inclusion in this review. We planned to include studies that compared assistive technologies against no treatment, routine therapy, or another assistive technology. Data collection and analysis Three review authors (working in pairs) selected all studies, extracted data, and assessed risk of bias. The primary outcomes were passive joint range of motion (PROM) with and without standardised force, and indirect measures of PROM. The secondary outcomes included hygiene. We also wanted to evaluate the adverse effects of assistive technology. Effects were expressed as mean differences (MDs) or standardised mean differences (SMDs) with 95% confidence intervals (CIs). Main results Seven studies fulfilled the inclusion criteria. Five of these were meta-analysed; they included 252 adults treated in acute and subacute rehabilitation settings. All studies compared assistive technology with routine therapy; one study also compared assistive technology with no treatment, but we were unable to obtain separate data for stroke participants. The assistive technologies used in the studies were electrical stimulation, splinting, positioning using a hinged board, and active repetitive motor training using a non-robotic device with electrical stimulation. Only one study applied stretching to end range. Treatment duration ranged from four to 12 weeks. The overall risk of bias was high for all studies. We are uncertain whether: center dot electrical stimulation to wrist extensors improves passive range of wrist extension (MD -7.30 degrees, 95% CI -18.26 degrees to 3.66 degrees; 1 study, 81 participants; very low-certainty evidence); center dot a non-robotic device with electrical stimulation to shoulder flexors improves passive range of shoulder flexion (MD -9.00 degrees, 95% CI -25.71 degrees to 7.71 degrees; 1 study; 50 participants; very low-certainty evidence); center dot assistive technology improves passive range of wrist extension with standardised force (SMD -0.05, 95% CI -0.39 to 0.29; four studies, 145 participants; very low-certainty evidence): center dot a non-robotic device with electrical stimulation to elbow extensors improves passive range of elbow extension (MD 0.41 degrees, 95% CI -0.15 degrees to 0.97 degrees; 1 study, 50 participants; very low-certainty evidence). One study reported the adverse outcome of pain when using a hinged board to apply stretch to wrist and finger flexors, and another study reported skin breakdown when using a thumb splint. No studies reported hygiene or indirect measures of PROM. Authors' conclusions Only seven small RCTs met the eligibility criteria of this review, and all provided very low-certainty evidence. Consequently, we cannot draw firm conclusions on the effects of assistive technology compared with routine therapy or no therapy. It was also difficult to confirm whether there is a risk of harm associated with treatment using assistive technology. Future studies should apply adequate treatment intensity (i.e. magnitude and the duration of stretch) and use valid and reliable outcome measures. Such studies might better identify the role of assistive technology in the management of contractures in adults after a stroke.</t>
  </si>
  <si>
    <t>[Meeran, Rasheed Ahamed Mohammed] Hope Rehab Ltd, Haslemere, England; [Durairaj, Venugopal] Keele Univ, Sch Hlth &amp; Rehabil, Inst Sci &amp; Technol Med, Stoke On Trent, Staffs, England; [Durairaj, Venugopal] Beacon Neuro Physio, Derby, England; [Sekaran, Padmanaban] Padmanabans Movementol Acad LLP, Movementol Clin, Bangalore, Karnataka, India; [Pandyan, Anand D.] Bournemouth Univ, Fac Hlth &amp; Social Sci, Bournemouth, Dorset, England</t>
  </si>
  <si>
    <t>Keele University; Bournemouth University</t>
  </si>
  <si>
    <t>Meeran, RAM (corresponding author), Hope Rehab Ltd, Haslemere, England.</t>
  </si>
  <si>
    <t>rasheedahamed@hotmail.com</t>
  </si>
  <si>
    <t>Pandyan, Anand/D-3617-2011</t>
  </si>
  <si>
    <t>Cochrane Stroke Group</t>
  </si>
  <si>
    <t>Cochrane Stroke Group, Other Cochrane stroke group provided assistance in completing the searches.</t>
  </si>
  <si>
    <t>CD010779</t>
  </si>
  <si>
    <t>10.1002/14651858.CD010779.pub2</t>
  </si>
  <si>
    <t>M3Q7O</t>
  </si>
  <si>
    <t>WOS:001356730100011</t>
  </si>
  <si>
    <t>Pancholi, S; Wachs, JP; Duerstock, BS</t>
  </si>
  <si>
    <t>Pancholi, Sidharth; Wachs, Juan P.; Duerstock, Bradley S.</t>
  </si>
  <si>
    <t>Use of Artificial Intelligence Techniques to Assist Individuals with Physical Disabilities</t>
  </si>
  <si>
    <t>ANNUAL REVIEW OF BIOMEDICAL ENGINEERING</t>
  </si>
  <si>
    <t>artificial intelligence; assistive technology; exoskeletons; physical disability; prostheses; smart wheelchair</t>
  </si>
  <si>
    <t>BRAIN-COMPUTER-INTERFACE; LOWER-LIMB EXOSKELETON; LOW-COST EXOSKELETON; INTENTION RECOGNITION; MOTOR IMAGERY; CONTROLLED WHEELCHAIR; PATTERN-RECOGNITION; VIRTUAL-REALITY; NEURAL-NETWORK; REHABILITATION</t>
  </si>
  <si>
    <t>Assistive technologies (AT) enable people with disabilities to perform activities of daily living more independently, have greater access to community and healthcare services, and be more productive performing educational and/or employment tasks. Integrating artificial intelligence (AI) with various agents, including electronics, robotics, and software, has revolutionized AT, resulting in groundbreaking technologies such as mind-controlled exoskeletons, bionic limbs, intelligent wheelchairs, and smart home assistants. This article provides a review of various AI techniques that have helped those with physical disabilities, including brain-computer interfaces, computer vision, natural language processing, and human-computer interaction. The current challenges and future directions for AI-powered advanced technologies are also addressed.</t>
  </si>
  <si>
    <t>[Pancholi, Sidharth; Duerstock, Bradley S.] Purdue Univ, Weldon Sch Biomed Engn, W Lafayette, IN 47907 USA; [Wachs, Juan P.; Duerstock, Bradley S.] Purdue Univ, Sch Ind Engn, W Lafayette, IN 47907 USA</t>
  </si>
  <si>
    <t>Purdue University System; Purdue University; Purdue University System; Purdue University</t>
  </si>
  <si>
    <t>Duerstock, BS (corresponding author), Purdue Univ, Weldon Sch Biomed Engn, W Lafayette, IN 47907 USA.;Duerstock, BS (corresponding author), Purdue Univ, Sch Ind Engn, W Lafayette, IN 47907 USA.</t>
  </si>
  <si>
    <t>bsd@purdue.edu</t>
  </si>
  <si>
    <t>Pancholi, Sidharth/K-4809-2017</t>
  </si>
  <si>
    <t>1523-9829</t>
  </si>
  <si>
    <t>1545-4274</t>
  </si>
  <si>
    <t>ANNU REV BIOMED ENG</t>
  </si>
  <si>
    <t>Annu. Rev. Biomed. Eng.</t>
  </si>
  <si>
    <t>10.1146/annurev-bioeng-082222-012531</t>
  </si>
  <si>
    <t>ZF1T0</t>
  </si>
  <si>
    <t>WOS:001273796600001</t>
  </si>
  <si>
    <t>Petersone, A; Karklina, A; Berzina, G</t>
  </si>
  <si>
    <t>Petersone, Anete; Karklina, Agnese; Berzina, Guna</t>
  </si>
  <si>
    <t>SYSTEMATIZATION OF REHABILITATION INTERVENTIONS FOR NEURO-ONCOLOGICAL PATIENTS USING INTERNATIONAL CLASSIFICATION OF HEALTH INTERVENTIONS: A SCOPING REVIEW</t>
  </si>
  <si>
    <t>neuro-oncology; acute rehabilitation; interven-tions; International Classification of Health Interventions; classification validation; ICHI mapping</t>
  </si>
  <si>
    <t>MIRROR THERAPY; BRAIN; OUTCOMES; ICF</t>
  </si>
  <si>
    <t>Background: To ensure equitable and effective reha-bilitation for neuro-oncological patients the develop-ment of an effective treatment strategy is necessary. Objective: To identify evidence for interventions used in acute rehabilitation for patients with neuro-onco-logical conditions and to systematize them according to the International Classification of Health Interven-tions (ICHI) classification Methods: A scoping review was conducted, compri-sing 3 parts: identification of interventions in publica-tions; linking the interventions to ICHI classification; and identifying problems targeted by these interven-tions and linking them to International Classification of Functioning, Disability and Health (ICF) categories. Results: The search strategy selected a total of 6,128 articles. Of these, 58 publications were included in the review. A total of 150 interventions were iden-tified, 47 of which were unique interventions. Forty-three of the interventions were linked to the ICHI classification; 4 of these interventions were evidence level I, 18 evidence level II, 23 evidence level III, and 2 evidence level IV. Five interventions were linked to the ICF One-Level Classification, and the remaining 42 interventions were linked to the ICF Two-Level Classification. All interventions regarding the Body Systems and Func tions were linked to the ICF Two -Level Classification. Only 5 interventions in the Acti-vities and Participation domain, 3 interventions in the Health-related Behaviors domain, and 1 intervention in the Environment domain were linked to the ICF Two-Level Classification. Two identified problems (inpatient nursing and comprehensive inpatient reha-bilitation) were not classified according to the ICF. Discussion: A total of 47 unique interventions were identified, revealing a significant focus on addressing issues related to bodily functions and structures. The study also highlighted the challenge of linking speci-fic interventions to ICHI codes, particularly when the source documentation lacked adequate detail. While this review offers valuable insights into rehabilitation for neuro-oncological patients and lays the ground-work for standardized coding and data exchange, it also emphasizes the need for further refinement and validation of the ICHI classification to better align with the multifaceted interventions used in rehabilitation. Conclusion: There is evidence in the literature of 47 interventions used by various rehabilitation professi-onals in the acute rehabilitation of neuro-oncological patients. However, most of these interventions are evidence level II and III. Four interventions (virtual reality, mirror therapy, robotic upper extremity train- ing to improve function, and cognitive group therapy) are not included in the ICHI. The problems analysed the literature that are targeted by interventions often do not coincide with the purpose of the specific intervention or are too broadly defined and not spe- cific. These findings emphasize the need for greater precision in describing and documenting interven- tions, as well as the importance of aligning interven- tions more closely with ICF categories, particularly in the domains of Activities and Participation. This work highlights the heterogeneity in the reporting of reha- bilitation interventions, and the challenges in map- ping them to standardized classifications, emphasi- zing the ongoing need for refining and updating these classification systems.</t>
  </si>
  <si>
    <t>[Petersone, Anete; Karklina, Agnese; Berzina, Guna] Riga East Univ Hosp, Dept Rehabil, Riga, Latvia; [Petersone, Anete; Karklina, Agnese; Berzina, Guna] Riga Stradins Univ, Fac Rehabil, Riga, Latvia</t>
  </si>
  <si>
    <t>Riga East University Hospital; Riga Stradins University</t>
  </si>
  <si>
    <t>Petersone, A (corresponding author), Riga East Univ Hosp, Dept Rehabil, Riga, Latvia.</t>
  </si>
  <si>
    <t>petersone.anete@gmail.com</t>
  </si>
  <si>
    <t>Bērziņa, Guna/AAR-1126-2020</t>
  </si>
  <si>
    <t>Petersone, Anete/0000-0002-1927-5237</t>
  </si>
  <si>
    <t>10.2340/jrm.v56.12335</t>
  </si>
  <si>
    <t>FU2O0</t>
  </si>
  <si>
    <t>WOS:001148305100002</t>
  </si>
  <si>
    <t>Pitzalis, RF; Park, D; Caldwell, DG; Berselli, G; Ortiz, J</t>
  </si>
  <si>
    <t>Pitzalis, Roberto Francesco; Park, Daegeun; Caldwell, Darwin G.; Berselli, Giovanni; Ortiz, Jesus</t>
  </si>
  <si>
    <t>State of the Art in Wearable Wrist Exoskeletons Part II: A Review of Commercial and Research Devices</t>
  </si>
  <si>
    <t>wrist exoskeletons; wearable devices; occupational sector; rehabilitation field; industrialization issues</t>
  </si>
  <si>
    <t>HAND ORTHOSIS; DESIGN; REHABILITATION; STIFFNESS; STROKE; SPLINT; ROBOTS; HOME</t>
  </si>
  <si>
    <t>Manual handling tasks, both in daily activities and at work, require high dexterity and the ability to move objects of different shapes and sizes. However, musculoskeletal disorders that can arise due to aging, disabilities, overloading, or strenuous work can impact the natural capabilities of the hand with serious repercussions both in working and daily activities. To address this, researchers have been developing and proving the benefits of wrist exoskeletons. This paper, which is Part II of a study on wrist exoskeletons, presents and summarizes wearable wrist exoskeleton devices intended for use in rehabilitation, assistance, and occupational fields. Exoskeletons considered within the study are those available either in a prototyping phase or on the market. These devices can support the human wrist by relieving pain or mitigating fatigue while allowing for at least one movement. Most of them have been designed to be active (80%) for higher force/torque transmission, and soft for better kinematic compliance, ergonomics, and safety (13 devices out of 24, more than 50%). Electric motors and cable transmission (respectively 11 and 9 devices, out of 24, i.e., almost 50% and 40%) are the most common due to their simplicity, controllability, safety, power-to-weight ratio, and the possibility of remote actuation. As sensing technologies, position and force sensors are widely used in all devices (almost 90%). The control strategy depends mainly on the application domain: for rehabilitation, CPM (control passive motion) is preferred (35% of devices), while for assistance and occupational purposes, AAN (assistance-as-needed) is more suitable (38% of the devices). What emerges from this analysis is that, while rehabilitation and training are fields in which exoskeletons have grown more easily and gained some user acceptance (almost 18 devices, of which 4 are available on the market), relatively few devices have been designed for occupational purposes (5, with only 2 available on the market) due to difficulties in meeting the acceptance and needs of users. In this perspective, as a result of the state-of-the-art analysis, the authors propose a conceptual idea for a portable soft wrist exoskeleton for occupational assistance.</t>
  </si>
  <si>
    <t>[Pitzalis, Roberto Francesco; Park, Daegeun; Caldwell, Darwin G.; Berselli, Giovanni; Ortiz, Jesus] Ist Italiano Tecnol, Dept Adv Robot ADVR, I-16163 Genoa, Italy; [Pitzalis, Roberto Francesco; Berselli, Giovanni] Univ Genoa, Dept Mech Energy &amp; Transportat Engn DIME, Via Opera Pia 15-A, I-16145 Genoa, Italy</t>
  </si>
  <si>
    <t>Istituto Italiano di Tecnologia - IIT; University of Genoa</t>
  </si>
  <si>
    <t>Pitzalis, RF (corresponding author), Ist Italiano Tecnol, Dept Adv Robot ADVR, I-16163 Genoa, Italy.;Pitzalis, RF (corresponding author), Univ Genoa, Dept Mech Energy &amp; Transportat Engn DIME, Via Opera Pia 15-A, I-16145 Genoa, Italy.</t>
  </si>
  <si>
    <t>roberto.pitzalis@iit.it; daegeun.park@iit.it; darwin.caldwell@iit.it; giovanni.berselli@unige.it; jesus.ortiz@iit.it</t>
  </si>
  <si>
    <t>Park, Daegeun/HZK-7243-2023; Caldwell, Darwin/E-9954-2018</t>
  </si>
  <si>
    <t>Park, Daegeun/0000-0001-6586-4238; Pitzalis, Roberto Francesco/0000-0003-1464-6219; Ortiz, Jesus/0000-0001-9475-1945</t>
  </si>
  <si>
    <t>Italian Workers Compensation Authority (INAIL); University of Genoa</t>
  </si>
  <si>
    <t>Our thanks go out to INAIL (Italian Workers Compensation Authority) for its ongoing support, collaboration, and funding in the development of novel types of industrial exoskeletons, under the Collaborative Exoskeletons-EC-2 project in collaboration with Istituto Italiano di Tecnologia (IIT) and the University of Genoa.</t>
  </si>
  <si>
    <t>10.3390/machines12010021</t>
  </si>
  <si>
    <t>GF2Y0</t>
  </si>
  <si>
    <t>WOS:001151196900001</t>
  </si>
  <si>
    <t>Wang, P; Fu, YH; Qi, HF; He, P; Wang, HF; Li, C; Liu, XC</t>
  </si>
  <si>
    <t>Wang, Pu; Fu, Yan-Hua; Qi, Hong-Feng; He, Peng; Wang, Hai-Feng; Li, Chao; Liu, Xue-Cong</t>
  </si>
  <si>
    <t>Evaluation of the efficacy and safety of robot-assisted and video assisted thoracic surgery for early non-small cell lung cancer: A meta-analysis</t>
  </si>
  <si>
    <t>TECHNOLOGY AND HEALTH CARE</t>
  </si>
  <si>
    <t>Robotic-assisted thoracic surgery; video assisted thoracic surgery; non-small cell lung cancer</t>
  </si>
  <si>
    <t>LYMPH-NODE DISSECTION; THORACOSCOPIC SURGERY; STAGE-I; LOBECTOMY; RESECTION; OUTCOMES; EXPERIENCE; SURVIVAL; REMOVAL</t>
  </si>
  <si>
    <t>BACKGROUND: Radical resection of lung cancer and chemotherapy are the main methods for the treatment of early lung cancer, but surgical treatment is still the key and preferred method. OBJECTIVE: To evaluate the efficacy and safety of robotic-assisted thoracic surgery (RATS) and video assisted thoracic surgery (VATS) for non-small cell lung cancer (NSCLC). METHODS: The clinical cohort studies on the comparison of the effects of RATS and VATS in the treatment of NSCLC published in Web of Science, PubMed, The National Library of Medicine (NLM), China National Knowledge Infrastructure (CNKI) and Wanfang database from January 1, 2015 to December 31, 2022 were searched. Two researchers independently screened the literature, extracted the data, such as operation time, intraoperative conversion rate, intraoperative blood loss, number of lymph nodes dissected, and evaluated the quality of the included literature based on the Newcastle-Ottawa Scale (NOS). RevMan 5.3 software was used for Meat analysis. RESULTS: A total of 18 articles and 21,802 subjects were included. The results of the meta-analysis showed that the intraoperative blood loss of RATS was significantly less than that of VAS, and the difference was statistically significant [MD = 38.43 (95% CI: 57.71, 19.15, P &lt; 0.001)]. Compared with VATS, the number of lymph nodes dissected in RATS was significantly higher [MD = 2.61 (95% CI: 0.47, 4.76, P = 0.02)]. The rate of conversion to thoracotomy in RATS was lower, and the difference was statistically significant [OR = 0.59 (95% CI: 0.50, 0.70, P &lt; 0.001)]. There was no significant difference between RATS and VATS in operation time [MD = 9.34 (95% CI: 28.72, 10.04, P = 0.34)], postoperative thoracic drainage time [MD = 0.08 (95% CI: 0.42, 0.26, P = 0.64)], postoperative hospital stay [MD = 0.05 (95% CI: 0.19, 0.08, P = 0.42)], postoperative mortality [OR = 0.88 (95% CI: 0.56, 1.36, P = 0.56)] and postoperative complications [OR = 1.03 (95% CI: 0.93, 1.13, P = 0.57)]. CONCLUSION: Compared with VATS, the number of lymph nodes dissected in RATS was significantly more, and the removal of lesions and lymph nodes was more thorough and accurate. More flexible and precise operation avoids the injury of important blood vessels during operation, effectively reduces the amount of blood loss during operation, shortens the indwelling time of thoracic drainage tube, and is conducive to postoperative rehabilitation of patients.</t>
  </si>
  <si>
    <t>[Wang, Pu; Qi, Hong-Feng; He, Peng; Wang, Hai-Feng; Li, Chao; Liu, Xue-Cong] PLA, Grp Mil Hosp 82, Dept Cardiothorac Surg, Baoding, Hebei, Peoples R China; [Fu, Yan-Hua] Baoding Childrens Hosp, Dept Rheumatol &amp; Immunol, 3399 Hengxiang North St, Baoding 071052, Hebei, Peoples R China</t>
  </si>
  <si>
    <t>Fu, YH (corresponding author), Baoding Childrens Hosp, Dept Rheumatol &amp; Immunol, 3399 Hengxiang North St, Baoding 071052, Hebei, Peoples R China.</t>
  </si>
  <si>
    <t>fuyh2022yh@163.com</t>
  </si>
  <si>
    <t>Fu, Yan-Hua/ABE-1660-2022; Haifeng, Wang/HQY-7721-2023; He, Peng/AAN-5643-2020</t>
  </si>
  <si>
    <t>0928-7329</t>
  </si>
  <si>
    <t>1878-7401</t>
  </si>
  <si>
    <t>TECHNOL HEALTH CARE</t>
  </si>
  <si>
    <t>Technol. Health Care</t>
  </si>
  <si>
    <t>10.3233/THC-230201</t>
  </si>
  <si>
    <t>Health Care Sciences &amp; Services; Engineering, Biomedical</t>
  </si>
  <si>
    <t>Health Care Sciences &amp; Services; Engineering</t>
  </si>
  <si>
    <t>OP9V7</t>
  </si>
  <si>
    <t>WOS:001208606200002</t>
  </si>
  <si>
    <t>Zhang, ZL; Calderon, AD; Huang, XY; Huang, AX</t>
  </si>
  <si>
    <t>Zhang, Zhilin; Calderon, Aldrin D.; Huang, Xingyu; Huang, Axin</t>
  </si>
  <si>
    <t>Research Status and Prospect of Finger Rehabilitation Machinery</t>
  </si>
  <si>
    <t>MEDICAL DEVICES-EVIDENCE AND RESEARCH</t>
  </si>
  <si>
    <t>fingers; machinery; rehabilitation; actuation</t>
  </si>
  <si>
    <t>UPPER-LIMB; HAND; DESIGN; STROKE; PERFORMANCE; ROBOT</t>
  </si>
  <si>
    <t>About 80% of stroke patients have hand motor dysfunction, and wearing finger rehabilitation machinery can enable patients to carry out efficient passive rehabilitation training independently. At present, many typical finger rehabilitation machines have been developed, and clinical experiments have confirmed the effectiveness of mechanically assisted finger rehabilitation. In this paper, the finger rehabilitation machinery will be classified in the actuation mode, and the terminal traction drive/motor drive/spring drive/rope drive/memory alloy drive/electroactive material drive/hydraulic drive/pneumatic drive technology and its typical applications are analyzed. Study the structure, control methods, overlap between mechanical bending nodes and finger joints, training modes, response speed, and driving force of various types of finger rehabilitation machinery. The advantages and disadvantages of various actuation methods of finger rehabilitation machinery are summarized. Finally, the difficulties and opportunities faced by the future development of finger rehabilitation machinery are prospected. In general, with the continuous improvement of quality of life, stroke patients need flexible, segmented control, accurate bending, multi-training mode, fast response, and good driving force finger rehabilitation machinery. This will also be a future hot research direction.</t>
  </si>
  <si>
    <t>[Zhang, Zhilin; Calderon, Aldrin D.; Huang, Xingyu; Huang, Axin] Mapua Univ, Sch Mech &amp; Mfg Engn, Manila 0900, Philippines; [Zhang, Zhilin] Yulin Normal Univ, Sch Phys &amp; Telecommun Engn, Yulin 537000, Peoples R China</t>
  </si>
  <si>
    <t>Mapua University; Yulin Normal University</t>
  </si>
  <si>
    <t>Calderon, AD (corresponding author), Mapua Univ, Sch Mech &amp; Mfg Engn, Manila 0900, Philippines.</t>
  </si>
  <si>
    <t>adcalderon@mapua.edu.ph</t>
  </si>
  <si>
    <t>1179-1470</t>
  </si>
  <si>
    <t>MED DEVICES-EVID RES</t>
  </si>
  <si>
    <t>MED. DEVICES-EVID. RES.</t>
  </si>
  <si>
    <t>10.2147/MDER.S429206</t>
  </si>
  <si>
    <t>EV8P0</t>
  </si>
  <si>
    <t>WOS:001141801500001</t>
  </si>
  <si>
    <t>Favetta, M; Romano, A; Valè, N; Cieslik, B; Federico, S; Girolami, A; Mazzarotto, D; Pregnolato, G; Righetti, A; Salvalaggio, S; Castelli, E; Smania, N; Bargellesi, S; Kiper, P; Petrarca, M</t>
  </si>
  <si>
    <t>Favetta, Martina; Romano, Alberto; Vale, Nicola; Cieslik, Blazej; Federico, Sara; Girolami, Alessia; Mazzarotto, Deborah; Pregnolato, Giorgia; Righetti, Anna; Salvalaggio, Silvia; Castelli, Enrico; Smania, Nicola; Bargellesi, Stefano; Kiper, Pawel; Petrarca, Maurizio</t>
  </si>
  <si>
    <t>A scoping review of scientific concepts concerning motor recovery after stroke as employed in clinical trials</t>
  </si>
  <si>
    <t>motor control; motor learning; stroke; neurological rehabilitation; motor disorders; treatment outcome</t>
  </si>
  <si>
    <t>NEUROLOGICAL PRINCIPLES; REHABILITATION; FEEDBACK</t>
  </si>
  <si>
    <t>The scientific literature on poststroke rehabilitation is remarkably vast. Over the last decades, dozens of rehabilitation approaches have been investigated. However, sometimes it is challenging to trace new experimental interventions back to some of the known models of motor control and sensorimotor learning. This scoping review aimed to investigate motor control models' diffusion among the literature on motor recovery after stroke. We performed a literature search on Medline, Cochrane, Web of Science, Embase, and Scopus databases. The last search was conducted in September 2023. This scoping review included full-text articles published in English in peer-reviewed journals that provided rehabilitation interventions based on motor control or motor learning frameworks for at least one individual with stroke. For each study, we identified the theoretical framework the authors used to design the experimental treatment. To this aim, we used a previously proposed classification of the known models of motor control, dividing them into the following categories: neuroanatomy, robotics, self-organization, and ecological context. In total, 2,185 studies were originally considered in this scoping review. After the screening process, we included and analyzed 45 studies: 20 studies were randomized controlled trials, 12 were case series, 4 were case reports, 8 were observational longitudinal pilot studies, and 1 was an uncontrolled trial. Only 10 studies explicitly declared the reference theoretical model. Considering their classification, 21 studies referred to the robotics motor control model, 12 to the self-organization model, 8 to the neuroanatomy model, and 4 to the ecological model. Our results showed that most of the rehabilitative interventions purposed in stroke rehabilitation have no clear theoretical bases on motor control and motor learning models. We suggest this is an issue that deserves attention when designing new experimental interventions in stroke rehabilitation.</t>
  </si>
  <si>
    <t>[Favetta, Martina; Romano, Alberto; Castelli, Enrico; Petrarca, Maurizio] Bambino Gesu Pediat Hosp, Neurorehabil Unit, Movement Anal &amp; Robot Lab MARlab, IRCCS,Neurol Sci &amp; Neurorehabil Area, Rome, Italy; [Romano, Alberto] Ariel Univ, Dept Hlth Syst Management, Ariel, Israel; [Vale, Nicola; Righetti, Anna; Smania, Nicola] Univ Verona, Neuromotor &amp; Cognit Rehabil Res Ctr CRRNC, Dept Neurosci Biomed &amp; Movement Sci, Verona, Italy; [Cieslik, Blazej; Federico, Sara; Pregnolato, Giorgia; Kiper, Pawel] IRCCS San Camillo Hosp, Lab Healthcare Innovat Technol, Venice, Italy; [Girolami, Alessia] Spondilos Lab Ctr Med &amp; Riabilitaz, Dept Med, Pordenone, Italy; [Mazzarotto, Deborah] Med Fis &amp; Riabilitaz, Serv Transfus Med, ULSS 4 Veneto Orientale, Jesolo, Italy; [Salvalaggio, Silvia] IRCCS San Camillo Hosp, Lab Computat Neuroimaging, Venice, Italy; [Salvalaggio, Silvia] Univ Padua, Padova Neurosci Ctr, Padua, Italy; [Bargellesi, Stefano] Azienda ULSS 3 Serenissima, Phys Med &amp; Rehabil Unit, Venice, Italy</t>
  </si>
  <si>
    <t>IRCCS Bambino Gesu; Ariel University; University of Verona; IRCCS Ospedale San Camillo; IRCCS Ospedale San Camillo; University of Padua; ULSS 3 Serenissima; Ospedale SS Giovanni Paolo Venezia</t>
  </si>
  <si>
    <t>Pregnolato, G (corresponding author), IRCCS San Camillo Hosp, Lab Healthcare Innovat Technol, Venice, Italy.</t>
  </si>
  <si>
    <t>giorgia.pregnolato@hsancamillo.it</t>
  </si>
  <si>
    <t>Petrarca, Maurizio/GWZ-3714-2022; Mazzarotto, Deborah/JXM-9126-2024; Federico, Sara/I-4467-2018; Favetta, Martina/AAA-5999-2020; Kiper, Pawel/J-8147-2018; Romano, Alberto/AAH-9645-2019; Salvalaggio, Silvia/AEW-2651-2022; Cieslik, Blazej/J-4551-2016</t>
  </si>
  <si>
    <t>Vale, Nicola/0000-0002-2364-5990; Favetta, Martina/0000-0002-5118-3295; Righetti, Anna/0000-0002-3681-2647; Federico, Sara/0000-0003-4891-5755; Cieslik, Blazej/0000-0001-7275-7860</t>
  </si>
  <si>
    <t>Italian Ministry of Health with Current Research funds (Ricerca Corrente)</t>
  </si>
  <si>
    <t>This study was supported by the Italian Ministry of Health with Current Research funds (Ricerca Corrente).</t>
  </si>
  <si>
    <t>DEC 11</t>
  </si>
  <si>
    <t>10.3389/fneur.2023.1221656</t>
  </si>
  <si>
    <t>DV8Z2</t>
  </si>
  <si>
    <t>WOS:001134961300001</t>
  </si>
  <si>
    <t>Owusu, FA; Javed, H; Saleem, A; Singh, J; Varrassi, G; Raza, SS; Ram, R</t>
  </si>
  <si>
    <t>Owusu, Frank Ansah; Javed, Herra; Saleem, Ayesha; Singh, Jagjeet; Varrassi, Giustino; Raza, Syed S.; Ram, Raja</t>
  </si>
  <si>
    <t>Beyond the Scalpel: A Tapestry of Surgical Safety, Precision, and Patient Prosperity</t>
  </si>
  <si>
    <t>general surgery; precision; safety; surgery; surgical; scalpel</t>
  </si>
  <si>
    <t>MANAGEMENT; SURGERY</t>
  </si>
  <si>
    <t>In modern surgical practice, the focus extends beyond simply making and closing incisions. We aim to investigate the various complex aspects that redefine the criteria for achieving effective surgical outcomes. This narrative combines current knowledge, integrating practical experiences and academic viewpoints to comprehend the changing field of surgical care thoroughly. The tapestry explores the detailed aspects of surgical safety, examining the most recent progress in protocols, technology, and team dynamics that strive to reduce procedural risks. Examining precision in surgery, this narrative goes beyond conventional limits to explore the incorporation of advanced technologies, such as robotics and navigational systems. The complex interplay between the surgeon's proficiency and these technology aids is crucial in attaining unparalleled accuracy and favorable patient results. The focal point of this investigation is the patient's well-being, encompassing postoperative care, rehabilitation, and long-term health. Actual accounts from surgical procedures highlight the significant influence of comprehensive patient-centered methods, emphasizing the crucial need for empathy, communication, and individualized care plans in promoting healing and adaptability. As we explore this complex situation, the combination of real-life stories and academic discussions creates a clear and detailed image of a surgical environment that goes far beyond the boundaries of the operating room. Beyond the Scalpel seeks to engage practitioners, scholars, and stakeholders in a conversation that redefines the criteria for surgical success. It aims to establish a new benchmark that combines safety, precision, and patient well-being, ultimately shaping the future of surgical practice.</t>
  </si>
  <si>
    <t>[Owusu, Frank Ansah] Stavropol State Med Univ, Med, Stavropol, Romania; [Javed, Herra] Shifa Coll Med, Surg, Islamabad, Pakistan; [Saleem, Ayesha] Hayatabad Med Complex HMC, Gen Surg, Peshawar, Pakistan; [Singh, Jagjeet] Lahore Gen Hosp, Internal Med, Lahore, Pakistan; [Varrassi, Giustino] Paolo Procacci Fdn, Pain Med, Rome, Italy; [Raza, Syed S.] Gajju Khan Med Coll, Physiol, Swabi, Pakistan; [Raza, Syed S.] Khyber Med Coll, Teaching Hosp, Physiol, Peshawar, Pakistan; [Raza, Syed S.] Cleveland Clin Florida, Robert &amp; Suzanne Tomsich Dept Cardiothorac Surg, Peshawar, Pakistan; [Raza, Syed S.] Gandhara Univ, Physiol, Peshawar, Pakistan; [Ram, Raja] MedStar Washington Hosp Ctr, Med, Washington, DC 20010 USA</t>
  </si>
  <si>
    <t>Shifa College of Medicine; MedStar Washington Hospital Center</t>
  </si>
  <si>
    <t>Ram, R (corresponding author), MedStar Washington Hosp Ctr, Med, Washington, DC 20010 USA.</t>
  </si>
  <si>
    <t>rajaramaraj5432@gmail.com</t>
  </si>
  <si>
    <t>Varrassi, Giustino/H-8455-2019; Raza, Syed/U-5235-2017</t>
  </si>
  <si>
    <t>Paolo Procacci Foundation</t>
  </si>
  <si>
    <t>Acknowledgements We sincerely appreciate the Paolo Procacci Foundation for their steadfast support, significantly enhancing the success of this paper.</t>
  </si>
  <si>
    <t>e50316</t>
  </si>
  <si>
    <t>10.7759/cureus.50316</t>
  </si>
  <si>
    <t>CR1A5</t>
  </si>
  <si>
    <t>WOS:001126866900015</t>
  </si>
  <si>
    <t>Singam, A</t>
  </si>
  <si>
    <t>Singam, Amol</t>
  </si>
  <si>
    <t>Revolutionizing Patient Care: A Comprehensive Review of Artificial Intelligence Applications in Anesthesia</t>
  </si>
  <si>
    <t>future healthcare technologies; ethical considerations; patient care; precision medicine; anesthesia monitoring; artificial intelligence in anesthesia</t>
  </si>
  <si>
    <t>This review explores the intersection of artificial intelligence (AI) and anesthesia, examining its transformative impact on patient care across various phases. Beginning with a historical overview of anesthesia, we highlight the critical role of technological advancements in ensuring optimal patient outcomes. The emergence of AI in healthcare sets the stage for a comprehensive analysis of its applications in anesthesia. In the preoperative phase, AI facilitates personalized risk assessments and decision support, optimizing anesthesia planning and drug dosage predictions. Moving to the intraoperative phase, we delve into AI's role in monitoring and control through sophisticated anesthesia monitoring and closed-loop systems. Additionally, we discuss the integration of robotics and AI-guided procedures, revolutionizing surgical assistance. Transitioning to the postoperative phase, we explore AI-driven postoperative monitoring, predictive analysis for complications, and the integration of AI into rehabilitation programs and long-term follow-up.These new applications redefine patient recovery, emphasizing personalized care and proactive interventions. However, the integration of AI in anesthesia poses challenges and ethical considerations. Data security, interpretability, and bias in AI algorithms demand scrutiny. Moreover, the evolving patient doctor relationship in an AI-driven care landscape requires a delicate balance between efficiency and human touch. Looking forward, we discuss the future directions of AI in anesthesia, anticipating advances in technology and AI algorithms. The integration of AI into routine clinical practice and its potential impact on anesthesia education and training are explored, emphasizing the need for collaboration, education, and ethical guidelines. This review provides a comprehensive overview of AI applications in anesthesia, offering insights into the present landscape, challenges, and future directions. The synthesis of historical perspectives, current applications, and future possibilities underscores the transformative potential of AI in revolutionizing patient care within the dynamic field of anesthesia.</t>
  </si>
  <si>
    <t>[Singam, Amol] Datta Meghe Inst Higher Educ &amp; Res, Jawaharlal Nehru Med Coll, Crit Care Med, Wardha, India</t>
  </si>
  <si>
    <t>Datta Meghe Institute of Higher Education &amp; Research (Deemed to be University); Jawaharlal Nehru Medical College Wardha</t>
  </si>
  <si>
    <t>Singam, A (corresponding author), Datta Meghe Inst Higher Educ &amp; Res, Jawaharlal Nehru Med Coll, Crit Care Med, Wardha, India.</t>
  </si>
  <si>
    <t>singamamol68@gmail.com</t>
  </si>
  <si>
    <t>DEC 4</t>
  </si>
  <si>
    <t>e49887</t>
  </si>
  <si>
    <t>10.7759/cureus.49887</t>
  </si>
  <si>
    <t>CB1M2</t>
  </si>
  <si>
    <t>WOS:001122699000005</t>
  </si>
  <si>
    <t>Rahuman, MAA; Kahatapitiya, NS; Amarakoon, VN; Wijenayake, U; Silva, BN; Jeon, M; Kim, J; Ravichandran, NK; Wijesinghe, RE</t>
  </si>
  <si>
    <t>Abdhul Rahuman, Mohomad Aqeel; Kahatapitiya, Nipun Shantha; Amarakoon, Viraj Niroshan; Wijenayake, Udaya; Silva, Bhagya Nathali; Jeon, Mansik; Kim, Jeehyun; Ravichandran, Naresh Kumar; Wijesinghe, Ruchire Eranga</t>
  </si>
  <si>
    <t>Recent Technological Progress of Fiber-Optical Sensors for Bio-Mechatronics Applications</t>
  </si>
  <si>
    <t>bio-mechatronics; fiber-optical sensors; force myography; polymer optical fiber; optical tactile sensors; Fabry-Perot interferometry</t>
  </si>
  <si>
    <t>FABRY-PEROT-INTERFEROMETER; OPTICAL COHERENCE TOMOGRAPHY; MINIMALLY INVASIVE SURGERY; STRAIN; ROBOT; SYSTEM; FORCES</t>
  </si>
  <si>
    <t>Bio-mechatronics is an interdisciplinary scientific field that emphasizes the integration of biology and mechatronics to discover innovative solutions for numerous biomedical applications. The broad application spectrum of bio-mechatronics consists of minimally invasive surgeries, rehabilitation, development of prosthetics, and soft wearables to find engineering solutions for the human body. Fiber-optic-based sensors have recently become an indispensable part of bio-mechatronics systems, which are essential for position detection and control, monitoring measurements, compliance control, and various feedback applications. As a result, significant advancements have been introduced for designing and developing fiber-optic-based sensors in the past decade. This review discusses recent technological advancements in fiber-optical sensors, which have been potentially adapted for numerous bio-mechatronic applications. It also encompasses fundamental principles, different types of fiber-optical sensors based on recent development strategies, and characterizations of fiber Bragg gratings, optical fiber force myography, polymer optical fibers, optical tactile sensors, and Fabry-Perot interferometric applications. Hence, robust knowledge can be obtained regarding the technological enhancements in fiber-optical sensors for bio-mechatronics-based interdisciplinary developments. Therefore, this review offers a comprehensive exploration of recent technological advances in fiber-optical sensors for bio-mechatronics. It provides insights into their potential to revolutionize biomedical and bio-mechatronics applications, ultimately contributing to improved patient outcomes and healthcare innovation.</t>
  </si>
  <si>
    <t>[Abdhul Rahuman, Mohomad Aqeel; Kahatapitiya, Nipun Shantha; Amarakoon, Viraj Niroshan] Univ Sri Jayewardenepura, Fac Technol, Dept Mat &amp; Mech Technol, Pitipana 10200, Homagama, Sri Lanka; [Wijenayake, Udaya; Silva, Bhagya Nathali] Univ Sri Jayewardenepura, Fac Engn, Dept Comp Engn, Nugegoda 10250, Sri Lanka; [Jeon, Mansik; Kim, Jeehyun] Kyungpook Natl Univ, Coll IT Engn, Sch Elect &amp; Elect Engn, 80 Daehak Ro, Daegu 41566, South Korea; [Ravichandran, Naresh Kumar] Korea Basic Sci Inst, Ctr Sci Instrumentat, 169-148 Gwahak Ro, Daejeon 34133, South Korea; [Wijesinghe, Ruchire Eranga] Sri Lanka Inst Informat Technol, Dept Elect &amp; Elect Engn, Fac Engn, Malabe 10115, Sri Lanka</t>
  </si>
  <si>
    <t>University Sri Jayewardenepura; University Sri Jayewardenepura; Kyungpook National University (KNU); Korea Basic Science Institute (KBSI); Sri Lanka Institute of Information Technology (SLIIT)</t>
  </si>
  <si>
    <t>Ravichandran, NK (corresponding author), Korea Basic Sci Inst, Ctr Sci Instrumentat, 169-148 Gwahak Ro, Daejeon 34133, South Korea.;Wijesinghe, RE (corresponding author), Sri Lanka Inst Informat Technol, Dept Elect &amp; Elect Engn, Fac Engn, Malabe 10115, Sri Lanka.</t>
  </si>
  <si>
    <t>aqeelabdhulrahuman@gmail.com; nipunshantha@gmail.com; aavniroshan@gmail.com; udayaw@sjp.ac.lk; nathali.slv@sjp.ac.lk; msjeon@knu.ac.kr; jeehk@knu.ac.kr; nareshr9169@kbsi.re.kr; eranga.w@sliit.lk</t>
  </si>
  <si>
    <t>Wijenayake, Udaya/AAY-8146-2021; Wijesinghe, Ruchire/K-3797-2016; Kim, Jinhyun/AAK-3695-2020; Silva, Bhagya/AAW-1014-2021; Kahatapitiya, Nipun Shantha/IYJ-5055-2023; RAVICHANDRAN, NARESH KUMAR/D-2190-2017</t>
  </si>
  <si>
    <t>gim, jihyeon/0000-0003-1217-9338; Kahatapitiya, Nipun Shantha/0000-0002-7608-3565; Silva, Bhagya Nathali/0000-0002-8545-943X; RAVICHANDRAN, NARESH KUMAR/0000-0002-3712-5304</t>
  </si>
  <si>
    <t>Asian Development Bank</t>
  </si>
  <si>
    <t>10.3390/technologies11060157</t>
  </si>
  <si>
    <t>DI0E0</t>
  </si>
  <si>
    <t>WOS:001131275500001</t>
  </si>
  <si>
    <t>Ai, QS; Liu, ZM; Meng, W; Liu, Q; Xie, SQ</t>
  </si>
  <si>
    <t>Ai, Qingsong; Liu, Zemin; Meng, Wei; Liu, Quan; Xie, Sheng Q.</t>
  </si>
  <si>
    <t>Machine Learning in Robot-Assisted Upper Limb Rehabilitation: A Focused Review</t>
  </si>
  <si>
    <t>IEEE TRANSACTIONS ON COGNITIVE AND DEVELOPMENTAL SYSTEMS</t>
  </si>
  <si>
    <t>Human-robot interaction (HRI); intention recognition; machine learning; quantitative assessment; upper limb rehabilitation</t>
  </si>
  <si>
    <t>MOTOR FUNCTION IMPAIRMENT; STROKE PATIENTS; EXOSKELETON ROBOTS; ADAPTIVE-CONTROL; FRAMEWORK; MOTION; IMPLEMENTATION; RECOGNITION; PROSTHESES; RECOVERY</t>
  </si>
  <si>
    <t>Robot-assisted rehabilitation, which can provide repetitive, intensive, and high-precision physics training, has a positive influence on the motor function recovery of stroke patients. Current robots need to be more intelligent and more reliable in clinical practice. Machine learning algorithms (MLAs) are able to learn from data and predict future unknown conditions, which is of benefit to improve the effectiveness of robot-assisted rehabilitation. In this article, we conduct a focused review on machine learning-based methods for robot-assisted upper limb rehabilitation. First, the current status of upper rehabilitation robots is presented. Then, we outline and analyze the designs and applications of MLAs for upper limb movement intention recognition, human-robot interaction control, and quantitative assessment of motor function. Meanwhile, we discuss the future directions of MLAs-based robotic rehabilitation. This review article provides a summary of MLAs for robotic upper limb rehabilitation and contributes to the design and development of future advanced intelligent medical devices.</t>
  </si>
  <si>
    <t>[Ai, Qingsong; Liu, Zemin; Meng, Wei; Liu, Quan] Wuhan Univ Technol, Sch Informat Engn, Wuhan 430070, Peoples R China; [Xie, Sheng Q.] Univ Leeds, Sch Elect &amp; Elect Engn, Leeds LS2 9JT, England</t>
  </si>
  <si>
    <t>Wuhan University of Technology; University of Leeds</t>
  </si>
  <si>
    <t>Meng, W (corresponding author), Wuhan Univ Technol, Sch Informat Engn, Wuhan 430070, Peoples R China.</t>
  </si>
  <si>
    <t>qingsongai@whut.edu.cn; zeminliu@whut.edu.cn; weimeng@whut.edu.cn; quanliu@whut.edu.cn; s.q.xie@leeds.ac.uk</t>
  </si>
  <si>
    <t>Meng, Wei/V-5855-2019; Xie, Sheng/AAU-3957-2021</t>
  </si>
  <si>
    <t>Xie, Sheng Quan/0000-0003-2641-2620; Zemin, Liu/0000-0002-2261-2812; Ai, Qingsong/0000-0003-4283-2289</t>
  </si>
  <si>
    <t>2379-8920</t>
  </si>
  <si>
    <t>2379-8939</t>
  </si>
  <si>
    <t>IEEE T COGN DEV SYST</t>
  </si>
  <si>
    <t>IEEE Trans. Cogn. Dev. Syst.</t>
  </si>
  <si>
    <t>10.1109/TCDS.2021.3098350</t>
  </si>
  <si>
    <t>CQ2H0</t>
  </si>
  <si>
    <t>WOS:001126639000010</t>
  </si>
  <si>
    <t>Bonanno, M; Calabrò, RS</t>
  </si>
  <si>
    <t>Bonanno, Mirjam; Calabro, Rocco Salvatore</t>
  </si>
  <si>
    <t>Robot-Aided Motion Analysis in Neurorehabilitation: Benefits and Challenges</t>
  </si>
  <si>
    <t>DIAGNOSTICS</t>
  </si>
  <si>
    <t>robot-aided motion analysis; objective motor assessment; biomechanics; neurorehabilitation</t>
  </si>
  <si>
    <t>OF-THE-ART; LIMB; EXOSKELETON; SYSTEMS; JOINTS</t>
  </si>
  <si>
    <t>In the neurorehabilitation field, robot-aided motion analysis (R-AMA) could be helpful for two main reasons: (1) it allows the registration and monitoring of patients' motion parameters in a more accurate way than clinical scales (clinical purpose), and (2) the multitude of data produced using R-AMA can be used to build machine learning algorithms, detecting prognostic and predictive factors for better motor outcomes (research purpose). Despite their potential in clinical settings, robotic assessment tools have not gained widespread clinical acceptance. Some barriers remain to their clinical adoption, such as their reliability and validity compared to the existing standardized scales. In this narrative review, we sought to investigate the usefulness of R-AMA systems in patients affected by neurological disorders. We found that the most used R-AMA tools are the Lokomat (an exoskeleton device used for gait and balance rehabilitation) and the Armeo (both Power and Spring, used for the rehabilitation of upper limb impairment). The motion analysis provided by these robotic devices was used to tailor rehabilitation sessions based on the objective quantification of patients' functional abilities. Spinal cord injury and stroke patients were the most investigated individuals with these common exoskeletons. Research on the use of robotics as an assessment tool should be fostered, taking into account the biomechanical parameters able to predict the accuracy of movements.</t>
  </si>
  <si>
    <t>[Bonanno, Mirjam; Calabro, Rocco Salvatore] IRCCS, Ctr Neurolesi Bonino Pulejo, Cda Casazza,SS 113, I-98124 Messina, Italy</t>
  </si>
  <si>
    <t>Bonanno, M (corresponding author), IRCCS, Ctr Neurolesi Bonino Pulejo, Cda Casazza,SS 113, I-98124 Messina, Italy.</t>
  </si>
  <si>
    <t>mirjam.bonanno@irccsme.it; roccos.calabro@irccsme.it</t>
  </si>
  <si>
    <t>Bonanno, Mirjam/IUP-3451-2023; calabro, rocco/L-9570-2019</t>
  </si>
  <si>
    <t>calabro, rocco salvatore/0000-0002-8566-3166; Bonanno, Mirjam/0000-0002-3284-9741</t>
  </si>
  <si>
    <t>Current Research funds 2023, Ministry of Health, Italy</t>
  </si>
  <si>
    <t>The authors wish to thank Alex Donato for English editing.</t>
  </si>
  <si>
    <t>2075-4418</t>
  </si>
  <si>
    <t>Diagnostics</t>
  </si>
  <si>
    <t>10.3390/diagnostics13233561</t>
  </si>
  <si>
    <t>AB2U8</t>
  </si>
  <si>
    <t>WOS:001115938200001</t>
  </si>
  <si>
    <t>Chen, JA; Xia, YJ; Zhou, XK; Rosas, EV; Thomas, A; Loureiro, R; Cooper, RJ; Carlson, T; Zhao, HB</t>
  </si>
  <si>
    <t>Chen, Jianan; Xia, Yunjia; Zhou, Xinkai; Vidal Rosas, Ernesto; Thomas, Alexander; Loureiro, Rui; Cooper, Robert; Carlson, Tom; Zhao, Hubin</t>
  </si>
  <si>
    <t>fNIRS-EEG BCIs for Motor Rehabilitation: A Review</t>
  </si>
  <si>
    <t>motor rehabilitation; brain-computer interface; functional near-infrared spectroscopy; electroencephalography; multimodal; motor imagery</t>
  </si>
  <si>
    <t>Motor impairment has a profound impact on a significant number of individuals, leading to a substantial demand for rehabilitation services. Through brain-computer interfaces (BCIs), people with severe motor disabilities could have improved communication with others and control appropriately designed robotic prosthetics, so as to (at least partially) restore their motor abilities. BCI plays a pivotal role in promoting smoother communication and interactions between individuals with motor impairments and others. Moreover, they enable the direct control of assistive devices through brain signals. In particular, their most significant potential lies in the realm of motor rehabilitation, where BCIs can offer real-time feedback to assist users in their training and continuously monitor the brain's state throughout the entire rehabilitation process. Hybridization of different brain-sensing modalities, especially functional near-infrared spectroscopy (fNIRS) and electroencephalography (EEG), has shown great potential in the creation of BCIs for rehabilitating the motor-impaired populations. EEG, as a well-established methodology, can be combined with fNIRS to compensate for the inherent disadvantages and achieve higher temporal and spatial resolution. This paper reviews the recent works in hybrid fNIRS-EEG BCIs for motor rehabilitation, emphasizing the methodologies that utilized motor imagery. An overview of the BCI system and its key components was introduced, followed by an introduction to various devices, strengths and weaknesses of different signal processing techniques, and applications in neuroscience and clinical contexts. The review concludes by discussing the possible challenges and opportunities for future development.</t>
  </si>
  <si>
    <t>[Chen, Jianan; Xia, Yunjia; Zhou, Xinkai; Thomas, Alexander; Zhao, Hubin] Univ Coll London UCL, Div Surg &amp; Intervent Sci, HUB Intelligent Neuroengn HUBIN, Aspire CREATe,IOMS, London HA7 4LP, England; [Xia, Yunjia; Vidal Rosas, Ernesto; Cooper, Robert; Zhao, Hubin] Univ Coll London UCL, Dept Med Phys &amp; Biomed Engn, DOT HUB, London WC1E 6BT, England; [Vidal Rosas, Ernesto] Univ Southampton, Sch Elect &amp; Comp Sci, Digital Hlth &amp; Biomed Engn, Southampton SO17 1BJ, England; [Thomas, Alexander; Loureiro, Rui; Carlson, Tom] Univ Coll London UCL, Dept Orthopaed &amp; Musculoskeletal Sci, Aspire CREATe, London HA7 4LP, England</t>
  </si>
  <si>
    <t>University of London; University College London; University of London; University College London; University of Southampton; University of London; University College London</t>
  </si>
  <si>
    <t>Zhao, HB (corresponding author), Univ Coll London UCL, Div Surg &amp; Intervent Sci, HUB Intelligent Neuroengn HUBIN, Aspire CREATe,IOMS, London HA7 4LP, England.;Zhao, HB (corresponding author), Univ Coll London UCL, Dept Med Phys &amp; Biomed Engn, DOT HUB, London WC1E 6BT, England.</t>
  </si>
  <si>
    <t>jianan.chen.22@ucl.ac.uk; yunjia.xia.18@ucl.ac.uk; xinkai.zhou.21@ucl.ac.uk; ernesto.vidal@ucl.ac.uk; alex.thomas@ucl.ac.uk; r.loureiro@ucl.ac.uk; robert.cooper@ucl.ac.uk; t.carlson@ucl.ac.uk; hubin.zhao@ucl.ac.uk</t>
  </si>
  <si>
    <t>Vidal Rosas, Ernesto/AAQ-8969-2021; Carlson, Tom/X-7434-2019</t>
  </si>
  <si>
    <t>Vidal Rosas, Ernesto Elias/0000-0002-4486-7592; Xia, Yunjia/0009-0000-2768-6418; Zhao, Hubin/0000-0001-9408-4724; Thomas, Alexander/0009-0002-4145-2209</t>
  </si>
  <si>
    <t>Royal Society [RGS\R2\222333]; Royal Society Research Grant [13171178 R00287]; Engineering and Physical Sciences Research Council [101099093]; European Research Council (ERC) under the European Union's Horizon Europe research and innovation program [101099093]; ERC; Department of Orthopaedics and Musculoskeletal Science; Wellcome Trust [203145Z/16/Z]; EPSRC</t>
  </si>
  <si>
    <t>Royal Society(Royal Society UK); Royal Society Research Grant(Royal Society UK); Engineering and Physical Sciences Research Council(UK Research &amp; Innovation (UKRI)Engineering &amp; Physical Sciences Research Council (EPSRC)); European Research Council (ERC) under the European Union's Horizon Europe research and innovation program(European Research Council (ERC)); ERC(European Research Council (ERC)); Department of Orthopaedics and Musculoskeletal Science; Wellcome Trust(Wellcome Trust); EPSRC(UK Research &amp; Innovation (UKRI)Engineering &amp; Physical Sciences Research Council (EPSRC))</t>
  </si>
  <si>
    <t>H.Z. is supported by The Royal Society Research Grant (RGS\R2\222333) and the Engineering and Physical Sciences Research Council Grant (13171178 R00287), European Research Council (ERC) under the European Union's Horizon Europe research and innovation program (grant agreement No. 101099093). R.J.C. is supported by ERC (grant agreement No. 101099093). This work was partially supported by the Department of Orthopaedics and Musculoskeletal Science and by the Wellcome Trust and EPSRC through the WEISS Centre (grant: 203145Z/16/Z) at UCL.</t>
  </si>
  <si>
    <t>10.3390/bioengineering10121393</t>
  </si>
  <si>
    <t>DH9C8</t>
  </si>
  <si>
    <t>WOS:001131247900001</t>
  </si>
  <si>
    <t>Ghorbanpour, A</t>
  </si>
  <si>
    <t>Ghorbanpour, Amin</t>
  </si>
  <si>
    <t>Cooperative Robot Manipulators Dynamical Modeling and Control: An Overview</t>
  </si>
  <si>
    <t>DYNAMICS</t>
  </si>
  <si>
    <t>cooperative robots; dynamical modeling; kinematics; control algorithm</t>
  </si>
  <si>
    <t>POSITION/FORCE CONTROL SCHEME; DUAL ARM ROBOT; ADAPTIVE-CONTROL; IMPEDANCE CONTROL; CLOSED-CHAIN; MOBILE MANIPULATORS; UNKNOWN OBJECT; SPACE ROBOT; ROBUST; SYSTEM</t>
  </si>
  <si>
    <t>Robot manipulators possess the capability to autonomously execute complex sequences of actions. Their proficiency in handling challenging and hazardous tasks has led to their widespread adoption across diverse sectors, including industry, business, household appliances, rehabilitation, and many more. However, certain tasks prove to be challenging for individual robots, primarily due to constraints in their structure and limited degrees of freedom. Cooperative robot manipulators (CRMs) emerge as a compelling solution when dealing with large, heavy, or flexible payloads. The utilization of CRMs offers a host of benefits, including enhanced manipulation performance achieved through the synergy of sensing and actuation capabilities or by tapping into increased redundancy. Numerous techniques have been devised for the control and dynamical modeling of CRMs. Nevertheless, the field continues to present technical challenges and scientific inquiries. To inspire and facilitate further research and development in this realm, this review aims to consolidate the current body of knowledge pertaining to CRMs kinematics, dynamics modeling, and various control methodologies used for payload manipulation via CRMs.</t>
  </si>
  <si>
    <t>[Ghorbanpour, Amin] Univ Calif Davis, Dept Mech &amp; Aerosp Engn, Davis, CA 95616 USA</t>
  </si>
  <si>
    <t>University of California System; University of California Davis</t>
  </si>
  <si>
    <t>Ghorbanpour, A (corresponding author), Univ Calif Davis, Dept Mech &amp; Aerosp Engn, Davis, CA 95616 USA.</t>
  </si>
  <si>
    <t>aghorbanpour@ucdavis.edu</t>
  </si>
  <si>
    <t>Ghorbanpour, Amin/GZH-1256-2022; Ghorbanpour, Mansour/F-1977-2016</t>
  </si>
  <si>
    <t>Ghorbanpour, Mansour/0000-0002-4790-2701</t>
  </si>
  <si>
    <t>2673-8716</t>
  </si>
  <si>
    <t>DYNAMICS-BASEL</t>
  </si>
  <si>
    <t>Dynamics</t>
  </si>
  <si>
    <t>10.3390/dynamics3040045</t>
  </si>
  <si>
    <t>G2C6U</t>
  </si>
  <si>
    <t>WOS:001314773900001</t>
  </si>
  <si>
    <t>Marek, K; Redlicka, J; Miller, E; Zubrycki, I</t>
  </si>
  <si>
    <t>Marek, Klaudia; Redlicka, Justyna; Miller, Elzbieta; Zubrycki, Igor</t>
  </si>
  <si>
    <t>Objectivizing Measures of Post-Stroke Hand Rehabilitation through Multi-Disciplinary Scales</t>
  </si>
  <si>
    <t>outcome measures; post-stroke rehabilitation; upper limb; hand measurements; stroke recovery</t>
  </si>
  <si>
    <t>UPPER EXTREMITY FUNCTION; ROBOT-ASSISTED REHABILITATION; INDUCED MOVEMENT THERAPY; MODIFIED ASHWORTH SCALE; CARPAL-TUNNEL-SYNDROME; FUGL-MEYER ASSESSMENT; ACUTE STROKE PATIENTS; PARETIC UPPER-LIMB; TOXIN TYPE-A; OUTCOME MEASURES</t>
  </si>
  <si>
    <t>There is a wide variety of tools and measures for rehabilitation outcomes in post-stroke patients with impairments in the upper limb and hand, such as paralysis, paresis, flaccidity, and spasticity. However, there is a lack of general recommendations for selecting the most appropriate scales, tests, and instruments to objectively evaluate therapy outcomes. Reviews on upper limb and hand measurements reveal that clinicians' choices of tools and methods are highly varied. Some clinicians and medical teams continue to employ non-standard and unverified metrics in their research and measurements. This review article aims to identify the key parameters, assessed by outcome measures and instruments, that play a crucial role in upper limb and hand rehabilitation for post-stroke patients, specifically focusing on the recovery of hand function. The review seeks to assist researchers and medical teams in selecting appropriate outcome measures when evaluating post-stroke patients. We analyze the measured factors and skills found in these outcome measures and highlight useful tools that diversify assessments and enhance result objectivity through graphical representation. The paper also describes trends and new possibilities in hand outcome measures. Clinicians frequently use proven devices, such as EMG, goniometers, and hand dynamometers. Still, there is a growing trend towards incorporating technologies, such as pose and position estimation, using artificial intelligence, or custom hand grip measurement devices. Researchers are increasingly adopting scales previously successful in orthopedic and surgical patients, recognizing their potential for objectivizing outcomes in neurological patients with post-stroke hand complications. The review included only adults over the age of 18. Outcome measures were tested for usefulness in the rehabilitation of stroke patients.</t>
  </si>
  <si>
    <t>[Marek, Klaudia; Redlicka, Justyna; Miller, Elzbieta] Med Univ Lodz, Dept Neurol Rehabil, Milionowa 14, PL-90001 Lodz, Poland; [Zubrycki, Igor] Lodz Univ Technol, Inst Automat Control, Stefanowskiego 18, PL-90537 Lodz, Poland</t>
  </si>
  <si>
    <t>Medical University Lodz; Lodz University of Technology</t>
  </si>
  <si>
    <t>Marek, K (corresponding author), Med Univ Lodz, Dept Neurol Rehabil, Milionowa 14, PL-90001 Lodz, Poland.</t>
  </si>
  <si>
    <t>klaudia.marek@umed.lodz.pl; justyna.redlicka@umed.lodz.pl; elzbieta.dorota.miller@umed.lodz.pl; igor.zubrycki@p.lodz.pl</t>
  </si>
  <si>
    <t>Miller, Elzbieta/S-9249-2016; Marek, Klaudia/LYO-4404-2024; Zubrycki, Igor/AAI-1197-2021</t>
  </si>
  <si>
    <t>Miller, Elzbieta/0000-0002-7029-1857; Redlicka, Justyna/0000-0002-5276-3232; Marek, Klaudia/0000-0002-3304-8647; Zubrycki, Igor/0000-0002-1229-2173</t>
  </si>
  <si>
    <t>National Centre for Research and Development(National Centre for Research &amp; Development, Poland)</t>
  </si>
  <si>
    <t>10.3390/jcm12237497</t>
  </si>
  <si>
    <t>AB7L4</t>
  </si>
  <si>
    <t>WOS:001116061400001</t>
  </si>
  <si>
    <t>Sanjani, MA; Tahami, E; Veisi, G</t>
  </si>
  <si>
    <t>Sanjani, Marzieh Allami; Tahami, Ehsan; Veisi, Gelareh</t>
  </si>
  <si>
    <t>A review of surface electromyography applications for the jaw muscles characterization in rehabilitation and disorders diagnosis</t>
  </si>
  <si>
    <t>Electromyogram signal; Jaw muscles; Rehabilitation; Diagnosis</t>
  </si>
  <si>
    <t>GENERATION; PREDICTION; MOVEMENTS; SLEEP; ROBOT</t>
  </si>
  <si>
    <t>Surface electromyography (EMG) is valuable information instrumentation for understanding the electrical activity of muscles. The function and role of the maxillofacial components are critical in daily life and health. This review aims to investigate the position of EMG recorded in the maxillofacial region in diagnostic and rehabilitation studies. In this study, the primary focus is on how to use EMG of the maxillofacial in diagnostic and rehabilitation applications and finding the requirements, needs, challenges, and opportunities ahead. As a result, the study indicated that the maxillofacial EMG is the basis for solving a wide range of practical issues associated with diagnosing disorders and their treatment, and there is a need for standardization and communication between these two applications.</t>
  </si>
  <si>
    <t>[Sanjani, Marzieh Allami; Tahami, Ehsan] Islamic Azad Univ, Dept Biomed Engn, Mashhad Branch, Emamieh Blvd,POB 9187147578, Mashhad 9187147578, Iran; [Veisi, Gelareh] Islamic Azad Univ, Dept Comp Engn, Mashhad Branch, Mashhad, Iran</t>
  </si>
  <si>
    <t>Tahami, E (corresponding author), Islamic Azad Univ, Dept Biomed Engn, Mashhad Branch, Emamieh Blvd,POB 9187147578, Mashhad 9187147578, Iran.</t>
  </si>
  <si>
    <t>etahami@gmail.com; gveisi@gmail.com</t>
  </si>
  <si>
    <t>10.1016/j.medntd.2023.100261</t>
  </si>
  <si>
    <t>0RC3N</t>
  </si>
  <si>
    <t>WOS:001454012200003</t>
  </si>
  <si>
    <t>Wang, JM; Chen, YK; Huo, SG; Mai, LY; Jia, FS</t>
  </si>
  <si>
    <t>Wang, Jianmin; Chen, Yongkang; Huo, Siguang; Mai, Liya; Jia, Fusheng</t>
  </si>
  <si>
    <t>Research Hotspots and Trends of Social Robot Interaction Design: A Bibliometric Analysis</t>
  </si>
  <si>
    <t>social robot; interaction design; bibliometric; VOSviewer; Citespace</t>
  </si>
  <si>
    <t>ANTHROPOMORPHISM; CHILDREN; MODEL; TECHNOLOGY; ACCEPTANCE; DISCLOSURE; COCITATION; RESPONSES; SYSTEMS</t>
  </si>
  <si>
    <t>(1) Background: Social robot interaction design is crucial for determining user acceptance and experience. However, few studies have systematically discussed the current focus and future research directions of social robot interaction design from a bibliometric perspective. Therefore, we conducted this study in order to identify the latest research progress and evolution trajectory of research hotspots in social robot interaction design over the last decade. (2) Methods: We conducted a comprehensive review based on 2416 papers related to social robot interaction design obtained from the Web of Science (WOS) database. Our review utilized bibliometric techniques and integrated VOSviewer and CiteSpace to construct a knowledge map. (3) Conclusions: The current research hotspots of social robot interaction design mainly focus on #1 the study of human-robot relationships in social robots, #2 research on the emotional design of social robots, #3 research on social robots for children's psychotherapy, #4 research on companion robots for elderly rehabilitation, and #5 research on educational social robots. The reference co-citation analysis identifies the classic literature that forms the basis of the current research, which provides theoretical guidance and methods for the current research. Finally, we discuss several future research directions and challenges in this field.</t>
  </si>
  <si>
    <t>[Wang, Jianmin] Tongji Univ, Coll Arts &amp; Media, Shanghai 201804, Peoples R China; [Wang, Jianmin] Sun Yat Sen Univ, Shenzhen Res Inst, Shenzhen 518057, Peoples R China; [Chen, Yongkang; Huo, Siguang; Mai, Liya; Jia, Fusheng] Tongji Univ, Coll Design &amp; Innovat, Shanghai 200092, Peoples R China</t>
  </si>
  <si>
    <t>Tongji University; Sun Yat Sen University; Tongji University</t>
  </si>
  <si>
    <t>Jia, FS (corresponding author), Tongji Univ, Coll Design &amp; Innovat, Shanghai 200092, Peoples R China.</t>
  </si>
  <si>
    <t>2210919@tongji.edu.cn; 2311599@tongji.edu.cn</t>
  </si>
  <si>
    <t>, Yongkang Chen/0009-0004-6756-633X</t>
  </si>
  <si>
    <t>Fundamental Research Funds for the Central Universities</t>
  </si>
  <si>
    <t>Fundamental Research Funds for the Central Universities(Fundamental Research Funds for the Central Universities)</t>
  </si>
  <si>
    <t>10.3390/s23239369</t>
  </si>
  <si>
    <t>AD2L3</t>
  </si>
  <si>
    <t>WOS:001116456200001</t>
  </si>
  <si>
    <t>Yeo, YH; Razali, MF; Ripin, ZM; Ridzwan, MIZ</t>
  </si>
  <si>
    <t>Yeo, Y. H.; Razali, M. F.; Ripin, Z. M.; Ridzwan, M. I. Z.</t>
  </si>
  <si>
    <t>Effectiveness of Rehabilitative Interventions Beginning within the First Month of Stroke Onset in Improving Lower Extremity-related Outcomes: A Systematic Review and Network Meta-Analysis</t>
  </si>
  <si>
    <t>MEDICINE AND HEALTH</t>
  </si>
  <si>
    <t>Lower extremity; meta-analysis; stroke rehabilitation</t>
  </si>
  <si>
    <t>FUNCTIONAL ELECTRICAL-STIMULATION; TRANSCRANIAL MAGNETIC STIMULATION; LIMB MOTOR FUNCTION; MIRROR THERAPY; SUBACUTE STROKE; BACKWARD WALKING; BEHAVIORAL RECOVERY; SINGLE-BLIND; GAIT SPEED; BALANCE</t>
  </si>
  <si>
    <t>Reviews about early interventions, which are important in stroke rehabilitation due to significant neural plasticity, are relatively less. This study objective was to investigate the effectiveness of different interventions started within one-month post-stroke in improving lower extremity-related outcomes as compared to conventional rehabilitation and the corresponding effectiveness ranking. Cochrane Library, Ovid, PubMed, and Scopus were searched for articles dated up to 18 March 2022. Randomised controlled trials were included if they evaluated the effectiveness of two or more different non-drug, non-invasive, and non-surgical interventions which were started within one-month post-stroke on lower extremity-related outcomes. Network meta-analysis revealed that transcranial direct current stimulation, repetitive transcranial magnetic stimulation, mirror therapy, cycling, transcutaneous auricular vagus nerve stimulation, neuromuscular electrical stimulation (NMES), combination of robot and NMES, and thermal stimulation were significantly more effective in improving lower extremity motor function than conventional rehabilitation. In improving mobility, mirror therapy, cycling, and thermal stimulation were significantly more effective. In enhancing balance, physio ball, transcutaneous electrical nerve stimulation, cycling, thermal stimulation, and robot showed significantly higher effectiveness. Thermal stimulation scored the highest effectiveness ranking in improving lower extremity motor function and mobility whereas robot and backward walking achieved the highest effectiveness ranking in improving balance and gait speed respectively.</t>
  </si>
  <si>
    <t>[Yeo, Y. H.; Razali, M. F.; Ripin, Z. M.; Ridzwan, M. I. Z.] Univ Sains Malaysia, Sch Mech Engn, Engn Campus, Nibong Tebal 14300, Penang, Malaysia</t>
  </si>
  <si>
    <t>Universiti Sains Malaysia</t>
  </si>
  <si>
    <t>Razali, MF (corresponding author), Univ Sains Malaysia, Sch Mech Engn, Engn Campus, Nibong Tebal 14300, Penang, Malaysia.</t>
  </si>
  <si>
    <t>mefauzinizam@usm.my</t>
  </si>
  <si>
    <t>Ripin, Zaidi/D-8420-2018; RAZALI, MUHAMMAD/K-2099-2012; Yeo, Ying/AAG-9609-2021; Ridzwan, Mohamad/B-3382-2018</t>
  </si>
  <si>
    <t>Ridzwan, Mohamad/0000-0002-3826-2642</t>
  </si>
  <si>
    <t>Collaborative Research in Engineering, Science &amp; Technology Center (CREST), School of Mechanical Engineering Universiti Sains Malaysia [304. PMEKANIK.6050419.C121]; SAS Institute Sdn [304. PMEKANIK.6050419.C121]</t>
  </si>
  <si>
    <t>Collaborative Research in Engineering, Science &amp; Technology Center (CREST), School of Mechanical Engineering Universiti Sains Malaysia; SAS Institute Sdn</t>
  </si>
  <si>
    <t>The authors would like to thank Collaborative Research in Engineering, Science &amp; Technology Center (CREST), School of Mechanical Engineering Universiti Sains Malaysia, and SAS Institute Sdn. Bhd. for their continuous support in this research (304. PMEKANIK.6050419.C121).</t>
  </si>
  <si>
    <t>UNIV KEBANGSAAN MALAYSIA, FAC MEDICINE</t>
  </si>
  <si>
    <t>KUALA LUMPUR</t>
  </si>
  <si>
    <t>UNIV KEBANGSAAN MALAYSIA, FAC MEDICINE, KUALA LUMPUR, MALAYSIA</t>
  </si>
  <si>
    <t>2289-5728</t>
  </si>
  <si>
    <t>MED HEALTH-KUALA LUM</t>
  </si>
  <si>
    <t>Med. Health</t>
  </si>
  <si>
    <t>10.17576/MH.2023.1802.03</t>
  </si>
  <si>
    <t>MY6M9</t>
  </si>
  <si>
    <t>WOS:001197236000003</t>
  </si>
  <si>
    <t>Zhao, DH; Sun, XW; Shan, B; Yang, ZH; Yang, JY; Liu, HD; Jiang, YL; Hiroshi, Y</t>
  </si>
  <si>
    <t>Zhao, Donghui; Sun, Xingwang; Shan, Bo; Yang, Zihao; Yang, Junyou; Liu, Houde; Jiang, Yinlai; Hiroshi, Yokoi</t>
  </si>
  <si>
    <t>Research status of elderly-care robots and safe human-robot interaction methods</t>
  </si>
  <si>
    <t>FRONTIERS IN NEUROSCIENCE</t>
  </si>
  <si>
    <t>elderly-care robots; nursing mode; safe interaction methods; practicality; acceptability</t>
  </si>
  <si>
    <t>PEOPLE; ASSISTANT; SYSTEM; MODEL; ACCEPTANCE; SET</t>
  </si>
  <si>
    <t>Faced with the increasingly severe global aging population with fewer children, the research, development, and application of elderly-care robots are expected to provide some technical means to solve the problems of elderly care, disability and semi-disability nursing, and rehabilitation. Elderly-care robots involve biomechanics, computer science, automatic control, ethics, and other fields of knowledge, which is one of the most challenging and most concerned research fields of robotics. Unlike other robots, elderly-care robots work for the frail elderly. There is information exchange and energy exchange between people and robots, and the safe human-robot interaction methods are the research core and key technology. The states of the art of elderly-care robots and their various nursing modes and safe interaction methods are introduced and discussed in this paper. To conclude, considering the disparity between current elderly care robots and their anticipated objectives, we offer a comprehensive overview of the critical technologies and research trends that impact and enhance the feasibility and acceptance of elderly care robots. These areas encompass the collaborative assistance of diverse assistive robots, the establishment of a novel smart home care model for elderly individuals using sensor networks, the optimization of robot design for improved flexibility, and the enhancement of robot acceptability.</t>
  </si>
  <si>
    <t>[Zhao, Donghui; Sun, Xingwang; Shan, Bo; Yang, Zihao; Yang, Junyou] Shenyang Univ Technol, Sch Elect Engn, Shenyang, Peoples R China; [Zhao, Donghui; Liu, Houde] Tsinghua Univ, Tsinghua Shenzhen Int Grad Sch, Shenzhen, Peoples R China; [Jiang, Yinlai; Hiroshi, Yokoi] Univ Electrocommun, Dept Mech Engn &amp; Intelligent Syst, Tokyo, Japan</t>
  </si>
  <si>
    <t>Shenyang University of Technology; Tsinghua Shenzhen International Graduate School; Tsinghua University; University of Electro-Communications - Japan</t>
  </si>
  <si>
    <t>Yang, JY (corresponding author), Shenyang Univ Technol, Sch Elect Engn, Shenyang, Peoples R China.</t>
  </si>
  <si>
    <t>junyouyang@sut.edu.cn</t>
  </si>
  <si>
    <t>SHAN, BO/AAC-5167-2021; Yokoi, Hiroshi/JKJ-0639-2023</t>
  </si>
  <si>
    <t>zhao, donghui/0000-0001-7836-7425</t>
  </si>
  <si>
    <t>Shenzhen Science Fund for Distinguished Young Scholars [RCJC20210706091946001]; National Key Research and Development Program of China [2022YFB4701400/4701402]; General Project of Liaoning Provincial Department of Education [LJKZ0124]; Natural Science Foundation of Liaoning Province [2021-BS-152]</t>
  </si>
  <si>
    <t>Shenzhen Science Fund for Distinguished Young Scholars(National Natural Science Foundation of China (NSFC)National Science Fund for Distinguished Young Scholars); National Key Research and Development Program of China(National Key Research &amp; Development Program of China); General Project of Liaoning Provincial Department of Education; Natural Science Foundation of Liaoning Province(Natural Science Foundation of Liaoning Province)</t>
  </si>
  <si>
    <t>The author(s) declare financial support was received for the research, authorship, and/or publication of this article. This work was supported by Shenzhen Science Fund for Distinguished Young Scholars: RCJC20210706091946001, National Key Research and Development Program of China: 2022YFB4701400/4701402, the General Project of Liaoning Provincial Department of Education: LJKZ0124 and the Natural Science Foundation of Liaoning Province: 2021-BS-152.</t>
  </si>
  <si>
    <t>1662-453X</t>
  </si>
  <si>
    <t>FRONT NEUROSCI-SWITZ</t>
  </si>
  <si>
    <t>Front. Neurosci.</t>
  </si>
  <si>
    <t>10.3389/fnins.2023.1291682</t>
  </si>
  <si>
    <t>CR2N9</t>
  </si>
  <si>
    <t>WOS:001126906500001</t>
  </si>
  <si>
    <t>Li, L; Zhang, W; Ren, Z; Chang, LF; Xu, XY; Hu, Y</t>
  </si>
  <si>
    <t>Li, Lin; Zhang, Wei; Ren, Zhen; Chang, Longfei; Xu, Xiaoyong; Hu, Ying</t>
  </si>
  <si>
    <t>Endowing actuators with sensing capability: Recent progress on perceptive soft actuators</t>
  </si>
  <si>
    <t>CHEMICAL ENGINEERING JOURNAL</t>
  </si>
  <si>
    <t>Perception; Flexible sensors; Robotic sensing; Soft actuators</t>
  </si>
  <si>
    <t>ARTIFICIAL MUSCLE; HIGH-PERFORMANCE; SENSOR ARRAY; STRAIN; FILM; TRANSPARENT; SKIN; FABRICATION; DESIGN; DRIVEN</t>
  </si>
  <si>
    <t>Over the past decade, soft actuators have received enormous interest for potential applications in artificial muscles, soft grippers, wearable devices, minimally invasive surgery robots, and medical rehabilitation devices due to their safety, interactivity, and adaptability resulting from their intrinsic soft bodies or compliant structures. However, to meet the increasing demands of real-time feedback and closed-loop control in complicated scenarios, perception is essential for autonomous and intelligent soft actuators. Herein, recent advances in soft actuators with integrated sensing function are investigated to provide an understanding of the state-of-the-art in this field. Typical sensing technologies for perceptive soft actuators are categorized, described, and their pros and cons are discussed. Furthermore, perceptive soft actuators based on different actuation mechanisms are highlighted. Finally, current challenges and future perspectives toward perceptive soft actuators are proposed and analyzed, with the aim of providing a guide for researchers to design next-generation intelligent soft actuators with integrated sensing capability.</t>
  </si>
  <si>
    <t>[Li, Lin; Zhang, Wei; Ren, Zhen; Chang, Longfei; Hu, Ying] Hefei Univ Technol, Sch Mat Sci &amp; Engn, Anhui Prov Key Lab Aerosp Struct Parts Forming Tec, Hefei 230009, Peoples R China; [Xu, Xiaoyong] Anhui Med Univ, Affiliated Hosp 1, Dept Gastroenterol, Hefei 230009, Peoples R China</t>
  </si>
  <si>
    <t>Hefei University of Technology; Anhui Medical University</t>
  </si>
  <si>
    <t>Hu, Y (corresponding author), Hefei Univ Technol, Sch Mat Sci &amp; Engn, Anhui Prov Key Lab Aerosp Struct Parts Forming Tec, Hefei 230009, Peoples R China.;Xu, XY (corresponding author), Anhui Med Univ, Affiliated Hosp 1, Dept Gastroenterol, Hefei 230009, Peoples R China.</t>
  </si>
  <si>
    <t>xxy_007a@aliyun.com; huying@hfut.edu.cn</t>
  </si>
  <si>
    <t>Chang, Longfei/U-9540-2017; Li, Lin/AAM-5074-2021; Hu, Ying/K-3893-2015</t>
  </si>
  <si>
    <t>Hu, Ying/0000-0002-9711-6047</t>
  </si>
  <si>
    <t>National Natural Science Foundation of China [22275048, 11674354]; Anhui Provincial Natural Science Foundation [2008085J22]; Fundamental Research Funds for the Central Universities of China [JZ2023YQTD0074]</t>
  </si>
  <si>
    <t>National Natural Science Foundation of China(National Natural Science Foundation of China (NSFC)); Anhui Provincial Natural Science Foundation(Natural Science Foundation of Anhui Province); Fundamental Research Funds for the Central Universities of China(Fundamental Research Funds for the Central Universities)</t>
  </si>
  <si>
    <t>This work was supported by the National Natural Science Foundation of China (22275048, 11674354) , the Anhui Provincial Natural Science Foundation (2008085J22) , and the Fundamental Research Funds for the Central Universities of China (JZ2023YQTD0074) .</t>
  </si>
  <si>
    <t>1385-8947</t>
  </si>
  <si>
    <t>1873-3212</t>
  </si>
  <si>
    <t>CHEM ENG J</t>
  </si>
  <si>
    <t>Chem. Eng. J.</t>
  </si>
  <si>
    <t>JAN 1</t>
  </si>
  <si>
    <t>10.1016/j.cej.2023.147550</t>
  </si>
  <si>
    <t>Engineering, Environmental; Engineering, Chemical</t>
  </si>
  <si>
    <t>CK3V3</t>
  </si>
  <si>
    <t>WOS:001125116300001</t>
  </si>
  <si>
    <t>Weerarathna, IN; Raymond, D; Luharia, A</t>
  </si>
  <si>
    <t>Weerarathna, Induni N.; Raymond, David; Luharia, Anurag</t>
  </si>
  <si>
    <t>Human-Robot Collaboration for Healthcare: A Narrative Review</t>
  </si>
  <si>
    <t>challenges; ethical considerations; robotic assistance surgery; telemedicine; robots</t>
  </si>
  <si>
    <t>SURGERY; TRUST</t>
  </si>
  <si>
    <t>Robotic applications have often quickly transitioned from industrial to social. Because of this, robots can now engage with people in a natural way and blend in with their surroundings. Due to the lack of medical professionals, growing healthcare costs, and the exponential rise in the population of vulnerable groups like the ill, elderly, and children with developmental disabilities, the use of social robots in the healthcare system is expanding. As a result, social robots are employed in the medical field to entertain and educate hospitalized patients about health issues, as well as to assist the elderly and sick. They are also employed in the dispensing of medications, rehabilitation, and emotional and geriatric care. Thus, social robots raise the standard and effectiveness of medical care. This article explains how patients and healthcare professionals collaborate with robots in the healthcare industry. The objectives of this collaboration are to resolve moral and legal concerns, improve patient outcomes, and improve healthcare delivery. It has a broad range of uses, including telemedicine, rehabilitation, and robotic surgical support. Human-robot interaction is the term used to describe interactions between social robots and people. Many obstacles stand in the way of humanrobot interaction in healthcare, including safety concerns, acceptability issues, appropriateness, usefulness, and the worry that robots may replace human carers. In the end, these difficulties result in a poor adoption rate for robotic technology. As a result, the applications and difficulties of human-robot interaction in healthcare are thoroughly evaluated in this research. This study also reviews future safety prospects from human-robot interaction in healthcare, as well as ethical and usability issues including privacy, trust, and safety, and our aims to provide a comprehensive overview of the use of robots in healthcare, including their applications, benefits, challenges, and prospects, to facilitate a deeper understanding of this evolving field.</t>
  </si>
  <si>
    <t>[Weerarathna, Induni N.] Datta Meghe Inst Higher Educ &amp; Res, Sch Allied Hlth Sci, Biomed Sci, Wardha, India; [Raymond, David] Datta Meghe Inst Higher Educ &amp; Res, Comp Sci &amp; Med Engn, Wardha, India; [Luharia, Anurag] Datta Meghe Inst Higher Educ &amp; Res, Jawaharlal Nehru Med Coll, Radiotherapy, Wardha, India</t>
  </si>
  <si>
    <t>Datta Meghe Institute of Higher Education &amp; Research (Deemed to be University); School of Allied Health Sciences, DMIHER; Datta Meghe Institute of Higher Education &amp; Research (Deemed to be University); Datta Meghe Institute of Higher Education &amp; Research (Deemed to be University); Jawaharlal Nehru Medical College Wardha</t>
  </si>
  <si>
    <t>Weerarathna, IN (corresponding author), Datta Meghe Inst Higher Educ &amp; Res, Sch Allied Hlth Sci, Biomed Sci, Wardha, India.</t>
  </si>
  <si>
    <t>weerarathnainduni5@gmail.com</t>
  </si>
  <si>
    <t>Weerarathna, Induni/KIE-5209-2024; Luharia, Dr. Anurag/LEL-7578-2024; Raymond, David/KCK-5627-2024</t>
  </si>
  <si>
    <t>Weerarathna, Induni Nayodhara/0009-0007-6996-8270</t>
  </si>
  <si>
    <t>NOV 21</t>
  </si>
  <si>
    <t>e49210</t>
  </si>
  <si>
    <t>10.7759/cureus.49210</t>
  </si>
  <si>
    <t>Z2VO9</t>
  </si>
  <si>
    <t>Green Accepted, gold</t>
  </si>
  <si>
    <t>WOS:001110706700002</t>
  </si>
  <si>
    <t>Sumner, J; Lim, HW; Chong, LS; Bundele, A; Mukhopadhyay, A; Kayambu, G</t>
  </si>
  <si>
    <t>Sumner, Jennifer; Lim, Hui Wen; Chong, Lin Siew; Bundele, Anjali; Mukhopadhyay, Amartya; Kayambu, Geetha</t>
  </si>
  <si>
    <t>Artificial intelligence in physical rehabilitation: A systematic review</t>
  </si>
  <si>
    <t>ARTIFICIAL INTELLIGENCE IN MEDICINE</t>
  </si>
  <si>
    <t>Artificial intelligence; Machine learning; Physical rehabilitation; Systematic review</t>
  </si>
  <si>
    <t>IMPACT; GAIT</t>
  </si>
  <si>
    <t>Background: Physical disabilities become more common with advancing age. Rehabilitation restores function, maintaining independence for longer. However, the poor availability and accessibility of rehabilitation limits its clinical impact. Artificial Intelligence (AI) guided interventions have improved many domains of healthcare, but whether rehabilitation can benefit from AI remains unclear.Methods: We conducted a systematic review of AI-supported physical rehabilitation technology tested in the clinical setting to understand: 1) availability of AI-supported physical rehabilitation technology; 2) its clinical effect; 3) and the barriers and facilitators to implementation. We searched in MEDLINE, EMBASE, CINAHL, Science Citation Index (Web of Science), CIRRIE (now NARIC), and OpenGrey.Results: We identified 9054 articles and included 28 projects. AI solutions spanned five categories: App-based systems, robotic devices that replace function, robotic devices that restore function, gaming systems and wearables. We identified five randomised controlled trials (RCTs), which evaluated outcomes relating to physical function, activity, pain, and health-related quality of life. The clinical effects were inconsistent. Implementation barriers included technology literacy, reliability, and user fatigue. Enablers included greater access to rehabilitation programmes, remote monitoring of progress, reduction in manpower requirements and lower cost.Conclusion: Application of AI in physical rehabilitation is a growing field, but clinical effects have yet to be studied rigorously. Developers must strive to conduct robust clinical evaluations in the real-world setting and appraise post implementation experiences.</t>
  </si>
  <si>
    <t>[Mukhopadhyay, Amartya] Natl Univ Singapore, Yong Loo Lin Sch Med, Dept Med, Singapore, Singapore; [Sumner, Jennifer; Lim, Hui Wen; Chong, Lin Siew; Bundele, Anjali; Mukhopadhyay, Amartya] Natl Univ Hlth Syst, Alexandra Hosp, Med Affairs Res Innovat &amp; Enterprise, Singapore, Singapore; [Mukhopadhyay, Amartya] Natl Univ Singapore Hosp, Dept Med, Div Resp &amp; Crit Care Med, Singapore, Singapore; [Kayambu, Geetha] Natl Univ Singapore Hosp, Dept Rehabil, Singapore, Singapore; [Sumner, Jennifer] Natl Univ Hlth Syst, Alexandra Hosp, Med Affairs Res Innovat &amp; Enterprise, Singapore, Singapore</t>
  </si>
  <si>
    <t>Sumner, J (corresponding author), Natl Univ Hlth Syst, Alexandra Hosp, Med Affairs Res Innovat &amp; Enterprise, Singapore, Singapore.</t>
  </si>
  <si>
    <t>jennifer_sumner@nuhs.edu.sg</t>
  </si>
  <si>
    <t>Sumner, Jennifer/AAT-3319-2021</t>
  </si>
  <si>
    <t>Sumner, Jennifer/0000-0002-2200-3275</t>
  </si>
  <si>
    <t>0933-3657</t>
  </si>
  <si>
    <t>1873-2860</t>
  </si>
  <si>
    <t>ARTIF INTELL MED</t>
  </si>
  <si>
    <t>Artif. Intell. Med.</t>
  </si>
  <si>
    <t>10.1016/j.artmed.2023.102693</t>
  </si>
  <si>
    <t>Computer Science, Artificial Intelligence; Engineering, Biomedical; Medical Informatics</t>
  </si>
  <si>
    <t>Z9DY0</t>
  </si>
  <si>
    <t>WOS:001115017200001</t>
  </si>
  <si>
    <t>Gunduz, ME; Bucak, B; Keser, Z</t>
  </si>
  <si>
    <t>Gunduz, Muhammed Enes; Bucak, Bilal; Keser, Zafer</t>
  </si>
  <si>
    <t>Advances in Stroke Neurorehabilitation</t>
  </si>
  <si>
    <t>stroke; neurorehabilitation; neuromodulation; brain computer interfaces; virtual reality</t>
  </si>
  <si>
    <t>TRANSCRANIAL MAGNETIC STIMULATION; INDUCED MOVEMENT THERAPY; VAGUS NERVE-STIMULATION; THETA-BURST STIMULATION; EXTREMITY MOTOR RECOVERY; ROBOT-ASSISTED THERAPY; UPPER-LIMB; FUNCTIONAL RECOVERY; CONTROLLED-TRIAL; MENTAL PRACTICE</t>
  </si>
  <si>
    <t>Stroke is one of the leading causes of disability worldwide despite recent advances in hyperacute interventions to lessen the initial impact of stroke. Stroke recovery therapies are crucial in reducing the long-term disability burden after stroke. Stroke recovery treatment options have rapidly expanded within the last decade, and we are in the dawn of an exciting era of multimodal therapeutic approaches to improve post-stroke recovery. In this narrative review, we highlighted various promising advances in treatment and technologies targeting stroke rehabilitation, including activity-based therapies, non-invasive and minimally invasive brain stimulation techniques, robotics-assisted therapies, brain-computer interfaces, pharmacological treatments, and cognitive therapies. These new therapies are targeted to enhance neural plasticity as well as provide an adequate dose of rehabilitation and improve adherence and participation. Novel activity-based therapies and telerehabilitation are promising tools to improve accessibility and provide adequate dosing. Multidisciplinary treatment models are crucial for post-stroke neurorehabilitation, and further adjuvant treatments with brain stimulation techniques and pharmacological agents should be considered to maximize the recovery. Among many challenges in the field, the heterogeneity of patients included in the study and the mixed methodologies and results across small-scale studies are the cardinal ones. Biomarker-driven individualized approaches will move the field forward, and so will large-scale clinical trials with a well-targeted patient population.</t>
  </si>
  <si>
    <t>[Gunduz, Muhammed Enes] Univ Massachusetts, Dept Neurol, Chan Med Sch, Worcester, MA 01655 USA; [Bucak, Bilal; Keser, Zafer] Mayo Clin, Dept Neurol, Rochester, MN 55905 USA</t>
  </si>
  <si>
    <t>University of Massachusetts System; University of Massachusetts Worcester; UMass Chan Medical School; Mayo Clinic</t>
  </si>
  <si>
    <t>Gunduz, ME (corresponding author), Univ Massachusetts, Dept Neurol, Chan Med Sch, Worcester, MA 01655 USA.</t>
  </si>
  <si>
    <t>muhammed.gunduz@umassmed.edu; bucak.bilal@mayo.edu; keser.zafer@mayo.edu</t>
  </si>
  <si>
    <t>Gunduz, Muhammed/GXV-3359-2022</t>
  </si>
  <si>
    <t>Gunduz, Muhammed Enes/0000-0001-7194-6387</t>
  </si>
  <si>
    <t>10.3390/jcm12216734</t>
  </si>
  <si>
    <t>X7RS7</t>
  </si>
  <si>
    <t>WOS:001100383500001</t>
  </si>
  <si>
    <t>Su, YP; Chen, XQ; Zhou, C; Pearson, LH; Pretty, CG; Chase, JG</t>
  </si>
  <si>
    <t>Su, Yun-Peng; Chen, Xiao-Qi; Zhou, Cong; Pearson, Lui Holder; Pretty, Christopher G.; Chase, J. Geoffrey</t>
  </si>
  <si>
    <t>Integrating Virtual, Mixed, and Augmented Reality into Remote Robotic Applications: A Brief Review of Extended Reality-Enhanced Robotic Systems for Intuitive Telemanipulation and Telemanufacturing Tasks in Hazardous Conditions</t>
  </si>
  <si>
    <t>robotics; teleoperation; extended reality; human-robot interaction; virtual reality; mixed reality; augmented reality</t>
  </si>
  <si>
    <t>TELEOPERATION; INTERFACE; ASSISTANCE; ARM; MAINTENANCE; DESIGN</t>
  </si>
  <si>
    <t>There is an increasingly urgent need for humans to interactively control robotic systems to perform increasingly precise remote operations, concomitant with the rapid development of space exploration, deep-sea discovery, nuclear rehabilitation and management, and robotic-assisted medical devices. The potential high value of medical telerobotic applications was also evident during the recent coronavirus pandemic and will grow in future. Robotic teleoperation satisfies the demands of the scenarios in which human access carries measurable risk, but human intelligence is required. An effective teleoperation system not only enables intuitive human-robot interaction (HRI) but ensures the robot can also be operated in a way that allows the operator to experience the feel of the robot working on the remote side, gaining a sense of presence. Extended reality (XR) technology integrates real-world information with computer-generated graphics and has the potential to enhance the effectiveness and performance of HRI by providing depth perception and enabling judgment and decision making while operating the robot in a dynamic environment. This review examines novel approaches to the development and evaluation of an XR-enhanced telerobotic platform for intuitive remote teleoperation applications in dangerous and difficult working conditions. It presents a strong review of XR-enhanced telerobotics for remote robotic applications; a particular focus of the review includes the use of integrated 2D/3D mixed reality with haptic interfaces to perform intuitive remote operations to remove humans from dangerous conditions. This review also covers primary studies proposing Virtual Reality (VR), Augmented Reality (AR), and Mixed Reality (MR) solutions where humans can better control or interact with real robotic platforms using these devices and systems to extend the user's reality and provide a more intuitive interface. The objective of this article is to present recent, relevant, common, and accessible frameworks implemented in research articles published on XR-enhanced telerobotics for industrial applications. Finally, we present and classify the application context of the reviewed articles in two groups: mixed reality-enhanced robotic telemanipulation and mixed reality-enhanced robotic tele-welding. The review thus addresses all elements in the state of the art for these systems and ends with recommended research areas and targets. The application range of these systems and the resulting recommendations is readily extensible to other application areas, such as remote robotic surgery in telemedicine, where surgeons are scarce and need is high, and other potentially high-risk/high-need scenarios.</t>
  </si>
  <si>
    <t>[Su, Yun-Peng; Zhou, Cong; Pearson, Lui Holder; Pretty, Christopher G.; Chase, J. Geoffrey] Univ Canterbury, Coll Engn, Mech Engn Dept, Christchurch 8041, New Zealand; [Chen, Xiao-Qi] South China Univ Technol, Shien Ming Wu Sch Intelligent Engn, Guangzhou 511436, Peoples R China</t>
  </si>
  <si>
    <t>University of Canterbury; South China University of Technology</t>
  </si>
  <si>
    <t>Chase, JG (corresponding author), Univ Canterbury, Coll Engn, Mech Engn Dept, Christchurch 8041, New Zealand.</t>
  </si>
  <si>
    <t>steven.su@canterbury.ac.nz; xqc@scut.edu.cn; cong.zhou@canterbury.ac.nz; lui.holder-pearson@canterbury.ac.nz; chris.pretty@canterbury.ac.nz; geoff.chase@canterbury.ac.nz</t>
  </si>
  <si>
    <t>Chase, Geoff/B-1584-2012</t>
  </si>
  <si>
    <t>Chase, Geoff/0000-0001-9989-4849</t>
  </si>
  <si>
    <t>10.3390/app132212129</t>
  </si>
  <si>
    <t>AJ4L9</t>
  </si>
  <si>
    <t>WOS:001118085900001</t>
  </si>
  <si>
    <t>Carrillo, C; Tilley, D; Horn, K; Gonzalez, M; Coffman, C; Hilton, C; Mani, K</t>
  </si>
  <si>
    <t>Carrillo, Cora; Tilley, Devyn; Horn, Kaitlyn; Gonzalez, Michelle; Coffman, Cassidy; Hilton, Claudia; Mani, Karthik</t>
  </si>
  <si>
    <t>Effectiveness of Robotics in Stroke Rehabilitation to Accelerate Upper Extremity Function: Systematic Review</t>
  </si>
  <si>
    <t>OCCUPATIONAL THERAPY INTERNATIONAL</t>
  </si>
  <si>
    <t>ASSISTED THERAPY; CEREBRAL-PALSY; MOTOR RECOVERY; ARM FUNCTION; STIMULATION; MULTICENTER; CHILDREN; COST</t>
  </si>
  <si>
    <t>Objective. To examine the effectiveness of robot-assisted therapy (RAT) combined with conventional therapy (CT) compared to CT alone in accelerating upper extremity (UE) recovery poststroke. Data Sources. We searched five databases: Ovid, MEDLINE, CINAHL, PubMed, and Scopus Study Selection. Studies were selected for this review using the following inclusion criteria: randomized controlled trials of adults, RAT combined with CT compared to CT, and Fugl-Meyer Assessment (FMA) as an outcome measure. Studies focused on children with neurological impairments, and studies that used RAT to facilitate lower extremity recovery and/or improve gait were excluded. Data Extraction. The initial search yielded 3,019 citations of articles published between January 2011 and May 2021. Fourteen articles met the inclusion criteria. Randomization, allocation sequence concealment, blinding, and other biases were assessed. Data Synthesis. Current evidence suggests that the use of RAT along with CT may accelerate upper extremity recovery, measured by FMA, in the beginning of rehabilitation. However, the progress fades over time. More empirical research is needed to validate this observation. Also, the findings related to cost-benefit analyses of RAT are inconclusive. Conclusions. It is unclear whether RAT accelerates UE recovery poststroke when used in conjunction with conventional therapy. Given the capital and maintenance costs involved in developing and delivering RAT, more controlled studies examining the effectiveness and cost-benefit analysis of RAT are needed before it can be used widely. This trial is registered with CRD42021270824.</t>
  </si>
  <si>
    <t>[Carrillo, Cora; Tilley, Devyn; Horn, Kaitlyn; Gonzalez, Michelle; Coffman, Cassidy; Hilton, Claudia; Mani, Karthik] Univ Texas Med Branch, Galveston, TX 77555 USA</t>
  </si>
  <si>
    <t>University of Texas System; University of Texas Medical Branch Galveston</t>
  </si>
  <si>
    <t>Hilton, C (corresponding author), Univ Texas Med Branch, Galveston, TX 77555 USA.</t>
  </si>
  <si>
    <t>cahabege@utmb.edu; rmtilley@utmb.edu; knhorn@utmb.edu; mngonzal@utmb.edu; cjcoffma@utmb.edu; clhilton@utmb.edu; kamani@utmb.edu</t>
  </si>
  <si>
    <t>Mani, Karthik/R-9647-2017</t>
  </si>
  <si>
    <t>Mani, Karthik/0000-0002-2255-1116; Hilton, Claudia/0000-0003-0560-2329</t>
  </si>
  <si>
    <t>This study was supported by the University of Texas Medical Branch.; University of Texas Medical Branch</t>
  </si>
  <si>
    <t>This study was supported by the University of Texas Medical Branch.</t>
  </si>
  <si>
    <t>0966-7903</t>
  </si>
  <si>
    <t>1557-0703</t>
  </si>
  <si>
    <t>OCCUP THER INT</t>
  </si>
  <si>
    <t>Occup. Ther. Int.</t>
  </si>
  <si>
    <t>OCT 27</t>
  </si>
  <si>
    <t>10.1155/2023/7991765</t>
  </si>
  <si>
    <t>W9HU9</t>
  </si>
  <si>
    <t>WOS:001094674500001</t>
  </si>
  <si>
    <t>Carvalho, CR; Fernández, JM; del-Ama, AJ; Barroso, FO; Moreno, JC</t>
  </si>
  <si>
    <t>Carvalho, Camila R.; Fernandez, J. Marvin; del-Ama, Antonio J.; Barroso, Filipe Oliveira; Moreno, Juan C.</t>
  </si>
  <si>
    <t>Review of electromyography onset detection methods for real-time control of robotic exoskeletons</t>
  </si>
  <si>
    <t>Electromyography; EMG onset; Movement detection; Real-time; Robotic exoskeletons</t>
  </si>
  <si>
    <t>MUSCLE-ACTIVITY DETECTION; SURFACE EMG SIGNALS; ACTIVATION INTERVALS; MUSCULAR-ACTIVITY; VOLUNTARY ACTIVATION; MYOELECTRIC SIGNAL; RESPONSE ONSET; ALGORITHM; CONTRACTION; MOVEMENT</t>
  </si>
  <si>
    <t>BackgroundElectromyography (EMG) is a classical technique used to record electrical activity associated with muscle contraction and is widely applied in Biomechanics, Biomedical Engineering, Neuroscience and Rehabilitation Robotics. Determining muscle activation onset timing, which can be used to infer movement intention and trigger prostheses and robotic exoskeletons, is still a big challenge. The main goal of this paper was to perform a review of the state-of-the-art of EMG onset detection methods. Moreover, we compared the performance of the most commonly used methods on experimental EMG data.MethodsA total of 156 papers published until March 2022 were included in the review. The papers were analyzed in terms of application domain, pre-processing method and EMG onset detection method. The three most commonly used methods [Single (ST), Double (DT) and Adaptive Threshold (AT)] were applied offline on experimental intramuscular and surface EMG signals obtained during contractions of ankle and knee joint muscles.ResultsThreshold-based methods are still the most commonly used to detect EMG onset. Compared to ST and AT, DT required more processing time and, therefore, increased onset timing detection, when applied on experimental data. The accuracy of these three methods was high (maximum error detection rate of 7.3%), demonstrating their ability to automatically detect the onset of muscle activity. Recently, other studies have tested different methods (especially Machine Learning based) to determine muscle activation onset offline, reporting promising results.ConclusionsThis study organized and classified the existing EMG onset detection methods to create consensus towards a possible standardized method for EMG onset detection, which would also allow more reproducibility across studies. The three most commonly used methods (ST, DT and AT) proved to be accurate, while ST and AT were faster in terms of EMG onset detection time, especially when applied on intramuscular EMG data. These are important features towards movement intention identification, especially in real-time applications. Machine Learning methods have received increased attention as an alternative to detect muscle activation onset. However, although several methods have shown their capability offline, more research is required to address their full potential towards real-time applications, namely to infer movement intention.</t>
  </si>
  <si>
    <t>[Carvalho, Camila R.; Barroso, Filipe Oliveira; Moreno, Juan C.] CSIC, Cajal Inst, Neural Rehabil Grp, Madrid, Spain; [Fernandez, J. Marvin; del-Ama, Antonio J.] Rey Juan Carlos Univ, Elect Technol Dept, Madrid, Spain</t>
  </si>
  <si>
    <t>Consejo Superior de Investigaciones Cientificas (CSIC); CSIC - Instituto Cajal (IC); Universidad Rey Juan Carlos</t>
  </si>
  <si>
    <t>Barroso, FO (corresponding author), CSIC, Cajal Inst, Neural Rehabil Grp, Madrid, Spain.</t>
  </si>
  <si>
    <t>filipe.barroso@cajal.csic.es</t>
  </si>
  <si>
    <t>Barroso, Filipe/Z-3819-2019; Moreno, Juan/G-3622-2016; del-Ama, Antonio J./G-3141-2016</t>
  </si>
  <si>
    <t>Moreno, Juan C./0000-0001-9561-7764; Rodrigues de Carvalho, Camila/0000-0003-4351-3749; del-Ama, Antonio J./0000-0001-6215-2593; Oliveira Barroso, Filipe Andre/0000-0003-0228-6447</t>
  </si>
  <si>
    <t>CRUE-CSIC agreement; Springer Nature; European Union [779982]; CSIC Interdisciplinary Thematic Platform (PTI+) NEURO-AGING+ (PTI-NEURO-AGING+); Spanish Ministry of Science, Innovation and Universities [IJC2020-044467-I]</t>
  </si>
  <si>
    <t>CRUE-CSIC agreement; Springer Nature; European Union(European Union (EU)); CSIC Interdisciplinary Thematic Platform (PTI+) NEURO-AGING+ (PTI-NEURO-AGING+); Spanish Ministry of Science, Innovation and Universities(Spanish Government)</t>
  </si>
  <si>
    <t>Open Access funding provided thanks to the CRUE-CSIC agreement with Springer Nature. This work was funded by the European Union's Horizon 2020 research and innovation program (Project EXTEND - Biidirectional Hyper-Connected Neural System) under grant agreement No 779982. This work has been also partially funded by CSIC Interdisciplinary Thematic Platform (PTI+) NEURO-AGING+ (PTI-NEURO-AGING+) and by the Spanish Ministry of Science, Innovation and Universities, with grant agreement IJC2020-044467-I.</t>
  </si>
  <si>
    <t>OCT 24</t>
  </si>
  <si>
    <t>10.1186/s12984-023-01268-8</t>
  </si>
  <si>
    <t>U9OL2</t>
  </si>
  <si>
    <t>WOS:001088026400001</t>
  </si>
  <si>
    <t>Lim, JR; Chun, YM</t>
  </si>
  <si>
    <t>Lim, Joon-Ryul; Chun, Yong-Min</t>
  </si>
  <si>
    <t>Robot-assisted orthopedic surgeries around shoulder joint: where we are?</t>
  </si>
  <si>
    <t>BIOMEDICAL ENGINEERING LETTERS</t>
  </si>
  <si>
    <t>Robotics; Robotic surgical procedures; Total shoulder replacements; Arthroplasty; Prosthesis implantation</t>
  </si>
  <si>
    <t>LATISSIMUS-DORSI; ARTHROPLASTY; NAVIGATION; PLACEMENT; ACCURACY; HIP</t>
  </si>
  <si>
    <t>This study aims to comprehensively review the current literatures about robot-assisted techniques for shoulder joint arthroplasty and also in experimental articles or case series about around shoulder soft tissue surgeries including arthroscopy, tendon transfer and brachial plexus surgeries. This article evaluates the existing literature and clinical studies to suggests future direction of robotic-assisted techniques in shoulder joint surgeries. Robotic surgery has emerged as an innovative and transformative technology in orthopedics, offering advancements in surgical precision and optimization particularly during total hip and knee arthroplasty. In shoulder joint, patients specific instrumentation with preoperative planning and intraoperative navigation system are being used. Robotic-assisted shoulder arthroplasty will be introduced. In soft tissue surgery, robot-assisted tendon transfer and around brachial plexus surgeries is being clinically tried. In additions, postoperative robot-assisted rehabilitation after may have potential advantages. With the overall development of several industries including robotic technology, robot-assisted pre-, intra- and post-operative techniques could be an essential part of the overall shoulder surgery. However, further research and larger-scale studies are needed to establish its long-term efficacy, and potential complications.</t>
  </si>
  <si>
    <t>[Lim, Joon-Ryul; Chun, Yong-Min] Yonsei Univ, Severance Hosp, Arthroscopy &amp; Joint Res Inst, Dept Orthopaed Surg,Coll Med, 134 Shinchon Dong,CPO Box 8044, Seoul 120752, South Korea</t>
  </si>
  <si>
    <t>Yonsei University; Yonsei University Health System</t>
  </si>
  <si>
    <t>Chun, YM (corresponding author), Yonsei Univ, Severance Hosp, Arthroscopy &amp; Joint Res Inst, Dept Orthopaed Surg,Coll Med, 134 Shinchon Dong,CPO Box 8044, Seoul 120752, South Korea.</t>
  </si>
  <si>
    <t>min1201@hanmail.net</t>
  </si>
  <si>
    <t>Lim, Joon-Ryul/0000-0002-0123-7136; CHUN, YONG-MIN/0000-0002-8147-6136</t>
  </si>
  <si>
    <t>None.</t>
  </si>
  <si>
    <t>2093-9868</t>
  </si>
  <si>
    <t>2093-985X</t>
  </si>
  <si>
    <t>BIOMED ENG LETT</t>
  </si>
  <si>
    <t>Biomed. Eng. Lett.</t>
  </si>
  <si>
    <t>10.1007/s13534-023-00324-5</t>
  </si>
  <si>
    <t>U9CT7</t>
  </si>
  <si>
    <t>WOS:001083179500001</t>
  </si>
  <si>
    <t>Sharma, A; Sharma, I; Kumar, A</t>
  </si>
  <si>
    <t>Sharma, Anil; Sharma, Ila; Kumar, Anil</t>
  </si>
  <si>
    <t>Signal Acquisition and Time-Frequency Perspective of EMG Signal-based Systems and Applications</t>
  </si>
  <si>
    <t>IETE TECHNICAL REVIEW</t>
  </si>
  <si>
    <t>Biomedical engineering; Data acquisition; Electromyography; Feature extraction; Pattern classification; Prosthetics; Signal processing</t>
  </si>
  <si>
    <t>MYOELECTRIC CONTROL; PATTERN-RECOGNITION; UPPER-LIMB; REAL-TIME; HAND; MACHINE; ELECTROMYOGRAPHY; ROBUST; CLASSIFICATION; PERFORMANCE</t>
  </si>
  <si>
    <t>The last few decades have emerged as a remarkable era for exploring and employing electromyography (EMG) signals and their attributes in various applications such as clinical assessment and rehabilitation engineering. An EMG signal-based system encapsulates different domains of signal acquisition and processing, statistical analysis, and control systems in a single framework. This survey attempts to highlight and distinguish the time- and frequency-based signal processing according to the applications of EMG signals. When EMG signals are used for clinical assessment, time-frequency analysis involves transforming the signals in different domains and extracting useful physiological information. On the other hand, the concept of time and frequency deals with extracting time, frequency, or time-frequency-based features when EMG signals are used for pattern recognition-based control applications such as robotics and augmented reality. It is often very difficult and confusing to distinguish and establish a clear understanding between these domains reported in various literature. Hence, this study first presents different signal acquisition systems and pre-processing techniques, followed by comprehending the concepts in time, frequency, and time-frequency-based approaches based on the applications. Next, the review of various post-processing techniques, different feature extraction routines, and a survey of different classifiers used in the pattern recognition step is done. The work concludes with a study of innovative applications of EMG signals reported in recent years, provides an overview of EMG signal-based limb prosthetics, and suggests a few futuristic research ideas.</t>
  </si>
  <si>
    <t>[Sharma, Anil; Sharma, Ila] Malaviya Natl Inst Technol, Dept Elect &amp; Commun, Jaipur 302017, India; [Kumar, Anil] PDPM Indian Inst Informat Technol Design &amp; Mfg, Dept Elect &amp; Commun, Jabalpur 482005, India</t>
  </si>
  <si>
    <t>National Institute of Technology (NIT System); Malaviya National Institute of Technology Jaipur; Indian Institute of Information Technology Design &amp; Manufacturing, Jabalpur</t>
  </si>
  <si>
    <t>Sharma, A (corresponding author), Malaviya Natl Inst Technol, Dept Elect &amp; Commun, Jaipur 302017, India.</t>
  </si>
  <si>
    <t>2020rec9510@mnit.ac.in; ila.ece@mnit.ac.in; anilk@iiitdmj.ac.in</t>
  </si>
  <si>
    <t>Kumar, Anil/Q-6680-2016</t>
  </si>
  <si>
    <t>Kumar, Anil/0000-0002-3945-4646; SHARMA, ANIL/0000-0003-4721-3591; SHARMA, ILA/0000-0001-6754-0392</t>
  </si>
  <si>
    <t>0256-4602</t>
  </si>
  <si>
    <t>0974-5971</t>
  </si>
  <si>
    <t>IETE TECH REV</t>
  </si>
  <si>
    <t>IETE Tech. Rev.</t>
  </si>
  <si>
    <t>10.1080/02564602.2023.2265897</t>
  </si>
  <si>
    <t>Engineering, Electrical &amp; Electronic; Telecommunications</t>
  </si>
  <si>
    <t>Engineering; Telecommunications</t>
  </si>
  <si>
    <t>XH4O8</t>
  </si>
  <si>
    <t>WOS:001084188600001</t>
  </si>
  <si>
    <t>Jadhwani, PL; Harjpal, P</t>
  </si>
  <si>
    <t>Jadhwani, Purvi L.; Harjpal, Pallavi</t>
  </si>
  <si>
    <t>A Review of Artificial Intelligence-Based Gait Evaluation and Rehabilitation in Parkinson's Disease</t>
  </si>
  <si>
    <t>gait training; gait assessment; ai &amp; robotics in healthcare; balance; parkinson's disease</t>
  </si>
  <si>
    <t>FESTINATION; BALANCE</t>
  </si>
  <si>
    <t>Parkinson's disease (PD) is a long-term degenerative disease of the central nervous system that affects both motor and non-motor functions. In most cases, symptoms develop gradually, with non-motor symptoms increasing in frequency as the condition progresses. Tremors, stiffness, slow movements, and difficulty walking are some of the early symptoms. There may be problems with cognition, behavior, sleep, and thinking. Dementia caused by PD becomes more common as the disease progresses. The development of PD is linked to certain sequences of motion that eventually contribute to diminished function. Patients with Parkinson's disease (PWPD) have a sluggish, scattered gait that is accompanied by intermittent freezing of gait (FOG), in which efficient heading briefly pauses. In individuals with severe PD, FOG is a neurological deficit that is related to falls and has an unfavorable impact on the patient's standard of living. Artificial intelligence (AI) and ambient intelligence (AmI) are inextricably linked as intelligence is the ability to gain new information and employ it in novel contexts. The ambience is what accompanies us, while artificial represents something developed by humans. Wearable technologies are being designed to recognize FOG and support patients in the beginning to walk again via periodic cueing. The article proposes a unique automated approach for action description that utilizes AI to carry out a non-intrusive, markerless evaluation in real-time and with full robotics. This computerized method accelerates detection and safeguards from human error. Despite significant improvements brought about by the advent of novel technologies, the available assessment platforms still fail to strike the ideal equilibrium among expenditure, diagnostic precision, velocity, and simplicity. The value of the recommended approach can be seen through a comparison of the gait parameters collected by each of the motion-tracking gadgets.</t>
  </si>
  <si>
    <t>[Jadhwani, Purvi L.; Harjpal, Pallavi] Datta Meghe Inst Higher Educ &amp; Res, Ravi Nair Physiotherapy Coll, Dept Neurophysiotherapy, Wardha, India</t>
  </si>
  <si>
    <t>Datta Meghe Institute of Higher Education &amp; Research (Deemed to be University); Ravi Nair Physiotherapy College (RNPC)</t>
  </si>
  <si>
    <t>Harjpal, P (corresponding author), Datta Meghe Inst Higher Educ &amp; Res, Ravi Nair Physiotherapy Coll, Dept Neurophysiotherapy, Wardha, India.</t>
  </si>
  <si>
    <t>pallaviharjpal26@gmail.com</t>
  </si>
  <si>
    <t>HARJPAL, PALLAVI/AEW-6827-2022</t>
  </si>
  <si>
    <t>OCT 16</t>
  </si>
  <si>
    <t>e47118</t>
  </si>
  <si>
    <t>10.7759/cureus.47118</t>
  </si>
  <si>
    <t>X5QO1</t>
  </si>
  <si>
    <t>WOS:001098996700001</t>
  </si>
  <si>
    <t>Ngiejungbwen, LA; Hamdaoui, H; Chen, MY</t>
  </si>
  <si>
    <t>Ngiejungbwen, Looh Augustine; Hamdaoui, Hind; Chen, Ming-Yang</t>
  </si>
  <si>
    <t>Polymer optical fiber and fiber Bragg grating sensors for biomedical engineering Applications: A comprehensive review</t>
  </si>
  <si>
    <t>OPTICS AND LASER TECHNOLOGY</t>
  </si>
  <si>
    <t>Polymer Optical Fiber; Fiber Bragg Grating; Biomedical Engineering; Optical fiber strain sensing; Distributed sensing; Wearable sensors</t>
  </si>
  <si>
    <t>GROUND REACTION FORCES; RADIOFREQUENCY THERMAL ABLATION; PLANTAR PRESSURE; MICROWAVE ABLATION; SENSING INSTRUMENT; LASER-ABLATION; STRAIN SENSOR; HEART-RATE; SYSTEM; DESIGN</t>
  </si>
  <si>
    <t>Polymer or Plastic Optical Fiber sensors (POFs) and Fiber Bragg Grating sensors (FBGs) have gained increasing popularity in biomedical engineering (BME) applications over the past decades due to their unique properties such as compact size, lightweight, wide dynamic range, biocompatibility, electromagnetic and radio frequency interference immunity, high strain sensitivity, and multiplexing capabilities. The POF sensor flexibility, low Young's modulus (sensitivity to mechanical changes), higher elastic limits, and higher impact resistance make it suitable for instrumentation requirements in medical devices and biological analysis and measurements. Medical applications for POFs and FBGs have been demonstrated by developing instruments, gait assistance devices, wearables, and biosensors. This paper presents an ambitious review of the current state of the art of POF and FBG-based measuring techniques based on optical multicore fibers (MCF) or multiple optical single-core fibers with embedded FOS sensors. It comprehensively analyses how various sensor variants have been used in medical, healthcare, and remote sensing applications. The review comprises a range of aspects, which include: (I) research methodology; (II) an overview of POF and FBG sensing technology; (III) applications of POFs and FBGs in BME applications; (IV) current state and future trends of POFs and FBGs in the field of BME. The BME applications discussed include applications of POFs and FBGs in; (1) physiological parameter monitoring; (2) biomechanics; (3) foot plantar pressure assessment; (4) gait assistance wearable devices and rehabilitation robotics; (5) joint angle measurement and human movement assessment; (6) health diagnosis; (7) robotic medical microsurgery; and (8) temperature monitoring during thermal ablation treatment.</t>
  </si>
  <si>
    <t>[Ngiejungbwen, Looh Augustine; Chen, Ming-Yang] Jiangsu Univ, Sch Mech Engn, Dept Optoelect Informat Sci &amp; Engn, Zhenjiang 212013, Peoples R China; [Hamdaoui, Hind] Jiangsu Univ, Sch Mech Engn, Zhenjiang 212013, Peoples R China</t>
  </si>
  <si>
    <t>Jiangsu University; Jiangsu University</t>
  </si>
  <si>
    <t>Chen, MY (corresponding author), Jiangsu Univ, Sch Mech Engn, Dept Optoelect Informat Sci &amp; Engn, Zhenjiang 212013, Peoples R China.</t>
  </si>
  <si>
    <t>miniyoung@163.com</t>
  </si>
  <si>
    <t>Chen, Ming-Yang/B-3994-2010; Hamdaoui, Hind/NBW-7230-2025; NGIEJUNGBWEN, LOOH AUGUSTINE/HQZ-0981-2023</t>
  </si>
  <si>
    <t>NGIEJUNGBWEN, LOOH AUGUSTINE/0000-0002-2080-5506</t>
  </si>
  <si>
    <t>0030-3992</t>
  </si>
  <si>
    <t>1879-2545</t>
  </si>
  <si>
    <t>OPT LASER TECHNOL</t>
  </si>
  <si>
    <t>Opt. Laser Technol.</t>
  </si>
  <si>
    <t>10.1016/j.optlastec.2023.110187</t>
  </si>
  <si>
    <t>Optics; Physics, Applied</t>
  </si>
  <si>
    <t>Optics; Physics</t>
  </si>
  <si>
    <t>X3YM0</t>
  </si>
  <si>
    <t>WOS:001097843400001</t>
  </si>
  <si>
    <t>Tao, YM; Luo, JS; Tian, J; Peng, SH; Wang, HY; Cao, J; Wen, ZF; Zhang, XE</t>
  </si>
  <si>
    <t>Tao, Yanmin; Luo, Jingsong; Tian, Jing; Peng, Sihan; Wang, Hongyan; Cao, Jun; Wen, Zhifei; Zhang, Xiangeng</t>
  </si>
  <si>
    <t>The role of robot-assisted training on rehabilitation outcomes in Parkinson's disease: a systematic review and meta-analysis</t>
  </si>
  <si>
    <t>Parkinson's disease; robot-assisted rehabilitation training; upper and lower limb; fatigue; motor function</t>
  </si>
  <si>
    <t>QUALITY-OF-LIFE; POSTURAL INSTABILITY; NONMOTOR SYMPTOMS; VIRTUAL-REALITY; GAIT; PEOPLE; EXERCISE; THERAPY; SUPERIOR; FATIGUE</t>
  </si>
  <si>
    <t>Purpose: The study aims to assess the efficacy of robot-assisted rehabilitation training on upper and lower limb motor function and fatigue in Parkinson's disease (PD), and to explore the best-acting robotic rehabilitation program.Methods: We searched studies in seven databases and the search period was from the build to 30 June 2023. Two researchers independently screened studies and assessed the quality of the studies for data extraction.Results: A total of 21 studies were included, 18 studies related to lower limbs rehabilitation and 3 studies related to upper limbs rehabilitation, involving a total of 787 participants. The results showed that robot-assisted rehabilitation significantly improved indicators of lower limb motor function UPDRS Part III (WMD = -3.58, 95% CI = -5.91 to -1.25, p = 0.003) and BBS (WMD = 4.24, 95% CI = 2.88 to 5.54, p &lt; 0.001), as well as non-motor symptoms of fatigue (WMD = -13.39, 95% CI = -17.92 to -8.86, p &lt; 0.001) in PD patients. At the level of upper limb function, there was no statistically significant difference in the outcome measures of PFS (WMD = -0.25, 95% CI = -4.44 to 3.93, p = 0.9) and BBT (WMD = 1.73, 95% CI = -2.85 to 6.33, p = 0.458).Conclusion: Robot-assisted rehabilitation significantly improved motor function, fatigue, and balance confidence in PD patients, but current evidence doesn't show that intelligent rehabilitation systems improve upper limb function. In particular, robotics combined with virtual reality worked best.</t>
  </si>
  <si>
    <t>[Tao, Yanmin; Luo, Jingsong; Tian, Jing; Wen, Zhifei] Chengdu Univ Tradit Chinese Med, Sch Nursing, Chengdu, Peoples R China; [Peng, Sihan] Chengdu Univ Tradit Chinese Med, Affiliated Hosp, Chengdu, Peoples R China; [Wang, Hongyan; Cao, Jun; Zhang, Xiangeng] Sichuan Nursing Vocat Coll, 173 Longdu South Rd, Chengdu 610100, Sichuan, Peoples R China</t>
  </si>
  <si>
    <t>Chengdu University of Traditional Chinese Medicine; Chengdu University of Traditional Chinese Medicine</t>
  </si>
  <si>
    <t>Zhang, XE (corresponding author), Sichuan Nursing Vocat Coll, 173 Longdu South Rd, Chengdu 610100, Sichuan, Peoples R China.</t>
  </si>
  <si>
    <t>xgengzhang@163.com</t>
  </si>
  <si>
    <t>wen, zhifei/KQV-2421-2024; Luo, Jingsong/AGQ-3644-2022</t>
  </si>
  <si>
    <t>Tao, Yan Min/0000-0002-8930-2368; Luo, Jingsong/0000-0001-5427-7011</t>
  </si>
  <si>
    <t>Application Research of community [2021MS095]; talent training and service capacity building of the combination of Medical and nursing care; National Key Research and Development Plan of the Ministry of Science and technology, PRc; [2018YFC2002402-02]</t>
  </si>
  <si>
    <t>Application Research of community; talent training and service capacity building of the combination of Medical and nursing care; National Key Research and Development Plan of the Ministry of Science and technology, PRc;</t>
  </si>
  <si>
    <t>This work was supported by the Application Research of community elderly graded care evaluation system, traditional chinese Medicine Research Special Project of Sichuan Provincial Administration of traditional chinese Medicine, [2021MS095]; and the talent training and service capacity building of the combination of Medical and nursing care, subproject of the National Key Research and Development Plan of the Ministry of Science and technology, PRc, [2018YFC2002402-02].</t>
  </si>
  <si>
    <t>10.1080/09638288.2023.2266178</t>
  </si>
  <si>
    <t>E3X4V</t>
  </si>
  <si>
    <t>WOS:001085062400001</t>
  </si>
  <si>
    <t>Abarca, VE; Elias, DA</t>
  </si>
  <si>
    <t>Abarca, Victoria E.; Elias, Dante A.</t>
  </si>
  <si>
    <t>A Review of Parallel Robots: Rehabilitation, Assistance, and Humanoid Applications for Neck, Shoulder, Wrist, Hip, and Ankle Joints</t>
  </si>
  <si>
    <t>assistance; exoskeletons; parallel robots; prosthetics; rehabilitation</t>
  </si>
  <si>
    <t>OF-THE-ART; KINEMATIC ANALYSIS; WORKSPACE ANALYSIS; INVERSE KINEMATICS; DESIGN; MECHANISM; OPTIMIZATION; MANIPULATORS; EXERCISES</t>
  </si>
  <si>
    <t>This review article presents an in-depth examination of research and development in the fields of rehabilitation, assistive technologies, and humanoid robots. It focuses on parallel robots designed for human body joints with three degrees of freedom, specifically the neck, shoulder, wrist, hip, and ankle. A systematic search was conducted across multiple databases, including Scopus, Web of Science, PubMed, IEEE Xplore, ScienceDirect, the Directory of Open Access Journals, and the ASME Journal. This systematic review offers an updated overview of advancements in the field from 2012 to 2023. After applying exclusion criteria, 93 papers were selected for in-depth review. This cohort included 13 articles focusing on the neck joint, 19 on the shoulder joint, 22 on the wrist joint, 9 on the hip joint, and 30 on the ankle joint. The article discusses the timeline and advancements of parallel robots, covering technology readiness levels (TRLs), design, the number of degrees of freedom, kinematics structure, workspace assessment, functional capabilities, performance evaluation methods, and material selection for the development of parallel robotics. It also examines critical technological challenges and future prospects in rehabilitation, assistance, and humanoid robots.</t>
  </si>
  <si>
    <t>[Abarca, Victoria E.; Elias, Dante A.] Pontificia Univ Catol Peru, Biomech &amp; Appl Robot Res Lab, Lima 15088, Peru</t>
  </si>
  <si>
    <t>Pontificia Universidad Catolica del Peru</t>
  </si>
  <si>
    <t>Abarca, VE (corresponding author), Pontificia Univ Catol Peru, Biomech &amp; Appl Robot Res Lab, Lima 15088, Peru.</t>
  </si>
  <si>
    <t>victoria.abarca@pucp.edu.pe; delias@pucp.pe</t>
  </si>
  <si>
    <t>Elias, Dante/JMC-3347-2023</t>
  </si>
  <si>
    <t>Abarca Pino, Victoria Elizabeth/0000-0001-7682-5058</t>
  </si>
  <si>
    <t>10.3390/robotics12050131</t>
  </si>
  <si>
    <t>X0IJ8</t>
  </si>
  <si>
    <t>WOS:001095371700001</t>
  </si>
  <si>
    <t>Gnasso, R; Palermi, S; Picone, A; Tarantino, D; Fusco, G; Messina, MM; Sirico, F</t>
  </si>
  <si>
    <t>Gnasso, Rossana; Palermi, Stefano; Picone, Antonio; Tarantino, Domiziano; Fusco, Giampiero; Messina, Maria Michelina; Sirico, Felice</t>
  </si>
  <si>
    <t>Robotic-Assisted Rehabilitation for Post-Stroke Shoulder Pain: A Systematic Review</t>
  </si>
  <si>
    <t>shoulder pain; robotics; hemiplegia; stroke rehabilitation; systematic review</t>
  </si>
  <si>
    <t>UPPER-LIMB; STROKE; THERAPY; RECOVERY</t>
  </si>
  <si>
    <t>Post-stroke shoulder pain (PSSP) is a debilitating consequence of hemiplegia, often hindering rehabilitation efforts and further limiting motor recovery. With the advent of robotic-assisted therapies in neurorehabilitation, there is potential for innovative interventions for PSSP. This study systematically reviewed the current literature to determine the effectiveness of robotic-assisted rehabilitation in addressing PSSP in stroke patients. A comprehensive search of databases was conducted, targeting articles published up to August 2023. Studies were included if they investigated the impact of robotic-assisted rehabilitation on PSSP. The outcome of interest was pain reduction. The risk of bias was assessed using the Cochrane database. Of the 187 initially identified articles, 3 studies met the inclusion criteria, encompassing 174 patients. The reviewed studies indicated a potential benefit of robotic-assisted rehabilitation in reducing PSSP, with some studies also noting improvements in the range of motion and overall motor function. However, the results varied across studies, with some showing more significant benefits than others, because these use different protocols and robotic equipment.</t>
  </si>
  <si>
    <t>[Gnasso, Rossana; Palermi, Stefano; Picone, Antonio; Tarantino, Domiziano; Fusco, Giampiero; Messina, Maria Michelina; Sirico, Felice] Univ Napoli Federico II, Publ Hlth Dept, Via Pansini 5, I-80131 Naples, Italy</t>
  </si>
  <si>
    <t>Palermi, S (corresponding author), Univ Napoli Federico II, Publ Hlth Dept, Via Pansini 5, I-80131 Naples, Italy.</t>
  </si>
  <si>
    <t>rossanagns@yahoo.it; stefano.palermi@unina.it; antonio.picone@unina.it; domiziano22@gmail.com; giampiero.fusco@libero.it; mariamichelinamessina@gmail.com; sirico.felice@gmail.com</t>
  </si>
  <si>
    <t>Sirico, Felice/O-9705-2019; Tarantino, Domiziano/KBC-4297-2024</t>
  </si>
  <si>
    <t>Tarantino, Domiziano/0000-0003-1570-9568; Palermi, Stefano/0000-0003-1558-4857; Sirico, Felice/0000-0001-6801-3308</t>
  </si>
  <si>
    <t>10.3390/s23198239</t>
  </si>
  <si>
    <t>U6QC0</t>
  </si>
  <si>
    <t>WOS:001086019000001</t>
  </si>
  <si>
    <t>Shalabi, KM</t>
  </si>
  <si>
    <t>Shalabi, Kholood Matouq</t>
  </si>
  <si>
    <t>Virtual reality intervention in lower limb locomotor training for patients with multiple sclerosis: a systematic review</t>
  </si>
  <si>
    <t>KHYBER MEDICAL UNIVERSITY JOURNAL-KMUJ</t>
  </si>
  <si>
    <t>Virtual Reality (MeSH); Lower Limb (MeSH); Lower Extremity (MeSH); Multiple Sclerosis (MeSH); Motor learning (Non-MeSH); Neuromuscular illness (Non-MeSH); Video Games (MeSH)</t>
  </si>
  <si>
    <t>TELEREHABILITATION PROGRAM; PARKINSONS-DISEASE; IMPROVING BALANCE; POSTURAL CONTROL; CHRONIC STROKE; VIDEO GAMES; MOTOR; GAIT; REHABILITATION; ENVIRONMENTS</t>
  </si>
  <si>
    <t>OBJECTIVE: To assess the results of virtual reality rehabilitation (VRR) use in locomotor training of lower limb motor skills for people with multiple sclerosis (MS). METHODS: This systematic review was done in accordance with the PRISMA guidelines. The literature search was done using Embase, MEDLINE, Physiotherapy Evidence Database (PEDro) and Google Scholar and articles from 1947 to 8th May 2020 were included. The keywords were virtual reality, motor learning and Multiple Sclerosis. The identified studies were screened in accordance with the inclusion criteria and pertinent data was retrieved. Studies included diagnosis of MS on McDonald criteria and with use of VR for rehabilitation were included. RESULTS: The results included a total of 10 studies in the systematic review. These included five Randomized Controlled Clinical Trials, two prospective interventional studies, one cross-sectional study, one retrospective study, and one case series. The combined number of subjects from all studies included 376 patients diagnosed with MS. The research studies were published from 20072020. The review identified that VR paired with robot -assisted walk training significantly increased participants' 2 -minute walk test scores and Paced Auditory Serial Addition Task scores compared to controls for the 10 -meter walking test. CONCLUSION: Virtual reality may have positive benefits on MS patients' quality of life and lower limb learning and function along with improvements in the cognitive abilities.</t>
  </si>
  <si>
    <t>[Shalabi, Kholood Matouq] Princess Nourah Bint Abdulrahman Univ, Coll Hlth &amp; Rehabil Sci, Dept Rehabil Sci, Riyadh, Saudi Arabia</t>
  </si>
  <si>
    <t>Princess Nourah bint Abdulrahman University</t>
  </si>
  <si>
    <t>Shalabi, KM (corresponding author), Princess Nourah Bint Abdulrahman Univ, Coll Hlth &amp; Rehabil Sci, Dept Rehabil Sci, Riyadh, Saudi Arabia.</t>
  </si>
  <si>
    <t>Shalabi, Kholood/HJI-5021-2023</t>
  </si>
  <si>
    <t>KHYBER MEDICAL UNIV</t>
  </si>
  <si>
    <t>KOHAT-KHYBER</t>
  </si>
  <si>
    <t>DHQ, KDA TEACHING HOSPITAL, KOHAT-KHYBER, KHYBER PAKHTUNKHWA, PAKISTAN</t>
  </si>
  <si>
    <t>2305-2643</t>
  </si>
  <si>
    <t>2305-2651</t>
  </si>
  <si>
    <t>KHYBER MED U J</t>
  </si>
  <si>
    <t>Khyber Med. Univ. J.</t>
  </si>
  <si>
    <t>10.35845/kmuj.2023.23348</t>
  </si>
  <si>
    <t>MX4O2</t>
  </si>
  <si>
    <t>WOS:001196924100012</t>
  </si>
  <si>
    <t>Toader, C; Eva, L; Tataru, CI; Covache-Busuioc, RA; Bratu, BG; Dumitrascu, DI; Costin, HP; Glavan, LA; Ciurea, AV</t>
  </si>
  <si>
    <t>Toader, Corneliu; Eva, Lucian; Tataru, Catalina-Ioana; Covache-Busuioc, Razvan-Adrian; Bratu, Bogdan-Gabriel; Dumitrascu, David-Ioan; Costin, Horia Petre; Glavan, Luca-Andrei; Ciurea, Alexandru Vlad</t>
  </si>
  <si>
    <t>Frontiers of Cranial Base Surgery: Integrating Technique, Technology, and Teamwork for the Future of Neurosurgery</t>
  </si>
  <si>
    <t>cranial base surgery; minimally invasive techniques; intraoperative neuromonitoring; advanced imaging; robotics in neurosurgery; radiosurgery; gamma knife; cyberknife; interdisciplinary collaboration; functional guidance; patient-centric care; endocrinology; biomaterial science; machine learning; future of neurosurgery</t>
  </si>
  <si>
    <t>GAMMA-KNIFE RADIOSURGERY; ENDOSCOPIC PITUITARY SURGERY; SKULL BASE; CAVERNOUS SINUS; AUGMENTED REALITY; MALIGNANT MENINGIOMAS; STEREOTACTIC RADIOSURGERY; ANAPLASTIC MENINGIOMAS; ELECTRICAL-STIMULATION; TRANSPETROSAL APPROACH</t>
  </si>
  <si>
    <t>The landscape of cranial base surgery has undergone monumental transformations over the past several decades. This article serves as a comprehensive survey, detailing both the historical and current techniques and technologies that have propelled this field into an era of unprecedented capabilities and sophistication. In the prologue, we traverse the historical evolution from rudimentary interventions to the state-of-the-art neurosurgical methodologies that define today's practice. Subsequent sections delve into the anatomical complexities of the anterior, middle, and posterior cranial fossa, shedding light on the intricacies that dictate surgical approaches. In a section dedicated to advanced techniques and modalities, we explore cutting-edge evolutions in minimally invasive procedures, pituitary surgery, and cranial base reconstruction. Here, we highlight the seamless integration of endocrinology, biomaterial science, and engineering into neurosurgical craftsmanship. The article emphasizes the paradigm shift towards Functionally Guided Surgery facilitated by intraoperative neuromonitoring. We explore its historical origins, current technologies, and its invaluable role in tailoring surgical interventions across diverse pathologies. Additionally, the digital era's contributions to cranial base surgery are examined. This includes breakthroughs in endoscopic technology, robotics, augmented reality, and the potential of machine learning and AI-assisted diagnostic and surgical planning. The discussion extends to radiosurgery and radiotherapy, focusing on the harmonization of precision and efficacy through advanced modalities such as Gamma Knife and CyberKnife. The article also evaluates newer protocols that optimize tumor control while preserving neural structures. In acknowledging the holistic nature of cranial base surgery, we advocate for an interdisciplinary approach. The ecosystem of this surgical field is presented as an amalgamation of various medical disciplines, including neurology, radiology, oncology, and rehabilitation, and is further enriched by insights from patient narratives and quality-of-life metrics. The epilogue contemplates future challenges and opportunities, pinpointing potential breakthroughs in stem cell research, regenerative medicine, and genomic tailoring. Ultimately, the article reaffirms the ethos of continuous learning, global collaboration, and patient-first principles, projecting an optimistic trajectory for the field of cranial base surgery in the coming decade.</t>
  </si>
  <si>
    <t>[Toader, Corneliu; Covache-Busuioc, Razvan-Adrian; Bratu, Bogdan-Gabriel; Dumitrascu, David-Ioan; Costin, Horia Petre; Glavan, Luca-Andrei; Ciurea, Alexandru Vlad] Carol Davila Univ Med &amp; Pharm, Dept Neurosurg, Bucharest 020021, Romania; [Toader, Corneliu] Natl Inst Neurol &amp; Neurovasc Dis, Dept Vasc Neurosurg, Bucharest 077160, Romania; [Eva, Lucian] Univ Galatzi, Dept Neurosurg, Galati 800010, Romania; [Eva, Lucian] Clin Emergency Hosp Prof Dr Nicolae Oblu, Dept Neurosurg, Iasi 700309, Romania; [Tataru, Catalina-Ioana] Carol Davila Univ Med &amp; Pharm, Dept Ophthalmol, Bucharest 020021, Romania; [Tataru, Catalina-Ioana] Clin Hosp Ophthalmol Emergencies, Bucharest 010464, Romania; [Ciurea, Alexandru Vlad] Sanador Clin Hosp, Neurosurg Dept, Bucharest 010991, Romania</t>
  </si>
  <si>
    <t>Carol Davila University of Medicine &amp; Pharmacy; Dunarea De Jos University Galati; Carol Davila University of Medicine &amp; Pharmacy</t>
  </si>
  <si>
    <t>Bratu, BG (corresponding author), Carol Davila Univ Med &amp; Pharm, Dept Neurosurg, Bucharest 020021, Romania.;Eva, L (corresponding author), Univ Galatzi, Dept Neurosurg, Galati 800010, Romania.;Eva, L (corresponding author), Clin Emergency Hosp Prof Dr Nicolae Oblu, Dept Neurosurg, Iasi 700309, Romania.;Tataru, CI (corresponding author), Carol Davila Univ Med &amp; Pharm, Dept Ophthalmol, Bucharest 020021, Romania.;Tataru, CI (corresponding author), Clin Hosp Ophthalmol Emergencies, Bucharest 010464, Romania.</t>
  </si>
  <si>
    <t>corneliu.toader@umfcd.ro; elucian73@yahoo.com; catalina-ioana.tataru@umfcd.ro; razvan-adrian.covache-busuioc0720@stud.umfcd.ro; bogdan.bratu@stud.umfcd.ro; david-ioan.dumitrascu0720@stud.umfcd.ro; horia-petre.costin0720@stud.umfcd.ro; luca-andrei.glavan0720@stud.umfcd.ro; prof.avciurea@gmail.com</t>
  </si>
  <si>
    <t>Costin, Horia-Petre/HHY-9650-2022; Ciurea, Alexandru/C-3949-2011; Tataru, Catalina/GPS-7939-2022; Toader, Corneliu/AAY-8825-2021; Gabriel, Bratu/HJA-8439-2022; Covache-Busuioc, Razvan-Adrian/IQX-1274-2023; Dumitrascu, David/ISA-3690-2023</t>
  </si>
  <si>
    <t>Dumitrascu, David/0009-0004-3213-684X; Costin, Horia Petre/0000-0002-6347-9958</t>
  </si>
  <si>
    <t>10.3390/brainsci13101495</t>
  </si>
  <si>
    <t>W8PV5</t>
  </si>
  <si>
    <t>WOS:001094201600001</t>
  </si>
  <si>
    <t>Zhou, Q; Chen, X; Chen, QY; Hao, L</t>
  </si>
  <si>
    <t>Zhou, Qing; Chen, Xi; Chen, Qiuyan; Hao, Lu</t>
  </si>
  <si>
    <t>Factors Influencing Quality of Life and Functional Outcomes in Patients With Bladder Cancer</t>
  </si>
  <si>
    <t>CANCER CONTROL</t>
  </si>
  <si>
    <t>quality of life; functional outcomes; bladder cancer; radical cystectomy; scoring systems</t>
  </si>
  <si>
    <t>ASSISTED RADICAL CYSTECTOMY; URINARY-DIVERSION; NEUROVASCULAR PRESERVATION; ORTHOTOPIC NEOBLADDER; EARLY RECOVERY; ILEAL CONDUIT; VALIDATION; SURGERY; IMPACT</t>
  </si>
  <si>
    <t>Here, we review the quality of life and functional outcomes of patients with bladder cancer after treatment and assess potential contributing factors. For current scoring systems, we highlighted the most commonly used specificity scores. In addition, we discuss the impact and bias on the quality of life of patients undergoing urinary diversion modalities, robotic surgery, perioperative rehabilitation, and bladder-preserving radiochemotherapy. Through this review, clinicians will gain better insights regarding the importance of improving patients' quality of life with the goal of restoring their patients' normal function and participating in social activities.</t>
  </si>
  <si>
    <t>[Zhou, Qing; Chen, Xi] Shenzhen Univ, Peoples Hosp Baoan Shenzhen, Affiliated Hosp 2, Cent Lab, Shenzhen, Peoples R China; [Chen, Qiuyan; Hao, Lu] Shenzhen Baoan Shiyan Peoples Hosp, Sci &amp; Educ Dept, Shenzhen, Peoples R China; [Hao, Lu] Shenzhen Baoan Shiyan Peoples Hosp, Sci &amp; Educ Dept, 11 Jixiang Rd, Shenzhen 518000, Peoples R China</t>
  </si>
  <si>
    <t>Shenzhen University</t>
  </si>
  <si>
    <t>Hao, L (corresponding author), Shenzhen Baoan Shiyan Peoples Hosp, Sci &amp; Educ Dept, 11 Jixiang Rd, Shenzhen 518000, Peoples R China.</t>
  </si>
  <si>
    <t>haolu8686@sina.com</t>
  </si>
  <si>
    <t>chen, qy/JXM-3217-2024</t>
  </si>
  <si>
    <t>Hao, Lu/0000-0002-4305-7766</t>
  </si>
  <si>
    <t>1073-2748</t>
  </si>
  <si>
    <t>1526-2359</t>
  </si>
  <si>
    <t>Cancer Control</t>
  </si>
  <si>
    <t>10.1177/10732748231212353</t>
  </si>
  <si>
    <t>W5WL9</t>
  </si>
  <si>
    <t>WOS:001092327700001</t>
  </si>
  <si>
    <t>Leow, XRG; Ng, SL; Lau, Y</t>
  </si>
  <si>
    <t>Leow, Xin Rong Gladys; Ng, Si Li Annalyn; Lau, Ying</t>
  </si>
  <si>
    <t>Overground Robotic Exoskeleton Training for Patients With Stroke on Walking-Related Outcomes: A Systematic Review and Meta-analysis of Randomized Controlled Trials</t>
  </si>
  <si>
    <t>Walking; Rehabilitation; Robotic exoskeleton; Stroke</t>
  </si>
  <si>
    <t>HYBRID ASSISTIVE LIMB; SUBACUTE STROKE; GAIT REHABILITATION; GLOBAL BURDEN; RECOVERY; SPEED; IMPROVEMENT; AMBULATION</t>
  </si>
  <si>
    <t>Objective: This review aims to evaluate the effectiveness of solely overground robotic exoskeleton (RE) training or overground RE training with conventional rehabilitation in improving walking ability, speed, and endurance among patients with stroke.Data Sources: Nine databases, 5 trial registries, gray literature, specified journals, and reference lists from inception until December 27, 2021.Study Selection: Randomized controlled trials adopting overground robotic exoskeleton training for patients with any phases of stroke on walking-related outcomes were included.Data Extraction: Two independent reviewers extracted items and performed risk of bias using the Cochrane Risk of Bias tool 1 and certainty of evidence using the Grades of Recommendation Assessment, Development, and Evaluation.Data Synthesis: Twenty trials involving 758 participants across 11 countries were included in this review. The overall effect of overground robotic exoskeletons on walking ability at postintervention (d=0.21; 95% confidence interval [CI], 0.01, 0.42; Z=2.02; P=.04) and follow-up (d=0.37; 95% CI, 0.03, 0.71; Z=2.12; P=.03) and walking speed at postintervention (d=0.23; 95% CI, 0.01, 0.46; Z=2.01; P=.04) showed significant improvement compared with conventional rehabilitation. Subgroup analyses suggested that RE training should combine with conventional rehabilitation. A preferable gait training regime is &lt;4 times per week over &gt;= 6 weeks for &lt;= 30 minutes per session among patients with chronic stroke and ambulatory status of independent walkers before training. Meta-regression did not identify any effect of the covariates on the treatment effect. The majority of randomized controlled trials had small sample sizes, and the certainty of the evidence was very low. Conclusion: Overground RE training may have a beneficial effect on walking ability and walking speed to complement conventional rehabilitation. Further large-scale and long-term, high-quality trials are recommended to enhance the quality of overground RE training and confirm its sustainability. (c) 2023 by the American Congress of Rehabilitation Medicine.</t>
  </si>
  <si>
    <t>[Leow, Xin Rong Gladys; Ng, Si Li Annalyn; Lau, Ying] Natl Univ Singapore, Alice Lee Ctr Nursing Studies, Yong Loo Lin Sch Med, Block MD 11,Level 2,10 Med Dr, Singapore 117597, Singapore</t>
  </si>
  <si>
    <t>National University of Singapore</t>
  </si>
  <si>
    <t>Lau, Y (corresponding author), Natl Univ Singapore, Alice Lee Ctr Nursing Studies, Yong Loo Lin Sch Med, Block MD 11,Level 2,10 Med Dr, Singapore 117597, Singapore.</t>
  </si>
  <si>
    <t>nurly@nus.edu.sg</t>
  </si>
  <si>
    <t>YING, Cherry/HHS-2619-2022</t>
  </si>
  <si>
    <t>Leow, Xin Rong, Gladys/0000-0002-3691-2605; LAU, Ying/0000-0002-8289-3441</t>
  </si>
  <si>
    <t>10.1016/j.apmr.2023.03.006</t>
  </si>
  <si>
    <t>W5AH2</t>
  </si>
  <si>
    <t>WOS:001091745700001</t>
  </si>
  <si>
    <t>Moshayedi, AJ; Uddin, NMI; Zhang, XH</t>
  </si>
  <si>
    <t>Moshayedi, Ata Jahangir; Uddin, Nafiz Md Imtiaz; Zhang, Xiaohong</t>
  </si>
  <si>
    <t>Exploring the role of robotics in Alzheimer's disease care: innovative methods and applications</t>
  </si>
  <si>
    <t>ROBOTIC INTELLIGENCE AND AUTOMATION</t>
  </si>
  <si>
    <t>Alzheimer's disease (AD); Robotic rehabilitation; Rehabilitation mechanism; Quality of life</t>
  </si>
  <si>
    <t>REHABILITATION; DEMENTIA; TECHNOLOGY; ASSISTANCE; PEOPLE; SYSTEM</t>
  </si>
  <si>
    <t>Purpose This paper aims to explore and review the potential of robotic rehabilitation as a treatment approach for Alzheimer's disease (AD) and its impact on the health and quality of life of AD patients.Design/methodology/approach The present discourse endeavors to provide a comprehensive overview of extant scholarly inquiries that have examined the salience of inhibitory mechanisms vis-a-vis robotic interventions and their impact on patients with AD. Specifically, this review aims to explicate the contemporary state of affairs in this realm by furnishing a detailed explication of ongoing research endeavors. With the objective of elucidating the significance of inhibitory processes in robotic therapies for individuals with AD, this analysis offers a critical appraisal of extant literature that probes the intersection of cognitive mechanisms and assistive technologies. Through a meticulous analysis of diverse scholarly contributions, this review advances a nuanced understanding of the intricate interplay between inhibitory processes and robotic interventions in the context of AD.Findings According to the review papers, it appears that implementing robot-assisted rehabilitation can serve as a pragmatic and effective solution for enhancing the well-being and overall quality of life of patients and families engaged with AD. Besides, this new feature in the robotic area is anticipated to have a critical role in the success of this innovative approach.Research limitations/implications Due to the nascent nature of this cutting-edge technology and the constrained configuration of the mechanized entity in question, further protracted analysis is imperative to ascertain the advantages and drawbacks of robotic rehabilitation vis-a-vis individuals afflicted with Alzheimer's ailment.Social implications The potential for robots to serve as indispensable assets in the provision of care for individuals afflicted with AD is significant; however, their efficacy and appropriateness for utilization by caregivers of AD patients must be subjected to further rigorous scrutiny.Originality/value This paper reviews the current robotic method and compares the current state of the art for the AD patient.</t>
  </si>
  <si>
    <t>[Moshayedi, Ata Jahangir; Uddin, Nafiz Md Imtiaz; Zhang, Xiaohong] Jiangxi Univ Sci &amp; Technol, Sch Informat Engn, Ganzhou, Peoples R China; [Moshayedi, Ata Jahangir; Uddin, Nafiz Md Imtiaz; Zhang, Xiaohong] Univ Verona, Dept Neurosci Biomed &amp; Movement Sci, Verona, Italy</t>
  </si>
  <si>
    <t>Jiangxi University of Science &amp; Technology; University of Verona</t>
  </si>
  <si>
    <t>Moshayedi, AJ (corresponding author), Jiangxi Univ Sci &amp; Technol, Sch Informat Engn, Ganzhou, Peoples R China.;Moshayedi, AJ (corresponding author), Univ Verona, Dept Neurosci Biomed &amp; Movement Sci, Verona, Italy.</t>
  </si>
  <si>
    <t>Moshayedi, Ata Jahangir/F-7661-2015</t>
  </si>
  <si>
    <t>Uddin, Nafiz Md Imtiaz/0000-0002-2282-599X</t>
  </si>
  <si>
    <t>Funding: This work was supported by Jiangxi University of Science and Technology, 341000, Ganzhou, P.R. China, underfunding number: 2021205200100563. [341000]; Jiangxi University of Science and Technology [2021205200100563]; Ganzhou, P.R. China</t>
  </si>
  <si>
    <t>Funding: This work was supported by Jiangxi University of Science and Technology, 341000, Ganzhou, P.R. China, underfunding number: 2021205200100563.; Jiangxi University of Science and Technology; Ganzhou, P.R. China</t>
  </si>
  <si>
    <t>Declaration of conflicting interests: The authors declare that this article does not contain any conflict of interest.r Funding: This work was supported by Jiangxi University of Science and Technology, 341000, Ganzhou, P.R. China, underfunding number: 2021205200100563.</t>
  </si>
  <si>
    <t>2754-6969</t>
  </si>
  <si>
    <t>2754-6977</t>
  </si>
  <si>
    <t>ROBOT INTELL AUTOMAT</t>
  </si>
  <si>
    <t>ROBOT. INTELL. AUTOM.</t>
  </si>
  <si>
    <t>NOV 17</t>
  </si>
  <si>
    <t>10.1108/RIA-04-2023-0045</t>
  </si>
  <si>
    <t>Automation &amp; Control Systems; Engineering, Manufacturing</t>
  </si>
  <si>
    <t>Automation &amp; Control Systems; Engineering</t>
  </si>
  <si>
    <t>X4EO0</t>
  </si>
  <si>
    <t>WOS:001073878200001</t>
  </si>
  <si>
    <t>Zhang, BH; Wong, KP; Kang, RF; Fu, SJ; Qin, J; Xiao, Q</t>
  </si>
  <si>
    <t>Zhang, Bohan; Wong, Ka Po; Kang, Ruifu; Fu, Shuojin; Qin, Jing; Xiao, Qian</t>
  </si>
  <si>
    <t>Efficacy of Robot-Assisted and Virtual Reality Interventions on Balance, Gait, and Daily Function in Patients With Stroke: A Systematic Review and Network Meta-analysis</t>
  </si>
  <si>
    <t>Balance; Gait; Network meta-analysis; Rehabilitation; Robotic; Stroke rehabilitation; Virtual reality</t>
  </si>
  <si>
    <t>POSTSTROKE; FALLS</t>
  </si>
  <si>
    <t>Objective: This study aimed to evaluate the comparative effectiveness and ranking of robot-assisted training, virtual reality, and robot-assisted rehabilitation combined with virtual reality in improving balance, gait, and daily function in patients with stroke. Data Sources: PubMed, EMBASE, the Cochrane Library, Physiotherapy Evidence Database, CINAHL, Web of Science, and ProQuest Dissertations and Theses abstracting and indexing databases were comprehensively searched to include randomized controlled trials published through Study Selection: Randomized controlled trials comparing robot-assisted training, virtual reality, robot-assisted rehabilitation combined with virtual reality, and conventional therapy to assess the effects on balance, gait, and daily function of patients with stroke. Data Extraction: The risk of bias was assessed using the Cochrane Risk of Bias tool and the methodological quality of the studies was assessed using the Physiotherapy Evidence Database scale. A network meta-analysis of random effects models was performed for direct and indirect effects. Data were analyzed using Stata SE 17.0 and R 4.2.1. Data Synthesis: A total of 52 randomized controlled trials involving 1,559 participants were included in this study. Based on the ranking probabilities, robot-assisted rehabilitation combined with virtual reality was most effective in improving balance (surface under the cumulative ranking curve [SUCRA]=82.0%; mean difference [MD]=4.10; 95% confidence interval [CI], 0.43 to 7.67). Virtual reality was most effective in improving velocity (SUCRA=97.8%; MD=-0.15; 95% CI, -0.24 to -0.06) and daily function (SUCRA=92.1%; MD=-7.85; 95% CI, -15.18 to -1.07). Conclusions: Compared to robot-assisted training and conventional therapy, robot-assisted training combined virtual reality was most likely the best intervention for balance, and virtual reality might be the most helpful in improving daily function for patients after stroke. Further studies are needed to clarify the specific efficacy of robot-assisted training combined with virtual reality and virtual reality on gait. (c) 2023 Published by Elsevier Inc. on behalf of the American Congress of Rehabilitation Medicine</t>
  </si>
  <si>
    <t>[Zhang, Bohan; Wong, Ka Po; Qin, Jing] Hong Kong Polytech Univ, Sch Nursing, Ctr Smart Hlth, Hung Hom,Kowloon, Hong Kong, Peoples R China; [Wong, Ka Po] Hong Kong Polytech Univ, Dept Appl Social Sci, Hung Hom, Kowloon, Hong Kong, Peoples R China; [Kang, Ruifu; Fu, Shuojin; Xiao, Qian] Capital Med Univ, Sch Nursing, Beijing, Peoples R China</t>
  </si>
  <si>
    <t>Hong Kong Polytechnic University; Hong Kong Polytechnic University; Capital Medical University</t>
  </si>
  <si>
    <t>Qin, J (corresponding author), Hong Kong Polytech Univ, Sch Nursing, Ctr Smart Hlth, Hung Hom,Kowloon, Hong Kong, Peoples R China.;Xiao, Q (corresponding author), Capital Med Univ, Sch Nursing, Beijing, Peoples R China.</t>
  </si>
  <si>
    <t>harry.qin@polyu.edu.hk; julia.xiao@163.com</t>
  </si>
  <si>
    <t>Wong, Ka/AAW-7752-2020; xiao, qian/IWM-0785-2023; zhang, bohan/MVU-5505-2025</t>
  </si>
  <si>
    <t>WONG, Ka Po/0000-0002-9086-3701; Zhang, Bohan/0000-0002-2165-9424</t>
  </si>
  <si>
    <t>10.1016/j.apmr.2023.04.005</t>
  </si>
  <si>
    <t>W0RC8</t>
  </si>
  <si>
    <t>WOS:001088779700001</t>
  </si>
  <si>
    <t>Mccarron, FN; Vrochides, D; Martinie, JB</t>
  </si>
  <si>
    <t>Mccarron, Frances N.; Vrochides, Dionisios; Martinie, John B.</t>
  </si>
  <si>
    <t>Current progress in robotic hepatobiliary and pancreatic surgery at a high-volume center</t>
  </si>
  <si>
    <t>ANNALS OF GASTROENTEROLOGICAL SURGERY</t>
  </si>
  <si>
    <t>hepatectomy; hepatobiliary surgery; high-volume; minimally invasive; pancreatectomy; robotics</t>
  </si>
  <si>
    <t>HEPATOCELLULAR-CARCINOMA; LIVER RESECTION; GENERAL-SURGERY; PANCREATICODUODENECTOMY; OUTCOMES; HEPATECTOMY; EXPERIENCE</t>
  </si>
  <si>
    <t>There has been steady growth in the adoption of robotic HPB procedures world-wide over the past 20 years, but most of this increase has occurred only recently. Not surprisingly, the vast majority of robotics has been in the United States, with very few, select centers of adoption in Italy, South Korea, and Brazil, to name a few. We began our robotic HPB program in 2008, well before almost all other centers in the world, with the most notable exception of Giullianotti and colleagues. Our program began gradually, with smaller cases carefully selected to optimize the strengths of the original robotic platform and included complex biliary and pancreatic resections. We performed the first reported series of choledochojejunostomy for benign biliary strictures and first series of completion cholecystectomies. We began performing robotic distal pancreatectomies and longitudinal pancreaticojejunostomies, reporting our early experience for each of these procedures. Over time we progressed to robotic pancreaticoduodenectomies. Initially, these were performed with planned conversions until we were able to optimize efficiency. Now we have performed over 200 robotic whipples, reaching a 100% robotic completion rate by 2020. Finally, we have added robotic major hepatectomies, including resections for hilar cholangiocarcinoma to our repertoire. Since the program began, we have performed over 1600 robotic HPB cases. Outcomes from our program have shown superior lymph node harvest, lower DGE rates, shorter hospitalizations, and fewer rehab admissions with similar overall complications to open and laparoscopic procedures, signifying that over time a robotic HPB program is not only feasible but advantageous as well. Our institution was one of the first in the world to perform robotic HPB surgeries. This review of our institutions experience, as well as a review of current international progress in robotic HPB surgery, may provide insight for aspiring HPB surgeons who wish to incorporate robotics.image</t>
  </si>
  <si>
    <t>[Mccarron, Frances N.; Vrochides, Dionisios; Martinie, John B.] Carolinas Med Ctr, Dept Hepatobiliary &amp; Pancreas Surg, Charlotte, NC USA; [Mccarron, Frances N.] Carolinas Med Ctr, Dept Surg, Div Hepatobiliary &amp; Pancreas Surg, 1025 Morehead Med Dr Suite 600, Charlotte, NC 28204 USA</t>
  </si>
  <si>
    <t>Carolinas Medical Center; Carolinas Medical Center</t>
  </si>
  <si>
    <t>Mccarron, FN (corresponding author), Carolinas Med Ctr, Dept Surg, Div Hepatobiliary &amp; Pancreas Surg, 1025 Morehead Med Dr Suite 600, Charlotte, NC 28204 USA.</t>
  </si>
  <si>
    <t>fnmccarron@gmail.com</t>
  </si>
  <si>
    <t>Vrochides, Dionisios/AAD-3314-2019</t>
  </si>
  <si>
    <t>McCarron, Frances/0009-0007-3884-8460</t>
  </si>
  <si>
    <t>We acknowledge the faculty members of Atrium health Carolinas Medical Center Department of Hepatobiliary and Pancreas Surgery Dr. David Iannitti, Dr. Erin Baker, Dr. Michael Beckman, and Dr. Michael Driedger for their contributions to the HPB program and d</t>
  </si>
  <si>
    <t>We acknowledge the faculty members of Atrium health Carolinas Medical Center Department of Hepatobiliary and Pancreas Surgery Dr. David Iannitti, Dr. Erin Baker, Dr. Michael Beckman, and Dr. Michael Driedger for their contributions to the HPB program and development of research.</t>
  </si>
  <si>
    <t>2475-0328</t>
  </si>
  <si>
    <t>ANN GASTROENT SURG</t>
  </si>
  <si>
    <t>Ann. Gastroent. Surg.</t>
  </si>
  <si>
    <t>10.1002/ags3.12737</t>
  </si>
  <si>
    <t>X4NU1</t>
  </si>
  <si>
    <t>WOS:001059120300001</t>
  </si>
  <si>
    <t>Song, T; Yan, Z; Guo, S; Li, YW; Li, XH; Xi, FF</t>
  </si>
  <si>
    <t>Song, Tao; Yan, Zhe; Guo, Shuai; Li, Yuwen; Li, Xianhua; Xi, Fengfeng</t>
  </si>
  <si>
    <t>Review of sEMG for Robot Control: Techniques and Applications</t>
  </si>
  <si>
    <t>sEMG; signal processing; pattern recognition; robot control; rehabilitation</t>
  </si>
  <si>
    <t>NEURO-FUZZY CONTROL; SURFACE-EMG; SIGNAL; ELECTROMYOGRAPHY; RECOGNITION; CLASSIFICATION; EXOSKELETON; FRAMEWORK; MOVEMENTS; REDUCTION</t>
  </si>
  <si>
    <t>Surface electromyography (sEMG) is a promising technology that can capture muscle activation signals to control robots through novel human-machine interfaces (HMIs). This technology has already been applied in scenarios such as prosthetic design, assisted robot control, and rehabilitation training. This article provides an overview of sEMG-based robot control, covering two important aspects: (1) sEMG signal processing and classification methods and (2) robot control strategies and methods based on sEMG. First, the article outlines the general steps in sEMG signal processing and summarizes the commonly used methods for data acquisition, pre-processing, and feature extraction. In addition, machine-learning-based pattern recognition methods have been introduced for sEMG signal classification. Subsequently, user intent-based robot control strategies are classified into three categories: full-human continuous control, semi-autonomous continuous control, and discrete control, and their control methods and applicable scenarios are compared. Finally, this article discusses the advantages, disadvantages, and future development prospects of sEMG-based robot control. This review provides a comprehensive overview of sEMG-based robot control, from signal processing and classification methods to robot control strategies and methods, aiming to guide future research on selecting filters, feature sets, and pattern recognition methods and to assist in establishing sEMG-driven robot control frameworks.</t>
  </si>
  <si>
    <t>[Song, Tao; Yan, Zhe; Guo, Shuai; Li, Yuwen] Shanghai Univ, Sch Mechatron Engn &amp; Automat, Shanghai Key Lab Intelligent Mfg &amp; Robot, Shanghai 200444, Peoples R China; [Song, Tao] Shanghai Golden Arrow Robot Technol Co Ltd, 701 Bldg 3,377 Shanlian Rd, Shanghai 200444, Peoples R China; [Guo, Shuai] Shanghai Univ, Natl Demonstrat Ctr Expt Engn Training Educ, Shanghai 200444, Peoples R China; [Li, Xianhua] Anhui Univ Sci &amp; Technol, Sch Artificial Intelligence, Huainan 232001, Peoples R China; [Xi, Fengfeng] Toronto Metropolitan Univ, Dept Aerosp Engn, 350 Victoria St, Toronto, ON M5B 2K3, Canada</t>
  </si>
  <si>
    <t>Shanghai University; Shanghai University; Anhui University of Science &amp; Technology; Toronto Metropolitan University</t>
  </si>
  <si>
    <t>Yan, Z (corresponding author), Shanghai Univ, Sch Mechatron Engn &amp; Automat, Shanghai Key Lab Intelligent Mfg &amp; Robot, Shanghai 200444, Peoples R China.</t>
  </si>
  <si>
    <t>songtao43467226@shu.edu.cn; yanz@shu.edu.cn</t>
  </si>
  <si>
    <t>Xi, Feng/AAB-4544-2019; Li, Xianhua/N-7658-2017</t>
  </si>
  <si>
    <t>Song, Tao/0000-0003-2319-1682; Li, Xianhua/0000-0002-0524-2469</t>
  </si>
  <si>
    <t>National Natural Science Foundation of China [82227807]; Shanghai Municipal of Science and Technology Commission [21SQBS00300]; Special fund for Digital Transformation of Shanghai [202202004]; Key Research and Development Program of Anhui Province [2022i01020015]; Open Project of the Medical and Industrial Integration Laboratory of Jiangning Hospital Affiliated to Nanjing Medical University [JNYYZXKY202218]</t>
  </si>
  <si>
    <t>National Natural Science Foundation of China(National Natural Science Foundation of China (NSFC)); Shanghai Municipal of Science and Technology Commission; Special fund for Digital Transformation of Shanghai; Key Research and Development Program of Anhui Province; Open Project of the Medical and Industrial Integration Laboratory of Jiangning Hospital Affiliated to Nanjing Medical University</t>
  </si>
  <si>
    <t>This work was supported by the National Natural Science Foundation of China (82227807); the Shanghai Municipal of Science and Technology Commission (21SQBS00300); the Special fund for Digital Transformation of Shanghai (202202004); the Key Research and Development Program of Anhui Province (2022i01020015); and the Open Project of the Medical and Industrial Integration Laboratory of Jiangning Hospital Affiliated to Nanjing Medical University (JNYYZXKY202218).</t>
  </si>
  <si>
    <t>Gross-peteranlage 5, CH-4052 BASEL, SWITZERLAND</t>
  </si>
  <si>
    <t>10.3390/app13179546</t>
  </si>
  <si>
    <t>R2RV0</t>
  </si>
  <si>
    <t>WOS:001062881600001</t>
  </si>
  <si>
    <t>Wang, L; Peng, JL; Chen, AL</t>
  </si>
  <si>
    <t>Wang, Lei; Peng, Jin-lin; Chen, Ai-lian</t>
  </si>
  <si>
    <t>Effect of robotic-assisted gait training on gait and motor function in spinal cord injury: a protocol of a systematic review with meta-analysis</t>
  </si>
  <si>
    <t>REHABILITATION MEDICINE; NEUROSURGERY; Neurological injury</t>
  </si>
  <si>
    <t>COMPLICATIONS</t>
  </si>
  <si>
    <t>IntroductionRobotic-assisted gait training (RAGT) has been reported to be effective in rehabilitating patients with spinal cord injury (SCI). However, studies on RAGT showed different results due to a varied number of samples. Thus, summarising studies based on robotic-related factors is critical for the accurate estimation of the effects of RAGT on SCI. This work aims to search for strong evidence showing that using RAGT is effective in treating SCI and analyse the deficiencies of current studies.Methods and analysisThe following publication databases were electronically searched in December 2022 without restrictions on publication year: MEDLINE, Cochrane Library, Web of Science, Embase, PubMed, the Cochrane Central Register of Controlled Trials and China National Knowledge Infrastructure. Various combinations of keywords, including 'motor disorders', 'robotics', 'robotic-assisted gait training', 'Spinal Cord Injuries', 'SCI' and 'gait analysis' were used as search terms. All articles on randomised controlled trials (excluding retrospective trials) using RAGT to treat SCI that were published in English and Chinese and met the inclusion criteria were included. Outcomes included motor function, and gait parameters included those assessed by using the instrumented gait assessment, the Berg Balance Scale, the 10-m walk speed test, the 6-min walk endurance test, the functional ambulation category scale, the Walking index of SCI and the American Spinal Injury Association assessment scale. Research selection, data extraction and quality assessment were conducted independently by two reviewers to ensure that all relevant studies were free from personal bias. In addition, the Cochrane risk-of-bias assessment tool was used to assess the risk of bias. Review Manager V.5.3 software was used to produce deviation risk maps and perform paired meta-analyses.Ethics and disseminationEthics approval is not required for systematic reviews and network meta-analyses. The results will be submitted to a peer-reviewed journal or presented at a conference.PROSPERO registration numberCRD42022319555.</t>
  </si>
  <si>
    <t>[Wang, Lei; Chen, Ai-lian] Hunan Prov Peoples Hosp, Dept Rehabil Med, Changsha, Hunan, Peoples R China; [Peng, Jin-lin] Huazhong Univ Sci &amp; Technol, Tongji Hosp, Tongji Med Coll, Wuhan, Hubei, Peoples R China</t>
  </si>
  <si>
    <t>Huazhong University of Science &amp; Technology</t>
  </si>
  <si>
    <t>Chen, AL (corresponding author), Hunan Prov Peoples Hosp, Dept Rehabil Med, Changsha, Hunan, Peoples R China.</t>
  </si>
  <si>
    <t>652326303@qq.com</t>
  </si>
  <si>
    <t>e070675</t>
  </si>
  <si>
    <t>10.1136/bmjopen-2022-070675</t>
  </si>
  <si>
    <t>S7HM5</t>
  </si>
  <si>
    <t>WOS:001072843300058</t>
  </si>
  <si>
    <t>Yang, XW; Shi, XB; Xue, XL; Deng, ZY</t>
  </si>
  <si>
    <t>Yang, Xinwei; Shi, Xiubo; Xue, Xiali; Deng, Zhongyi</t>
  </si>
  <si>
    <t>Efficacy of Robot-Assisted Training on Rehabilitation of Upper Limb Function in Patients With Stroke: A Systematic Review and Meta-analysis</t>
  </si>
  <si>
    <t>Meta-analysis; Rehabilitation; Stroke; Upper extremity</t>
  </si>
  <si>
    <t>MOTOR IMPAIRMENT; THERAPY; RECOVERY; POSTSTROKE; IMPACT</t>
  </si>
  <si>
    <t>Objective: To systematically evaluate the effect of robot-assisted training (RAT) on upper limb function recovery in patients with stroke, providing the evidence-based medical basis for the clinical application of RAT.Data Sources: We searched online electronic databases up to Rune 2022, including PubMed, The Cochrane Library, Scopus, Web of Science, EMBASE, WanFang Data, CNKI, and VIP full-text databases.Study Selection: Randomized controlled trials of the effect of RAT on upper extremity functional recovery in patients with stroke.Data Extraction: The Cochrane Collaboration Tool for Assessing the Risk of Bias was used to assess study quality and risk of bias.Data Synthesis: Fourteen randomized controlled trials involving 1275 patients were included for review. Compared with the control group, RAT significantly improved upper limb motor function and daily living ability. The overall differences were statistically significant, Fugl-Meyer Assessment for the Upper Extremity (FMA-UE; standard mean difference=0.69; 95% confidence interval, 0.34, 1.05; P=.0001), modified Barthel Index (standard mean difference=0.95; 95% confidence interval, 0.75, 1.15; P&lt;.00001), whereas the differences in modified Ashworth Scale, FIM, and Wolf Motor Function Test scores were not statistically significant.Subgroup Analysis: Compared with the control group, the differences between FMA-UE and modified Barthel Index at 4 and 12 weeks of RAT, there were statistically significant, the differences of FMA-UE and modified Ashworth Scale in patients with stroke in the acute and chronic phases were statistically significant.Conclusion: The present study showed that RAT can significantly enhance the upper limb motor function and activities of daily life in patients with stroke undergoing upper limb rehabilitation.</t>
  </si>
  <si>
    <t>[Yang, Xinwei] Chengdu Sport Univ, Sch Sports Med &amp; Hlth, Chengdu, Peoples R China; [Shi, Xiubo] Peoples Govt Tibetan Autonomous Reg, Hosp Chengdu Off, Chengdu, Peoples R China; [Xue, Xiali] Chengdu Sport Univ, Inst Sports Med &amp; Hlth, 2 Yiyuan Rd, Chengdu 610041, Peoples R China; [Deng, Zhongyi] Sun Yat Sen Univ, Affiliated Hosp 3, Dept Rehabil Med, Guangzhou, Peoples R China</t>
  </si>
  <si>
    <t>Chengdu Sport University; Chengdu Sport University; Sun Yat Sen University</t>
  </si>
  <si>
    <t>Xue, XL (corresponding author), Chengdu Sport Univ, Inst Sports Med &amp; Hlth, 2 Yiyuan Rd, Chengdu 610041, Peoples R China.</t>
  </si>
  <si>
    <t>390231882@qq.com</t>
  </si>
  <si>
    <t>Xue, Xiali/KUF-2917-2024</t>
  </si>
  <si>
    <t>Xue, Xiali/0000-0003-0727-6459</t>
  </si>
  <si>
    <t>10.1016/j.apmr.2023.02.004</t>
  </si>
  <si>
    <t>T9DL2</t>
  </si>
  <si>
    <t>WOS:001080915400001</t>
  </si>
  <si>
    <t>Zhao, ZH; Wang, JQ; Wang, SB; Wang, R; Lu, Y; Yuan, Y; Chen, JL; Dai, YN; Liu, Y; Wang, XM; Pan, Y; Gao, S</t>
  </si>
  <si>
    <t>Zhao, Zihe; Wang, Jiaqi; Wang, Shengbo; Wang, Rui; Lu, Yao; Yuan, Yan; Chen, Junliang; Dai, Yanning; Liu, Yong; Wang, Xiaomeng; Pan, Yu; Gao, Shuo</t>
  </si>
  <si>
    <t>Multimodal Sensing in Stroke Motor Rehabilitation</t>
  </si>
  <si>
    <t>ADVANCED SENSOR RESEARCH</t>
  </si>
  <si>
    <t>assisted robots; motor rehabilitation; physiological signal detection; stroke; wearable sensors</t>
  </si>
  <si>
    <t>ABLE-BODIED INDIVIDUALS; UPPER-LIMB; UPPER-EXTREMITY; MOVEMENT-DISORDERS; OXIDATIVE STRESS; ATRIAL-FIBRILLATION; WEARABLE TECHNOLOGY; HEMIPLEGIC PATIENT; RECOVERY RESEARCH; PHYSICAL-ACTIVITY</t>
  </si>
  <si>
    <t>Applying sensors in biomedical institutions and home-based stroke rehabilitation is now a global research focus. In this review paper, the relationship between stroke diseases' physiology mechanism and diverse sensors' functionalities is detailed explained. The review starts by interpreting how stroke influences motion abilities and then introduces broadly adopted physical training methods. After, the working principles of sensors and their use to objectively provide patients' body information for stroke rehabilitation status are discussed. The content of the paper aims to not only review the state-of-the-art works of developing sensors for assisting in evaluating stroke patients' status but also bridging the gap between medical staff and engineers. In this review paper, the relationship between stroke diseases' physiology mechanism and diverse sensors' functionalities is explained in detail. The process of stroke affecting motor ability, the working principles of sensors, and their use to objectively provide patients' body information for stroke rehabilitation status are discussed, bridging the gap between medical staff and engineers. image</t>
  </si>
  <si>
    <t>[Zhao, Zihe; Wang, Jiaqi; Wang, Shengbo; Lu, Yao; Yuan, Yan; Chen, Junliang; Dai, Yanning; Liu, Yong; Gao, Shuo] Beihang Univ, Sch Instrumentat &amp; Optoelect Engn, Beijing 100191, Peoples R China; [Wang, Rui] Beihang Univ, Res Inst Frontier Sci, Beijing 100191, Peoples R China; [Wang, Xiaomeng; Pan, Yu] Tsinghua Univ, Beijing Tsinghua Changgung Hosp, Sch Clin Med, Dept Rehabil Med, Beijing 100084, Peoples R China</t>
  </si>
  <si>
    <t>Beihang University; Beihang University; Tsinghua University</t>
  </si>
  <si>
    <t>Gao, S (corresponding author), Beihang Univ, Sch Instrumentat &amp; Optoelect Engn, Beijing 100191, Peoples R China.</t>
  </si>
  <si>
    <t>shuo_gao@buaa.edu.cn</t>
  </si>
  <si>
    <t>Wang, Rui/IQR-7312-2023; Wang, Shengbo/HPC-4500-2023; Chen, Junliang/JXY-2148-2024</t>
  </si>
  <si>
    <t>National Natural Science Foundation of China; Beihang University [KG12090401, ZG216S19C8]; Hong Kong Research Grants Council Early Career Scheme [24200521]; [61803017]; [61827802]</t>
  </si>
  <si>
    <t>National Natural Science Foundation of China(National Natural Science Foundation of China (NSFC)); Beihang University; Hong Kong Research Grants Council Early Career Scheme; ;</t>
  </si>
  <si>
    <t>The authors acknowledge the funding of the National Natural Science Foundation of China (Grant no. 61803017 and no. 61827802), Beihang University (Grant no. KG12090401 and no. ZG216S19C8) and Hong Kong Research Grants Council Early Career Scheme (Grant no.24200521).</t>
  </si>
  <si>
    <t>2751-1219</t>
  </si>
  <si>
    <t>ADV SENSOR RES</t>
  </si>
  <si>
    <t>Adv. Sensor Res.</t>
  </si>
  <si>
    <t>10.1002/adsr.202200055</t>
  </si>
  <si>
    <t>Chemistry, Analytical; Instruments &amp; Instrumentation</t>
  </si>
  <si>
    <t>Chemistry; Instruments &amp; Instrumentation</t>
  </si>
  <si>
    <t>TP1R3</t>
  </si>
  <si>
    <t>WOS:001242377400004</t>
  </si>
  <si>
    <t>Sharma, P; Gupta, M; Kalra, R</t>
  </si>
  <si>
    <t>Sharma, Priya; Gupta, Meena; Kalra, Ruchika</t>
  </si>
  <si>
    <t>Recent advancements in interventions for cerebral palsy- A review</t>
  </si>
  <si>
    <t>JOURNAL OF NEURORESTORATOLOGY</t>
  </si>
  <si>
    <t>Cerebral palsy; Repetitive transcranial magnetic; stimulation; Neurofeedback; Music therapy; Computer-brain interface; Neuroplasticity</t>
  </si>
  <si>
    <t>HYPERBARIC-OXYGEN THERAPY; GROSS MOTOR FUNCTION; VIRTUAL-REALITY; CELL THERAPY; CHILDREN; GAIT; REHABILITATION; EFFICACY; SPASTICITY; WALKING</t>
  </si>
  <si>
    <t>Non-progressive conditions that develop in the growing fetus or newborn brain and result in lifelong motor impairments and activity restrictions are collectively referred to as cerebral palsy. In the present review, recent advancements in the treatment of cerebral palsy are discussed. Studies are currently being conducted on high-tech aids such as telemedicine, robotics, virtual reality, telerehabilitation, and exoskeletons. In the current review, we focus on the effectiveness of interventions including neurologic music therapy, aquatic therapy, virtual reality, robotics, electrical stimulation, constraint-induced movement therapy, hippotherapy, and hyperbaric oxygen therapy. We also discuss the drugs used for the treatment of spasticity in cerebral palsy, as well as the effects of nutritional intake. Neurologic music therapy alongside physiotherapy leads to positive rehabilitation outcomes, as does treadmill gait training combined with robotics for lower limb improvements. Furthermore, kinesio taping is helpful for positioning the wrist, thumb, and fingers, and for reducing upper limb stiffness. Neurorestorative therapies such as cell therapy, brain-computer interface technology, and transcranial magnetic stimulation may also effectively restore neural networks in a positive direction in cerebral palsy. Finally, rehabilitation along with neurofeedback and biofeedback is considered helpful in patients with this neurological disorder. &amp; COPY; 2023 The Author(s). Published by Elsevier Ltd on behalf of Tsinghua University Press. This is an open access article under the CC BY-NC-ND license (http://creativecommons.org/licenses/by-nc-nd/4.0/).</t>
  </si>
  <si>
    <t>[Sharma, Priya; Gupta, Meena; Kalra, Ruchika] Amity Univ, Amity Inst Hlth Allied Sci, Dept Physiotherapy, Sect 125, Noida, Uttar Pradesh, India</t>
  </si>
  <si>
    <t>Amity University Noida</t>
  </si>
  <si>
    <t>Gupta, M (corresponding author), Amity Univ, Amity Inst Hlth Allied Sci, Dept Physiotherapy, Sect 125, Noida, Uttar Pradesh, India.</t>
  </si>
  <si>
    <t>mgupta9@amity.edu</t>
  </si>
  <si>
    <t>; Gupta, Meena/GLS-6447-2022</t>
  </si>
  <si>
    <t>, PRIYA SHARMA/0009-0001-8264-7283; Gupta, Meena/0000-0002-2868-3208</t>
  </si>
  <si>
    <t>TSINGHUA UNIV PRESS</t>
  </si>
  <si>
    <t>B605D, XUE YAN BUILDING, BEIJING, 100084, PEOPLES R CHINA</t>
  </si>
  <si>
    <t>2324-2426</t>
  </si>
  <si>
    <t>J NEURORESTORATOLOGY</t>
  </si>
  <si>
    <t>J. NEURORESSTORATOLOGY</t>
  </si>
  <si>
    <t>10.1016/j.jnrt.2023.100071</t>
  </si>
  <si>
    <t>R7NM4</t>
  </si>
  <si>
    <t>WOS:001066184700001</t>
  </si>
  <si>
    <t>Chasiotis, AK; Kitsos, DK; Stavrogianni, K; Giannopapas, V; Papadopoulou, M; Zompola, C; Paraskevas, GP; Bakalidou, D; Giannopoulos, S</t>
  </si>
  <si>
    <t>Chasiotis, Athanasios K.; Kitsos, Dimitrios K.; Stavrogianni, Konstantina; Giannopapas, Vasileios; Papadopoulou, Marianna; Zompola, Christina; Paraskevas, George P.; Bakalidou, Daphne; Giannopoulos, Sotirios</t>
  </si>
  <si>
    <t>Rehabilitation on cerebellar ataxic patients with multiple sclerosis: A systematic review</t>
  </si>
  <si>
    <t>JOURNAL OF NEUROSCIENCE RESEARCH</t>
  </si>
  <si>
    <t>cerebellar ataxia; multiple sclerosis; physiotherapy; rehabilitation</t>
  </si>
  <si>
    <t>UPPER-LIMB; MOBILITY; GAIT</t>
  </si>
  <si>
    <t>Multiple Sclerosis (MS) is a chronic inflammatory, autoimmune disease of the Central Nervous System with a vast spectrum of clinical phenotypes. A major aspect of its clinical presentation is cerebellar ataxia where physiotherapy and treatment modalities play a significant role on its management. This systematic review aims to investigate the physiotherapeutic rehabilitation techniques regarding the management of cerebellar ataxia due to MS and secondary to stratify each protocol as part of a multi structural personalized rehabilitation approach based on the gravity of the symptoms. A Pubmed Medline, Scopus and Web of Science research was performed using the corresponding databases. The results were screened by the authors in pairs. In our study, six (6) non-pharmacological interventional protocols, 3 Randomized Controlled Trials and 3 pilot studies, were included with a total of 145 MS patients. Physiotherapeutic techniques, such as NDT-Bobath, robotic and visual biofeedback re-education protocols and functional rehabilitation techniques were included. In most cases cerebellar ataxic symptoms were decreased post-treatment. The overall quality of the studies included was of moderate level (level B). Rehabilitation in cerebellar ataxia due to MS should be based on multicentric studies with the scope of adjusting different types of treatments and physiotherapeutic techniques based on the severity of the symptom. image</t>
  </si>
  <si>
    <t>[Chasiotis, Athanasios K.; Kitsos, Dimitrios K.; Stavrogianni, Konstantina; Giannopapas, Vasileios; Papadopoulou, Marianna; Zompola, Christina; Paraskevas, George P.; Bakalidou, Daphne; Giannopoulos, Sotirios] Natl &amp; Kapodistrian Univ Athens, Attikon Univ Hosp, Sch Med, Dept Neurol 2, Athens, Greece; [Chasiotis, Athanasios K.; Giannopapas, Vasileios; Bakalidou, Daphne] Univ West Att, Dept Biomed Sci, Athens, Greece; [Chasiotis, Athanasios K.; Giannopapas, Vasileios; Papadopoulou, Marianna; Bakalidou, Daphne] Univ West Att, Fac oh Hlth &amp; Care Sci, Dept Physiotherapy, Lab Neuromuscular &amp; Cardiovasc Study Mot LANECASM, Athens, Greece; [Giannopoulos, Sotirios] Natl &amp; Kapodistrian Univ Athens, Attikon Univ Hosp, Sch Med, Dept Neurol 2, Rimini 1, Athens 12462, Greece</t>
  </si>
  <si>
    <t>University Hospital Attikon; Athens Medical School; National &amp; Kapodistrian University of Athens; Athens Medical School; National &amp; Kapodistrian University of Athens; University Hospital Attikon</t>
  </si>
  <si>
    <t>Giannopoulos, S (corresponding author), Natl &amp; Kapodistrian Univ Athens, Attikon Univ Hosp, Sch Med, Dept Neurol 2, Rimini 1, Athens 12462, Greece.</t>
  </si>
  <si>
    <t>sgiannop@uoi.gr</t>
  </si>
  <si>
    <t>Papadopoulou, Marianna/AAP-5027-2021</t>
  </si>
  <si>
    <t>Giannopapas, Vasileios/0000-0001-6210-2086; Stavrogianni, Konstantina/0000-0002-1221-4618; PAPADOPOULOU, MARIANNA/0000-0002-0163-7455; CHASIOTIS, ATHANASIOS K./0000-0001-7496-1195</t>
  </si>
  <si>
    <t>0360-4012</t>
  </si>
  <si>
    <t>1097-4547</t>
  </si>
  <si>
    <t>J NEUROSCI RES</t>
  </si>
  <si>
    <t>J. Neurosci. Res.</t>
  </si>
  <si>
    <t>10.1002/jnr.25235</t>
  </si>
  <si>
    <t>U2ZE8</t>
  </si>
  <si>
    <t>WOS:001080357600001</t>
  </si>
  <si>
    <t>Bin, L; Wang, XP; Hu, JT; Fan, DH; Qiang, W; Shen, YC; Miao, YM; Yong, M</t>
  </si>
  <si>
    <t>Bin, Luo; Wang, Xiaoping; Hu Jiatong; Fan Donghua; Qiang, Wang; Shen Yingchao; Miao Yiming; Yong, Ma</t>
  </si>
  <si>
    <t>The effect of robot-assisted gait training for patients with spinal cord injury: a systematic review and meta-analysis</t>
  </si>
  <si>
    <t>robot-assisted; gait training; spinal cord injury; gait distance; gait speed</t>
  </si>
  <si>
    <t>WALKING SPEED; REHABILITATION; PEOPLE; INDIVIDUALS; STROKE</t>
  </si>
  <si>
    <t>Background: With the aging of the global population, Spinal injuries are often prone to occur and affect human health. The development of technology has put robots on the stage to assist in the treatment of spinal injuries. Methods: A comprehensive literature search were carried out in multiple databases, including PubMed, Medline (Ovid), Web of Science, Cochrane, Embase, Scopus, CKNI, Wang fang, VIP database, Sino Med, Clinical Trails until 20th, June, 2023 to collect effect of robot-assisted gait training for patients with spinal cord injury patients. Primary outcome includes any changes of gait distance and gait speed. Secondary outcomes include any changes in functions (Such as TUG, Leg strength, 10 MWT) and any advent events. Data were extracted from two independent individuals and Cochrane Risk of Bias tool version 2.0 was assessed for the included studies. Systematic review and meta-analysis were performed by RevMan 5.3 software. Results: 11 studies were included in meta-analysis. The result showed that gait distance [WMD = 16.05, 95% CI (-15.73, 47.83), I-2 = 69%], gait speed (RAGT vs. regular treatment) [WMD = 0.01, 95% CI (-0.04, 0.05), I-2 = 43%], gait speed (RAGT vs. no intervention) [WMD = 0.07, 95% CI (0.01, 0.1(2)), I-2 = 0%], leg strength [WMD = 0.59, 95% CI (-1.22, 2.40), I-2 = 29%], TUG [WMD = 9.25, 95% CI (2.76, 15.73), I-2 = 74%], 10 MWT [WMD = 0.01, 95% CI (-0.15, 0.16), I-2 = 0%], and 6 MWT [WMD = 1.79, 95% CI (-21.32, 24.90), I-2 = 0%]. Conclusion: Robot-assisted gait training seems to be helpful for patients with spinal cord to improve TUG. It may not affect gait distance, gait speed, leg strength, 10 MWT, and 6 MWT.</t>
  </si>
  <si>
    <t>[Bin, Luo; Fan Donghua; Qiang, Wang; Shen Yingchao; Miao Yiming] Nanjing Univ Chinese Med, Dept Orthopaed, Changshu Hosp, Changshu, Peoples R China; [Wang, Xiaoping] PLA Strateg Support Force Characterist Med Ctr, Dept Orthoped, Beijing, Peoples R China; [Hu Jiatong] China Acad Chinese Med Sci, Guangan Men Hosp, Dept Acupuncture &amp; Moxibust, Beijing, Peoples R China; [Yong, Ma] Nanjing Univ Chinese Med, Inst Traumatol &amp; Orthoped, Nanjing, Peoples R China; [Yong, Ma] Nanjing Univ Chinese Med, Lab New Tech Restorat &amp; Reconstruct Orthoped &amp; Tr, Nanjing, Peoples R China; [Yong, Ma] Nanjing Univ Chinese Med, Dept Traumatol &amp; Orthoped, Affiliated Hosp, Nanjing, Peoples R China</t>
  </si>
  <si>
    <t>Nanjing University of Chinese Medicine; China Academy of Chinese Medical Sciences; Nanjing University of Chinese Medicine; Nanjing University of Chinese Medicine; Nanjing University of Chinese Medicine</t>
  </si>
  <si>
    <t>Yong, M (corresponding author), Nanjing Univ Chinese Med, Inst Traumatol &amp; Orthoped, Nanjing, Peoples R China.;Yong, M (corresponding author), Nanjing Univ Chinese Med, Lab New Tech Restorat &amp; Reconstruct Orthoped &amp; Tr, Nanjing, Peoples R China.;Yong, M (corresponding author), Nanjing Univ Chinese Med, Dept Traumatol &amp; Orthoped, Affiliated Hosp, Nanjing, Peoples R China.</t>
  </si>
  <si>
    <t>fsyy01031@njucm.edu.cn</t>
  </si>
  <si>
    <t>WANG, Xiaoping/AAG-7348-2019; Miao, Yiming/LCD-7599-2024</t>
  </si>
  <si>
    <t>Changshu Science and Technology Bureau Project [CS202001]; Changshu Traditional Chinese Medicine Hospital Youth Project [cszyy201914]</t>
  </si>
  <si>
    <t>Changshu Science and Technology Bureau Project; Changshu Traditional Chinese Medicine Hospital Youth Project</t>
  </si>
  <si>
    <t>This work was supported by Changshu Science and Technology Bureau Project (CS202001) and Changshu Traditional Chinese Medicine Hospital Youth Project (cszyy201914).</t>
  </si>
  <si>
    <t>AUG 22</t>
  </si>
  <si>
    <t>10.3389/fnins.2023.1252651</t>
  </si>
  <si>
    <t>R0UP0</t>
  </si>
  <si>
    <t>WOS:001061582400001</t>
  </si>
  <si>
    <t>Ho, JSW; Ko, KSY; Law, SW; Man, GCW</t>
  </si>
  <si>
    <t>Ho, Jocelyn Sze-wing; Ko, Koko Shaau-yiu; Law, Sheung Wai; Man, Gene Chi-wai</t>
  </si>
  <si>
    <t>The effectiveness of robotic-assisted upper limb rehabilitation to improve upper limb function in patients with cervical spinal cord injuries: a systematic literature review</t>
  </si>
  <si>
    <t>limb activation; robot-assisted therapy; spinal cord injury; exoskeleton; adults</t>
  </si>
  <si>
    <t>ARM; STROKE; STABILITY; PEOPLE; TRIALS; HAND</t>
  </si>
  <si>
    <t>Background: Spinal Cord Injury (SCI) damages corticospinal tracts and descending motor pathways responsible for transmitting signals from the brain to the spinal cord, leading to temporary or permanent changes in sensation, motor function, strength, and body function below the site of injury. Cervical SCI (cSCI), which leads to tetraplegia, causes severe functional upper limb (UL) impairments that increase falls risk, limits independence, and leads to difficulties with activities of daily living (ADLs). Robotic therapy (RT) has been developed in recent decades as a new treatment approach for people with cervical spinal cord injuries (cSCI). The present review aimed to explore current available evidence and studies regarding the effectiveness of RT for individuals with cSCI in improving UL function, identify current research gaps and future research directions.Method: This review was conducted by searching PubMed, CINAHL, Medline, Embase, and APA PsycInfo for relevant studies published from January 2010 to January 2022. Selected studies were analyzed with a focus on the patients' self-perception of limited UL function and level of independence in activities of daily living. In addition, the JBI Critical Appraisal checklist was used to assess study quality.Results: A total of 7 articles involving 87 patients (74 males and 13 females) were included in the analysis, with four studies utilizing exoskeleton and three studies utilizing end-effector robotic devices, respectively. The quality of these studies varied between JBI Critical Appraisal scores of 4 to 8. Several studies lacked blinding and a control group which affected internal validity. Nevertheless, four out of seven studies demonstrated statistically significant improvements in outcome measurements on UL function and strength after RT.Conclusion: This review provided mixed evidence regarding the effectiveness of RT as a promising intervention approach to improve upper limb function in participants with cSCI. Although RT was shown to be safe, feasible, and reduces active therapist time, further research on the long-term effects of UL RT is still needed. Nevertheless, this review serves as a useful reference for researchers to further develop exoskeletons with practical and plausible applications toward geriatric orthopaedics.</t>
  </si>
  <si>
    <t>[Ho, Jocelyn Sze-wing; Ko, Koko Shaau-yiu; Law, Sheung Wai; Man, Gene Chi-wai] Chinese Univ Hong Kong, Prince Wales Hosp, Fac Med, Dept Orthopaed &amp; Traumatol, Hong Kong, Peoples R China</t>
  </si>
  <si>
    <t>Chinese University of Hong Kong; Prince of Wales Hospital</t>
  </si>
  <si>
    <t>Law, SW; Man, GCW (corresponding author), Chinese Univ Hong Kong, Prince Wales Hosp, Fac Med, Dept Orthopaed &amp; Traumatol, Hong Kong, Peoples R China.</t>
  </si>
  <si>
    <t>lawsw@ort.cuhk.edu.hk; geneman@cuhk.edu.hk</t>
  </si>
  <si>
    <t>Man, Gene Chi-Wai/AAH-4865-2019</t>
  </si>
  <si>
    <t>Man, Gene Chi Wai/0000-0002-8608-9688</t>
  </si>
  <si>
    <t>The authors would like to acknowledge the Health and Medical Research Fellowship Scheme 2019 (Grant number: 05190047) awarded to GM for supporting this study. [05190047]; Health and Medical Research Fellowship Scheme</t>
  </si>
  <si>
    <t>The authors would like to acknowledge the Health and Medical Research Fellowship Scheme 2019 (Grant number: 05190047) awarded to GM for supporting this study.; Health and Medical Research Fellowship Scheme</t>
  </si>
  <si>
    <t>The authors would like to acknowledge the Health and Medical Research Fellowship Scheme 2019 (Grant number: 05190047) awarded to GM for supporting this study.</t>
  </si>
  <si>
    <t>AUG 9</t>
  </si>
  <si>
    <t>10.3389/fneur.2023.1126755</t>
  </si>
  <si>
    <t>W7UF3</t>
  </si>
  <si>
    <t>WOS:001093633300001</t>
  </si>
  <si>
    <t>Höhler, C; Trigili, E; Astarita, D; Hermsdörfer, J; Jahn, K; Krewer, C</t>
  </si>
  <si>
    <t>Hoehler, Chiara; Trigili, Emilio; Astarita, Davide; Hermsdoerfer, Joachim; Jahn, Klaus; Krewer, Carmen</t>
  </si>
  <si>
    <t>The efficacy of hybrid neuroprostheses in the rehabilitation of upper limb impairment after stroke, a narrative and systematic review with a meta-analysis</t>
  </si>
  <si>
    <t>electrical stimulation; exoskeleton; hybrid neuroprosthesis; rehabilitation; review; robotics; stroke; treatment efficacy; upper limb</t>
  </si>
  <si>
    <t>FUNCTIONAL ELECTRICAL-STIMULATION; FUGL-MEYER ASSESSMENT; UPPER-EXTREMITY; ROBOT; RECOVERY; THERAPY; FEASIBILITY; DISABILITY; ARM</t>
  </si>
  <si>
    <t>BackgroundParesis of the upper limb (UL) is the most frequent impairment after a stroke. Hybrid neuroprostheses, i.e., the combination of robots and electrical stimulation, have emerged as an option to treat these impairments. MethodsTo give an overview of existing devices, their features, and how they are linked to clinical metrics, four different databases were systematically searched for studies on hybrid neuroprostheses for UL rehabilitation after stroke. The evidence on the efficacy of hybrid therapies was synthesized. ResultsSeventy-three studies were identified, introducing 32 hybrid systems. Among the most recent devices (n = 20), most actively reinforce movement (3 passively) and are typical exoskeletons (3 end-effectors). If classified according to the International Classification of Functioning, Disability and Health, systems for proximal support are expected to affect body structures and functions, while the activity and participation level are targeted when applying Functional Electrical Stimulation distally plus the robotic component proximally. The meta-analysis reveals a significant positive effect on UL functions (p &lt; 0.001), evident in a 7.8-point M-diff between groups in the Fugl-Meyer assessment. This positive effect remains at the 3-month follow-up (M-diff = 8.4, p &lt; 0.001). ConclusionsHybrid neuroprostheses have a positive effect on UL recovery after stroke, with effects persisting at least three months after the intervention. Non-significant studies were those with the shortest intervention periods and the oldest patients. Improvements in UL functions are not only present in the subacute phase after stroke but also in long-term chronic stages. In addition to further technical development, more RCTs are needed to make assumptions about the determinants of successful therapy.</t>
  </si>
  <si>
    <t>[Hoehler, Chiara; Jahn, Klaus; Krewer, Carmen] Schoen Clin Bad Aibling, Res Dept, Bad Aibling, Germany; [Hoehler, Chiara; Hermsdoerfer, Joachim; Krewer, Carmen] Tech Univ Munich, Fac Sport &amp; Hlth Sci, Chair Human Movement Sci, Munich, Germany; [Trigili, Emilio; Astarita, Davide] Scuola Super Sant Anna, Biorobot Inst, Pisa, Italy; [Trigili, Emilio; Astarita, Davide] Scuola Super Sant Anna, Dept Excellence Robot &amp; AI, Pisa, Italy; [Jahn, Klaus] Ludwig Maximilians Univ Munich LMU, German Ctr Vertigo &amp; Balance Disorders DSGZ, Munich, Germany</t>
  </si>
  <si>
    <t>Technical University of Munich; Scuola Superiore Sant'Anna; Scuola Superiore Sant'Anna; University of Munich</t>
  </si>
  <si>
    <t>Höhler, C (corresponding author), Schoen Clin Bad Aibling, Res Dept, Bad Aibling, Germany.</t>
  </si>
  <si>
    <t>choehler@schoen-klinik.de</t>
  </si>
  <si>
    <t>Jahn, Klaus/AAC-4969-2021; Krewer, Carmen/H-2845-2019; Jahn, Klaus/F-9902-2010</t>
  </si>
  <si>
    <t>Astarita, Davide/0000-0002-0140-3405; Jahn, Klaus/0000-0002-1669-3652; Krewer, Carmen/0000-0002-4153-0791; Hohler, Chiara/0000-0001-6533-7841; Trigili, Emilio/0000-0002-3725-5694</t>
  </si>
  <si>
    <t>European Unions Horizon 2020 research and innovation programme ReHyb [871767]; H2020 - Industrial Leadership [871767] Funding Source: H2020 - Industrial Leadership</t>
  </si>
  <si>
    <t>European Unions Horizon 2020 research and innovation programme ReHyb; H2020 - Industrial Leadership(European Union (EU)H2020 - Industrial Leadership)</t>
  </si>
  <si>
    <t>European Unions Horizon 2020 research and innovation programme ReHyb under grant agreement no &amp; nbsp;871767</t>
  </si>
  <si>
    <t>10.1111/aor.14618</t>
  </si>
  <si>
    <t>KQ7L5</t>
  </si>
  <si>
    <t>WOS:001043162400001</t>
  </si>
  <si>
    <t>Bonanno, L; Cannuli, A; Pignolo, L; Marino, S; Quartarone, A; Calabrò, RS; Cerasa, A</t>
  </si>
  <si>
    <t>Bonanno, Lilla; Cannuli, Antonio; Pignolo, Loris; Marino, Silvia; Quartarone, Angelo; Calabro, Rocco Salvatore; Cerasa, Antonio</t>
  </si>
  <si>
    <t>Neural Plasticity Changes Induced by Motor Robotic Rehabilitation in Stroke Patients: The Contribution of Functional Neuroimaging</t>
  </si>
  <si>
    <t>robotic neurorehabilitation; motor recovery; fMRI; fNIRS; stroke</t>
  </si>
  <si>
    <t>Robotic rehabilitation is one of the most advanced treatments helping people with stroke to faster recovery from motor deficits. The clinical impact of this type of treatment has been widely defined and established using clinical scales. The neurofunctional indicators of motor recovery following conventional rehabilitation treatments have already been identified by previous meta-analytic investigations. However, a clear definition of the neural correlates associated with robotic neurorehabilitation treatment has never been performed. This systematic review assesses the neurofunctional correlates (fMRI, fNIRS) of cutting-edge robotic therapies in enhancing motor recovery of stroke populations in accordance with PRISMA standards. A total of 7, of the initial yield of 150 articles, have been included in this review. Lessons from these studies suggest that neural plasticity within the ipsilateral primary motor cortex, the contralateral sensorimotor cortex, and the premotor cortices are more sensitive to compensation strategies reflecting upper and lower limbs' motor recovery despite the high heterogeneity in robotic devices, clinical status, and neuroimaging procedures. Unfortunately, the paucity of RCT studies prevents us from understanding the neurobiological differences induced by robotic devices with respect to traditional rehabilitation approaches. Despite this technology dating to the early 1990s, there is a need to translate more functional neuroimaging markers in clinical settings since they provide a unique opportunity to examine, in-depth, the brain plasticity changes induced by robotic rehabilitation.</t>
  </si>
  <si>
    <t>[Bonanno, Lilla; Cannuli, Antonio; Marino, Silvia; Quartarone, Angelo; Calabro, Rocco Salvatore] IRCCS Ctr Neurolesi Bonino Pulejo, I-98123 Messina, Italy; [Pignolo, Loris; Cerasa, Antonio] SAnna Inst, I-88900 Crotone, Italy; [Cerasa, Antonio] Natl Res Council Italy CNR, Inst Biomed Res &amp; Innovat IRIB, I-98164 Messina, Italy; [Cerasa, Antonio] Univ Calabria, Dept Pharm Hlth &amp; Nutr Sci, Translat Pharmacol, I-87036 Arcavacata Di Rende, Italy</t>
  </si>
  <si>
    <t>IRCCS Bonino Pulejo; Consiglio Nazionale delle Ricerche (CNR); Istituto Ricerca l'Innovazione Biomedica (IRIB-CNR); University of Calabria</t>
  </si>
  <si>
    <t>Calabrò, RS (corresponding author), IRCCS Ctr Neurolesi Bonino Pulejo, I-98123 Messina, Italy.;Cerasa, A (corresponding author), SAnna Inst, I-88900 Crotone, Italy.;Cerasa, A (corresponding author), Natl Res Council Italy CNR, Inst Biomed Res &amp; Innovat IRIB, I-98164 Messina, Italy.;Cerasa, A (corresponding author), Univ Calabria, Dept Pharm Hlth &amp; Nutr Sci, Translat Pharmacol, I-87036 Arcavacata Di Rende, Italy.</t>
  </si>
  <si>
    <t>lilla.bonanno@irccsme.it; antonio.cannuli@irccsme.it; l.pignolo@isakr.it; silvia.marino@irccsme.it; aquartar65@gmail.com; antonio.cerasa@irib.cnr.it; antonio.cerasa76@gmail.com</t>
  </si>
  <si>
    <t>calabro, rocco/L-9570-2019; marino, Silvia/AAC-2229-2022; Bonanno, Lilla/K-3937-2016; cerasa, antonio/E-8614-2011</t>
  </si>
  <si>
    <t>Bonanno, Lilla/0000-0002-0282-405X; pignolo, loris/0000-0001-9706-0779; Marino, Silvia/0000-0002-1088-6808; cerasa, antonio/0000-0002-8022-4770; calabro, rocco salvatore/0000-0002-8566-3166</t>
  </si>
  <si>
    <t>DOD [W81XWH-19-1-0810]</t>
  </si>
  <si>
    <t>DOD(United States Department of Defense)</t>
  </si>
  <si>
    <t>This work was supported by DOD N?W81XWH-19-1-0810 (AQ, MFG).</t>
  </si>
  <si>
    <t>10.3390/bioengineering10080990</t>
  </si>
  <si>
    <t>Q2YB9</t>
  </si>
  <si>
    <t>WOS:001056211600001</t>
  </si>
  <si>
    <t>Bottet, B; Piton, N; Selim, J; Sarsam, M; Guisier, F; Baste, JM</t>
  </si>
  <si>
    <t>Bottet, Benjamin; Piton, Nicolas; Selim, Jean; Sarsam, Matthieu; Guisier, Florian; Baste, Jean-Marc</t>
  </si>
  <si>
    <t>Beyond the Frontline: A Triple-Line Approach of Thoracic Surgeons in Lung Cancer Management-State of the Art</t>
  </si>
  <si>
    <t>lung cancer; lung surgery; minimally invasive surgery; sublobar resection; video-assisted thoracoscopic surgery; robotic-assisted thoracoscopic surgery; enhanced recovery after surgery; immunotherapy; targeted therapy</t>
  </si>
  <si>
    <t>NONSMALL CELL; PULMONARY RESECTION; OPEN-LABEL; OPEN LOBECTOMY; FOLLOW-UP; NODULES; NEOADJUVANT; THERAPY; COMPLICATIONS; LOCALIZATION</t>
  </si>
  <si>
    <t>Simple Summary Lung cancer is a heterogeneous disease, making it a complex and challenging condition to diagnose and treat effectively. However, recent advances have been made in surgery and perioperative management as well as in the emergence of new therapies (targeted therapy and immunotherapy). These novel treatment approaches have fundamentally altered the course of the disease, offering new hope and improved outcomes for patients. While surgery traditionally played a role mainly in the initial phases of lung cancer, its potential benefits are now being considered at various stages of the disease. The objective of this review is to provide a comprehensive description of the latest surgical approaches in lung cancer. We aim to highlight the importance of integrating these modalities within a patient-centered and personalized treatment pathway.Non-small cell lung cancer (NSCLC) is now described as an extremely heterogeneous disease in its clinical presentation, histology, molecular characteristics, and patient conditions. Over the past 20 years, the management of lung cancer has evolved with positive results. Immune checkpoint inhibitors have revolutionized the treatment landscape for NSCLC in both metastatic and locally advanced stages. The identification of molecular alterations in NSCLC has also allowed the development of targeted therapies, which provide better outcomes than chemotherapy in selected patients. However, patients usually develop acquired resistance to these treatments. On the other hand, thoracic surgery has progressed thanks to minimally invasive procedures, pre-habilitation and enhanced recovery after surgery. Moreover, within thoracic surgery, precision surgery considers the patient and his/her disease in their entirety to offer the best oncologic strategy. Surgeons support patients from pre-operative rehabilitation to surgery and beyond. They are involved in post-treatment follow-up and lung cancer recurrence. When conventional therapies are no longer effective, salvage surgery can be performed on selected patients.</t>
  </si>
  <si>
    <t>[Bottet, Benjamin; Sarsam, Matthieu; Baste, Jean-Marc] Hosp Ctr Univ Rouen, Dept Gen &amp; Thorac Surg, 1 Rue Germont, F-76000 Rouen, France; [Piton, Nicolas] Normandy Univ, Dept Pathol, UNIROUEN, INSERM U1245,CHU Roue, F-76000 Rouen, France; [Selim, Jean] CHU Rouen, Dept Anaesthesiol &amp; Crit Care, F-76000 Rouen, France; [Selim, Jean] Univ Rouen Normandy, INSERM EnVI UMR 1096, F-76000 Rouen, France; [Guisier, Florian] CHU Rouen, Dept Microbiol, 1 Rue Germont, F-76000 Rouen, France; [Guisier, Florian] Rouen Univ Hosp, Clin Invest Ctr, CIC INSERM 1404, 1 Rue Germont, F-76000 Rouen, France</t>
  </si>
  <si>
    <t>Institut National de la Sante et de la Recherche Medicale (Inserm); Universite de Rouen Normandie; Universite de Rouen Normandie; CHU de Rouen; Institut National de la Sante et de la Recherche Medicale (Inserm); Universite de Rouen Normandie; Universite de Rouen Normandie; CHU de Rouen; Institut National de la Sante et de la Recherche Medicale (Inserm); Universite de Rouen Normandie; CHU de Rouen</t>
  </si>
  <si>
    <t>Baste, JM (corresponding author), Hosp Ctr Univ Rouen, Dept Gen &amp; Thorac Surg, 1 Rue Germont, F-76000 Rouen, France.</t>
  </si>
  <si>
    <t>benjamin.bottet@chu-rouen.fr; nicolas.piton@chu-rouen.fr; jean.selim@chu-rouen.fr; matthieu.sarsam@chu-rouen.fr; florian.guisier@chu-rouen.fr; jean-marc.baste@chu-rouen.fr</t>
  </si>
  <si>
    <t>Sarsam, Matthieu/LZH-3583-2025</t>
  </si>
  <si>
    <t>Guisier, Florian/0000-0002-8166-7303; Piton, Nicolas/0000-0001-8779-586X; Baste, jean-marc/0000-0002-1739-4523; BOTTET, Benjamin/0000-0001-7749-1707</t>
  </si>
  <si>
    <t>The authors are grateful to Nikki Sabourin-Gibbs, CHU Rouen, for her help in editing the manuscript.</t>
  </si>
  <si>
    <t>10.3390/cancers15164039</t>
  </si>
  <si>
    <t>Q2VB8</t>
  </si>
  <si>
    <t>WOS:001056132500001</t>
  </si>
  <si>
    <t>Cunha, B; Ferreira, R; Sousa, ASP</t>
  </si>
  <si>
    <t>Cunha, Bruno; Ferreira, Ricardo; Sousa, Andreia S. P.</t>
  </si>
  <si>
    <t>Home-Based Rehabilitation of the Shoulder Using Auxiliary Systems and Artificial Intelligence: An Overview</t>
  </si>
  <si>
    <t>home-based rehabilitation; wearables; robots; exoskeletons; machine learning; virtual reality; augmented reality; serious games</t>
  </si>
  <si>
    <t>SUBACROMIAL IMPINGEMENT SYNDROME; UPPER-LIMB; STROKE; EXOSKELETON; DESIGN; TECHNOLOGIES; INJURIES; IMPACT</t>
  </si>
  <si>
    <t>Advancements in modern medicine have bolstered the usage of home-based rehabilitation services for patients, particularly those recovering from diseases or conditions that necessitate a structured rehabilitation process. Understanding the technological factors that can influence the efficacy of home-based rehabilitation is crucial for optimizing patient outcomes. As technologies continue to evolve rapidly, it is imperative to document the current state of the art and elucidate the key features of the hardware and software employed in these rehabilitation systems. This narrative review aims to provide a summary of the modern technological trends and advancements in home-based shoulder rehabilitation scenarios. It specifically focuses on wearable devices, robots, exoskeletons, machine learning, virtual and augmented reality, and serious games. Through an in-depth analysis of existing literature and research, this review presents the state of the art in home-based rehabilitation systems, highlighting their strengths and limitations. Furthermore, this review proposes hypotheses and potential directions for future upgrades and enhancements in these technologies. By exploring the integration of these technologies into home-based rehabilitation, this review aims to shed light on the current landscape and offer insights into the future possibilities for improving patient outcomes and optimizing the effectiveness of home-based rehabilitation programs.</t>
  </si>
  <si>
    <t>[Cunha, Bruno; Sousa, Andreia S. P.] Polytech Porto, Sch Hlth, Dept Physiotherapy, Ctr Rehabil Res Human Movement Syst Rehabilitat Ar, Rua Dr Antonio Bernardino Almeida 400, P-4200072 Porto, Portugal; [Ferreira, Ricardo] Univ Porto, Inst Syst &amp; Comp Engn, Technol &amp; Sci Telecommun &amp; Multimedia Ctr, FEUP, Rua Dr Roberto Frias, P-4200465 Porto, Portugal</t>
  </si>
  <si>
    <t>Instituto Politecnico do Porto; INESC TEC; Universidade do Porto</t>
  </si>
  <si>
    <t>Cunha, B (corresponding author), Polytech Porto, Sch Hlth, Dept Physiotherapy, Ctr Rehabil Res Human Movement Syst Rehabilitat Ar, Rua Dr Antonio Bernardino Almeida 400, P-4200072 Porto, Portugal.</t>
  </si>
  <si>
    <t>bmac@ess.ipp.pt; ricardomsf1999@outlook.pt; andreia.asps@gmail.com</t>
  </si>
  <si>
    <t>Cunha, Bruno/T-8432-2019; Ferreira, Ricardo/IVU-8552-2023; Pinheiro de Sousa, Andreia Sofia/C-7138-2019</t>
  </si>
  <si>
    <t>Pinheiro de Sousa, Andreia Sofia/0000-0001-9528-1463; Ferreira, Ricardo/0000-0003-0494-6752; Cunha, Bruno/0000-0002-8661-3080</t>
  </si>
  <si>
    <t>Fundacao para a Ciencia e Tecnologia (FCT) [UIDB/05210/2020]; Fundo Europeu de Desenvolvimento Regional (FEDER) [NORTE-01-0145-FEDER-000045]</t>
  </si>
  <si>
    <t>Fundacao para a Ciencia e Tecnologia (FCT)(Fundacao para a Ciencia e a Tecnologia (FCT)); Fundo Europeu de Desenvolvimento Regional (FEDER)(European Union (EU))</t>
  </si>
  <si>
    <t>This research was supported by the Fundacao para a Ciencia e Tecnologia (FCT) through R &amp; amp;D Units funding [UIDB/05210/2020] and Fundo Europeu de Desenvolvimento Regional (FEDER) through the Programa Operacional Regional do Norte e Programa Operacional Regional de Lisboa 2020 [NORTE-01-0145-FEDER-000045].</t>
  </si>
  <si>
    <t>10.3390/s23167100</t>
  </si>
  <si>
    <t>Q4LX6</t>
  </si>
  <si>
    <t>WOS:001057261800001</t>
  </si>
  <si>
    <t>Fu, JL; Rota, A; Li, SF; Zhao, JZ; Liu, QS; Iovene, E; Ferrigno, G; De Momi, E</t>
  </si>
  <si>
    <t>Fu, Junling; Rota, Alberto; Li, Shufei; Zhao, Jianzhuang; Liu, Qingsheng; Iovene, Elisa; Ferrigno, Giancarlo; De Momi, Elena</t>
  </si>
  <si>
    <t>Recent Advancements in Augmented Reality for Robotic Applications: A Survey</t>
  </si>
  <si>
    <t>augmented reality; medical robot; robot-assisted surgery; industrial robot; human-robot interaction and collaboration</t>
  </si>
  <si>
    <t>HEAD-MOUNTED DISPLAY; FEEDBACK; SYSTEM; PERCEPTION; SIMULATION; FRAMEWORK; ACCURACY</t>
  </si>
  <si>
    <t>Robots are expanding from industrial applications to daily life, in areas such as medical robotics, rehabilitative robotics, social robotics, and mobile/aerial robotics systems. In recent years, augmented reality (AR) has been integrated into many robotic applications, including medical, industrial, human-robot interactions, and collaboration scenarios. In this work, AR for both medical and industrial robot applications is reviewed and summarized. For medical robot applications, we investigated the integration of AR in (1) preoperative and surgical task planning; (2) image-guided robotic surgery; (3) surgical training and simulation; and (4) telesurgery. AR for industrial scenarios is reviewed in (1) human-robot interactions and collaborations; (2) path planning and task allocation; (3) training and simulation; and (4) teleoperation control/assistance. In addition, the limitations and challenges are discussed. Overall, this article serves as a valuable resource for working in the field of AR and robotic research, offering insights into the recent state of the art and prospects for improvement.</t>
  </si>
  <si>
    <t>[Fu, Junling; Rota, Alberto; Zhao, Jianzhuang; Liu, Qingsheng; Iovene, Elisa; Ferrigno, Giancarlo; De Momi, Elena] Politecn Milan, Dept Elect Informat &amp; Bioengn, I-20133 Milan, Italy; [Rota, Alberto] Asensus Surg Inc, Durham, NC 27703 USA; [Li, Shufei] Hong Kong Polytech Univ, Dept Ind &amp; Syst Engn, Hong Kong, Peoples R China; [Liu, Qingsheng] Ocean Univ China, Coll Informat Sci &amp; Engn, Qingdao 266100, Peoples R China</t>
  </si>
  <si>
    <t>Polytechnic University of Milan; Hong Kong Polytechnic University; Ocean University of China</t>
  </si>
  <si>
    <t>Fu, JL; De Momi, E (corresponding author), Politecn Milan, Dept Elect Informat &amp; Bioengn, I-20133 Milan, Italy.</t>
  </si>
  <si>
    <t>junling.fu@polimi.it; alberto1.rota@polimi.it; shufei.li@connect.polyu.hk; jianzhuang.zhao@polimi.it; liuqingsheng@stu.ouc.edu.cn; elisa.iovene@polimi.it; giancarlo.ferrigno@polimi.it; elena.demomi@polimi.it</t>
  </si>
  <si>
    <t>Ferrigno, Giancarlo/JBJ-7692-2023; Li, Shufei/GZB-2215-2022; Ferrigno, Giancarlo/O-5833-2015; DE MOMI, ELENA/D-7375-2016</t>
  </si>
  <si>
    <t>Li, Shufei/0000-0002-5684-6756; Ferrigno, Giancarlo/0000-0001-5913-9451; DE MOMI, ELENA/0000-0002-8819-2734; Rota, Alberto/0000-0001-9609-6294</t>
  </si>
  <si>
    <t>10.3390/act12080323</t>
  </si>
  <si>
    <t>Q3CG5</t>
  </si>
  <si>
    <t>WOS:001056320400001</t>
  </si>
  <si>
    <t>Hwang, S; Song, CS</t>
  </si>
  <si>
    <t>Hwang, Sujin; Song, Chiang-Soon</t>
  </si>
  <si>
    <t>Assistive Technology Involving Postural Control and Gait Performance for Adults with Stroke: A Systematic Review and Meta-Analysis</t>
  </si>
  <si>
    <t>assistance; cerebrovascular accident; device; postural balance; rehabilitation; walking</t>
  </si>
  <si>
    <t>ANKLE-FOOT ORTHOSIS; SUBACUTE STROKE; ROBOT; REHABILITATION; WALKING; DEVICE; MOBILITY; BALANCE; INDIVIDUALS; STIMULATION</t>
  </si>
  <si>
    <t>This study aimed to comprehensively summarize assistive technology devices for postural control and gait performance in stroke patients. In the study, we searched for randomized controlled trials (RCTs) published until 31 December 2022 in four electrical databases. The most frequently applied assistive technology devices involving postural stability and gait function for stroke patients were robot-assistive technology devices. Out of 1065 initially retrieved citations that met the inclusion criteria, 30 RCTs (12 studies for subacute patients and 18 studies for chronic patients) were included in this review based on eligibility criteria. The meta-analysis included ten RCTs (five studies for subacute patients and five for chronic patients) based on the inclusion criteria of the data analysis. After analyzing, the variables, only two parameters, the Berg balance scale (BBS) and the functional ambulation category (FAC), which had relevant data from at least three studies measuring postural control and gait function, were selected for the meta-analysis. The meta-analysis revealed significant differences in the experimental group compared to the control group for BBS in both subacute and chronic stroke patients and for the FAC in chronic stroke patients. Robot-assistive training was found to be superior to regular therapy in improving postural stability for subacute and chronic stroke patients but not gait function. This review suggests that robot-assistive technology devices should be considered in rehabilitative approaches for postural stability and gait function for subacute and chronic stroke patients.</t>
  </si>
  <si>
    <t>[Hwang, Sujin] Baekseok Univ, Dept Phys Therapy, Div Hlth Sci, Cheonan 31065, South Korea; [Hwang, Sujin] Baekseok Univ, Grad Sch Hlth Welf, Seoul 06695, South Korea; [Song, Chiang-Soon] Chosun Univ, Coll Nat Sci &amp; Publ Hlth &amp; Safety, Dept Occupat Therapy, Gwangju 61452, South Korea</t>
  </si>
  <si>
    <t>Baekseok University; Baekseok University; Chosun University</t>
  </si>
  <si>
    <t>Song, CS (corresponding author), Chosun Univ, Coll Nat Sci &amp; Publ Hlth &amp; Safety, Dept Occupat Therapy, Gwangju 61452, South Korea.</t>
  </si>
  <si>
    <t>ptsue@bu.ac.kr; grsong@chosun.ac.kr</t>
  </si>
  <si>
    <t>Hwang, Sujin/A-6741-2016</t>
  </si>
  <si>
    <t>Hwang, Sujin/0000-0001-8471-0103</t>
  </si>
  <si>
    <t>10.3390/healthcare11152225</t>
  </si>
  <si>
    <t>O8HP9</t>
  </si>
  <si>
    <t>WOS:001046167200001</t>
  </si>
  <si>
    <t>Shiraishi, K</t>
  </si>
  <si>
    <t>Shiraishi, Koji</t>
  </si>
  <si>
    <t>Evaluation of sexual function after robot-assisted radical prostatectomy: A farewell to IIEF questionnaire</t>
  </si>
  <si>
    <t>INTERNATIONAL JOURNAL OF UROLOGY</t>
  </si>
  <si>
    <t>prostate cancer; robot-assisted radical prostatectomy; sexual dysfunction</t>
  </si>
  <si>
    <t>QUALITY-OF-LIFE; TESTOSTERONE REPLACEMENT THERAPY; ERECTILE FUNCTION RECOVERY; ORGASMIC DYSFUNCTION; URINARY-INCONTINENCE; PEYRONIES-DISEASE; PENILE LENGTH; INTERNATIONAL INDEX; HEALTH-CARE; CANCER</t>
  </si>
  <si>
    <t>Longevity with localized prostate cancer (PCa) has been achieved, and the contribution of robot-assisted radical prostatectomy (RARP) to cancer control is evident. The next step to investigate in the treatment of localized PCa is improvement of the quality of life (QOL) after RARP. Erectile dysfunction has been considered a major surgical complication, and patient satisfaction after RARP has not improved despite the development of nerve preservation and penile rehabilitation. To comprehensively understand sexual dysfunction after RARP, we must investigate other complications with regard to sexual health, including low sexual desire, disturbed orgasmic function (i.e., anejaculation, orgasm intensity, painful orgasm, and climacturia), shortening of penile length, penile curvature (Peyronie's disease) and unique psychological alterations after the diagnosis of PCa, which are neglected side effects after prostatectomy. In this context, routine evaluation of erectile function by the International Index of Erectile Function only is not sufficient to understand patients' difficulties. A questionnaire is just one way of enabling patients to evaluate their pre- and postoperative concerns; listening to patients face-to-face is warranted to detect symptoms. Understanding the relationship between symptoms and preserved nerve localization can ultimately provide an individualized nerve-sparing procedure and improve patient satisfaction after RARP. In combination with psychological counseling, including the partner and medical treatment, such as testosterone replacement, it is time to reconsider ways to improve sexual dysfunction after RARP.</t>
  </si>
  <si>
    <t>[Shiraishi, Koji] Yamaguchi Univ, Sch Med, Dept Urol, Yamaguchi, Japan; [Shiraishi, Koji] Yamaguchi Univ, Sch Med, Dept Urol, 111 Minami Kogushi, Ube, Yamaguchi 7558505, Japan</t>
  </si>
  <si>
    <t>Yamaguchi University; Yamaguchi University</t>
  </si>
  <si>
    <t>Shiraishi, K (corresponding author), Yamaguchi Univ, Sch Med, Dept Urol, 111 Minami Kogushi, Ube, Yamaguchi 7558505, Japan.</t>
  </si>
  <si>
    <t>shirak@yamaguchi-u.ac.jp</t>
  </si>
  <si>
    <t>0919-8172</t>
  </si>
  <si>
    <t>1442-2042</t>
  </si>
  <si>
    <t>INT J UROL</t>
  </si>
  <si>
    <t>Int. J. Urol.</t>
  </si>
  <si>
    <t>10.1111/iju.15264</t>
  </si>
  <si>
    <t>LV7H4</t>
  </si>
  <si>
    <t>WOS:001040527300001</t>
  </si>
  <si>
    <t>Stroppa, F; Soylemez, A; Yuksel, HT; Akbas, B; Sarac, M</t>
  </si>
  <si>
    <t>Stroppa, Fabio; Soylemez, Aleyna; Yuksel, Huseyin Taner; Akbas, Baris; Sarac, Mine</t>
  </si>
  <si>
    <t>Optimizing Exoskeleton Design with Evolutionary Computation: An Intensive Survey</t>
  </si>
  <si>
    <t>exoskeleton; design; optimization; evolutionary algorithms; mechanical design; robotics</t>
  </si>
  <si>
    <t>MULTIMODAL OPTIMIZATION; DIFFERENTIAL EVOLUTION; NEURO-REHABILITATION; ALGORITHM; TRANSMISSION; ACTUATOR; TASK</t>
  </si>
  <si>
    <t>Exoskeleton devices are designed for applications such as rehabilitation, assistance, and haptics. Due to the nature of physical human-machine interaction, designing and operating these devices is quite challenging. Optimization methods lessen the severity of these challenges and help designers develop the device they need. In this paper, we present an extensive and systematic literature search on the optimization methods used for the mechanical design of exoskeletons. We completed the search in the IEEE, ACM, and MDPI databases between 2017 and 2023 using the keywords exoskeleton, design, and optimization. We categorized our findings in terms of which limb (i.e., hand, wrist, arm, or leg) and application (assistive, rehabilitation, or haptic) the exoskeleton was designed for, the optimization metrics (force transmission, workspace, size, and adjustability/calibration), and the optimization method (categorized as evolutionary computation or non-evolutionary computation methods). We discuss our observations with respect to how the optimization methods have been implemented based on our findings. We conclude our paper with suggestions for future research.</t>
  </si>
  <si>
    <t>[Stroppa, Fabio; Soylemez, Aleyna; Yuksel, Huseyin Taner; Akbas, Baris] Kadir Has Univ, Dept Comp Engn, TR-34083 Istanbul, Turkiye; [Sarac, Mine] Kadir Has Univ, Dept Mechatron Engn, TR-34083 Istanbul, Turkiye</t>
  </si>
  <si>
    <t>Kadir Has University; Kadir Has University</t>
  </si>
  <si>
    <t>Stroppa, F (corresponding author), Kadir Has Univ, Dept Comp Engn, TR-34083 Istanbul, Turkiye.</t>
  </si>
  <si>
    <t>fabio.stroppa@khas.edu.tr; aleyna.soylemez@stu.khas.edu.tr; huseyintaner.yuksel@stu.khas.edu.tr; akbassbars99@stu.khas.edu.tr; mine.sarac@khas.edu.tr</t>
  </si>
  <si>
    <t>Sarac, Mine/NMK-2147-2025; Stroppa, Fabio/U-4635-2019</t>
  </si>
  <si>
    <t>Stroppa, Fabio/0000-0003-2644-2029; Sarac, Mine/0000-0002-2814-7587</t>
  </si>
  <si>
    <t>10.3390/robotics12040106</t>
  </si>
  <si>
    <t>Q4SQ9</t>
  </si>
  <si>
    <t>WOS:001057439400001</t>
  </si>
  <si>
    <t>Taghian, A; Abo-Zahhad, M; Sayed, MS; Abd El-Malek, AH</t>
  </si>
  <si>
    <t>Taghian, Aya; Abo-Zahhad, Mohammed; Sayed, Mohammed S.; Abd El-Malek, Ahmed H.</t>
  </si>
  <si>
    <t>Virtual and augmented reality in biomedical engineering</t>
  </si>
  <si>
    <t>Augmented reality; Biomedical context; AR surgery; AR in education; Virtual reality</t>
  </si>
  <si>
    <t>SURGICAL NAVIGATION; BLOCKCHAIN; PAIN</t>
  </si>
  <si>
    <t>BackgroundIn the future, extended reality technology will be widely used. People will be led to utilize virtual reality (VR) and augmented reality (AR) technologies in their daily lives, hobbies, numerous types of entertainment, and employment. Medical augmented reality has evolved with applications ranging from medical education to picture-guided surgery. Moreover, a bulk of research is focused on clinical applications, with the majority of research devoted to surgery or intervention, followed by rehabilitation and treatment applications. Numerous studies have also looked into the use of augmented reality in medical education and training.MethodsUsing the databases Semantic Scholar, Web of Science, Scopus, IEEE Xplore, and ScienceDirect, a scoping review was conducted in accordance with the Preferred Reporting Items for Systematic Reviews and Meta-Analyses (PRISMA) criteria. To find other articles, a manual search was also carried out in Google Scholar. This study presents studies carried out over the previous 14 years (from 2009 to 2023) in detail. We classify this area of study into the following categories: (1) AR and VR in surgery, which is presented in the following subsections: subsection A: MR in neurosurgery; subsection B: spine surgery; subsection C: oral and maxillofacial surgery; and subsection D: AR-enhanced human-robot interaction; (2) AR and VR in medical education presented in the following subsections; subsection A: medical training; subsection B: schools and curriculum; subsection C: XR in Biomedicine; (3) AR and VR for rehabilitation presented in the following subsections; subsection A: stroke rehabilitation during COVID-19; subsection B: cancer and VR, and (4) Millimeter-wave and MIMO systems for AR and VR.ResultsIn total, 77 publications were selected based on the inclusion criteria. Four distinct AR and/or VR applications groups could be differentiated: AR and VR in surgery (N = 21), VR and AR in Medical Education (N = 30), AR and VR for Rehabilitation (N = 15), and Millimeter-Wave and MIMO Systems for AR and VR (N = 7), where N is number of cited studies. We found that the majority of research is devoted to medical training and education, with surgical or interventional applications coming in second. The research is mostly focused on rehabilitation, therapy, and clinical applications. Moreover, the application of XR in MIMO has been the subject of numerous research.ConclusionExamples of these diverse fields of applications are displayed in this review as follows: (1) augmented reality and virtual reality in surgery; (2) augmented reality and virtual reality in medical education; (3) augmented reality and virtual reality for rehabilitation; and (4) millimeter-wave and MIMO systems for augmented reality and virtual reality.</t>
  </si>
  <si>
    <t>[Taghian, Aya; Abo-Zahhad, Mohammed; Sayed, Mohammed S.; Abd El-Malek, Ahmed H.] Egypt Japan Univ Sci &amp; Technol, Dept Elect &amp; Commun Engn, New Borg El Arab City, Alexandria, Egypt; [Abo-Zahhad, Mohammed] Assiut Univ, Dept Elect Engn, Assiut, Egypt; [Sayed, Mohammed S.] Zagazig Univ, Dept Elect &amp; Commun Engn, Zagazig, Egypt</t>
  </si>
  <si>
    <t>Egyptian Knowledge Bank (EKB); Egypt-Japan University of Science &amp; Technology; Egyptian Knowledge Bank (EKB); Assiut University; Egyptian Knowledge Bank (EKB); Zagazig University</t>
  </si>
  <si>
    <t>Taghian, A (corresponding author), Egypt Japan Univ Sci &amp; Technol, Dept Elect &amp; Commun Engn, New Borg El Arab City, Alexandria, Egypt.</t>
  </si>
  <si>
    <t>aya.taghian@ejust.edu.eg</t>
  </si>
  <si>
    <t>Abo-Zahhad, Mohammed/S-8015-2019; Abd El-Malek, Ahmed/AAV-5744-2020</t>
  </si>
  <si>
    <t>Science, Technology, and Innovation Funding Authority (STDF) [38285]</t>
  </si>
  <si>
    <t>Science, Technology, and Innovation Funding Authority (STDF)(Science and Technology Development Fund (STDF))</t>
  </si>
  <si>
    <t>AcknowledgementsThe authors would like to acknowledge the support of the Science, Technology, and Innovation Funding Authority (STDF) for its financial and technical support of project 38285.</t>
  </si>
  <si>
    <t>JUL 31</t>
  </si>
  <si>
    <t>10.1186/s12938-023-01138-3</t>
  </si>
  <si>
    <t>O0QJ9</t>
  </si>
  <si>
    <t>WOS:001040951400001</t>
  </si>
  <si>
    <t>Dong, YR; Wang, SR; Huang, Q; Berg, RW; Li, GH; He, JP</t>
  </si>
  <si>
    <t>Dong, Yuanrui; Wang, Shirong; Huang, Qiang; Berg, Rune W.; Li, Guanghui; He, Jiping</t>
  </si>
  <si>
    <t>Neural Decoding for Intracortical Brain-Computer Interfaces</t>
  </si>
  <si>
    <t>OPPORTUNITIES; TETRAPLEGIA; CORTEX; GRASP; REACH</t>
  </si>
  <si>
    <t>Brain-computer interfaces have revolutionized the field of neuroscience by providing a solution for paralyzed patients to control external devices and improve the quality of daily life. To accurately and stably control effectors, it is important for decoders to recognize an individual's motor intention from neural activity either by noninvasive or intracortical neural recording. Intracortical recording is an invasive way of measuring neural electrical activity with high temporal and spatial resolution. Herein, we review recent developments in neural signal decoding methods for intracortical brain-computer interfaces. These methods have achieved good performance in analyzing neural activity and controlling robots and prostheses in nonhuman primates and humans. For more complex paradigms in motor rehabilitation or other clinical applications, there remains more space for further improvements of decoders.</t>
  </si>
  <si>
    <t>[Dong, Yuanrui; Wang, Shirong; Huang, Qiang; He, Jiping] Beijing Inst Technol, Sch Mechatron Engn, Beijing 100081, Peoples R China; [Dong, Yuanrui; Wang, Shirong; Huang, Qiang; He, Jiping] Beijing Inst Technol, Beijing Adv Innovat Ctr Intelligent Robots, Beijing 100081, Peoples R China; [Berg, Rune W.; Li, Guanghui] Univ Copenhagen, Dept Neurosci, DK-2200 Copenhagen, Denmark</t>
  </si>
  <si>
    <t>Beijing Institute of Technology; Beijing Institute of Technology; University of Copenhagen</t>
  </si>
  <si>
    <t>He, JP (corresponding author), Beijing Inst Technol, Sch Mechatron Engn, Beijing 100081, Peoples R China.;He, JP (corresponding author), Beijing Inst Technol, Beijing Adv Innovat Ctr Intelligent Robots, Beijing 100081, Peoples R China.</t>
  </si>
  <si>
    <t>jiping.he@bit.edu.cn</t>
  </si>
  <si>
    <t>Berg, Rune/X-7293-2019; Huang, Qiang/ISV-2813-2023</t>
  </si>
  <si>
    <t>Dong, Yuanrui/0000-0002-3950-7381</t>
  </si>
  <si>
    <t>National Key Ramp;D Program of China [2017YFA0701102]; Beijing Nature Science Fund [5192013]; Lundbeck Foundation [R366-2021-233]</t>
  </si>
  <si>
    <t>National Key Ramp;D Program of China; Beijing Nature Science Fund; Lundbeck Foundation(Lundbeckfonden)</t>
  </si>
  <si>
    <t>Acknowledgments Funding : This work has been supported by the National Key R &amp; D Program of China (Grant Nos. 2017YFA0701102) , Beijing Nature Science Fund (Grant No. 5192013) , and the Lundbeck Foundation (Grant No. R366-2021-233) . Competing interests : The authors declare that there is no conflict of interest regarding the publication of this article.</t>
  </si>
  <si>
    <t>JUL 28</t>
  </si>
  <si>
    <t>10.34133/cbsystems.0044</t>
  </si>
  <si>
    <t>P0TK8</t>
  </si>
  <si>
    <t>WOS:001047849200001</t>
  </si>
  <si>
    <t>Tang, CY; Xu, ZY; Occhipinti, E; Yi, WT; Xu, MZ; Kumar, S; Virk, GS; Gao, S; Occhipinti, LG</t>
  </si>
  <si>
    <t>Tang, Chenyu; Xu, Zhenyu; Occhipinti, Edoardo; Yi, Wentian; Xu, Muzi; Kumar, Sanjeev; Virk, Gurvinder S.; Gao, Shuo; Occhipinti, Luigi G.</t>
  </si>
  <si>
    <t>From brain to movement: Wearables-based motion intention prediction across the human nervous system</t>
  </si>
  <si>
    <t>NANO ENERGY</t>
  </si>
  <si>
    <t>Motion intention prediction (MIP); Wearable sensors; Brain-computer interface (BCI); Electromyography (EMG); Explainable AI; Multimodal motion analysis</t>
  </si>
  <si>
    <t>HUMAN-MACHINE INTERFACE; OF-THE-ART; PROSTHESIS CONTROL; SURFACE EMG; RECOGNITION; ELECTRODES; NETWORK; MODEL</t>
  </si>
  <si>
    <t>Fueled by the recent proliferation of energy-efficient and energy-autonomous or self-powered nanotechnologybased wearable smart systems, human motion intention prediction (MIP) plays a critical role in a wide range of applications, such as rehabilitation and assistive robotics, to enable more natural, biologically inspired, and seamless integrated motion assistance task execution, including for elders and physically impaired patients. With the increasing complexity of human-machine interactions and the need for personalized assistance, there is a growing demand for real-time and accurate MIP systems. This review aims to provide a comprehensive understanding of the interdisciplinary field of MIP, under the logic of its physiological foundations, by discussing state-of-the-art sensing technologies, including brain-computer interfaces (BCI), electromyography (EMG), and motion sensors, alongside the relevant data processing techniques and decoding algorithms. We emphasize the importance of fostering collaboration among scholars from different domains to capture the intricate dependencies between the set of stimuli and responses of the central nervous system and the activation of the complex set of muscles and joints that produce human motion. By offering insights into the recent advancements and future prospects of the field, this review seeks to stimulate further research and innovation in the rapidly evolving area of human motion intention prediction, for a future where technologies understand and respond to complex human intentions patterns, anticipating their needs.</t>
  </si>
  <si>
    <t>[Tang, Chenyu; Yi, Wentian; Xu, Muzi; Occhipinti, Luigi G.] Univ Cambridge, Dept Engn, 9 JJ Thomson Ave, Cambridge CB3 0FA, England; [Xu, Zhenyu; Gao, Shuo] Beihang Univ, Sch Instrumentat Sci &amp; Optoelect Engn, Beijing, Peoples R China; [Occhipinti, Edoardo] Imperial Coll London, UKRI Ctr Doctoral Training AI Healthcare, Dept Comp, London, England; [Kumar, Sanjeev; Virk, Gurvinder S.] Endoenergy Syst, Cambridge, England; [Kumar, Sanjeev; Virk, Gurvinder S.] Endoenergy Syst, Ajitgarh, India</t>
  </si>
  <si>
    <t>University of Cambridge; Beihang University; Imperial College London</t>
  </si>
  <si>
    <t>Occhipinti, LG (corresponding author), Univ Cambridge, Dept Engn, 9 JJ Thomson Ave, Cambridge CB3 0FA, England.;Gao, S (corresponding author), Beihang Univ, Sch Instrumentat Sci &amp; Optoelect Engn, Beijing, Peoples R China.</t>
  </si>
  <si>
    <t>shuo_gao@buaa.edu.cn; lgo23@cam.ac.uk</t>
  </si>
  <si>
    <t>Verma, Sanjeev/ABH-8047-2020; Yi, Wentian/NIU-7758-2025; Occhipinti, Luigi/C-4850-2015; Tang, Chenyu/HNC-5558-2023</t>
  </si>
  <si>
    <t>Xu, Muzi/0000-0001-6381-9863; Occhipinti, Edoardo/0000-0003-4691-9007; Tang, Chenyu/0000-0002-6368-5639; Virk, Gurvinder Singh/0000-0002-3036-6391; Occhipinti, Luigi/0000-0002-9067-2534</t>
  </si>
  <si>
    <t>Endoenergy Systems Ltd [EP/S023283/1]; UKRI Centre for Doctoral Training in AI for Healthcare; [G119004]</t>
  </si>
  <si>
    <t>Endoenergy Systems Ltd; UKRI Centre for Doctoral Training in AI for Healthcare;</t>
  </si>
  <si>
    <t>The authors CT and LGO acknowledge funding from Endoenergy Systems Ltd grant number G119004. E.O. was supported by UKRI Centre for Doctoral Training in AI for Healthcare grant number EP/S023283/1.</t>
  </si>
  <si>
    <t>2211-2855</t>
  </si>
  <si>
    <t>2211-3282</t>
  </si>
  <si>
    <t>Nano Energy</t>
  </si>
  <si>
    <t>10.1016/j.nanoen.2023.108712</t>
  </si>
  <si>
    <t>Chemistry, Physical; Nanoscience &amp; Nanotechnology; Materials Science, Multidisciplinary; Physics, Applied</t>
  </si>
  <si>
    <t>Q5ZU4</t>
  </si>
  <si>
    <t>WOS:001058311300001</t>
  </si>
  <si>
    <t>Doss, ASA; Lingampally, PK; Nguyen, GMT; Schilberg, D</t>
  </si>
  <si>
    <t>Doss, Arockia Selvakumar Arockia; Lingampally, Pavan Kalyan; Nguyen, Gia Minh Thao; Schilberg, Daniel</t>
  </si>
  <si>
    <t>A comprehensive review of wearable assistive robotic devices used for head and neck rehabilitation</t>
  </si>
  <si>
    <t>RESULTS IN ENGINEERING</t>
  </si>
  <si>
    <t>Wearable assistive devices; Head; neck rehabilitation; Mechatronic exoskeletons; Parallel mechanism; Robotics</t>
  </si>
  <si>
    <t>RIGID CERVICAL COLLARS; MUSCULOSKELETAL DISORDERS; MILWAUKEE BRACE; HALO VEST; MOTION; RANGE; SPINE; KINEMATICS; SUPPORT; SOFT</t>
  </si>
  <si>
    <t>Numerous risk factors for musculoskeletal pain have been identified in the survey, including physical risk factors such as high-intensity exercises, trauma, ageing, dizziness, accidents and damages owing to wear and tear of daily activities. These physical risk factors effect cervical spine, cause dysfunction, reduce the range of motion and coordination ability, and also affect their activities of daily living (ADL). The present scenario for treating individuals suffering from neck pain is through the use of static braces which helps keeping the patient head steady from dropping. However, the use of static braces can help stopping the head drop but the head is immobilized and restricted to a single configuration, which inevitably leads to the muscle strain. This motivated researchers and engineers to develop mechatronics based wearable assistive devices at low and affordable cost to effectively aid, mimic and restore the natural active range of motions. Research on dynamic neck braces for restoration of head/neck movements for individuals suffering with neck muscle weakness is limited, due to minimal space availability to incorporate a mechanism between head and shoulder. The main objective of this study is to carry out an extensive and detailed survey on the existing conventional and wearable assistive devices that aid the individuals to assist in achieving their head/neck motions, recent trends in assistive devices, incorporation of various sensors, actuators, and control techniques for achieving optimal head/neck range of motion.</t>
  </si>
  <si>
    <t>[Doss, Arockia Selvakumar Arockia] Vellore Inst Technol, Sch Mech Engn, Chennai 600127, Tamil Nadu, India; [Lingampally, Pavan Kalyan] SASTRA Deemed Univ Thanjavur, Sch Mech Engn, Thanjavur 613401, Tamil Nadu, India; [Nguyen, Gia Minh Thao] Toyota Technol Inst, Grad Sch Engn, Nagoya 4688511, Japan; [Schilberg, Daniel] Bochum Univ Appl Sci, Dept Mechatron &amp; Mech Engn, D-44801 Bochum, Germany</t>
  </si>
  <si>
    <t>Vellore Institute of Technology (VIT); VIT Chennai; Shanmugha Arts, Science, Technology &amp; Research Academy (SASTRA); Toyota Technological Institute; Hochschule Bochum</t>
  </si>
  <si>
    <t>Doss, ASA (corresponding author), Vellore Inst Technol, Sch Mech Engn, Chennai 600127, Tamil Nadu, India.;Nguyen, GMT (corresponding author), Toyota Technol Inst, Grad Sch Engn, Nagoya 4688511, Japan.</t>
  </si>
  <si>
    <t>arockia.selvakumar@vit.ac.in; nguyen.thao@toyota-ti.ac.jp</t>
  </si>
  <si>
    <t>Lingampally, Dr Pavan Kalyan/HNS-6702-2023; Arockia Doss, Arockia Selvakumar/M-2457-2017; Schilberg, Daniel/ABT-4736-2022</t>
  </si>
  <si>
    <t>NGUYEN, Gia Minh Thao/0000-0002-5098-5237; Lingampally, Dr. Pavan Kalyan/0000-0001-6679-1958</t>
  </si>
  <si>
    <t>Vellore Institute of Technology - Chennai, Tamil Nadu, India; JSPS KAKENHI, Japan [21K14182]; Grants-in-Aid for Scientific Research [21K14182] Funding Source: KAKEN</t>
  </si>
  <si>
    <t>Vellore Institute of Technology - Chennai, Tamil Nadu, India; JSPS KAKENHI, Japan(Ministry of Education, Culture, Sports, Science and Technology, Japan (MEXT)Japan Society for the Promotion of ScienceGrants-in-Aid for Scientific Research (KAKENHI)); Grants-in-Aid for Scientific Research(Ministry of Education, Culture, Sports, Science and Technology, Japan (MEXT)Japan Society for the Promotion of ScienceGrants-in-Aid for Scientific Research (KAKENHI))</t>
  </si>
  <si>
    <t>This work was supported by Vellore Institute of Technology - Chennai, Tamil Nadu, India to develop a wearable assistive device under SEED fund grant 2019-2020, and JSPS KAKENHI Grant Number 21K14182, Japan.</t>
  </si>
  <si>
    <t>2590-1230</t>
  </si>
  <si>
    <t>RESULTS ENG</t>
  </si>
  <si>
    <t>Results Eng.</t>
  </si>
  <si>
    <t>10.1016/j.rineng.2023.101306</t>
  </si>
  <si>
    <t>P5AS7</t>
  </si>
  <si>
    <t>WOS:001050796400001</t>
  </si>
  <si>
    <t>Wang, YY; Zhang, PP; Li, C</t>
  </si>
  <si>
    <t>Wang, Yueying; Zhang, Peipei; Li, Chao</t>
  </si>
  <si>
    <t>Systematic review and network meta-analysis of robot-assisted gait training on lower limb function in patients with cerebral palsy</t>
  </si>
  <si>
    <t>Robot-assisted walking training; Cerebral palsy; Lower limb function; Systematic review; Network meta-analysis</t>
  </si>
  <si>
    <t>CHILDREN</t>
  </si>
  <si>
    <t>Objective This study aimed to evaluate the effectiveness of robot-assisted gait training (RAGT) in treating lower extremity function in patients with cerebral palsy (CP) and compare the efficacy differences between different robotic systems. Methods PubMed, Web of Science, Cochrane Library, Embase, CNKI, VIP, CBM, and Wanfang databases were searched to collect randomized controlled trials of RAGT for lower extremity dysfunction in patients with CP from the time the databases were created until December 26, 2022. The D and E of Gross Motor Function Measure-88 (GMFM-88) assessed lower limb motor function. Berg Balance Scale (BBS) was used to assess balance function. Walking endurance and speed were assessed using the 6-minute walk test (6MWT) and walking speed. The modified Ashworth Scale (MAS) was used to assess the degree of muscle spasticity in the lower extremities. The Cochrane Risk Assessment Scale and the Physiotherapy Evidence Database (PEDro) scale were used for qualitative assessment in the studies included. RevMan 5.4 was used for data merging and statistical analysis. R 4.2.0 and ADDIS 1.16.8 were used to map the network relationships and to perform the network meta-analysis. Results A total of 14 studies were included in the review. The meta-analysis showed that RAGT significantly improved GMFM-88 D and E, BBS, and 6MWT scores in CP patients compared with conventional rehabilitation. However, for walking speed and MAS, the intervention effect of RAGT was insignificant. The network meta-analysis showed that the best probability ranking for the effect of the 3 different robots on the GMFM-88 D score was LokoHelp (P = 0.66) &gt; Lokomat (P = 0.28) &gt; 3DCaLT (P = 0.06) and the best probability ranking for the GMFM-88 E score was LokoHelp (P = 0.63) &gt; 3DCaLT (P = 0.21) &gt; Lokomat (P = 0.16). Conclusion RAGT positively affects walking and balance function in patients with CP, while efficacy in improving gait speed and muscle spasticity is unknown. The best treatment among the different robots is LokoHelp. Future high-quality, long-term follow-up studies are needed to explore the clinical efficacy of RAGT in depth.</t>
  </si>
  <si>
    <t>[Wang, Yueying] Shandong Univ Tradit Chinese Med, Coll Rehabil Med, Jinan, Peoples R China; [Zhang, Peipei] Shandong Univ Tradit Chinese Med, Dept Rehabil Med, Affiliated Hosp 2, Jinan, Peoples R China; [Li, Chao] Shandong Univ Tradit Chinese Med, Dept Rehabil &amp; Physiotherapy, Affiliated Hosp, Jinan, Peoples R China</t>
  </si>
  <si>
    <t>Zhang, PP (corresponding author), Shandong Univ Tradit Chinese Med, Dept Rehabil Med, Affiliated Hosp 2, Jinan, Peoples R China.;Li, C (corresponding author), Shandong Univ Tradit Chinese Med, Dept Rehabil &amp; Physiotherapy, Affiliated Hosp, Jinan, Peoples R China.</t>
  </si>
  <si>
    <t>408291294@qq.com; lichao1026@163.com</t>
  </si>
  <si>
    <t>Zhang, Peipei/G-9759-2013</t>
  </si>
  <si>
    <t>10.1007/s10072-023-06964-w</t>
  </si>
  <si>
    <t>U4ZR4</t>
  </si>
  <si>
    <t>WOS:001037118800001</t>
  </si>
  <si>
    <t>Sarhan, SM; Al-Faiz, MZ; Takhakh, AM</t>
  </si>
  <si>
    <t>Sarhan, Saad M.; Al-Faiz, Mohammed Z.; Takhakh, Ayad M.</t>
  </si>
  <si>
    <t>A review on EMG/EEG based control scheme of upper limb rehabilitation robots for stroke patients</t>
  </si>
  <si>
    <t>HELIYON</t>
  </si>
  <si>
    <t>Stroke rehabilitation; EEG; EMG; Robotics; Upper limb exoskeleton</t>
  </si>
  <si>
    <t>COMPUTER INTERFACE BCI; BRAIN; SYSTEM; SIGNAL; CLASSIFICATION; MOVEMENTS; FUTURE</t>
  </si>
  <si>
    <t>Stroke is a common worldwide health problem and a crucial contributor to gained disability. The abilities of people, who are subjected to stroke, to live independently are significantly affected since affected upper limbs' functions are essential for our daily life. This review article focuses on emerging trends in BCI-controlled rehabilitation techniques based on EMG, EEG, or EGM + EEG signals in the last few years. Working on developing rehabilitation robotics, is considered a wealthy scientific area for researchers in the last period. There is a significant advantage that the human acquires from the interaction between the machine and his body, rehabilitation for a patient's limb is very important to get the body limb recovery, and this is what is provided mostly by applying robotic devices.</t>
  </si>
  <si>
    <t>[Sarhan, Saad M.] Al Nahrain Univ, Coll Engn, Dept Biomed Engn, Baghdad, Iraq; [Al-Faiz, Mohammed Z.] Al Nahrain Univ, Coll Informat Engn, Dept Control &amp; Comp, Baghdad, Iraq; [Takhakh, Ayad M.] Al Nahrain Univ, Coll Engn, Dept Biomech, Baghdad, Iraq</t>
  </si>
  <si>
    <t>Al-Nahrain University; Al-Nahrain University; Al-Nahrain University</t>
  </si>
  <si>
    <t>Sarhan, SM (corresponding author), Al Nahrain Univ, Coll Engn, Dept Biomed Engn, Baghdad, Iraq.</t>
  </si>
  <si>
    <t>st.saad.m.sarhan@ced.nahrainuniv.edu.iq</t>
  </si>
  <si>
    <t>Takhakh, Ayad M./KYR-9180-2024; Al-Faiz, Mohammed/HLP-5579-2023; Sarhan, Saad/MAI-2184-2025; Takhakh, Ayad M./AAA-4160-2020</t>
  </si>
  <si>
    <t>Takhakh, Ayad M./0000-0002-7242-0405; Sarhan, Saad/0000-0002-1478-1800; sarhan, saad/0009-0006-8174-7342</t>
  </si>
  <si>
    <t>2405-8440</t>
  </si>
  <si>
    <t>Heliyon</t>
  </si>
  <si>
    <t>e18308</t>
  </si>
  <si>
    <t>10.1016/j.heliyon.2023.e18308</t>
  </si>
  <si>
    <t>Q2FL4</t>
  </si>
  <si>
    <t>WOS:001055725800001</t>
  </si>
  <si>
    <t>Gebreheat, G; Goman, A; Porter-Armstrong, A</t>
  </si>
  <si>
    <t>Gebreheat, Gdiom; Goman, Adele; Porter-Armstrong, Alison</t>
  </si>
  <si>
    <t>The use of home-based digital technology to support post-stroke upper limb rehabilitation: A scoping review</t>
  </si>
  <si>
    <t>Poststroke rehabilitation; upper limb rehabilitation; home-based technology; digital health</t>
  </si>
  <si>
    <t>RANDOMIZED CONTROLLED-TRIAL; NINTENDO WII SPORTS(TM); VIRTUAL-REALITY SYSTEM; HAND REHABILITATION; MOTOR FUNCTION; CHRONIC STROKE; TELEREHABILITATION; EXERCISE; THERAPY; PROGRAM</t>
  </si>
  <si>
    <t>Objective To identify, map and synthesize the extent and nature of existing studies on the use of home-based digital technology to support post-stroke upper limb rehabilitation. Data sources A comprehensive literature search was completed between 30 May 2022 and 05 April 2023, from seven online databases (CINAHL, Cochrane Library, PubMed, ScienceDirect, IEEExplore, Web of Science and PEDro), Google Scholar and the reference lists of already identified articles. Methods A scoping review was conducted according to Arksey and O'Malley (2005), and the Preferred Reporting Items for Systematic Reviews and Meta-Analyses extension for Scoping Reviews. All English-language studies reporting on the use of home-based digital technology to support upper limb post-stroke rehabilitation were eligible for inclusion. Results The search generated a total of 1895 records, of which 76 articles met the inclusion criteria. Of these, 52 were experimental studies and the rest, qualitative, case series and case studies. Of the overall 2149 participants, 2028 were stroke survivors with upper limb impairment. The majority of studies were aimed at developing, designing and/or assessing the feasibility, acceptability and efficacy of a digital system for poststroke upper limb rehabilitation in home settings. The thematic analysis found six major categories: Tele-rehabilitation (n = 29), games (n = 45), virtual reality (n = 26), sensor (n = 22), mobile technology (n = 22), and robotics (n = 8). Conclusion The digital technologies used in post-stroke upper limb rehabilitation were multimodal, and system-based comprising telerehabilitation, gamification, virtual reality, mobile technology, sensors and robotics. Furthermore, future research should focus to determine the effectiveness of these modalities.</t>
  </si>
  <si>
    <t>[Gebreheat, Gdiom; Goman, Adele; Porter-Armstrong, Alison] Edinburgh Napier Univ, Sch Hlth &amp; Social Care, Edinburgh EH11 4BN, Scotland</t>
  </si>
  <si>
    <t>Edinburgh Napier University</t>
  </si>
  <si>
    <t>Gebreheat, G (corresponding author), Edinburgh Napier Univ, Sch Hlth &amp; Social Care, Edinburgh EH11 4BN, Scotland.</t>
  </si>
  <si>
    <t>gdiom.abady@napier.ac.uk</t>
  </si>
  <si>
    <t>Goman, Adele/AFO-9945-2022; Gebreheat, Gdiom/AAD-4290-2020</t>
  </si>
  <si>
    <t>Gebreheat, Gdiom/0000-0003-1775-8216</t>
  </si>
  <si>
    <t>Edinburgh Napier University,~Scotland</t>
  </si>
  <si>
    <t>The author(s) disclosed receipt of the following financial support for the research, authorship, and/or publication of this article: The lead author is funded by a PhD studentship awarded by Edinburgh Napier University,&amp; nbsp;Scotland. No other financial support has been provided for this research</t>
  </si>
  <si>
    <t>10.1177/02692155231189257</t>
  </si>
  <si>
    <t>X3WB6</t>
  </si>
  <si>
    <t>WOS:001032278800001</t>
  </si>
  <si>
    <t>Bates, M; Sunderam, S</t>
  </si>
  <si>
    <t>Bates, Madison; Sunderam, Sridhar</t>
  </si>
  <si>
    <t>Hand-worn devices for assessment and rehabilitation of motor function and their potential use in BCI protocols: a review</t>
  </si>
  <si>
    <t>hand function impairments; functional assessment; brain-computer interface; assistive devices; sensor gloves; monitoring devices; neurorehabilitation</t>
  </si>
  <si>
    <t>BRAIN-COMPUTER INTERFACE; SPINAL-CORD-INJURY; MACHINE INTERFACE; ROBOTIC GLOVE; STROKE; STIMULATION; RECOVERY; TASK; IMPAIRMENT; THERAPY</t>
  </si>
  <si>
    <t>Introduction: Various neurological conditions can impair hand function. A ected individuals cannot fully participate in activities of daily living due to the lack of fine motor control. Neurorehabilitation emphasizes repetitive movement and subjective clinical assessments that require clinical experience to administer. Methods: Here, we perform a review of literature focused on the use of hand-worn devices for rehabilitation and assessment of hand function. We paid particular attention to protocols that involve brain-computer interfaces (BCIs) since BCIs are gaining ground as a means for detecting volitional signals as the basis for interactive motor training protocols to augment recovery. All devices reviewed either monitor, assist, stimulate, or support hand and finger movement. Results: A majority of studies reviewed here test or validate devices through clinical trials, especially for stroke. Even though sensor gloves are the most commonly employed type of device in this domain, they have certain limitations. Many such gloves use bend or inertial sensors to monitor the movement of individual digits, but few monitor both movement and applied pressure. The use of such devices in BCI protocols is also uncommon. Discussion: We conclude that hand-worn devices that monitor both flexion and grip will benefit both clinical diagnostic assessment of function during treatment and closed-loop BCI protocols aimed at rehabilitation.</t>
  </si>
  <si>
    <t>[Bates, Madison; Sunderam, Sridhar] Univ Kentucky, F Joseph Halcomb 3 MD Dept Biomed Engn, Neural Syst Lab, Lexington, KY 40506 USA</t>
  </si>
  <si>
    <t>University of Kentucky</t>
  </si>
  <si>
    <t>Bates, M (corresponding author), Univ Kentucky, F Joseph Halcomb 3 MD Dept Biomed Engn, Neural Syst Lab, Lexington, KY 40506 USA.</t>
  </si>
  <si>
    <t>madison.bates@uky.edu</t>
  </si>
  <si>
    <t>National Science Foundation [1849213]</t>
  </si>
  <si>
    <t>Funding This research was supported in part by National Science Foundation Grant No. 1849213.</t>
  </si>
  <si>
    <t>10.3389/fnhum.2023.1121481</t>
  </si>
  <si>
    <t>M5NV3</t>
  </si>
  <si>
    <t>WOS:001030692800001</t>
  </si>
  <si>
    <t>Su, DN; Hu, ZG; Wu, JP; Shang, P; Luo, ZH</t>
  </si>
  <si>
    <t>Su, Dongnan; Hu, Zhigang; Wu, Jipeng; Shang, Peng; Luo, Zhaohui</t>
  </si>
  <si>
    <t>Review of adaptive control for stroke lower limb exoskeleton rehabilitation robot based on motion intention recognition</t>
  </si>
  <si>
    <t>stroke; lower limb exoskeleton; rehabilitation; motion intention recognition; adaptive control</t>
  </si>
  <si>
    <t>OBSERVATIONAL GAIT-ANALYSIS; LOWER-EXTREMITY EXOSKELETON; SPINAL-CORD-INJURY; IMU-BASED GAIT; TOXIN TYPE-A; DESIGN; RELIABILITY; MANAGEMENT; EFFICACY; MODEL</t>
  </si>
  <si>
    <t>Stroke is a significant cause of disability worldwide, and stroke survivors often experience severe motor impairments. Lower limb rehabilitation exoskeleton robots provide support and balance for stroke survivors and assist them in performing rehabilitation training tasks, which can effectively improve their quality of life during the later stages of stroke recovery. Lower limb rehabilitation exoskeleton robots have become a hot topic in rehabilitation therapy research. This review introduces traditional rehabilitation assessment methods, explores the possibility of lower limb exoskeleton robots combining sensors and electrophysiological signals to assess stroke survivors' rehabilitation objectively, summarizes standard human-robot coupling models of lower limb rehabilitation exoskeleton robots in recent years, and critically introduces adaptive control models based on motion intent recognition for lower limb exoskeleton robots. This provides new design ideas for the future combination of lower limb rehabilitation exoskeleton robots with rehabilitation assessment, motion assistance, rehabilitation treatment, and adaptive control, making the rehabilitation assessment process more objective and addressing the shortage of rehabilitation therapists to some extent. Finally, the article discusses the current limitations of adaptive control of lower limb rehabilitation exoskeleton robots for stroke survivors and proposes new research directions.</t>
  </si>
  <si>
    <t>[Su, Dongnan; Wu, Jipeng; Shang, Peng] Chinese Acad Sci, Shenzhen Inst Adv Technol, Shenzhen, Peoples R China; [Hu, Zhigang] Henan Univ Sci &amp; Technol, Sch Med Technol &amp; Engn, Luoyang, Peoples R China; [Hu, Zhigang] Henan Univ Sci &amp; Technol, Henan Intelligent Rehabil Med Robot Engn Res Ctr, Luoyang, Peoples R China; [Luo, Zhaohui] State Owned Changhong Machinery Factory, Guilin, Peoples R China</t>
  </si>
  <si>
    <t>Chinese Academy of Sciences; Shenzhen Institute of Advanced Technology, CAS; Henan University of Science &amp; Technology; Henan University of Science &amp; Technology</t>
  </si>
  <si>
    <t>Shang, P (corresponding author), Chinese Acad Sci, Shenzhen Inst Adv Technol, Shenzhen, Peoples R China.;Luo, ZH (corresponding author), State Owned Changhong Machinery Factory, Guilin, Peoples R China.</t>
  </si>
  <si>
    <t>peng.shang@siat.ac.cn; luozh@siat.ac.cn</t>
  </si>
  <si>
    <t>Zhaohui, Luo/JVZ-6419-2024; Wu, Jipeng/AIE-3794-2022; Hu, Zhigang/Z-1884-2018</t>
  </si>
  <si>
    <t>Shenzhen Science and Technology Program: Research on human factors engineering-based mobile rehabilitation assistive devices [JCYJ20180507182446643]; GuangDong Basic and Applied Basic Research Foundation [2022A1515110128]; Shenzhen-Hong Kong Joint Funding Project: Dual-module high-throughput cell microinjection system based on deep learning algorithm recognition [SGDX20201103095406023]</t>
  </si>
  <si>
    <t>Shenzhen Science and Technology Program: Research on human factors engineering-based mobile rehabilitation assistive devices; GuangDong Basic and Applied Basic Research Foundation; Shenzhen-Hong Kong Joint Funding Project: Dual-module high-throughput cell microinjection system based on deep learning algorithm recognition</t>
  </si>
  <si>
    <t>This work was supported by the Shenzhen Science and Technology Program: Research on human factors engineering-based mobile rehabilitation assistive devices (JCYJ20180507182446643), GuangDong Basic and Applied Basic Research Foundation (2022A1515110128), and Shenzhen-Hong Kong Joint Funding Project: Dual-module high-throughput cell microinjection system based on deep learning algorithm recognition (SGDX20201103095406023).</t>
  </si>
  <si>
    <t>10.3389/fnbot.2023.1186175</t>
  </si>
  <si>
    <t>M6IT9</t>
  </si>
  <si>
    <t>WOS:001031240600001</t>
  </si>
  <si>
    <t>Ochieze, C; Zare, S; Sun, Y</t>
  </si>
  <si>
    <t>Ochieze, Chukwuemeka; Zare, Soroush; Sun, Ye</t>
  </si>
  <si>
    <t>Wearable upper limb robotics for pervasive health: a review</t>
  </si>
  <si>
    <t>PROGRESS IN BIOMEDICAL ENGINEERING</t>
  </si>
  <si>
    <t>wearable robotics; exoskeleton; exosuit; soft exoskeleton; rehabilitation robot; assistive robot; pervasive health</t>
  </si>
  <si>
    <t>POWER-ASSIST EXOSKELETON; MUSCLE CIRCUMFERENCE SENSOR; EMG-BASED CONTROL; OF-THE-ART; ADAPTIVE-CONTROL; REHABILITATION SYSTEM; VIRTUAL-REALITY; DESIGN; STROKE; MODEL</t>
  </si>
  <si>
    <t>Wearable robotics, also called exoskeletons, have been engineered for human-centered assistance for decades. They provide assistive technologies for maintaining and improving patients' natural capabilities towards self-independence and also enable new therapy solutions for rehabilitation towards pervasive health. Upper limb exoskeletons can significantly enhance human manipulation with environments, which is crucial to patients' independence, self-esteem, and quality of life. For long-term use in both in-hospital and at-home settings, there are still needs for new technologies with high comfort, biocompatibility, and operability. The recent progress in soft robotics has initiated soft exoskeletons (also called exosuits), which are based on controllable and compliant materials and structures. Remarkable literature reviews have been performed for rigid exoskeletons ranging from robot design to different practical applications. Due to the emerging state, few have been focused on soft upper limb exoskeletons. This paper aims to provide a systematic review of the recent progress in wearable upper limb robotics including both rigid and soft exoskeletons with a focus on their designs and applications in various pervasive healthcare settings. The technical needs for wearable robots are carefully reviewed and the assistance and rehabilitation that can be enhanced by wearable robotics are particularly discussed. The knowledge from rigid wearable robots may provide practical experience and inspire new ideas for soft exoskeleton designs. We also discuss the challenges and opportunities of wearable assistive robotics for pervasive health.</t>
  </si>
  <si>
    <t>[Ochieze, Chukwuemeka; Zare, Soroush; Sun, Ye] Univ Virginia, Dept Mech &amp; Aerosp Engn, Charlottesville, VA 22903 USA; [Sun, Ye] Univ Virginia, Dept Elect &amp; Comp Engn, Charlottesville, VA 22903 USA</t>
  </si>
  <si>
    <t>University of Virginia; University of Virginia</t>
  </si>
  <si>
    <t>Sun, Y (corresponding author), Univ Virginia, Dept Mech &amp; Aerosp Engn, Charlottesville, VA 22903 USA.;Sun, Y (corresponding author), Univ Virginia, Dept Elect &amp; Comp Engn, Charlottesville, VA 22903 USA.</t>
  </si>
  <si>
    <t>dzv7sg@virginia.edu</t>
  </si>
  <si>
    <t>Ochieze, Chukwuemeka/HKE-3282-2023; Zare, Soroush/ADY-2628-2022</t>
  </si>
  <si>
    <t>National Science Foundation [2222110, 2135620]</t>
  </si>
  <si>
    <t>AcknowledgmentsThis study is funded by the National Science Foundation (Grant Nos. 2222110 and 2135620). We sincerely appreciate the support to enable this study.</t>
  </si>
  <si>
    <t>2516-1091</t>
  </si>
  <si>
    <t>PROG BIOMED ENG</t>
  </si>
  <si>
    <t>Prog. Biomed. Eng.</t>
  </si>
  <si>
    <t>10.1088/2516-1091/acc70a</t>
  </si>
  <si>
    <t>G4PK3</t>
  </si>
  <si>
    <t>WOS:000988991500001</t>
  </si>
  <si>
    <t>Pana, CF; Popescu, D; Radulescu, VM</t>
  </si>
  <si>
    <t>Pana, Cristina Floriana; Popescu, Dorin; Radulescu, Virginia Maria</t>
  </si>
  <si>
    <t>Patent Review of Lower Limb Rehabilitation Robotic Systems by Sensors and Actuation Systems Used</t>
  </si>
  <si>
    <t>sensor; actuator; patent; robot; rehabilitation; lower limb</t>
  </si>
  <si>
    <t>OF-THE-ART; EXOSKELETON</t>
  </si>
  <si>
    <t>Robotic systems for lower limb rehabilitation are essential for improving patients' physical conditions in lower limb rehabilitation and assisting patients with various locomotor dysfunctions. These robotic systems mainly integrate sensors, actuation, and control systems and combine features from bionics, robotics, control, medicine, and other interdisciplinary fields. Several lower limb robotic systems have been proposed in the patent literature; some are commercially available. This review is an in-depth study of the patents related to robotic rehabilitation systems for lower limbs from the point of view of the sensors and actuation systems used. The patents awarded and published between 2013 and 2023 were investigated, and the temporal distribution of these patents is presented. Our results were obtained by examining the analyzed information from the three public patent databases. The patents were selected so that there were no duplicates after several filters were used in this review. For each patent database, the patents were analyzed according to the category of sensors and the number of sensors used. Additionally, for the main categories of sensors, an analysis was conducted depending on the type of sensors used. Afterwards, the actuation solutions for robotic rehabilitation systems for upper limbs described in the patents were analyzed, highlighting the main trends in their use. The results are presented with a schematic approach so that any user can easily find patents that use a specific type of sensor or a particular type of actuation system, and the sensors or actuation systems recommended to be used in some instances are highlighted.</t>
  </si>
  <si>
    <t>[Pana, Cristina Floriana; Popescu, Dorin] Univ Craiova, Dept Mechatron &amp; Robot, Craiova 200440, Romania; [Radulescu, Virginia Maria] Univ Craiova, Dept Automat &amp; Elect, Craiova 200440, Romania</t>
  </si>
  <si>
    <t>University of Craiova; University of Craiova</t>
  </si>
  <si>
    <t>Popescu, D (corresponding author), Univ Craiova, Dept Mechatron &amp; Robot, Craiova 200440, Romania.</t>
  </si>
  <si>
    <t>cristina.pana@edu.ucv.ro; dorin.popescu@edu.ucv.ro; virginia.radulescu@edu.ucv.ro</t>
  </si>
  <si>
    <t>Popescu, Dorin/AAE-9526-2021; Pana, Cristina Floriana/AAB-5024-2020; Radulescu, Virginia Maria/HKE-1154-2023</t>
  </si>
  <si>
    <t>Pana, Cristina Floriana/0000-0001-9577-1892; Radulescu, Virginia Maria/0000-0001-9028-7583</t>
  </si>
  <si>
    <t>National Research, Development, and Innovation Plan III, Program 2: Increasing the competitiveness of the Romanian economy through RDI, Subprogram 2.1: Competitiveness through research, development, and innovation (PED) [PN-III-P2-2.1-PED-2021-1917, 610PED/2022]</t>
  </si>
  <si>
    <t>National Research, Development, and Innovation Plan III, Program 2: Increasing the competitiveness of the Romanian economy through RDI, Subprogram 2.1: Competitiveness through research, development, and innovation (PED)</t>
  </si>
  <si>
    <t>This research was funded by the National Research, Development, and Innovation Plan III, Program 2: Increasing the competitiveness of the Romanian economy through RDI, Subprogram 2.1: Competitiveness through research, development, and innovation (PED), project number PN-III-P2-2.1-PED-2021-1917, contract number 610PED/2022.</t>
  </si>
  <si>
    <t>10.3390/s23136237</t>
  </si>
  <si>
    <t>M6BX2</t>
  </si>
  <si>
    <t>WOS:001031060600001</t>
  </si>
  <si>
    <t>Gordon, DFN; Christou, A; Stouraitis, T; Gienger, M; Vijayakumar, S</t>
  </si>
  <si>
    <t>Gordon, Daniel F. N.; Christou, Andreas; Stouraitis, Theodoros; Gienger, Michael; Vijayakumar, Sethu</t>
  </si>
  <si>
    <t>Adaptive assistive robotics: a framework for triadic collaboration between humans and robots</t>
  </si>
  <si>
    <t>ROYAL SOCIETY OPEN SCIENCE</t>
  </si>
  <si>
    <t>ergonomics; optimization; optimal control</t>
  </si>
  <si>
    <t>MUSCULOSKELETAL DISORDERS; IMPACT; WORK</t>
  </si>
  <si>
    <t>Robots and other assistive technologies have a huge potential to help society in domains ranging from factory work to healthcare. However, safe and effective control of robotic agents in these environments is complex, especially when it involves close interactions and multiple actors. We propose an effective framework for optimizing the behaviour of robots and complementary assistive technologies in systems comprising a mix of human and technological agents with numerous high-level goals. The framework uses a combination of detailed biomechanical modelling and weighted multi-objective optimization to allow for the fine tuning of robot behaviours depending on the specification of the task at hand. We illustrate our framework via two case studies across assisted living and rehabilitation scenarios, and conduct simulations and experiments of triadic collaboration in practice. Our results indicate a marked benefit to the triadic approach, showing the potential to improve outcome measures for human agents in robot-assisted tasks.</t>
  </si>
  <si>
    <t>[Gordon, Daniel F. N.; Christou, Andreas; Vijayakumar, Sethu] Univ Edinburgh, Edinburgh, Scotland; [Gordon, Daniel F. N.; Vijayakumar, Sethu] Alan Turing Inst, London, England; [Stouraitis, Theodoros; Gienger, Michael] Honda Res Inst Europe, Offenbach, Germany</t>
  </si>
  <si>
    <t>University of Edinburgh; Alan Turing Institute; Honda Motor Company; Honda Germany</t>
  </si>
  <si>
    <t>Gordon, DFN (corresponding author), Univ Edinburgh, Edinburgh, Scotland.;Gordon, DFN (corresponding author), Alan Turing Inst, London, England.</t>
  </si>
  <si>
    <t>daniel.gordon@ed.ac.uk</t>
  </si>
  <si>
    <t>2054-5703</t>
  </si>
  <si>
    <t>ROY SOC OPEN SCI</t>
  </si>
  <si>
    <t>R. Soc. Open Sci.</t>
  </si>
  <si>
    <t>JUN 28</t>
  </si>
  <si>
    <t>10.1098/rsos.221617</t>
  </si>
  <si>
    <t>K6RA9</t>
  </si>
  <si>
    <t>WOS:001017681200011</t>
  </si>
  <si>
    <t>Johansen, T; Sorensen, L; Kolskår, KK; Strom, V; Wouda, MF</t>
  </si>
  <si>
    <t>Johansen, Truls; Sorensen, Linda; Kolskar, Knut K.; Strom, Vegard; Wouda, Matthijs F.</t>
  </si>
  <si>
    <t>Effectiveness of robot-assisted arm exercise on arm and hand function in stroke survivors-A systematic review and meta-analysis</t>
  </si>
  <si>
    <t>JOURNAL OF REHABILITATION AND ASSISTIVE TECHNOLOGIES ENGINEERING</t>
  </si>
  <si>
    <t>Rehabilitation; rehabilitation devices; robot-assisted rehabilitation; stroke rehabilitation; occupational therapy</t>
  </si>
  <si>
    <t>DIRECT-CURRENT STIMULATION; UPPER-LIMB REHABILITATION; ELECTRICAL-STIMULATION; THERAPY; SUBACUTE; TRIAL; COMBINATION; RECOVERY</t>
  </si>
  <si>
    <t>Objective: To examine the treatment effect of commercially available robotic-assisted devices, compared to traditional occupational- and physiotherapy on arm and hand function in persons with stroke. Methods: A systematic literature search was conducted in Medline, EMBASE, CINAHL and Cochrane Central Register of Controlled Trials up to January 2022. Randomized controlled trials (RCT's) involving persons with stroke of all ages and robot-assisted exercise as method for arm and hand function, compared to traditional therapy methods were included. Three authors performed the selection independently. The quality of evidence across studies was assessed using GRADE. Results: Eighteen RCT's were included in the study. A random effects meta-analysis showed a statistically significantly higher treatment effect in the robotic-assisted exercise group (p=&lt;0.0001) compared to the traditional treatment group, with a total effect size of 0.44 (CI = 0.22-0.65). Heterogeneity was high, measured with I-2 of 65%). Subgroup analyses showed no significant effects of the type of robotic device, treatment frequency or duration of intervention. Discussion and conclusion: Even though the analysis showed significant improvement in arm and hand function in favor of the robotic-assisted exercise group, the results in this systematic review should be interpreted with caution. This is due to high heterogeneity among the studies included and the presence of possible publication bias. Results of this study highlight the need for larger and more methodological robust RCT's, with a focus on reporting training intensity during robotic exercise.</t>
  </si>
  <si>
    <t>[Johansen, Truls; Sorensen, Linda; Kolskar, Knut K.; Strom, Vegard; Wouda, Matthijs F.] Sunnaas Rehabil Hosp, Dept Res, Oslo, Norway; [Sorensen, Linda] Sunnaas Rehabil Hosp, Dept Innovat, Oslo, Norway; [Kolskar, Knut K.] Univ Oslo, Dept Psychol, Oslo, Norway; [Johansen, Truls] Sunnaas Hosp, Dept Res, Bjornemyrveien 11, N-1453 Nesoddtangen, Norway</t>
  </si>
  <si>
    <t>University of Oslo</t>
  </si>
  <si>
    <t>Johansen, T (corresponding author), Sunnaas Hosp, Dept Res, Bjornemyrveien 11, N-1453 Nesoddtangen, Norway.</t>
  </si>
  <si>
    <t>truls.johansen@sunnaas.no</t>
  </si>
  <si>
    <t>Strøm, Vegard/ABD-5205-2021</t>
  </si>
  <si>
    <t>DAM foundation [2021/HE1-352596]</t>
  </si>
  <si>
    <t>DAM foundation</t>
  </si>
  <si>
    <t>This study was partly financed by the DAM foundation (2021/HE1-352596). The DAM foundation has no affiliations connected to any of the companies producing the robotic devices, nor did they have any implication regarding the production of this article.</t>
  </si>
  <si>
    <t>2055-6683</t>
  </si>
  <si>
    <t>J REHABIL ASSIST TER</t>
  </si>
  <si>
    <t>J. Rehabil. Assist. Technol. Eng.</t>
  </si>
  <si>
    <t>JUN 13</t>
  </si>
  <si>
    <t>10.1177/20556683231183639</t>
  </si>
  <si>
    <t>K5JS2</t>
  </si>
  <si>
    <t>WOS:001016806300001</t>
  </si>
  <si>
    <t>Ko, MJ; Chuang, YC; Ou-Yang, LJ; Cheng, YY; Tsai, YL; Lee, YC</t>
  </si>
  <si>
    <t>Ko, Ming-Jian; Chuang, Ya-Chi; Ou-Yang, Liang-Jun; Cheng, Yuan-Yang; Tsai, Yu-Lin; Lee, Yu-Chun</t>
  </si>
  <si>
    <t>The Application of Soft Robotic Gloves in Stroke Patients: A Systematic Review and Meta-Analysis of Randomized Controlled Trials</t>
  </si>
  <si>
    <t>soft robotic glove; stroke; rehabilitation; hemiparesis; meta-analysis</t>
  </si>
  <si>
    <t>HAND REHABILITATION; RECOVERY; RELIABILITY; VALIDITY</t>
  </si>
  <si>
    <t>Wearable robotic devices have been strongly put into use in both the clinical and research fields of stroke rehabilitation over the past decades. This study aimed to explore the effectiveness of soft robotic gloves (SRGs) towards improving the motor recovery and functional abilities in patients with post-stroke hemiparesis. Five major bibliographic databases, PubMed, Embase, Cochrane Library, Web of Science, and the Physiotherapy Evidence Database, were all reviewed for enrollment regarding comparative trials prior to 7 March 2023. We included adults with stroke and compared their rehabilitation using SRGs to conventional rehabilitation (CR) on hand function in terms of the Fugl-Meyer Upper Extremity Motor Assessment (FMA-UE), Fugl-Meyer Distal Upper Extremity Motor Assessment (FMA-distal UE), box and blocks test score, grip strength test, and the Jebsen-Taylor hand function test (JTT). A total of 8 studies, comprising 309 participants, were included in the analysis. Compared to CR, rehabilitation involving SRGs achieved better FMA-UE (MD 6.52, 95% CI: 3.65 similar to 9.39), FMA-distal UE (MD 3.27, 95% CI: 1.50 similar to 5.04), and JJT (MD 13.34, CI: 5.16 similar to 21.53) results. Subgroup analysis showed that stroke latency of more than 6 months and training for more than 30 min offered a better effect as well. In conclusion, for patients with stroke, rehabilitation using SRGs is recommended to promote the functional abilities of the upper extremities.</t>
  </si>
  <si>
    <t>[Ko, Ming-Jian] Taichung Vet Gen Hosp, Dept Educ, Taichung, Taiwan; [Chuang, Ya-Chi; Cheng, Yuan-Yang; Tsai, Yu-Lin; Lee, Yu-Chun] Taichung Vet Gen Hosp, Dept Phys Med &amp; Rehabil, Taichung, Taiwan; [Ou-Yang, Liang-Jun] Chang Gung Mem Hosp, Dept Phys Med &amp; Rehabil, Taoyuan, Taiwan; [Cheng, Yuan-Yang] Natl Chung Hsing Univ, Coll Med, Dept Postbaccalaureate Med, Taichung, Taiwan; [Lee, Yu-Chun] Natl Taiwan Univ Sport, Dept Exercise Hlth Sci, Taichung, Taiwan; [Lee, Yu-Chun] Tunghai Univ, Dept Ind Engn &amp; Enterprise Informat, Taichung, Taiwan</t>
  </si>
  <si>
    <t>Taichung Veterans General Hospital; Taichung Veterans General Hospital; Chang Gung Memorial Hospital; National Chung Hsing University; National Taiwan University of Sport; Tunghai University</t>
  </si>
  <si>
    <t>Tsai, YL; Lee, YC (corresponding author), Taichung Vet Gen Hosp, Dept Phys Med &amp; Rehabil, Taichung, Taiwan.;Lee, YC (corresponding author), Natl Taiwan Univ Sport, Dept Exercise Hlth Sci, Taichung, Taiwan.;Lee, YC (corresponding author), Tunghai Univ, Dept Ind Engn &amp; Enterprise Informat, Taichung, Taiwan.</t>
  </si>
  <si>
    <t>albert870205@gmail.com; y065e225@vghtc.gov.tw; ohyoung18287@gmail.com; s851075@ym.edu.tw; xok124@vghtc.gov.tw; lyczoj@vghtc.gov.tw</t>
  </si>
  <si>
    <t>Cheng, Yuan-Yang/HTO-2640-2023</t>
  </si>
  <si>
    <t>CHUANG, YA CHI/0000-0002-2614-0381; Cheng, Yuan-Yang/0000-0002-3892-4044; Tsai, Yu-Lin/0000-0002-5267-6681</t>
  </si>
  <si>
    <t>10.3390/brainsci13060900</t>
  </si>
  <si>
    <t>K1OH1</t>
  </si>
  <si>
    <t>WOS:001014202900001</t>
  </si>
  <si>
    <t>Kakos, CD; Papanikolaou, A; Ziogas, IA; Tsoulfas, G</t>
  </si>
  <si>
    <t>Kakos, Christos Dimitrios; Papanikolaou, Angelos; Ziogas, Ioannis A.; Tsoulfas, Georgios</t>
  </si>
  <si>
    <t>Global dissemination of minimally invasive living donor hepatectomy: What are the barriers?</t>
  </si>
  <si>
    <t>WORLD JOURNAL OF GASTROINTESTINAL SURGERY</t>
  </si>
  <si>
    <t>Minimally invasive donor hepatectomy; Liver transplantation; Living donation; Laparoscopic donor hepatectomy; Global surgery</t>
  </si>
  <si>
    <t>LAPAROSCOPIC RIGHT HEPATECTOMY; LEFT LATERAL SECTIONECTOMY; PEDIATRIC LIVER-TRANSPLANTATION; RENAL-TRANSPLANTATION; HEPATIC LOBECTOMY; TERM OUTCOMES; PURE; RESECTION; COMPLICATIONS; NEPHRECTOMY</t>
  </si>
  <si>
    <t>Minimally invasive donor hepatectomy (MIDH) is a relatively novel procedure that can potentially increase donor safety and contribute to faster rehabilitation of donors. After an initial period in which donor safety was not effectively validated, MIDH currently seems to provide improved results, provided that it is conducted by experienced surgeons. Appropriate selection criteria are crucial to achieve better outcomes in terms of complications, blood loss, operative time, and hospital stay. Beyond a pure laparoscopic technique, various approaches have been recommended such as hand-assisted, laparoscopic-assisted, and robotic donation. The latter has shown equal outcomes compared to open and laparoscopic approaches. A steep learning curve seems to exist in MIDH, mainly due to the fragility of the liver parenchyma and the experience needed for adequate control of bleeding. This review investigated the challenges and the opportunities of MIDH and the barriers to its global dissemination. Surgeons need expertise in liver transplantation, hepatobiliary surgery, and minimally invasive techniques to perform MIDH. Barriers can be categorized into surgeon-related, institutional-related, and accessibility. More robust data and the creation of international registries are needed for further evaluation of the technique and the acceptance from more centers worldwide.</t>
  </si>
  <si>
    <t>[Kakos, Christos Dimitrios; Papanikolaou, Angelos; Ziogas, Ioannis A.] Soc Jr Doctors, Surg Working Grp, Athens 15123, Greece; [Kakos, Christos Dimitrios; Tsoulfas, Georgios] Aristotle Univ Thessaloniki, Sch Med, Dept Transplant Surg, Thessaloniki 54622, Greece; [Papanikolaou, Angelos] Johns Hopkins Univ, Dept Surg, Sch Med, Baltimore, MD 21287 USA; [Ziogas, Ioannis A.] Univ Colorado, Dept Surg, Anschutz Med Campus, Aurora, CO 80045 USA; [Tsoulfas, Georgios] Aristotle Univ Thessaloniki, Sch Med, Dept Transplant Surg, 66 Tsimiski St, Thessaloniki 54622, Greece</t>
  </si>
  <si>
    <t>Aristotle University of Thessaloniki; Johns Hopkins University; University of Colorado System; University of Colorado Anschutz Medical Campus; Aristotle University of Thessaloniki</t>
  </si>
  <si>
    <t>Tsoulfas, G (corresponding author), Aristotle Univ Thessaloniki, Sch Med, Dept Transplant Surg, 66 Tsimiski St, Thessaloniki 54622, Greece.</t>
  </si>
  <si>
    <t>tsoulfasg@gmail.com</t>
  </si>
  <si>
    <t>Tsivgoulis, Georgios/AAD-5360-2020; Papanikolaou, Angelos/HPD-9334-2023</t>
  </si>
  <si>
    <t>Papanikolaou, Angelos/0000-0002-1245-6596</t>
  </si>
  <si>
    <t>1948-9366</t>
  </si>
  <si>
    <t>WORLD J GASTRO SURG</t>
  </si>
  <si>
    <t>World J. Gastrointest. Surg.</t>
  </si>
  <si>
    <t>10.4240/wjgs.v15.i5.776</t>
  </si>
  <si>
    <t>Gastroenterology &amp; Hepatology; Surgery</t>
  </si>
  <si>
    <t>K3EP6</t>
  </si>
  <si>
    <t>WOS:001015306400003</t>
  </si>
  <si>
    <t>Fareh, R; Elsabe, A; Baziyad, M; Kawser, T; Brahmi, B; Rahman, MH</t>
  </si>
  <si>
    <t>Fareh, Raouf; Elsabe, Ammar; Baziyad, Mohammed; Kawser, Tunajjina; Brahmi, Brahim; Rahman, Mohammad H.</t>
  </si>
  <si>
    <t>Will Your Next Therapist Be a Robot?-A Review of the Advancements in Robotic Upper Extremity Rehabilitation</t>
  </si>
  <si>
    <t>exoskeleton; rehabilitation; review; robots; upper extremity</t>
  </si>
  <si>
    <t>UPPER-LIMB REHABILITATION; CHRONIC STROKE; MOTOR SKILL; SHOULDER MECHANISM; ASSISTED MOVEMENT; EXOSKELETON ROBOT; VIRTUAL-REALITY; ARM; FORCE; DESIGN</t>
  </si>
  <si>
    <t>Several recent studies have indicated that upper extremity injuries are classified as a top common workplace injury. Therefore, upper extremity rehabilitation has become a leading research area in the last few decades. However, this high number of upper extremity injuries is viewed as a challenging problem due to the insufficient number of physiotherapists. With the recent advancements in technology, robots have been widely involved in upper extremity rehabilitation exercises. Although robotic technology and its involvement in the rehabilitation field are rapidly evolving, the literature lacks a recent review that addresses the updates in the robotic upper extremity rehabilitation field. Thus, this paper presents a comprehensive review of state-of-the-art robotic upper extremity rehabilitation solutions, with a detailed classification of various rehabilitative robots. The paper also reports some experimental robotic trials and their outcomes in clinics.</t>
  </si>
  <si>
    <t>[Fareh, Raouf] Univ Sharjah, Dept Elect Engn, Sharjah 27272, U Arab Emirates; [Elsabe, Ammar] Univ Sharjah, Dept Comp Engn, Sharjah 27272, U Arab Emirates; [Baziyad, Mohammed] Univ Sharjah, Res Inst Sci &amp; Engn RISE, Sharjah 27272, U Arab Emirates; [Kawser, Tunajjina] Shaheed Tajuddin Ahmad Med Coll, Anat Dept, Gazipur 1700, Bangladesh; [Brahmi, Brahim] Coll Ahunts, Dept Elect Engn, Montreal, PQ H2M 1Y8, Canada; [Rahman, Mohammad H.] Univ Wisconsin Milwaukee, Mech Engn, Milwaukee, WI 53212 USA</t>
  </si>
  <si>
    <t>University of Sharjah; University of Sharjah; University of Sharjah; University of Wisconsin System; University of Wisconsin Milwaukee</t>
  </si>
  <si>
    <t>Fareh, R (corresponding author), Univ Sharjah, Dept Elect Engn, Sharjah 27272, U Arab Emirates.</t>
  </si>
  <si>
    <t>rfareh@sharjah.ac.ae</t>
  </si>
  <si>
    <t>Brahmi, Brahim/ISB-3107-2023; Rahman, Mohammad/AAB-3187-2019</t>
  </si>
  <si>
    <t>brahim, Brahmi/0000-0002-4486-0710; Elsabe, Ammar/0000-0001-9082-9725; Rahman, Mohammad H/0000-0002-6370-8757; Baziyad, Mohammed/0000-0003-0272-2659; Fareh, Raouf/0000-0002-6289-3049</t>
  </si>
  <si>
    <t>MAY 25</t>
  </si>
  <si>
    <t>10.3390/s23115054</t>
  </si>
  <si>
    <t>I7TL9</t>
  </si>
  <si>
    <t>WOS:001004773600001</t>
  </si>
  <si>
    <t>Karunakaran, KK; Pamula, SD; Bach, CP; Legelen, E; Saleh, S; Nolan, KJ</t>
  </si>
  <si>
    <t>Karunakaran, Kiran K.; Pamula, Sai D.; Bach, Caitlyn P.; Legelen, Eliana; Saleh, Soha; Nolan, Karen J.</t>
  </si>
  <si>
    <t>Lower extremity robotic exoskeleton devices for overground ambulation recovery in acquired brain injury-A review</t>
  </si>
  <si>
    <t>cerebral palsy; traumatic brain injury; robotic exoskeleton; gait; balance; rehabilitation; stroke</t>
  </si>
  <si>
    <t>HYBRID ASSISTIVE LIMB(R); CEREBRAL-PALSY DESIGN; GAIT REHABILITATION; STROKE PATIENTS; END-EFFECTOR; WALKING; MOTOR; NEUROREHABILITATION; CONNECTIVITY; ASSISTANCE</t>
  </si>
  <si>
    <t>Acquired brain injury (ABI) is a leading cause of ambulation deficits in the United States every year. ABI (stroke, traumatic brain injury and cerebral palsy) results in ambulation deficits with residual gait and balance deviations persisting even after 1 year. Current research is focused on evaluating the effect of robotic exoskeleton devices (RD) for overground gait and balance training. In order to understand the device effectiveness on neuroplasticity, it is important to understand RD effectiveness in the context of both downstream (functional, biomechanical and physiological) and upstream (cortical) metrics. The review identifies gaps in research areas and suggests recommendations for future research. We carefully delineate between the preliminary studies and randomized clinical trials in the interpretation of existing evidence. We present a comprehensive review of the clinical and pre-clinical research that evaluated therapeutic effects of RDs using various domains, diagnosis and stage of recovery.</t>
  </si>
  <si>
    <t>[Karunakaran, Kiran K.; Pamula, Sai D.; Bach, Caitlyn P.; Saleh, Soha; Nolan, Karen J.] Kessler Fdn, Ctr Mobil &amp; Rehabil Engn Res, West Orange, NJ 07052 USA; [Karunakaran, Kiran K.; Saleh, Soha; Nolan, Karen J.] Rutgers New Jersey Med Sch, Dept Phys Med &amp; Rehabil, Newark, NJ 07103 USA; [Karunakaran, Kiran K.; Nolan, Karen J.] Childrens Specialized Hosp New Brunswick, New Brunswick, NJ 08901 USA; [Legelen, Eliana] Montclair State Univ, Dept Psychol, Montclair, NJ USA</t>
  </si>
  <si>
    <t>Rutgers University System; Rutgers University New Brunswick; Rutgers University Biomedical &amp; Health Sciences; Montclair State University</t>
  </si>
  <si>
    <t>Karunakaran, KK (corresponding author), Kessler Fdn, Ctr Mobil &amp; Rehabil Engn Res, West Orange, NJ 07052 USA.;Karunakaran, KK (corresponding author), Rutgers New Jersey Med Sch, Dept Phys Med &amp; Rehabil, Newark, NJ 07103 USA.;Karunakaran, KK (corresponding author), Childrens Specialized Hosp New Brunswick, New Brunswick, NJ 08901 USA.</t>
  </si>
  <si>
    <t>kkarunakaran@kesslerfoundation.org</t>
  </si>
  <si>
    <t>Karunakaran, Kiran/AAW-8583-2021</t>
  </si>
  <si>
    <t>Nolan, PhD, Karen J./0000-0002-4667-0873</t>
  </si>
  <si>
    <t>10.3389/fnbot.2023.1014616</t>
  </si>
  <si>
    <t>I5EV3</t>
  </si>
  <si>
    <t>WOS:001003019500001</t>
  </si>
  <si>
    <t>Zhang, Q; Wei, JH; Fu, X; Liu, X; Li, XY; Liu, W; Liu, ZL; Duan, XQ; Zheng, B</t>
  </si>
  <si>
    <t>Zhang, Qi; Wei, Jia-Hang; Fu, Xue; Liu, Xin; Li, Xin-Yi; Liu, Wei; Liu, Zhong-Liang; Duan, Xiao-Qin; Zheng, Bin</t>
  </si>
  <si>
    <t>Can we trust computers to assess the cognition of stroke patients? A systematic review</t>
  </si>
  <si>
    <t>cognitive assessment screening instrument; stroke; cognitive impairments; computer-aided design; review</t>
  </si>
  <si>
    <t>ISCHEMIC-STROKE; DOUBLE-BLIND; IMPAIRMENT; BATTERY; SEARCH; RISK; INDIVIDUALS; STIMULATION; IMPROVEMENT; VALIDATION</t>
  </si>
  <si>
    <t>PurposeTo summarize the classification of computerized cognitive assessment (CCA) tools for assessing stroke patients, to clarify their benefits and limitations, and to reveal strategies for future studies on CCA tools.MethodsA literature review was performed using PubMed, Embase, Scopus, JAMA Network, Cochrane Library and PsycINFO databases from January 1st, 2010, to August 1st, 2022. Two authors independently screened the literature following the same criteria, evaluated the study quality, and collected data from the articles.ResultsA total of 8,697 papers were acquired from the six databases. A total of 74 potentially eligible articles were selected for review. Of these, 29 articles were not relevant to this research, 3 were reviews, 2 were not written in English, and 1 was on an ongoing trial. By screening the references of the reviews, 3 additional articles were included in this study. Thus, a total of 42 articles met the criteria for the review. In terms of the CCA tools analyzed in these studies, they included five types: virtual reality (VR)-based, robot-based, telephone-based, smartphone-based, and computer-based cognitive assessments. Patients' stages of the disease ranged from the subacute phase and rehabilitation phase to the community phase. A total of 27 studies supported the effectiveness of CCA tools, while 22 out of 42 articles mentioned their benefits and 32 revealed areas for future improvement of CCA tools.ConclusionsAlthough the use of CCA tools for assessing the cognition of post-stroke patients is becoming popular, there are still some limitations and challenges of using such tools in stroke survivors. More evidence is thus needed to verify the value and specific role of these tools in assessing the cognitive impairment of stroke patients.</t>
  </si>
  <si>
    <t>[Zhang, Qi; Li, Xin-Yi; Liu, Wei; Liu, Zhong-Liang; Duan, Xiao-Qin] Jilin Univ, Dept Rehabil Med, Hosp 2, Changchun, Peoples R China; [Wei, Jia-Hang] Jilin Univ, Changchun, Peoples R China; [Fu, Xue] Changchun Univ Chinese Med, Changchun, Peoples R China; [Liu, Xin] Univ Sci &amp; Technol Beijing, Sch Comp &amp; Commun Engn, Beijing, Peoples R China; [Liu, Xin; Duan, Xiao-Qin; Zheng, Bin] Univ Alberta, Dept Surg, Surg Simulat Res Lab, Edmonton, AB, Canada</t>
  </si>
  <si>
    <t>Jilin University; Jilin University; Changchun University of Chinese Medicine; University of Science &amp; Technology Beijing; University of Alberta</t>
  </si>
  <si>
    <t>Duan, XQ (corresponding author), Jilin Univ, Dept Rehabil Med, Hosp 2, Changchun, Peoples R China.;Duan, XQ; Zheng, B (corresponding author), Univ Alberta, Dept Surg, Surg Simulat Res Lab, Edmonton, AB, Canada.</t>
  </si>
  <si>
    <t>15204309769@163.com; bin.zheng@ualberta.ca</t>
  </si>
  <si>
    <t>Li, Xinyi/AFU-7635-2022; Zheng, Bin/ACR-9720-2022</t>
  </si>
  <si>
    <t>Science and Technology Department of Jilin Province [20210101359JC]; Jilin University in China [2020B41]</t>
  </si>
  <si>
    <t>Science and Technology Department of Jilin Province; Jilin University in China</t>
  </si>
  <si>
    <t>This work was supported by the Fundamental Research Funds from the Science and Technology Department of Jilin Province (grant number 20210101359JC, 2021) and Jilin University in China (grant number 2020B41, 2020).</t>
  </si>
  <si>
    <t>10.3389/fneur.2023.1180664</t>
  </si>
  <si>
    <t>I7LI8</t>
  </si>
  <si>
    <t>WOS:001004561400001</t>
  </si>
  <si>
    <t>Hamid, QY; Hasan, WZW; Hanim, MAA; Nuraini, AA; Hamidon, MN; Ramli, HR</t>
  </si>
  <si>
    <t>Hamid, Q. Y.; Hasan, W. Z. Wan; Hanim, M. A. Azmah; Nuraini, A. A.; Hamidon, M. N.; Ramli, H. R.</t>
  </si>
  <si>
    <t>Shape memory alloys actuated upper limb devices: A review</t>
  </si>
  <si>
    <t>SENSORS AND ACTUATORS REPORTS</t>
  </si>
  <si>
    <t>Smart materials; Sma; Upper limbs; Rehabilitation; Prostheses; Actuators</t>
  </si>
  <si>
    <t>MICROSTRUCTURAL EVOLUTION; SOFT ACTUATORS; CURRENT TRENDS; WIRE; FABRICATION; COMPOSITE</t>
  </si>
  <si>
    <t>Recently, significant efforts have been made to develop prostheses, soft rehabilitation, and assistive devices that enhance the quality of life of limb amputees and the activities of daily living (ADL) of stroke patients. Therefore, this present study provides a general overview of the current prosthetic, assistive, and rehabilitative devices with a focus on actuators that provide actuation via shape-memory alloys (SMA). Shape-memory alloy (SMA)-based actuators are the subject of considerable research as they possess high force-to-weight ratio, quiet operation, muscular mobility, bio-compatibility, and accessible design options, all of which can potentially be used to develop inventive actuating systems. Several studies have examined the use of SMA-actuated devices in the medical and engineering industry. They have also, more recently, been used to develop soft robotic systems. This present review primarily focuses on the characterization, number, type of actuator, degrees of freedom (DOF), weight, cooling technique, control strategies, and applications as well as the advantages and disadvantages of plate, spring, and wire-based SMA actuators. Composite-based upper limb SMA actuators were also reviewed and compared in terms of the matrix, reinforcing materials, SMA configuration actuator dimensions, and manufacturing method as well as their advantages and disadvantages. The findings indicate that, in the last few years, more studies have examined developing novel intelligent materials with which to improve hand flexibility. Therefore, SMA materials have a promising future in the development of intelligent designs for hand-robots. They may also be used to improve control robustness as well as the accuracy of hand functions for ADL and effective rehabilitation.</t>
  </si>
  <si>
    <t>[Hamid, Q. Y.; Hanim, M. A. Azmah; Nuraini, A. A.] Univ Putra Malaysia, Dept Mech &amp; Mfg Engn, Fac Engn, Serdang 43400, Malaysia; [Hamid, Q. Y.] Northern Tech Univ, Engn Tech Coll Mosul, Dept Power Mech Tech Engn, Mosul 41001, Iraq; [Hasan, W. Z. Wan; Hamidon, M. N.; Ramli, H. R.] Unv Putra Malaysia, Dept Elect &amp; Elect Engn, Fac Engn, Serdang 43400, Selangor, Malaysia; [Hanim, M. A. Azmah] Univ Putra Malaysia, Fac Engn, Adv Engn Mat &amp; Composites Res Ctr AEMC, Serdang 43400, Selangor, Malaysia; [Hamidon, M. N.] Univ Putra Malaysia, Inst Nanosci &amp; Nanotechnol ION2, Serdang 43400, Malaysia; [Hasan, W. Z. Wan] Univ Putra Malaysia, Adv Lightning Power &amp; Energy Res ALPER, Serdang 43400, Malaysia</t>
  </si>
  <si>
    <t>Universiti Putra Malaysia; Northern Technical University; Universiti Putra Malaysia; Universiti Putra Malaysia; Universiti Putra Malaysia</t>
  </si>
  <si>
    <t>Hasan, WZW (corresponding author), Unv Putra Malaysia, Dept Elect &amp; Elect Engn, Fac Engn, Serdang 43400, Selangor, Malaysia.;Hasan, WZW (corresponding author), Univ Putra Malaysia, Adv Lightning Power &amp; Energy Res ALPER, Serdang 43400, Malaysia.</t>
  </si>
  <si>
    <t>wanzuha@upm.edu.my</t>
  </si>
  <si>
    <t>Hamidon, Mohd/A-8839-2011; Hamid, Qussay/LTE-7898-2024; Aziz, Nuraini/AAW-4869-2021; Hassan, Wan/AAD-8694-2020</t>
  </si>
  <si>
    <t>HAMID, QUSAI/0000-0003-0087-0658; Wan Hasan, Wan Zuha/0000-0003-4691-066X; Mohamed Ariff, Azmah Hanim/0000-0002-3993-7058</t>
  </si>
  <si>
    <t>Universiti Putra Malaysia Research Grant (Putra Grant UPM) [GP-GPB/2021/9699100]</t>
  </si>
  <si>
    <t>Universiti Putra Malaysia Research Grant (Putra Grant UPM)</t>
  </si>
  <si>
    <t>Funding This research was fully funded by the Universiti Putra Malaysia Research Grant (Putra Grant UPM, GP-GPB/2021/9699100) .</t>
  </si>
  <si>
    <t>2666-0539</t>
  </si>
  <si>
    <t>SENSOR ACTUATOR REP</t>
  </si>
  <si>
    <t>Sens. Actuator Rep.</t>
  </si>
  <si>
    <t>10.1016/j.snr.2023.100160</t>
  </si>
  <si>
    <t>Biotechnology &amp; Applied Microbiology; Chemistry, Analytical; Electrochemistry; Nanoscience &amp; Nanotechnology; Instruments &amp; Instrumentation</t>
  </si>
  <si>
    <t>Biotechnology &amp; Applied Microbiology; Chemistry; Electrochemistry; Science &amp; Technology - Other Topics; Instruments &amp; Instrumentation</t>
  </si>
  <si>
    <t>I8AM8</t>
  </si>
  <si>
    <t>WOS:001004958600001</t>
  </si>
  <si>
    <t>Moulaei, K; Bahaadinbeigy, K; Haghdoostd, AA; Nezhad, MS; Sheikhtaheri, A</t>
  </si>
  <si>
    <t>Moulaei, Khadijeh; Bahaadinbeigy, Kambiz; Haghdoostd, Ali Akbar; Nezhad, Mansour Shahabi; Sheikhtaheri, Abbas</t>
  </si>
  <si>
    <t>Overview of the role of robots in upper limb disabilities rehabilitation: a scoping review</t>
  </si>
  <si>
    <t>ARCHIVES OF PUBLIC HEALTH</t>
  </si>
  <si>
    <t>Robots; Rehabilitation; Upper limb; Disabilities; Digital Health</t>
  </si>
  <si>
    <t>CHRONIC STROKE PATIENTS; QUALITY-OF-LIFE; ASSISTED THERAPY; VIRTUAL-REALITY; MOTOR RECOVERY; HAND REHABILITATION; CEREBRAL-PALSY; POST STROKE; ARM; SUBACUTE</t>
  </si>
  <si>
    <t>BackgroundNeuromotor rehabilitation and improvement of upper limb functions are necessary to improve the life quality of patients who have experienced injuries or have pathological outcomes. Modern approaches, such as robotic-assisted rehabilitation can help to improve rehabilitation processes and thus improve upper limb functions. Therefore, the aim of this study was to investigate the role of robots in upper limb disability improvement and rehabilitation.MethodsThis scoping review was conducted by search in PubMed, Web of Science, Scopus, and IEEE (January 2012- February 2022). Articles related to upper limb rehabilitation robots were selected. The methodological quality of all the included studies will be appraised using the Mixed Methods Appraisal Tool (MMAT). We used an 18-field data extraction form to extract data from articles and extracted the information such as study year, country, type of study, purpose, illness or accident leading to disability, level of disability, assistive technologies, number of participants in the study, sex, age, rehabilitated part of the upper limb using a robot, duration and frequency of treatment, methods of performing rehabilitation exercises, type of evaluation, number of participants in the evaluation process, duration of intervention, study outcomes, and study conclusions. The selection of articles and data extraction was made by three authors based on inclusion and exclusion criteria. Disagreements were resolved through consultation with the fifth author. Inclusion criteria were articles involving upper limb rehabilitation robots, articles about upper limb disability caused by any illness or injury, and articles published in English. Also, articles involving other than upper limb rehabilitation robots, robots related to rehabilitation of diseases other than upper limb, systematic reviews, reviews, and meta-analyses, books, book chapters, letters to the editor, and conference papers were also excluded. Descriptive statistics methods (frequency and percentage) were used to analyses the data.ResultsWe finally included 55 relevant articles. Most of the studies were done in Italy (33.82%). Most robots were used to rehabilitate stroke patients (80%). About 60.52% of the studies used games and virtual reality rehabilitate the upper limb disabilities using robots. Among the 14 types of applied evaluation methods, evaluation and measurement of upper limb function and dexterity was the most applied evaluation method. Improvement in musculoskeletal functions, no adverse effect on patients, and Safe and reliable treatment were the most cited outcomes, respectively.ConclusionsOur findings show that robots can improve musculoskeletal functions (musculoskeletal strength, sensation, perception, vibration, muscle coordination, less spasticity, flexibility, and range of motion) and empower people by providing a variety of rehabilitation capabilities.</t>
  </si>
  <si>
    <t>[Moulaei, Khadijeh; Bahaadinbeigy, Kambiz] Kerman Univ Med Sci, Inst Futures Studies Hlth, Med Informat Res Ctr, Kerman, Iran; [Haghdoostd, Ali Akbar] Kerman Univ Med Sci, Inst Futures Studies Hlth, HIV STI Surveillance Res Ctr, WHO Collaborating Ctr HIV Surveillance, Kerman, Iran; [Nezhad, Mansour Shahabi] Kerman Univ Med Sci, Fac Allied Med, Dept Phys Therapy, Kerman, Iran; [Sheikhtaheri, Abbas] Iran Univ Med Sci, Sch Hlth Management &amp; Informat Sci, Dept Hlth Informat Management, Tehran, Iran</t>
  </si>
  <si>
    <t>Kerman University of Medical Sciences; World Health Organization; Kerman University of Medical Sciences; Kerman University of Medical Sciences; Iran University of Medical Sciences</t>
  </si>
  <si>
    <t>Sheikhtaheri, A (corresponding author), Iran Univ Med Sci, Sch Hlth Management &amp; Informat Sci, Dept Hlth Informat Management, Tehran, Iran.</t>
  </si>
  <si>
    <t>Sheikhtaheri.a@iums.ac.ir</t>
  </si>
  <si>
    <t>Bahaadinbeigy, Kambiz/K-7365-2019; Sheikhtaheri, Abbas/M-6433-2018; Moulaei, Khadijeh/ACI-5103-2022</t>
  </si>
  <si>
    <t>0778-7367</t>
  </si>
  <si>
    <t>2049-3258</t>
  </si>
  <si>
    <t>ARCH PUBLIC HEALTH</t>
  </si>
  <si>
    <t>Arch. PUblic Health</t>
  </si>
  <si>
    <t>10.1186/s13690-023-01100-8</t>
  </si>
  <si>
    <t>F5WY9</t>
  </si>
  <si>
    <t>WOS:000983059500001</t>
  </si>
  <si>
    <t>Mastronicola, R; Le Roux, P; Casse, A; Cortese, S; Beulque, E; Perna, M; Dolivet, G</t>
  </si>
  <si>
    <t>Mastronicola, Romina; Le Roux, Pauline; Casse, Aurore; Cortese, Sophie; Beulque, Emilie; Perna, Marco; Dolivet, Gilles</t>
  </si>
  <si>
    <t>Current Approaches to Salvage Surgery for Head and Neck Cancer: A Comprehensive Review</t>
  </si>
  <si>
    <t>head and neck cancer; salvage surgery; free flap; transoral robotic surgery; navigation surgery; sentinel node mapping</t>
  </si>
  <si>
    <t>SQUAMOUS-CELL CARCINOMA; TRANSORAL ROBOTIC SURGERY; RECURRENT HEAD; FREE-FLAP; MICROSURGICAL RECONSTRUCTION; POSTOPERATIVE COMPLICATIONS; INDUCTION CHEMOTHERAPY; INFRAHYOID FLAP; SURVIVAL; PRESERVATION</t>
  </si>
  <si>
    <t>Salvage surgeries of head and neck cancer are often complicated and do not always show decent results. This type of procedure is tough on the patient, as many crucial organs can be affected. A long period of reeducation usually follows the surgery because of the need to rehabilitate functions such as speech or swallowing. In order to lighten the journey of the patients, it is important to develop new technologies and techniques to ease the surgery and limit its damages. This seems even more crucial since progress has been made in the past years, allowing more salvage therapy to take place. This article aims at showing the available tools and procedures for salvage surgeries, such as transoral robotic surgery, free-flap surgery, sentinel node mapping, and many others, that help the work of the medical team to operate or obtain a better understanding of the status of the cancer when taken in charge. Yet, the surgical procedure is not the only thing determining the outcome of the operation. The patient themself and their cancer history also play an important part in the care and must be acknowledged.</t>
  </si>
  <si>
    <t>[Mastronicola, Romina; Le Roux, Pauline; Casse, Aurore; Cortese, Sophie; Beulque, Emilie; Dolivet, Gilles] Inst Cancerol Lorraine ICL, 6 Ave Bourgogne, F-54519 Vandoeuvre Les Nancy, France; [Mastronicola, Romina; Dolivet, Gilles] Univ Lorraine, CNRS, UMR 7039, CRAN, F-54519 Vandoeuvre Les Nancy, France; [Perna, Marco] Technoport, 9 Ave Hauts Fourneaux, L-4362 Esch Sur Alzette, Luxembourg</t>
  </si>
  <si>
    <t>Universite de Lorraine; Centre National de la Recherche Scientifique (CNRS); CNRS - Institute for Information Sciences &amp; Technologies (INS2I)</t>
  </si>
  <si>
    <t>Mastronicola, R (corresponding author), Inst Cancerol Lorraine ICL, 6 Ave Bourgogne, F-54519 Vandoeuvre Les Nancy, France.;Mastronicola, R (corresponding author), Univ Lorraine, CNRS, UMR 7039, CRAN, F-54519 Vandoeuvre Les Nancy, France.</t>
  </si>
  <si>
    <t>r.mastronicola@nancy.unicancer.fr; gdolivet@nancy.unicancer.fr</t>
  </si>
  <si>
    <t>Dolivet, Gilles/HSI-3710-2023</t>
  </si>
  <si>
    <t>Dolivet, Gilles/0000-0003-3765-4051</t>
  </si>
  <si>
    <t>10.3390/cancers15092625</t>
  </si>
  <si>
    <t>G1OF7</t>
  </si>
  <si>
    <t>WOS:000986927200001</t>
  </si>
  <si>
    <t>Bonanno, M; Militi, A; Belponer, FL; De Luca, R; Leonetti, D; Quartarone, A; Ciancarelli, I; Morone, G; Calabro, RS</t>
  </si>
  <si>
    <t>Bonanno, Mirjam; Militi, Angela; Belponer, Francesca La Fauci; De Luca, Rosaria; Leonetti, Danilo; Quartarone, Angelo; Ciancarelli, Irene; Morone, Giovanni; Calabro, Rocco Salvatore</t>
  </si>
  <si>
    <t>Rehabilitation of Gait and Balance in Cerebral Palsy: A Scoping Review on the Use of Robotics with Biomechanical Implications</t>
  </si>
  <si>
    <t>cerebral palsy; robotic neurorehabilitation; balance and gait disorders; biomechanical gait parameters; gross motor functions</t>
  </si>
  <si>
    <t>CHILDREN; HIPPOTHERAPY; THERAPY; WALKING; SIMULATOR; STRENGTH; TRUNK</t>
  </si>
  <si>
    <t>Cerebral palsy (CP) is a congenital and permanent neurological disorder due to non-progressive brain damage that affects gross motor functions, such as balance, trunk control and gait. CP gross motor impairments yield more challenging right foot placement during gait phases, as well as the correct direction of the whole-body center of mass with a stability reduction and an increase in falling and tripping. For these reasons, robotic devices, thanks to their biomechanical features, can adapt easily to CP children, allowing better motor recovery and enjoyment. In fact, physiotherapists should consider each pathological gait feature to provide the patient with the best possible rehabilitation strategy and reduce extra energy efforts and the risk of falling in children affected by CP.</t>
  </si>
  <si>
    <t>[Bonanno, Mirjam; De Luca, Rosaria; Quartarone, Angelo; Calabro, Rocco Salvatore] IRCCS Ctr Neurolesi Bonino Pulejo, Via Palermo,SS 113, I-98124 Messina, Italy; [Militi, Angela] Univ Messina, Dept Biomed &amp; Dent Sci &amp; Morphol &amp; Funct Imaging, I-98125 Messina, Italy; [Belponer, Francesca La Fauci] Azienda Osped Univ AOU, Neuropsichiatria Infantile, Policlin Gaetano Martino, I-98125 Messina, Italy; [Leonetti, Danilo] Univ Messina, Dept Biomed Dent &amp; Morphol &amp; Funct Images, Sect Orthopaed &amp; Traumatol, I-98125 Messina, Italy; [Ciancarelli, Irene; Morone, Giovanni] Univ Aquila, Dept Life Hlth &amp; Environm Sci, I-67100 Laquila, Italy; [Ciancarelli, Irene] ASL 1 Abruzzo Avezzano Sulmona Aquila, I-67100 Laquila, Italy; [Morone, Giovanni] San Raffaele Inst Sulmona, I-67039 Sulmona, Italy</t>
  </si>
  <si>
    <t>IRCCS Bonino Pulejo; University of Messina; AOU Policlinico Gaetano Martino; University of Messina; University Messina Policlin; University of Messina; University of L'Aquila</t>
  </si>
  <si>
    <t>Bonanno, M (corresponding author), IRCCS Ctr Neurolesi Bonino Pulejo, Via Palermo,SS 113, I-98124 Messina, Italy.;Militi, A (corresponding author), Univ Messina, Dept Biomed &amp; Dent Sci &amp; Morphol &amp; Funct Imaging, I-98125 Messina, Italy.</t>
  </si>
  <si>
    <t>mirjam.bonanno@irccsme.it; amiliti@unime.it</t>
  </si>
  <si>
    <t>calabro, rocco/L-9570-2019; Morone, Giovanni/AAN-2666-2020; Bonanno, Mirjam/IUP-3451-2023; Morone, Giovanni/A-9561-2013</t>
  </si>
  <si>
    <t>Morone, Giovanni/0000-0003-3602-4197; Bonanno, Mirjam/0000-0002-3284-9741; calabro, rocco salvatore/0000-0002-8566-3166</t>
  </si>
  <si>
    <t>This study was supported by Current Research Funds 2023, Ministry of Health, Italy.</t>
  </si>
  <si>
    <t>MAY 4</t>
  </si>
  <si>
    <t>10.3390/jcm12093278</t>
  </si>
  <si>
    <t>G2OZ0</t>
  </si>
  <si>
    <t>WOS:000987625900001</t>
  </si>
  <si>
    <t>Huo, YX; Wang, XH; Zhao, WH; Hu, HJ; Li, L</t>
  </si>
  <si>
    <t>Huo, Yunxia; Wang, Xiaohan; Zhao, Weihua; Hu, Huijing; Li, Le</t>
  </si>
  <si>
    <t>Effects of EMG-based robot for upper extremity rehabilitation on post-stroke patients: a systematic review and meta-analysis</t>
  </si>
  <si>
    <t>FRONTIERS IN PHYSIOLOGY</t>
  </si>
  <si>
    <t>EMG-based robot; stroke; upper extremity; meta-analysis; review</t>
  </si>
  <si>
    <t>NEUROMUSCULAR ELECTRICAL-STIMULATION; UPPER-LIMB REHABILITATION; STROKE REHABILITATION; ASSISTED THERAPY; SUBACUTE STROKE; RECOVERY; IMPAIRMENT; ORTHOSIS; FATIGUE; ARM</t>
  </si>
  <si>
    <t>Objective: A growing body of research shows the promise and efficacy of EMG-based robot interventions in improving the motor function in stroke survivors. However, it is still controversial whether the effect of EMG-based robot is more effective than conventional therapies. This study focused on the effects of EMG-based robot on upper limb motor control, spasticity and activity limitation in stroke survivors compared with conventional rehabilitation techniques.Methods: We searched electronic databases for relevant randomized controlled trials. Outcomes included Fugl-Meyer assessment scale (FMA), Modified Ashworth Scale (MAS), and activity level.Result: Thirteen studies with 330 subjects were included. The results showed that the outcomes post intervention was significantly improved in the EMG-based robot group. Results from subgroup analyses further revealed that the efficacy of the treatment was better in patients in the subacute stage, those who received a total treatment time of less than 1000 min, and those who received EMG-based robotic therapy combined with electrical stimulation (ES).Conclusion: The effect of EMG-based robot is superior to conventional therapies in terms of improving upper extremity motor control, spasticity and activity limitation. Further research should explore optimal parameters of EMG-based robot therapy and its long-term effects on upper limb function in post-stroke patients.</t>
  </si>
  <si>
    <t>[Huo, Yunxia; Wang, Xiaohan; Hu, Huijing; Li, Le] Northwestern Polytech Univ, Inst Med Res, Xian, Peoples R China; [Huo, Yunxia; Wang, Xiaohan; Li, Le] Northwestern Polytech Univ Shenzhen, Res &amp; Dev Inst, Shenzhen, Peoples R China; [Zhao, Weihua] Northwestern Polytech Univ Hosp, Xian, Peoples R China</t>
  </si>
  <si>
    <t>Northwestern Polytechnical University; Northwestern Polytechnical University</t>
  </si>
  <si>
    <t>Hu, HJ; Li, L (corresponding author), Northwestern Polytech Univ, Inst Med Res, Xian, Peoples R China.;Li, L (corresponding author), Northwestern Polytech Univ Shenzhen, Res &amp; Dev Inst, Shenzhen, Peoples R China.</t>
  </si>
  <si>
    <t>huhuijing@nwpu.edu.cn; lile5@nwpu.edu.cn</t>
  </si>
  <si>
    <t>Hu, Yunxia/D-7623-2019; Wang, Xiaohan/JKI-4414-2023; Li, Le/N-1841-2019</t>
  </si>
  <si>
    <t>Li, Le/0000-0002-9340-9061</t>
  </si>
  <si>
    <t>National Natural Science Foundation of China [32071316, 32211530049]; Key Research and Development Project of Shaanxi province [2022SF-117]; Natural Science Foundation of Shaanxi province [2022-JM482]; Shenzhen Science and Technology Program [GJHZ20210705143401005]; Education and Teaching Reform Funds for the Central Universities [22GZ230101]</t>
  </si>
  <si>
    <t>National Natural Science Foundation of China(National Natural Science Foundation of China (NSFC)); Key Research and Development Project of Shaanxi province; Natural Science Foundation of Shaanxi province(Natural Science Foundation of Shaanxi Province); Shenzhen Science and Technology Program; Education and Teaching Reform Funds for the Central Universities</t>
  </si>
  <si>
    <t>This work was supported by the National Natural Science Foundation of China (No.32071316, 32211530049), the Key Research and Development Project of Shaanxi province (2022SF-117), the Natural Science Foundation of Shaanxi province (2022-JM482), Shenzhen Science and Technology Program (GJHZ20210705143401005) and the Education and Teaching Reform Funds for the Central Universities (No.22GZ230101).</t>
  </si>
  <si>
    <t>1664-042X</t>
  </si>
  <si>
    <t>FRONT PHYSIOL</t>
  </si>
  <si>
    <t>Front. Physiol.</t>
  </si>
  <si>
    <t>10.3389/fphys.2023.1172958</t>
  </si>
  <si>
    <t>Physiology</t>
  </si>
  <si>
    <t>I1LC3</t>
  </si>
  <si>
    <t>WOS:001000453500001</t>
  </si>
  <si>
    <t>Nguyen, CM; Uy, J; Serrada, I; Hordacre, B</t>
  </si>
  <si>
    <t>Nguyen, Chi Mai; Uy, Jeric; Serrada, Ines; Hordacre, Brenton</t>
  </si>
  <si>
    <t>Quantifying patient experiences with therapeutic neurorehabilitation technologies: a scoping review</t>
  </si>
  <si>
    <t>Rehabilitation; technology; questionnaire; patient experience; survey; robotics; virtual reality</t>
  </si>
  <si>
    <t>VIRTUAL-REALITY REHABILITATION; UPPER EXTREMITY FUNCTION; QUEBEC USER EVALUATION; CHRONIC STROKE; UPPER-LIMB; USABILITY; SATISFACTION; BALANCE; ROBOT; GAIT</t>
  </si>
  <si>
    <t>PurposeNeurorehabilitation technologies are a novel approach to providing rehabilitation for patients with neurological conditions. There is a need to explore patient experiences. This study aimed; 1) To identify available questionnaires that assess patients' experiences with neurorehabilitation technologies, and 2) where reported, to document the psychometric properties of the identified questionnaires.Materials and MethodsFour databases were searched (Medline, Embase, Emcare and PsycInfo). The inclusion criteria were all types of primary data collection that included neurological patients of all ages who had experienced therapy with neurorehabilitation technologies and completed questionnaires to assess these experiences.ResultsEighty-eight publications were included. Fifteen different questionnaires along with many self-developed scales were identified. These were categorised as; 1) self-developed tools, 2) specific questionnaire for a particular technology, and 3) generic questionnaires originally developed for a different purpose. The questionnaires were used to assess various technologies, including virtual reality, robotics, and gaming systems. Most studies did not report any psychometric properties.ConclusionMany tools have been used to evaluate patient experiences, but few were specifically developed for neurorehabilitation technologies and psychometric data was limited. A preliminary recommendation would be use of the User Satisfaction Evaluation Questionnaire to evaluate patient experience with virtual reality systems.</t>
  </si>
  <si>
    <t>[Nguyen, Chi Mai; Uy, Jeric; Serrada, Ines] Univ South Australia, Allied Hlth &amp; Human Performance, Adelaide, Australia; [Hordacre, Brenton] Univ South Australia, Innovat Implementat &amp; Clin Translat IIMPACT, Hlth Allied Hlth &amp; Human Performance, Adelaide, Australia; [Hordacre, Brenton] Univ South Australia, Innovat Implementat &amp; Clin Translat IIMPACT Hlth, Allied Hlth &amp; Human Performance Acad Unit, City East Campus,GPO Box 2471, Adelaide, Australia</t>
  </si>
  <si>
    <t>University of South Australia; University of South Australia; University of South Australia</t>
  </si>
  <si>
    <t>Hordacre, B (corresponding author), Univ South Australia, Innovat Implementat &amp; Clin Translat IIMPACT Hlth, Allied Hlth &amp; Human Performance Acad Unit, City East Campus,GPO Box 2471, Adelaide, Australia.</t>
  </si>
  <si>
    <t>brenton.hordacre@unisa.edu.au</t>
  </si>
  <si>
    <t>Serrada, Ines/ABJ-8020-2022</t>
  </si>
  <si>
    <t>Serrada, Ines/0000-0003-1031-4903; Uy, Jeric/0000-0002-1122-5593; Hordacre, Brenton/0000-0002-7129-6684</t>
  </si>
  <si>
    <t>10.1080/09638288.2023.2201514</t>
  </si>
  <si>
    <t>WB2F9</t>
  </si>
  <si>
    <t>WOS:000979851000001</t>
  </si>
  <si>
    <t>Moulaei, K; Bahaadinbeigy, K; Haghdoostd, A; Nezhad, MS; Gheysari, M; Sheikhtaheri, A</t>
  </si>
  <si>
    <t>Moulaei, Khadijeh; Bahaadinbeigy, Kambiz; Haghdoostd, AliAkbar; Nezhad, Mansour S.; Gheysari, Mohammad; Sheikhtaheri, Abbas</t>
  </si>
  <si>
    <t>An analysis of clinical outcomes and essential parameters for designing effective games for upper limb rehabilitation: A scoping review</t>
  </si>
  <si>
    <t>HEALTH SCIENCE REPORTS</t>
  </si>
  <si>
    <t>game; rehabilitation; Upper limb; virtual reality (VR)</t>
  </si>
  <si>
    <t>IN-HOME TELEREHABILITATION; QUALITY-OF-LIFE; VIRTUAL-REALITY; UPPER EXTREMITY; CHRONIC STROKE; SERIOUS GAMES; KNEE ARTHROPLASTY; MOVEMENT THERAPY; VIDEO GAMES; HEALTH</t>
  </si>
  <si>
    <t>Background and AimsUpper limb disabilities are one of the most common disabilities among different groups of people who always need rehabilitation. One of the important methods in helping to carry out efficient rehabilitation processes and exercises is the use of games. The aim of this study is to identify the parameters necessary to design a successful rehabilitation game and the outcomes of using these games in upper limb disabilities rehabilitation. MethodsThis scoping review was conducted by searching the Web of Science, PubMed, and Scopus. The eligibility criteria were: any form of game-based upper limb rehabilitation, published in a peer-reviewed journal, published in English, and not include articles that did not focus upper limb disabilities rehabilitation games, review, meta-analysis, or conference papers. Analysis of collected data was done using descriptive statistics (frequency and percentage). ResultsThe search strategy retrieved 537 relevant articles. Finally, after removing irrelevant and repetitive articles, 21 articles were included in this study. Among the six categories of diseases or complications of upper limb disabilities, games were mostly designed for stroke patients. Smart wearables, robots and telerehabilitation were three technologies that were used for rehabilitation along with games. Sports and shooters were the most used games for upper limb disability rehabilitation. Among 99 necessary parameters for designing and implementing a successful rehabilitation game in ten categories. Increasing the patient's motivation to perform rehabilitation exercises, Game difficulty levels, Enjoying and the attractiveness of the game for patients, and Providing positive or negative audiovisual feedback were the most important parameters. Improvement in musculoskeletal performance and Increasing users' enjoyment/joy of therapeutic exercises and their motivation to perform these exercises were the most important positive outcomes, and Mild discomfort such as nausea and dizziness when using games was the only negative outcome. ConclusionsThe successful design of a game according to the parameters identified in the present study can lead to an increase in the positive outcomes of using games in the rehabilitation of disabilities. The study results indicate that upper limb therapeutic exercise augmented with virtual reality games may be highly effective in enhancing motor rehabilitation outcomes.</t>
  </si>
  <si>
    <t>[Moulaei, Khadijeh; Bahaadinbeigy, Kambiz] Kerman Univ Med Sci, Inst Futures Studies Hlth, Med Informat Res Ctr, Kerman, Iran; [Haghdoostd, AliAkbar] Kerman Univ Med Sci, HIV STI Surveillance Res Ctr, Kerman, Iran; [Haghdoostd, AliAkbar] Kerman Univ Med Sci, Inst Futures Studies Hlth, WHO Collaborating Ctr HIV Surveillance, Kerman, Iran; [Nezhad, Mansour S.] Kerman Univ Med Sci, Fac Allied Med, Dept Phys Therapy, Kerman, Iran; [Gheysari, Mohammad] Univ Tehran, Fac Management, Business Adm Management Digital Transformat, Tehran, Iran; [Sheikhtaheri, Abbas] Iran Univ Med Sci, Sch Hlth Management &amp; Informat Sci, Dept Hlth Informat Management, Tehran, Iran</t>
  </si>
  <si>
    <t>Kerman University of Medical Sciences; Kerman University of Medical Sciences; Kerman University of Medical Sciences; World Health Organization; Kerman University of Medical Sciences; University of Tehran; Iran University of Medical Sciences</t>
  </si>
  <si>
    <t>Moulaei, Khadijeh/ACI-5103-2022; Sheikhtaheri, Abbas/M-6433-2018; Bahaadinbeigy, Kambiz/K-7365-2019</t>
  </si>
  <si>
    <t>Bahaadinbeigy, Kambiz/0000-0002-5430-3758</t>
  </si>
  <si>
    <t>Medical Informatics Research Center of Kerman University of Medical Sciences [99001139]</t>
  </si>
  <si>
    <t>Medical Informatics Research Center of Kerman University of Medical Sciences</t>
  </si>
  <si>
    <t>Medical Informatics Research Center of Kerman University of Medical Sciences, Grant/Award Number: 99001139</t>
  </si>
  <si>
    <t>2398-8835</t>
  </si>
  <si>
    <t>HEALTH SCI REP-US</t>
  </si>
  <si>
    <t>Health Sci. Rep.</t>
  </si>
  <si>
    <t>e1255</t>
  </si>
  <si>
    <t>10.1002/hsr2.1255</t>
  </si>
  <si>
    <t>Public, Environmental &amp; Occupational Health; Medicine, General &amp; Internal</t>
  </si>
  <si>
    <t>Public, Environmental &amp; Occupational Health; General &amp; Internal Medicine</t>
  </si>
  <si>
    <t>G0FA4</t>
  </si>
  <si>
    <t>WOS:000986001700001</t>
  </si>
  <si>
    <t>La Rosa, G; Avola, M; Di Gregorio, T; Calabrò, RS; Onesta, MP</t>
  </si>
  <si>
    <t>La Rosa, Giuseppe; Avola, Marianna; Di Gregorio, Tiziana; Calabro, Rocco Salvatore; Onesta, Maria Pia</t>
  </si>
  <si>
    <t>Gait Recovery in Spinal Cord Injury: A Systematic Review with Metanalysis Involving New Rehabilitative Technologies</t>
  </si>
  <si>
    <t>gait recovery; spinal cord injury; robotic rehabilitation; intermittent hypoxia; transcranial magnetic stimulation; transcranial direct current stimulation</t>
  </si>
  <si>
    <t>TRANSCRANIAL MAGNETIC STIMULATION; LONG-TERM FACILITATION; ROBOTIC-ASSISTED GAIT; INTERMITTENT HYPOXIA; ENHANCES WALKING; MOTOR FUNCTION; INDIVIDUALS; PLASTICITY; PEOPLE; INTERVENTIONS</t>
  </si>
  <si>
    <t>Gait recovery is a fundamental goal in patients with spinal cord injury to attain greater autonomy and quality of life. Robotics is becoming a valid tool in improving motor, balance, and gait function in this patient population. Moreover, other innovative approaches are leading to promising results. The aim of this study was to investigate new rehabilitative methods for gait recovery in people who have suffered spinal cord injuries. A systematic review of the last 10 years of the literature was performed in three databases (PubMed, PEDro, andCochrane). We followed this PICO of the review: P: adults with non-progressive spinal cord injury; I: new rehabilitative methods; C: new methods vs. conventional methods; and O: improvement of gait parameters. When feasible, a comparison through ES forest plots was performed. A total of 18 RCTs of the 599 results obtained were included. The studies investigated robotic rehabilitation (n = 10), intermittent hypoxia (N = 3) and external stimulation (N = 5). Six studies of the first group (robotic rehabilitation) were compared using a forest plot for 10MWT, LEMS, WISCI-II, and SCIM-3. The other clinical trials were analyzed through a narrative review of the results. We found weak evidence for the claim that robotic devices lead to better outcomes in gait independence compared to conventional rehabilitation methods. External stimulation and intermittent hypoxia seem to improve gait parameters associated with other rehabilitation methods. Research investigating the role of innovative technologies in improving gait and balance is needed since walking ability is a fundamental issue in patients with SCI.</t>
  </si>
  <si>
    <t>[La Rosa, Giuseppe; Avola, Marianna] Consorzio Siciliano Riabilitaz, I-95100 Catania, Italy; [Di Gregorio, Tiziana; Onesta, Maria Pia] AO Cannizzaro, Unita Spinale Unipolare, I-98102 Catania, Italy; [Calabro, Rocco Salvatore] IRCCS Ctr Neurolesi Bonino Pulejo, I-98124 Messina, Italy</t>
  </si>
  <si>
    <t>Calabro, RS (corresponding author), IRCCS Ctr Neurolesi Bonino Pulejo, I-98124 Messina, Italy.</t>
  </si>
  <si>
    <t>larosa.csr@outlook.com; mariannaavola.md@gmail.com; digregoriotiziana.doc@gmail.com; roccos.calabro@irccsme.it</t>
  </si>
  <si>
    <t>Onesta, Maria Pia/NFT-7433-2025; Calabrò, Rocco/K-7520-2016; La Rosa, Giuseppe/ITU-7690-2023</t>
  </si>
  <si>
    <t>calabro, rocco salvatore/0000-0002-8566-3166; Avola, Marianna/0000-0003-3177-8731; La Rosa, Giuseppe/0000-0003-0287-1267</t>
  </si>
  <si>
    <t>APR 22</t>
  </si>
  <si>
    <t>10.3390/brainsci13050703</t>
  </si>
  <si>
    <t>H1MK9</t>
  </si>
  <si>
    <t>WOS:000993671300001</t>
  </si>
  <si>
    <t>Nath, RK; Somasundaram, C</t>
  </si>
  <si>
    <t>Nath, Rahul K.; Somasundaram, Chandra</t>
  </si>
  <si>
    <t>Double Fascicular Nerve Transfer Restored Nearly Normal Functional Movements in a Completely Paralyzed Upper Extremity Resulting from an ACDF Surgery: A Case Report and Review of Recent Literature</t>
  </si>
  <si>
    <t>AMERICAN JOURNAL OF CASE REPORTS</t>
  </si>
  <si>
    <t>Cervical Spine Fusion Anomalies; Brachial Plexus Neuropathies; Nerve Transfer; Range of Motion; Articular</t>
  </si>
  <si>
    <t>SPINAL ACCESSORY NERVE; SUPRASCAPULAR NERVE; C5 PALSY; DECOMPRESSION; RESTORATION</t>
  </si>
  <si>
    <t>Objective: Unusual clinical courseBackground: Cervical spine deformities can occur because of genetic, congenital, inflammatory, degenerative, or iatrogenic causes.Case Report: We report a 45-year-old woman who presented to our clinic with complete paralysis of the left upper extrem-ity 5 months after C4-C6 discectomy and fusion surgery. The electrodiagnostic and EMG reports 3 months af-ter her previous surgery revealed left C5-C7 polyradiculopathy involving the upper trunk, lateral and posterior cords, and atrophy of the left deltoids, triceps, and biceps muscles. She underwent the following nerve transfer procedures with the senior author (RKN): The median nerve fascicles were transferred to the biceps and bra-chialis branches of the musculocutaneous nerve. Radial nerve triceps branches were transferred to the deltoid and teres minor branches of the axillary nerve. The patient could fully abduct her left shoulder to 170 degrees, and the LUE functions were restored to nearly normal 17 months after the surgery.Conclusions: Neurolysis combined with nerve transfer might be the most effective treatment for cervical spinal root inju-ries. Advances in peripheral nerve rewiring, transcranial magnetic stimulation, brain-computer interface robot-ic technologies, and emerging rehabilitation will undoubtedly increase the possibility of reviving the extremi-ties in patients with central pathology by restoring the descending motor signals through the residual neural network connections.</t>
  </si>
  <si>
    <t>[Nath, Rahul K.; Somasundaram, Chandra] Texas Nerve &amp; Paralysis Inst, Dept Res, Houston, TX 77030 USA</t>
  </si>
  <si>
    <t>Nath, RK (corresponding author), Texas Nerve &amp; Paralysis Inst, Dept Res, Houston, TX 77030 USA.</t>
  </si>
  <si>
    <t>rnath@drnathmedical.com</t>
  </si>
  <si>
    <t>Nath, Rahul Kumar/0000-0002-6711-9976</t>
  </si>
  <si>
    <t>1941-5923</t>
  </si>
  <si>
    <t>AM J CASE REP</t>
  </si>
  <si>
    <t>Am. J. Case Rep.</t>
  </si>
  <si>
    <t>APR 21</t>
  </si>
  <si>
    <t>e938650</t>
  </si>
  <si>
    <t>10.12659/AJCR.938650</t>
  </si>
  <si>
    <t>E5RT8</t>
  </si>
  <si>
    <t>WOS:000976120200001</t>
  </si>
  <si>
    <t>Yang, FA; Lin, CL; Huang, WC; Wang, HY; Peng, CW; Chen, HC</t>
  </si>
  <si>
    <t>Yang, Fu-An; Lin, Chien-Lin; Huang, Wan-Chien; Wang, Hsun-Yi; Peng, Chih-Wei; Chen, Hung-Chou</t>
  </si>
  <si>
    <t>Effect of Robot-Assisted Gait Training on Multiple Sclerosis: A Systematic Review and Meta-analysis of Randomized Controlled Trials</t>
  </si>
  <si>
    <t>multiple sclerosis; robotic-assisted gait training; gait; systematic review; meta-analysis</t>
  </si>
  <si>
    <t>QUALITY-OF-LIFE; WALK TEST; SCALE; REHABILITATION; RELIABILITY; PEOPLE; PERFORMANCE; VALIDITY; OUTCOMES; FATIGUE</t>
  </si>
  <si>
    <t>Background In recent meta-analyses, robot-assisted gait training for patients with multiple sclerosis (MS) have yielded limited clinical benefits compared with conventional overground gait training. Objective To investigate the effect of robot-assisted gait training for patients with MS on clinical outcomes through a systematic review and meta-analysis. Methods We searched for relevant studies in the PubMed, EMBASE, Cochrane Library, and Physiotherapy Evidence Database databases from their inception to April 7, 2022. We selected studies that (1) included participants with MS, (2) used robot-assisted gait training as the intervention, (3) included conventional overground gait training or another gait training protocol as control treatment, and (4) reported clinical outcomes. Continuous variables are expressed as standardized mean differences with 95% confidence intervals. Statistical analyses were performed using RevMan 5.4 software. Results We included 16 studies enrolling 536 participants. Significant improvement was observed in the intervention group, with low heterogeneity at the end of the intervention with regard to walking velocity (standardized mean difference [SMD]: 0.38, 95% confidence interval [CI]: [0.15, 0.60]), walking endurance (SMD: 0.26, 95% CI [0.04, 0.48]), mobility (SMD: -0.37, 95% CI [-0.60, -0.14]), balance (SMD: 0.26, 95% CI [0.04, 0.48]), and fatigue (SMD: -0.27, 95% CI [-0.49, -0.04]). The results of subgroup analyses revealed improvements in these outcomes for the intervention group using grounded exoskeletons. No significant differences were noted in all the outcomes between the groups at follow-up. Conclusions Robot-assisted gait training with grounded exoskeletons exerts a positive short-term effect and is an adequate treatment option for patients with MS.</t>
  </si>
  <si>
    <t>[Yang, Fu-An] Taipei Med Univ, Coll Med, Sch Med, Taipei, Taiwan; [Yang, Fu-An] China Med Univ Hosp, Dept Med Educ, Taichung, Taiwan; [Lin, Chien-Lin] China Med Univ Hosp, Dept Phys Med &amp; Rehabil, Taichung, Taiwan; [Huang, Wan-Chien; Chen, Hung-Chou] Taipei Med Univ, Shuang Ho Hosp, Dept Phys Med &amp; Rehabil, New Taipei City, Taiwan; [Wang, Hsun-Yi] Kaohsiung Med Univ, Kaohsiung Med Univ Hosp, Dept Gen Med, Kaohsiung, Taiwan; [Peng, Chih-Wei] Taipei Med Univ, Coll Biomed Engn, Sch Biomed Engn, Taipei, Taiwan; [Chen, Hung-Chou] Taipei Med Univ, Coll Med, Sch Med, Dept Phys Med &amp; Rehabil, Taipei, Taiwan; [Chen, Hung-Chou] Taipei Med Univ, Shuang Ho Hosp, Ctr Evidence Based Hlth Care, New Taipei City, Taiwan; [Chen, Hung-Chou] Taipei Med Univ, Shuang Ho Hosp, Dept Phys Med &amp; Rehabil, 291 Zhongjheng Rd, New Taipei City 235, Taiwan</t>
  </si>
  <si>
    <t>Taipei Medical University; China Medical University Taiwan; China Medical University Hospital - Taiwan; China Medical University Taiwan; China Medical University Hospital - Taiwan; Taipei Medical University; Kaohsiung Medical University; Kaohsiung Medical University Hospital; Taipei Medical University; Taipei Medical University; Taipei Medical University; Taipei Medical University</t>
  </si>
  <si>
    <t>Chen, HC (corresponding author), Taipei Med Univ, Shuang Ho Hosp, Dept Phys Med &amp; Rehabil, 291 Zhongjheng Rd, New Taipei City 235, Taiwan.</t>
  </si>
  <si>
    <t>10462@s.tmu.edu.tw</t>
  </si>
  <si>
    <t>Hung, Kun-Che/AAG-8074-2021</t>
  </si>
  <si>
    <t>Chen, Hung-Chou/0000-0001-8510-7437; Yang, Fu An/0000-0002-7281-0729; Peng, Chih-Wei/0000-0001-9744-4094</t>
  </si>
  <si>
    <t>10.1177/15459683231167850</t>
  </si>
  <si>
    <t>APR 2023</t>
  </si>
  <si>
    <t>E3LS9</t>
  </si>
  <si>
    <t>WOS:000971417100001</t>
  </si>
  <si>
    <t>Cumplido-Trasmonte, C; Molina-Rueda, F; Puyuelo-Quintana, G; Plaza-Flores, A; Hernández-Melero, M; Barquín-Santos, E; Destarac-Eguizabal, M; García-Armada, E</t>
  </si>
  <si>
    <t>Cumplido-Trasmonte, C.; Molina-Rueda, F.; Puyuelo-Quintana, G.; Plaza-Flores, A.; Hernandez-Melero, M.; Barquin-Santos, E.; Destarac-Eguizabal, MA.; Garcia-Armada, E.</t>
  </si>
  <si>
    <t>Satisfaction analysis of overground gait exoskeletons in people with neurological pathology. a systematic review</t>
  </si>
  <si>
    <t>Overground exoskeleton; Satisfaction; Neurology; Rehabilitation</t>
  </si>
  <si>
    <t>ANKLE-FOOT ORTHOSIS; POWERED EXOSKELETON; CEREBRAL-PALSY; PATIENT SATISFACTION; ROBOTIC EXOSKELETON; WALKING; REHABILITATION; TECHNOLOGY; ASSISTANCE; CHILDREN</t>
  </si>
  <si>
    <t>Background People diagnosed with neurological pathology may experience gait disorders that affect their quality of life. In recent years, research has been carried out on a variety of exoskeletons in this population. However, the satisfaction perceived by the users of these devices is not known. Therefore, the objective of the present study is to evaluate the satisfaction perceived by users with neurological pathology (patients and professionals) after the use of overground exoskeletons. Methods A systematic search of five electronic databases was conducted. In order to be included in this review for further analysis, the studies had to meet the following criteria: [1] the study population was people diagnosed with neurological pathology; [2] the exoskeletons had to be overground and attachable to the lower limbs; and [3]: the studies were to include measures assessing either patient or therapist satisfaction with the exoskeletons. Results Twenty-three articles were selected, of which nineteen were considered clinical trials. Participants diagnosed with stroke (n = 165), spinal cord injury (SCI) (n = 102) and multiple sclerosis (MS) (n = 68). Fourteen different overground exoskeleton models were analysed. Fourteen different methods of assessing patient satisfaction with the devices were found, and three ways to evaluate it in therapists. Conclusion Users' satisfaction with gait overground exoskeletons in stroke, SCI and MS seems to show positive results in safety, efficacy and comfort of the devices. However, the worst rated aspects and therefore those that should be optimized from the users' point of view are ease of adjustment, size and weight, and ease of use.</t>
  </si>
  <si>
    <t>[Cumplido-Trasmonte, C.; Plaza-Flores, A.; Hernandez-Melero, M.; Garcia-Armada, E.] UPM, Ctr Automat &amp; Robot CAR, CSIC, Ctra Campo Real Km 0-2, Madrid 28500, Spain; [Cumplido-Trasmonte, C.; Puyuelo-Quintana, G.] Rey Juan Carlos Univ, Int Doctoral Sch, Madrid 28922, Spain; [Molina-Rueda, F.] Rey Juan Carlos Univ, Dept Phys Therapy Phys Med &amp; Rehabil, Madrid, Spain; [Puyuelo-Quintana, G.; Plaza-Flores, A.; Barquin-Santos, E.; Destarac-Eguizabal, MA.] Marsi Bion SL, Madrid, Spain; [Plaza-Flores, A.] Univ Politecn Madrid, Madrid, Spain</t>
  </si>
  <si>
    <t>Consejo Superior de Investigaciones Cientificas (CSIC); Universidad Politecnica de Madrid; CSIC-UPM - Centro de Automatica y Robotica; Universidad Rey Juan Carlos; Universidad Rey Juan Carlos; Universidad Politecnica de Madrid</t>
  </si>
  <si>
    <t>Cumplido-Trasmonte, C; García-Armada, E (corresponding author), UPM, Ctr Automat &amp; Robot CAR, CSIC, Ctra Campo Real Km 0-2, Madrid 28500, Spain.;Cumplido-Trasmonte, C (corresponding author), Rey Juan Carlos Univ, Int Doctoral Sch, Madrid 28922, Spain.</t>
  </si>
  <si>
    <t>carlos.cumplido@marsibionics.com</t>
  </si>
  <si>
    <t>Molina-Rueda, Francisco/B-4156-2015; Hernández, Mar/HSH-3709-2023; Cumplido Trasmonte, Carlos/HGC-8567-2022</t>
  </si>
  <si>
    <t>Cumplido Trasmonte, Carlos/0000-0002-2878-9272; Barquin Santos, Eva/0000-0002-9517-5262</t>
  </si>
  <si>
    <t>Springer Nature</t>
  </si>
  <si>
    <t>Open Access funding provided thanks to the CRUE-CSIC agreement with Springer Nature.</t>
  </si>
  <si>
    <t>APR 18</t>
  </si>
  <si>
    <t>10.1186/s12984-023-01161-4</t>
  </si>
  <si>
    <t>E3UI8</t>
  </si>
  <si>
    <t>WOS:000974826200001</t>
  </si>
  <si>
    <t>Al-waeli, KH; Ramli, R; Haris, SM; Zulkoffli, ZB</t>
  </si>
  <si>
    <t>Al-waeli, Karrar H.; Ramli, Rizauddin; Haris, Sallehuddin Mohamed; Zulkoffli, Zuliani Binti</t>
  </si>
  <si>
    <t>Development of gait rehabilitation devices: a review of the literature</t>
  </si>
  <si>
    <t>MECHANICAL ENGINEERING JOURNAL</t>
  </si>
  <si>
    <t>Stroke patient; Physiotherapy; Lower Limb Exoskeleton (LLE); Industry development; Gait reha-bilitation</t>
  </si>
  <si>
    <t>LOWER-LIMB EXOSKELETON; IMPEDANCE CONTROL; CONTROL STRATEGIES; PID CONTROLLER; DESIGN; ROBOT; MECHANISM; MANIPULATION</t>
  </si>
  <si>
    <t>A Stroke is a neurological disease due to poor blood flowing to the brain, resulting in body cell death. It is ranked second as the most common cause of death globally. The World Health Organization estimates that about 15 million people suffer a stroke annually. Most stroke survivors have gait disorders, and most patients cannot walk without assistance. Physiotherapy is crucial for stroke patients to recover and maintain their mobility, functionality, and well-being. In the last 20 years, the replacement of physiotherapists with wearable robotics has become essential due to the developing technology, the need for economic growth, and the challenging health circumstances around the world, such as the COVID-19 pandemic recently. Lower Limb Exoskeleton (LLE) represents the solution for stroke patients under such circumstances, though its performance is a critical challenge paid attention to in the industry. This challenge has motivated the researchers to investigate the application of gait rehabilitation. This review presents and discusses the developments in the control system of LLE over the last decade. It also explores the limitations, new directions, and recommendations in LLE development according to the literature.</t>
  </si>
  <si>
    <t>[Al-waeli, Karrar H.; Ramli, Rizauddin; Haris, Sallehuddin Mohamed] Univ Kebangsaan Malaysia, Fac Engn &amp; Built Environm, Dept Mech &amp; Mfg Engn, Bangi 43600, Selangor, Malaysia; [Zulkoffli, Zuliani Binti] Univ Coll Sedaya Int UCSI, Fac Engn Technol &amp; Built Environm, Dept Mech &amp; Mechatron Engn, Kuala Lumpur 56000, Malaysia</t>
  </si>
  <si>
    <t>Universiti Kebangsaan Malaysia</t>
  </si>
  <si>
    <t>zulkoffli, zuliani/AAD-4143-2019; Al-Waeli, Karrar/ABB-1320-2021; Ramli, Rizauddin/E-2471-2017; Haris, Sallehuddin/AAD-8825-2022; Ramli, Rizauddin/N-9976-2013</t>
  </si>
  <si>
    <t>Universiti Kebangsaan Malaysia (UKM); Ministry of Higher Education Malaysia [DIP-2022-005]</t>
  </si>
  <si>
    <t>Universiti Kebangsaan Malaysia (UKM); Ministry of Higher Education Malaysia(Ministry of Education, Malaysia)</t>
  </si>
  <si>
    <t>The authors would like to thank Universiti Kebangsaan Malaysia (UKM) and the Ministry of Higher Education Malaysia for supporting this research under grant DIP-2022-005.</t>
  </si>
  <si>
    <t>JAPAN SOC MECHANICAL ENGINEERS</t>
  </si>
  <si>
    <t>KDX Iidabashi Square Bldg, 2nd Floor, 4-1 Shin-ogawamachi, Shinjuku-ku, TOKYO, 162-0814, JAPAN</t>
  </si>
  <si>
    <t>2187-9745</t>
  </si>
  <si>
    <t>MECH ENG J</t>
  </si>
  <si>
    <t>Mech. Eng. J.</t>
  </si>
  <si>
    <t>10.1299/mej.22-00450</t>
  </si>
  <si>
    <t>CE2O3</t>
  </si>
  <si>
    <t>WOS:000972305200001</t>
  </si>
  <si>
    <t>Charette, C; Déry, J; Blanchette, AK; Faure, C; Routhier, F; Bouyer, LJ; Lamontagne, ME</t>
  </si>
  <si>
    <t>Charette, Caroline; Dery, Julien; Blanchette, Andreanne K.; Faure, Celine; Routhier, Francois; Bouyer, Laurent J.; Lamontagne, Marie-Eve</t>
  </si>
  <si>
    <t>A Systematic Review of the Determinants of Implementation of a Locomotor Training Program Using a Powered Exoskeleton for Individuals with a Spinal Cord Injury</t>
  </si>
  <si>
    <t>Robotics; perceptions; gait; barriers; facilitators</t>
  </si>
  <si>
    <t>ROBOTIC EXOSKELETON; ASSISTED WALKING; ENERGY EFFICIENCY; BODY-COMPOSITION; GAIT; REHABILITATION; WPAL; SATISFACTION; TECHNOLOGY; CLINICIAN</t>
  </si>
  <si>
    <t>Background: Wearable powered exoskeletons represent a promising rehabilitation tool for locomotor training in various populations, including in individuals with a spinal cord injury. The lack of clear evidence on how to implement a locomotor powered exoskeleton training program raises many challenges for patients, clinicians and organizations. Objective: To report determinants of implementation in clinical practice of an overground powered exoskeleton locomotor training program for persons with a spinal cord injury. Data sources: Medline, CINAHL, Web of Science.Study selectionStudies were included if they documented determinants of implementation of an overground powered exoskeleton locomotor training program for individuals with spinal cord injury. Data extraction: Eligible studies were identified by two independent reviewers. Data were extracted by one reviewer, based on constructs of the Consolidated Framework for Implementation Research, and validated by a second reviewer. Results:Sixty-three articles were included. 49.4% of all determinants identified were related to the intervention characteristics, 29.6% to the individuals' characteristic and 13.5% to the inner setting. Recurrent barriers identified were the high prevalence of adverse events (e.g., skin issues, falls) and device malfunctions. Adequate training for clinicians, time and resource available, as well as discussion about patients' expectations were identified as facilitators. Conclusions:Powered exoskeleton training is a complex intervention. The limited information on the context and the implementation process domains may represent a barrier to a successful transition from knowledge to action.</t>
  </si>
  <si>
    <t>[Charette, Caroline; Dery, Julien; Blanchette, Andreanne K.; Routhier, Francois; Bouyer, Laurent J.; Lamontagne, Marie-Eve] Univ Laval, Dept Rehabil, Quebec City, PQ, Canada; [Charette, Caroline; Dery, Julien; Blanchette, Andreanne K.; Faure, Celine; Routhier, Francois; Bouyer, Laurent J.; Lamontagne, Marie-Eve] Ctr Integre Univ Sante &amp; Serv Sociaux Capitale Na, Ctr Interdisciplinary Res Rehabil &amp; Social Integr, 525 Boul Wilfrid Hamel, Quebec City, PQ G1M 2S8, Canada; [Blanchette, Andreanne K.; Bouyer, Laurent J.] Themat Ctr Res Neurosci, Quebec City, PQ, Canada</t>
  </si>
  <si>
    <t>Laval University; Laval University</t>
  </si>
  <si>
    <t>Lamontagne, ME (corresponding author), Ctr Integre Univ Sante &amp; Serv Sociaux Capitale Na, Ctr Interdisciplinary Res Rehabil &amp; Social Integr, 525 Boul Wilfrid Hamel, Quebec City, PQ G1M 2S8, Canada.</t>
  </si>
  <si>
    <t>marie-eve.lamontagne@fmed.ulaval.ca</t>
  </si>
  <si>
    <t>Bouyer, Laurent/A-9255-2010</t>
  </si>
  <si>
    <t>Dery, Julien/0000-0002-6070-6238; Blanchette, Andreanne K./0000-0003-4028-2957</t>
  </si>
  <si>
    <t>Praxis Spinal Cord Institute [G2020-33]; Fonds de recherche du Quebec-Sante</t>
  </si>
  <si>
    <t>Praxis Spinal Cord Institute; Fonds de recherche du Quebec-Sante(Fonds de recherche du Quebec (FRQ)Fonds de recherche du Quebec - Sante (FRQS))</t>
  </si>
  <si>
    <t>This study was supported in part by the Praxis Spinal Cord Institute (Research Grant No: G2020-33) and by the Fonds de recherche du Quebec-Sante (Scholarshipto C. Charette, research scholar to F. Routhier and M-ELamontagne).</t>
  </si>
  <si>
    <t>10.1177/02692155231164092</t>
  </si>
  <si>
    <t>J8JB9</t>
  </si>
  <si>
    <t>WOS:000969282500001</t>
  </si>
  <si>
    <t>Duan, HY; Jing, YL; Li, YH; Lian, YW; Li, JF; Li, ZL</t>
  </si>
  <si>
    <t>Duan, Haoyang; Jing, Yuling; Li, Yinghua; Lian, Yawen; Li, Jianfang; Li, Zhenlan</t>
  </si>
  <si>
    <t>Rehabilitation treatment of multiple sclerosis</t>
  </si>
  <si>
    <t>FRONTIERS IN IMMUNOLOGY</t>
  </si>
  <si>
    <t>multiple sclerosis; pathogenesis and rehabilitation mechanism; assessment; new technique; progress</t>
  </si>
  <si>
    <t>TRANSCRANIAL MAGNETIC STIMULATION; QUALITY-OF-LIFE; INSTRUMENTAL ACTIVITIES; VIRTUAL-REALITY; SCALE; DISABILITY; GAIT; RELIABILITY; IMPAIRMENT; MECHANISMS</t>
  </si>
  <si>
    <t>Multiple sclerosis is a slowly progressive disease, immunosuppressants and other drugs can delay the progression and progression of the disease, but the most patients will be left with varying degrees of neurological deficit symptoms, such as muscle weakness, muscle spasm, ataxia, sensory impairment, dysphagia, cognitive dysfunction, psychological disorders, etc. From the early stage of the disease to the stage of disease progression, professional rehabilitation treatment can reduce the functional dysfunction of multiple sclerosis patients, improve neurological function, and reduce family and social burdens. With the development of various new rehabilitation technologies such as transcranial magnetic stimulation, virtual reality technology, robot-assisted gait, telerehabilitation and transcranial direct current stimulation, the advantages of rehabilitation therapy in multiple sclerosis treatment have been further established, and more treatment means have also been provided for patients.</t>
  </si>
  <si>
    <t>[Duan, Haoyang; Jing, Yuling; Li, Yinghua; Lian, Yawen; Li, Jianfang; Li, Zhenlan] First Hosp jilin Univ, Dept Rehabil Med, Changchun, Peoples R China</t>
  </si>
  <si>
    <t>Li, ZL (corresponding author), First Hosp jilin Univ, Dept Rehabil Med, Changchun, Peoples R China.</t>
  </si>
  <si>
    <t>zhenlan@jlu.edu.cn</t>
  </si>
  <si>
    <t>Li, Jianfang/AAS-9113-2021; Li, Xuming/JLM-6754-2023</t>
  </si>
  <si>
    <t>1664-3224</t>
  </si>
  <si>
    <t>FRONT IMMUNOL</t>
  </si>
  <si>
    <t>Front. Immunol.</t>
  </si>
  <si>
    <t>10.3389/fimmu.2023.1168821</t>
  </si>
  <si>
    <t>Immunology</t>
  </si>
  <si>
    <t>D7QN6</t>
  </si>
  <si>
    <t>WOS:000970637500001</t>
  </si>
  <si>
    <t>Doumen, S; Sorba, L; Feys, P; Triccas, LT</t>
  </si>
  <si>
    <t>Doumen, Steff; Sorba, Luca; Feys, Peter; Triccas, Lisa Tedesco</t>
  </si>
  <si>
    <t>Efficacy and Dose of Rehabilitation Approaches for Severe Upper Limb Impairments and Disability During Early Acute and Subacute Stroke: A Systematic Review</t>
  </si>
  <si>
    <t>Arm and Hand; Cerebrovascular Accident; Dosage; Motor Recovery; Neurological Rehabilitation; Technology</t>
  </si>
  <si>
    <t>UPPER EXTREMITY FUNCTION; BLINDED RANDOMIZED-TRIAL; RESEARCH ARM TEST; POST-STROKE; MOTOR CONTROL; RECOVERY; THERAPY; STIMULATION; SURVIVORS; ROBOT</t>
  </si>
  <si>
    <t>Objective The purpose of this study was to examine the evidence of the efficacy of rehabilitation approaches for improving severe upper limb impairments and disability during acute and early subacute stroke, taking into consideration the dosage of therapy. Methods Randomized controlled trials from PubMed, Web of Science, and Scopus databases were searched by 2 independent researchers. Studies were selected if they involved active rehabilitation interventions that were conducted in the acute stage (&lt;7 days after stroke) or the early subacute stage (&gt;7 days-3 months after stroke), with the aim of improving severe upper limb motor impairments and disability. Data were extracted on the basis of the type and effect of rehabilitation interventions and on the dosage (duration, frequency, session length, episode difficulty, and intensity). Study quality was assessed using the Physiotherapy Evidence Database Scale. Results Twenty-three studies (1271 participants) with fair to good methodological quality were included. Only 3 studies were performed in the acute stage. Regardless of the type of intervention, upper limb rehabilitation was found to be beneficial for severe upper limb impairments and disability. Robotic therapy and functional electrical stimulation were identified as the most popular upper limb interventions; however, only a limited number of studies showed their superiority over a dose-matched control intervention for severe upper limb impairments in the subacute stage. A longer rehabilitation session length (&lt;60 minutes) did not seem to have a larger impact on the magnitude of improved upper limb impairments. Conclusion Different rehabilitation approaches seem to improve severe upper limb impairments and disability in the subacute stage after stroke; however, they are not distinctly superior to standard care or other interventions provided at the same dosage. Impact Robotic therapy and functional electrical stimulation add variety to rehabilitation programs, but their benefit has not been shown to exceed that of standard care. Further research is necessary to identify the impact of dosage parameters (eg, intensity) on severe upper limb motor impairments and function, especially in the acute stage.</t>
  </si>
  <si>
    <t>[Doumen, Steff; Sorba, Luca; Feys, Peter; Triccas, Lisa Tedesco] Univ Hasselt, Fac Rehabil Sci, REVAL, Hasselt, Belgium; [Triccas, Lisa Tedesco] UCL, Inst Neurol, Dept Clin &amp; Movement Neurosci, Queen Sq, London, England</t>
  </si>
  <si>
    <t>Hasselt University; University of London; University College London</t>
  </si>
  <si>
    <t>Triccas, LT (corresponding author), Univ Hasselt, Fac Rehabil Sci, REVAL, Hasselt, Belgium.;Triccas, LT (corresponding author), UCL, Inst Neurol, Dept Clin &amp; Movement Neurosci, Queen Sq, London, England.</t>
  </si>
  <si>
    <t>steff.doumen@student.uhasselt.be; luca.sorba@student.uhasselt.be; peter.feys@uhasselt.be; lisa.tedescotriccas@uhasselt.be</t>
  </si>
  <si>
    <t>Feys, Peter/0000-0002-5680-5495; Tedesco Triccas, Dr Lisa/0000-0001-9097-9352</t>
  </si>
  <si>
    <t>pzad002</t>
  </si>
  <si>
    <t>10.1093/ptj/pzad002</t>
  </si>
  <si>
    <t>C6KH5</t>
  </si>
  <si>
    <t>WOS:000962978500002</t>
  </si>
  <si>
    <t>Lyu, T; Yan, K; Lyu, J; Zhao, XR; Wang, RS; Zhang, CY; Liu, M; Xiong, C; Liu, CJ; Wei, YL</t>
  </si>
  <si>
    <t>Lyu, Tianyi; Yan, Kang; Lyu, Jiaxuan; Zhao, Xirui; Wang, Ruoshui; Zhang, Chaoyang; Liu, Meng; Xiong, Chao; Liu, Chengjiang; Wei, Yulong</t>
  </si>
  <si>
    <t>Comparative efficacy of gait training for balance outcomes in patients with stroke: A systematic review and network meta-analysis</t>
  </si>
  <si>
    <t>stroke; gait training; network meta-analysis; randomized controlled trials; balance outcomes</t>
  </si>
  <si>
    <t>BODY-WEIGHT SUPPORT; RANDOMIZED CONTROLLED-TRIAL; VIRTUAL-REALITY; SUBACUTE STROKE; OLDER-ADULTS; SINGLE-BLIND; TREADMILL; WALKING; PILOT; INDIVIDUALS</t>
  </si>
  <si>
    <t>BackgroundGrowing evidence suggests that gait training can improve stroke patients' balance outcomes. However, it remains unclear which type of gait training is more effective in improving certain types of balance outcomes in patients with stroke. Thus, this network meta-analysis (NMA) included six types of gait training (treadmill, body-weight-supported treadmill, virtual reality gait training, robotic-assisted gait training, overground walking training, and conventional gait training) and four types of balance outcomes (static steady-state balance, dynamic steady-state balance, proactive balance, and balance test batteries), aiming to compare the efficacy of different gait training on specific types of balance outcomes in stroke patients and determine the most effective gait training. MethodWe searched PubMed, Embase, Medline, Web of Science, and Cochrane Library databases from inception until 25 April 2022. Randomized controlled trials (RCTs) of gait training for the treatment of balance outcomes after stroke were included. RoB2 was used to assess the risk of bias in the included studies. Frequentist random-effects network meta-analysis (NMA) was used to evaluate the effect of gait training on four categories of balance outcomes. ResultA total of 61 RCTs from 2,551 citations, encompassing 2,328 stroke patients, were included in this study. Pooled results showed that body-weight-support treadmill (SMD = 0.30, 95% CI [0.01, 0.58]) and treadmill (SMD = 0.25, 95% CI [0.00, 0.49]) could improve the dynamic steady-state balance. Virtual reality gait training (SMD = 0.41, 95% CI [0.10, 0.71]) and body-weight-supported treadmill (SMD = 0.41, 95% CI [0.02, 0.80]) demonstrated better effects in improving balance test batteries. However, none of included gait training showed a significant effect on static steady-state balance and proactive balance. ConclusionGait training is an effective treatment for improving stroke patients' dynamic steady-state balance and balance test batteries. However, gait training had no significant effect on static steady-state balance and proactive balance. To achieve maximum efficacy, clinicians should consider this evidence when recommending rehabilitation training to stroke patients. Considering body-weight-supported treadmill is not common for chronic stroke patients in clinical practice, the treadmill is recommended for those who want to improve dynamic steady-state balance, and virtual reality gait training is recommended for those who want to improve balance test batteries. LimitationMissing evidence in relation to some types of gait training is supposed to be taken into consideration. Moreover, we fail to assess reactive balance in this NMA since few included trials reported this outcome. Systematic Review RegistrationPROSPERO, identifier CRD42022349965.</t>
  </si>
  <si>
    <t>[Lyu, Tianyi; Yan, Kang; Lyu, Jiaxuan; Zhao, Xirui; Wang, Ruoshui; Zhang, Chaoyang; Liu, Meng; Wei, Yulong] Beijing Univ Chinese Med, Sch Acupuncture Moxibust &amp; Tuina, Beijing, Peoples R China; [Xiong, Chao] SUSE Software Beijing Co Ltd, L3 &amp; Maintenance Solut, Beijing, Peoples R China; [Liu, Chengjiang] Anhui Med Univ, Affiliated Anqing Peoples Hosp 1, Dept Gen Med, Hefei, Anhui, Peoples R China</t>
  </si>
  <si>
    <t>Beijing University of Chinese Medicine; Anhui Medical University</t>
  </si>
  <si>
    <t>Wei, YL (corresponding author), Beijing Univ Chinese Med, Sch Acupuncture Moxibust &amp; Tuina, Beijing, Peoples R China.</t>
  </si>
  <si>
    <t>wyl_5128@163.com</t>
  </si>
  <si>
    <t>Liu, Chengjiang/IVV-4736-2023; Zhang, Chaoyang/JPK-5044-2023</t>
  </si>
  <si>
    <t>National Key Research and Development Plan of China [2019YFC1710303]</t>
  </si>
  <si>
    <t>National Key Research and Development Plan of China(National Key Research &amp; Development Program of China)</t>
  </si>
  <si>
    <t>Funding This study was supported by the National Key Research and Development Plan of China (2019YFC1710303).</t>
  </si>
  <si>
    <t>10.3389/fneur.2023.1093779</t>
  </si>
  <si>
    <t>D5OK4</t>
  </si>
  <si>
    <t>WOS:000969223500001</t>
  </si>
  <si>
    <t>Bok, SK; Song, Y; Lim, A; Jin, S; Kim, N; Ko, G</t>
  </si>
  <si>
    <t>Bok, Soo-Kyung; Song, Youngshin; Lim, Ancho; Jin, Sohyun; Kim, Nagyeong; Ko, Geumbo</t>
  </si>
  <si>
    <t>High-Tech Home-Based Rehabilitation after Stroke: A Systematic Review and Meta-Analysis</t>
  </si>
  <si>
    <t>home; physical function; stroke rehabilitation; systematic review; virtual</t>
  </si>
  <si>
    <t>RECOVERY; TRIAL; PROGRAM; BALANCE</t>
  </si>
  <si>
    <t>(1) Background: To improve existing rehabilitation technologies, we conducted a systematic review and meta-analysis to identify the effect size of home-based rehabilitation using robotic, virtual reality, and game devices on physical function for stroke survivors. (2) Methods: Embase, PubMed, Cochrane Library, ProQuest, and CINAHL were used to search the randomized controlled trials that applied technologies via home-based rehabilitation, such as virtual reality, robot-assisted devices, and games. The effect size (Hedges's g) of technology type and affected limb on physical function were calculated. (3) Results: Ten studies were included. The effect size of home-based rehabilitation in virtual reality had the greatest value (Hedges's g, 0.850; 95% CI, 0.314-1.385), followed by robot-assisted devices (Hedges's g, 0.120; 95% CI, 0.003-0.017) and games (Hedges's g, -0.162; 95% CI, -0.036 to -0.534). The effect size was larger in the upper limbs (Hedges's g, 0.287; 95% CI, 0.128-0.447) than in the lower limbs (Hedges's g, -0.113; 95% CI, -0.547 to 0.321). (4) Conclusions: Virtual reality home rehabilitation was highly effective for physical function compared to other rehabilitation technologies. Interventions that consisted of a pre-structured and tailored program applied to the upper limbs were effective for physical function and psychological outcomes.</t>
  </si>
  <si>
    <t>[Bok, Soo-Kyung] Chungnam Natl Univ, Coll Med, Dept Rehabil, Daejeon 35015, South Korea; [Song, Youngshin; Lim, Ancho; Jin, Sohyun; Kim, Nagyeong; Ko, Geumbo] Chungnam Natl Univ, Coll Nursing, Dept Nursing, Daejeon 35015, South Korea</t>
  </si>
  <si>
    <t>Chungnam National University; Chungnam National University</t>
  </si>
  <si>
    <t>Song, Y; Lim, A (corresponding author), Chungnam Natl Univ, Coll Nursing, Dept Nursing, Daejeon 35015, South Korea.</t>
  </si>
  <si>
    <t>yssong87@cnu.ac.kr; limancho@cnu.ac.kr</t>
  </si>
  <si>
    <t>Song, Youngshin/0000-0002-2203-5840; Bok, Soo-Kyung/0000-0002-8957-2827; Lim, Ancho/0000-0002-9808-0672</t>
  </si>
  <si>
    <t>Rehabilitation Research &amp; Development Support Program [2020-1221-01]; National Rehabilitation Center, Ministry of Health and Welfare, Korea</t>
  </si>
  <si>
    <t>Rehabilitation Research &amp; Development Support Program; National Rehabilitation Center, Ministry of Health and Welfare, Korea(Ministry of Health &amp; Welfare (MOHW), Republic of KoreaNational Rehabilitation Center (NRC), Republic of Korea)</t>
  </si>
  <si>
    <t>This study was supported by the Rehabilitation Research &amp; Development Support Program (2020-1221-01) from the National Rehabilitation Center, Ministry of Health and Welfare, Korea.</t>
  </si>
  <si>
    <t>10.3390/jcm12072668</t>
  </si>
  <si>
    <t>D5EK4</t>
  </si>
  <si>
    <t>WOS:000968961900001</t>
  </si>
  <si>
    <t>Farooq, MU; Ko, SY</t>
  </si>
  <si>
    <t>Farooq, Muhammad Umar; Ko, Seong Young</t>
  </si>
  <si>
    <t>A Decade of MRI Compatible Robots: Systematic Review</t>
  </si>
  <si>
    <t>IEEE TRANSACTIONS ON ROBOTICS</t>
  </si>
  <si>
    <t>Actuation systems; haptics; image-guided interventions; magnetic resonance imaging (MRI); MRI-compatible robots; rehabilitation robots; robotics; sensors; surgical robots</t>
  </si>
  <si>
    <t>MAGNETIC-RESONANCE ELASTOGRAPHY; FOCUSED ULTRASOUND SYSTEM; FORCE SENSOR; PROSTATE BIOPSY; PNEUMATIC STIMULATOR; POSITIONING DEVICE; CARDIAC CATHETER; CONTINUUM ROBOT; END-EFFECTOR; PLANAR-COIL</t>
  </si>
  <si>
    <t>Magnetic resonance imaging (MRI) offers better visualization for diagnosis, interventional radiology, and surgery from other imaging modalities without X-ray exposure. Medical robots have provided solutions for many surgical and rehabilitation procedures. A symbiosis of MRI and robotics can allow manipulation in closed MR-gantry, decrease trauma, operation, and recovery time for patients and improve the dexterity, convenience, and surgical outcome for physicians. However, the inherent properties and limitations of MR scanners had hindered their development. Technological advancements in the field of computers, additive manufacturing, and sensing in the past decade have changed robotics and the focus shifted again toward MRI-compatible robots. This article provides a compendium of the state-of-the-art literature on robotic systems developed for the MRI environment presented between 2009 and 2021. The systematic review discusses surgical and fMRI study robots, the actuation, and sensing solutions developed to assist such robots, recent research emphasis, current limitations, and prospects.</t>
  </si>
  <si>
    <t>[Farooq, Muhammad Umar] Chonnam Natl Univ, Dept Mech Engn, Gwangju 61186, South Korea; [Ko, Seong Young] Chonnam Natl Univ, Sch Mech Engn, Gwangju 61186, South Korea</t>
  </si>
  <si>
    <t>Chonnam National University; Chonnam National University</t>
  </si>
  <si>
    <t>Ko, SY (corresponding author), Chonnam Natl Univ, Sch Mech Engn, Gwangju 61186, South Korea.</t>
  </si>
  <si>
    <t>fumar9737@gmail.com; sko@jnu.ac.kr</t>
  </si>
  <si>
    <t>Ko, Seong/P-2734-2019; Farooq, Muhammad Umar/GNM-5325-2022</t>
  </si>
  <si>
    <t>Farooq, Muhammad/0000-0001-5458-9752; Ko, Seong Young/0000-0003-4316-0074; Farooq, Muhammad Umar/0000-0003-0443-8512</t>
  </si>
  <si>
    <t>Korea Medical Device Development Fund - Korea Government (Ministry of Science and ICT) [KMDF_PR_20200901_0122, 1711138226]; Korea Medical Device Development Fund - Korea Government~(Ministry of Trade, Industry and Energy) [KMDF_PR_20200901_0122, 1711138226]; Korea Medical Device Development Fund - Korea Government~(Ministry of Health and Welfare) [KMDF_PR_20200901_0122, 1711138226]; Korea Medical Device Development Fund - Korea Government~(Ministry of Food and Drug Safety) [KMDF_PR_20200901_0122, 1711138226]</t>
  </si>
  <si>
    <t>Korea Medical Device Development Fund - Korea Government (Ministry of Science and ICT)(Ministry of Science, ICT &amp; Future Planning, Republic of Korea); Korea Medical Device Development Fund - Korea Government~(Ministry of Trade, Industry and Energy); Korea Medical Device Development Fund - Korea Government~(Ministry of Health and Welfare); Korea Medical Device Development Fund - Korea Government~(Ministry of Food and Drug Safety)</t>
  </si>
  <si>
    <t>This work was supported by the Korea Medical Device Development Fund grant funded by the Korea Government (the Ministry of Science and ICT, the Ministry of Trade, Industry and Energy, the Ministry of Health and Welfare, the Ministry of Food and Drug Safety) under Grant KMDF_PR_20200901_0122 and Grant 1711138226. This article was recommended for publication by Associate Editor A. Becker and Editor A. Menciassi upon evaluation of the reviewers' comments.</t>
  </si>
  <si>
    <t>1552-3098</t>
  </si>
  <si>
    <t>1941-0468</t>
  </si>
  <si>
    <t>IEEE T ROBOT</t>
  </si>
  <si>
    <t>IEEE Trans. Robot.</t>
  </si>
  <si>
    <t>10.1109/TRO.2022.3212626</t>
  </si>
  <si>
    <t>D6WE8</t>
  </si>
  <si>
    <t>WOS:000970104700002</t>
  </si>
  <si>
    <t>Hays, E; Slayton, J; Tejeda-Godinez, G; Carney, E; Cruz, K; Exley, T; Jafari, A</t>
  </si>
  <si>
    <t>Hays, Emilly; Slayton, Jack; Tejeda-Godinez, Gary; Carney, Emily; Cruz, Kobe; Exley, Trevor; Jafari, Amir</t>
  </si>
  <si>
    <t>A Review of Rehabilitative and Assistive Technologies for Upper-Body Exoskeletal Devices</t>
  </si>
  <si>
    <t>actuation technology; rehabilitation; assistive devices</t>
  </si>
  <si>
    <t>DESIGN</t>
  </si>
  <si>
    <t>This journal review article focuses on the use of assistive and rehabilitative exoskeletons as a new opportunity for individuals with diminished mobility. The article aims to identify gaps and inconsistencies in state-of-the-art assistive and rehabilitative devices, with the overall goal of promoting innovation and improvement in this field. The literature review explores the mechanisms, actuators, and sensing procedures employed in each application, specifically focusing on passive shoulder supports and active soft robotic actuator gloves. Passive shoulder supports are an excellent option for bearing heavy loads, as they enable the load to be evenly distributed across the shoulder joint. This, in turn, reduces stress and strain around the surrounding muscles. On the other hand, the active soft robotic actuator glove is well suited for providing support and assistance by mimicking the characteristics of human muscle. This review reveals that these devices improve the overall standard of living for those who experience various impairments but also encounter limitations requiring redress. Overall, this article serves as a valuable resource for individuals working in the field of assistive and rehabilitative exoskeletons, providing insight into the state of the art and potential areas for improvement.</t>
  </si>
  <si>
    <t>[Hays, Emilly; Slayton, Jack; Tejeda-Godinez, Gary; Carney, Emily; Cruz, Kobe; Exley, Trevor; Jafari, Amir] Univ North Texas, Dept Biomed Engn, Adv Robot Manipulators Lab, Denton, TX 76207 USA</t>
  </si>
  <si>
    <t>University of North Texas System; University of North Texas Denton</t>
  </si>
  <si>
    <t>Jafari, A (corresponding author), Univ North Texas, Dept Biomed Engn, Adv Robot Manipulators Lab, Denton, TX 76207 USA.</t>
  </si>
  <si>
    <t>emillyhays@my.unt.edu; jackslayton@my.unt.edu; garytejeda@my.unt.edu; emilycarney@my.unt.edu; kobecruz@my.unt.edu; trevorexley@my.unt.edu; amir.jafari@unt.edu</t>
  </si>
  <si>
    <t>Exley, Trevor/HNI-9824-2023</t>
  </si>
  <si>
    <t>Exley, Trevor/0000-0003-3175-0587</t>
  </si>
  <si>
    <t>National Science Foundation (NSF) [2045177]</t>
  </si>
  <si>
    <t>National Science Foundation (NSF)(National Science Foundation (NSF))</t>
  </si>
  <si>
    <t>This work was funded by the National Science Foundation (NSF) under grant number 2045177.</t>
  </si>
  <si>
    <t>10.3390/act12040178</t>
  </si>
  <si>
    <t>F5YT0</t>
  </si>
  <si>
    <t>WOS:000983105700001</t>
  </si>
  <si>
    <t>Pitzalis, Roberto Francesco; Park, Daegeun; Caldwell, Darwin G. G.; Berselli, Giovanni; Ortiz, Jesus</t>
  </si>
  <si>
    <t>State of the Art in Wearable Wrist Exoskeletons Part I: Background Needs and Design Requirements</t>
  </si>
  <si>
    <t>wrist exoskeletons; wearable devices; exoskeletons requirements; design architectures</t>
  </si>
  <si>
    <t>DART-THROWERS MOTION; GRIP FORCE; HAND; REHABILITATION; MIDCARPAL; EXTENSION; ORTHOSIS; ROBOTS; SPLINT</t>
  </si>
  <si>
    <t>Despite an increase in the use of exoskeletons, particularly for medical and occupational applications, few studies have focused on the wrist, even though it is the fourth most common site of musculoskeletal pain in the upper limb. The first part of this paper will present the key challenges to be addressed to implement wrist exoskeletons as wearable devices for novel rehabilitation practices and tools in the occupational/industrial sector. Since the wrist is one of the most complex joints in the body, an understanding of the bio-mechanics and musculo-skeletal disorders of the wrist is essential to extracting design requirements. Depending on the application, each wrist exoskeleton has certain specific design requirements. These requirements have been categorized into six sections: purpose, kinematics, dynamics, rigidity, ergonomics, and safety. These form the driving factors behind the choice of a design depending on the objectives. Different design architectures are explored, forming the basis for the various technical challenges that relate to: actuation type, power source, power transmission, sensing, and control architecture. This paper summarizes, in a systematic approach, all the current technologies adopted, analyzes their benefits and limitations, and finally proposes future perspectives.</t>
  </si>
  <si>
    <t>[Pitzalis, Roberto Francesco; Park, Daegeun; Caldwell, Darwin G. G.; Berselli, Giovanni; Ortiz, Jesus] Ist Italiano Tecnol, Dept Adv Robot ADVR, I-16163 Genoa, Italy; [Pitzalis, Roberto Francesco; Berselli, Giovanni] Univ Genoa, Dept Mech Energy &amp; Transportat Engn DIME, Via Opera Pia 15-A, I-16145 Genoa, Italy</t>
  </si>
  <si>
    <t>roberto.pitzalis@iit.it</t>
  </si>
  <si>
    <t>Caldwell, Darwin/E-9954-2018; Park, Daegeun/HZK-7243-2023</t>
  </si>
  <si>
    <t>Pitzalis, Roberto Francesco/0000-0003-1464-6219; Caldwell, Darwin/0000-0002-6233-9961; Ortiz, Jesus/0000-0001-9475-1945; Park, Daegeun/0000-0001-6586-4238</t>
  </si>
  <si>
    <t>Italian Workers' Compensation Authority (INAIL)</t>
  </si>
  <si>
    <t>This work is funded by the Italian Workers' Compensation Authority (INAIL).</t>
  </si>
  <si>
    <t>10.3390/machines11040458</t>
  </si>
  <si>
    <t>F0KO0</t>
  </si>
  <si>
    <t>WOS:000979323600001</t>
  </si>
  <si>
    <t>Yang, S; Huang, X; Zhou, JM; Xue, Q</t>
  </si>
  <si>
    <t>Yang, Shuo; Huang, Xin; Zhou, Jin-man; Xue, Qiang</t>
  </si>
  <si>
    <t>Application of robotic lower limb orthosis for people with lower limb dysfunction</t>
  </si>
  <si>
    <t>REVIEW OF SCIENTIFIC INSTRUMENTS</t>
  </si>
  <si>
    <t>ANKLE-FOOT ORTHOSIS; STROKE REHABILITATION; KNEE FLEXION; GAIT; WALKING; DESIGN; MECHANISM; ASSIST; POWER</t>
  </si>
  <si>
    <t>Due to the aging of the population or diseases, the number of patients with lower limb disorders has increased, causing social concern. Scholars have designed and developed advanced robotic lower limb orthoses, which can guide patients to perform reasonable rehabilitation training with correct limb postures, enhance their daily life participation and quality of life, and help them recover quickly. In recent years, a large number of new and advanced orthopedic equipment have been developed, which require a systematic summary analysis and comparison. This article reviewed typical newly developed, robotic lower limb orthoses and their use effects, as well as the advanced theories and technologies for their applications, and systematically discussed the problems in the research, design, testing, use, and popularization of robotic lower limb orthoses, and predicted their development direction in the future research and design, to enhance the reliability, convenience, and protection functions of orthotic equipment, make its functions closer to life, and give full play to the initiative of patients in the process of rehabilitation training, and reduce costs. Robotic lower limb orthoses is poised for even greater success and development in the future.</t>
  </si>
  <si>
    <t>[Yang, Shuo; Huang, Xin; Zhou, Jin-man; Xue, Qiang] Tianjin Univ Sci &amp; Technol, Dept Mech Engn, Tianjin Key Lab Integrated Design &amp; Online Monitor, Tianjin 300222, Peoples R China</t>
  </si>
  <si>
    <t>Yang, S (corresponding author), Tianjin Univ Sci &amp; Technol, Dept Mech Engn, Tianjin Key Lab Integrated Design &amp; Online Monitor, Tianjin 300222, Peoples R China.</t>
  </si>
  <si>
    <t>Key Project of Tianjin Natural Science Foundation [19JCZDJC33200]</t>
  </si>
  <si>
    <t>Key Project of Tianjin Natural Science Foundation</t>
  </si>
  <si>
    <t>ACKNOWLEDGMENTSThe authors wish to acknowledge the financial support from the Key Project of Tianjin Natural Science Foundation (Grant No. 19JCZDJC33200).</t>
  </si>
  <si>
    <t>0034-6748</t>
  </si>
  <si>
    <t>1089-7623</t>
  </si>
  <si>
    <t>REV SCI INSTRUM</t>
  </si>
  <si>
    <t>Rev. Sci. Instrum.</t>
  </si>
  <si>
    <t>10.1063/5.0140319</t>
  </si>
  <si>
    <t>Instruments &amp; Instrumentation; Physics, Applied</t>
  </si>
  <si>
    <t>Instruments &amp; Instrumentation; Physics</t>
  </si>
  <si>
    <t>E4JO8</t>
  </si>
  <si>
    <t>WOS:000975223900005</t>
  </si>
  <si>
    <t>Zhu, YH; Ruan, M; Yun, RS; Zhong, YX; Zhang, YX; Wang, YJ; Sun, YL; Cui, JW</t>
  </si>
  <si>
    <t>Zhu, Ying-Hui; Ruan, Ming; Yun, Rui-Sheng; Zhong, Ying-Xi; Zhang, Yu-Xin; Wang, Yong-Jun; Sun, Yue-Li; Cui, Jia-Wen</t>
  </si>
  <si>
    <t>Is Leg-Driven Treadmill-Based Exoskeleton Robot Training Beneficial to Poststroke Patients A Systematic Review and Meta-analysis</t>
  </si>
  <si>
    <t>Hemiplegic Gait; Exoskeleton Robot; Walking Ability; Balance</t>
  </si>
  <si>
    <t>SUBACUTE STROKE PATIENTS; GAIT REHABILITATION; BALANCE; WALKING; RECOVERY; PILOT; DISTANCE; THERAPY; LOKOMAT; FALLS</t>
  </si>
  <si>
    <t>ObjectiveThe aim of the study is to systematically review the effects of leg-driven treadmill-based exoskeleton robot training on balance and walking ability in poststroke patients.DesignThe PubMed, Cochrane Library, Embase, Web of Science, Medline, CNKI, VIP, and Wanfang databases were searched from inception to August 2021. The literature quality was evaluated using Cochrane Handbook. Primary outcomes include the Functional Ambulation Category Scale and Berg Balance Scale, and secondary outcomes include the 10 meter walk test, 6 minute walk test, and gait assessment cadence were analyzed.ResultsSeventeen randomized controlled trials were included in the systematic review, 15 studies in meta-analysis. Primary outcomes showed no significant difference in the Functional Ambulation Category Scale score; subgroup with the exoskeleton robot + conventional therapy of the Berg Balance Scale score was significantly increased; secondary outcomes showed no significance in 6 minute walk test or 10 meter walk test. The cadence score increased for the subgroup with an onset of more than 6 mos in the treatment group. The control group performed better than the subgroup with an onset of less than 6 mos.ConclusionsLeg-driven treadmill-based exoskeleton robot training can improve balance function in poststroke patients and is beneficial for patients with an onset of greater than 6 mos. However, there is no evidence to support the efficacy of walking ability.</t>
  </si>
  <si>
    <t>[Zhu, Ying-Hui; Ruan, Ming; Yun, Rui-Sheng; Zhong, Ying-Xi; Zhang, Yu-Xin; Wang, Yong-Jun; Cui, Jia-Wen] Shanghai Univ Tradit Chinese Med, Sch Rehabil Sci, Shanghai, Peoples R China; [Wang, Yong-Jun; Sun, Yue-Li] Shanghai Univ Tradit Chinese Med, Longhua Hosp, Shanghai, Peoples R China; [Cui, Jia-Wen] Shanghai Univ Tradit Chinese Med, Sch Rehabil Sci, 1200 Cai Lun Rd, Shanghai, Peoples R China; [Cui, Jia-Wen] Shanghai Univ Tradit Chinese Med, Inst Rehabil Med, 1200 Cai Lun Rd, Shanghai, Peoples R China</t>
  </si>
  <si>
    <t>Cui, JW (corresponding author), Shanghai Univ Tradit Chinese Med, Sch Rehabil Sci, 1200 Cai Lun Rd, Shanghai, Peoples R China.;Cui, JW (corresponding author), Shanghai Univ Tradit Chinese Med, Inst Rehabil Med, 1200 Cai Lun Rd, Shanghai, Peoples R China.</t>
  </si>
  <si>
    <t>276138891@qq.com; 812510911@qq.com; ruishengyun@pku.edu.cn; zhongyingxi2020@163.com; 437858924@qq.com; yjwang8888@126.com; yueli_sun@foxmail.com; cuijiawen2011@163.com</t>
  </si>
  <si>
    <t>National Natural Science Foundation of China [81930116, 81804115, 81873317, 81704096]; National Key R&amp;D Program of China [2018YFC1704300]; Natural science Foundation of Shanghai [20ZR1473400]</t>
  </si>
  <si>
    <t>National Natural Science Foundation of China(National Natural Science Foundation of China (NSFC)); National Key R&amp;D Program of China; Natural science Foundation of Shanghai(Natural Science Foundation of Shanghai)</t>
  </si>
  <si>
    <t>This study was sponsored by National Natural Science Foundation of China (81930116, 81804115, 81873317, and 81704096), National Key R&amp;D Program of China (2018YFC1704300), and Natural science Foundation of Shanghai (20ZR1473400).</t>
  </si>
  <si>
    <t>10.1097/PHM.0000000000002098</t>
  </si>
  <si>
    <t>A0ZR5</t>
  </si>
  <si>
    <t>WOS:000952505600012</t>
  </si>
  <si>
    <t>Lee, BO; Saragih, ID; Batubara, SO</t>
  </si>
  <si>
    <t>Lee, Bih-O; Saragih, Ita Daryanti; Batubara, Sakti Oktaria</t>
  </si>
  <si>
    <t>Robotic arm use for upper limb rehabilitation after stroke: A systematic review and meta-analysis</t>
  </si>
  <si>
    <t>KAOHSIUNG JOURNAL OF MEDICAL SCIENCES</t>
  </si>
  <si>
    <t>rehabilitation; robotic arm; stroke; systematic review; upper limb</t>
  </si>
  <si>
    <t>ASSISTED THERAPY; NEURAL PLASTICITY; RECOVERY</t>
  </si>
  <si>
    <t>Several studies have reported the effects of robotic arms on improving upper limb function in patients with stroke. However, previous studies have reported inconsistent findings that may lead to incorrect applications of robotic arm use. Six databases were searched for relevant randomized controlled trials. Meta-analyses were performed for upper limb performance measures, including subgroup analysis of pooled upper limb rehabilitation data such as stroke stage and intervention delivery dose. Furthermore, the Cochrane risk-of-bias tool for randomized trials version 2 (RoB 2) and sensitivity analysis were used to assess methodology and determine publication bias. The final analysis included 18 studies. Robotic arms improved upper limb and hand function in patients with stroke. Subgroup analysis revealed that robotic arm interventions lasting 30-60 min per session significantly improved upper limb function. However, no significant improvement was observed in shoulder and elbow or wrist and hand movements. This review may help develop applicable rehabilitation robots and collaboration between clinicians.</t>
  </si>
  <si>
    <t>[Lee, Bih-O; Saragih, Ita Daryanti] Kaohsiung Med Univ, Coll Nursing, Kaohsiung, Taiwan; [Batubara, Sakti Oktaria] Univ Citra Bangsa, Fac Hlth, Kupang, Indonesia; [Lee, Bih-O] Kaohsiung Med Univ, Coll Nursing, 100,Shih Chuan 1st Rd, Kaohsiung 80708, Taiwan</t>
  </si>
  <si>
    <t>Kaohsiung Medical University; Kaohsiung Medical University</t>
  </si>
  <si>
    <t>Lee, BO (corresponding author), Kaohsiung Med Univ, Coll Nursing, 100,Shih Chuan 1st Rd, Kaohsiung 80708, Taiwan.</t>
  </si>
  <si>
    <t>biholee@kmu.edu.tw</t>
  </si>
  <si>
    <t>Saragih, Ita/LBI-4994-2024; Lee, Bih-O/ABA-8451-2021</t>
  </si>
  <si>
    <t>Saragih, Ita Daryanti/0000-0002-7177-5933; Lee, Bih-O/0000-0003-1903-8378; Batubara, Sakti Oktaria/0000-0003-4180-1974</t>
  </si>
  <si>
    <t>1607-551X</t>
  </si>
  <si>
    <t>2410-8650</t>
  </si>
  <si>
    <t>KAOHSIUNG J MED SCI</t>
  </si>
  <si>
    <t>Kaohsiung J. Med. Sci.</t>
  </si>
  <si>
    <t>10.1002/kjm2.12679</t>
  </si>
  <si>
    <t>F2AP8</t>
  </si>
  <si>
    <t>WOS:000961679100001</t>
  </si>
  <si>
    <t>Rizvi, A; Parveen, S; Bazigha, F; Noohu, MM</t>
  </si>
  <si>
    <t>Rizvi, Asna; Parveen, Sarah; Bazigha, Farah; Noohu, Majumi M.</t>
  </si>
  <si>
    <t>Effect of transcranial direct current stimulation in combination with robotic therapy in upper limb impairments in people with stroke: a systematic review</t>
  </si>
  <si>
    <t>EGYPTIAN JOURNAL OF NEUROLOGY PSYCHIATRY AND NEUROSURGERY</t>
  </si>
  <si>
    <t>Robotic therapy; tDCS; Upper limb impairment; Stroke; Rehabilitation</t>
  </si>
  <si>
    <t>RANDOMIZED CONTROLLED-TRIAL; ASSISTED THERAPY; MOTOR RECOVERY; ARM FUNCTION; REHABILITATION; SUBACUTE; EFFICACY; GRAVITY; SAFETY</t>
  </si>
  <si>
    <t>Background Stroke is a devastating condition, which not only affects patients' activity, but also is a primary reason for the psychosocial impact on them, their caregivers, and the healthcare system. Transcranial direct current stimulation (tDCS) modulates cortical activity, encouraging neuro-modulation and motor recovery in stroke rehabilitation. Robotic therapy (RT) provides repetitive, high-intensity, interactive, task-specific intervention and can measure changes while providing feedback to people with stroke. Objectives This study aimed to evaluate and summarize the scientific literature systematically to investigate the combined effect of tDCS and RT in patients with stroke. Methods Four databases (MEDLINE, Web of Science, ScienceDirect, &amp; PEDro) were searched for clinical trials investigating the effect of RT and tDCS in stroke patients with upper limb impairment. PEDro scale was used for the quality assessment of included studies. Results The search yielded 208 articles. A total of 213 patients with stroke who had upper limb impairment were studied. In the majority of the trials, RT combined with tDCS lead to positive improvement in various measures of upper limb function and spasticity. Conclusions RT along with tDCS is an effective mode of rehabilitation, although no additional effects of tDCS plus RT in comparison with RT alone were reported. Large, robust studies are needed, so that health care providers and researchers can make better decisions about merging tDCS and RT in stroke rehabilitation settings in the future.</t>
  </si>
  <si>
    <t>[Rizvi, Asna; Parveen, Sarah; Bazigha, Farah; Noohu, Majumi M.] Jamia Millia Islamia, Ctr Physiotherapy Rehabil Sci, New Delhi, India</t>
  </si>
  <si>
    <t>Jamia Millia Islamia</t>
  </si>
  <si>
    <t>Noohu, MM (corresponding author), Jamia Millia Islamia, Ctr Physiotherapy Rehabil Sci, New Delhi, India.</t>
  </si>
  <si>
    <t>asnarzv@gmail.com; sarahjmi880281@gmail.com; farah.bazigha@gmail.com; mnoohu@jmi.ac.in</t>
  </si>
  <si>
    <t>Noohu, Majumi/B-7834-2019; Parveen, Sarah/GSM-9305-2022</t>
  </si>
  <si>
    <t>1687-8329</t>
  </si>
  <si>
    <t>EGYPT J NEUROL PSYCH</t>
  </si>
  <si>
    <t>Egypt. J. Neurol. Psychiatr. Neurosurg.</t>
  </si>
  <si>
    <t>10.1186/s41983-023-00640-8</t>
  </si>
  <si>
    <t>0QP0E</t>
  </si>
  <si>
    <t>WOS:001453664600001</t>
  </si>
  <si>
    <t>Pérez-Bahena, MH; Niño-Suarez, PA; Sánchez, OFA; Beleño, RH; Caldas, OI; Pellico-Sánchez, OI</t>
  </si>
  <si>
    <t>Perez-Bahena, M. H.; Nino-Suarez, P. A.; Sanchez, Oscar Aviles F.; Beleno, Ruben Hernandez; Caldas, Oscar I.; Pellico-Sanchez, O. I.</t>
  </si>
  <si>
    <t>Trends in Robotic Systems for Lower Limb Rehabilitation</t>
  </si>
  <si>
    <t>Exoskeleton; Intelligent system; Lower limb; Rehabilitation; Robotic system</t>
  </si>
  <si>
    <t>EARLY SUPPORTED DISCHARGE; KNEE ORTHOSIS; EXOSKELETON; DESIGN; CHALLENGES; WALKING</t>
  </si>
  <si>
    <t>The aim of this review is to analyze robotic systems used in lower limb rehabilitation, focusing on signal acquisition, processing, and intelligent system applications. Literature research was done using keywords giving an initial result of 130 publications, to which inclusion and exclusion criteria were applied, giving 58 related publications found during the last ten years. The increasing development of intelligent systems applied to assistive or rehabilitation devices allows one to find new ways of robotic systems usage, in the coming future, in this area. The use of bibliometric analysis software shows the areas of greatest relevance in the conception of this type of system. Finally, from the state-of-the-art research conducted allows to show in this document the most relevant assistive or rehabilitation robotic systems, their main characteristics, their functionality, as well as future trends.</t>
  </si>
  <si>
    <t>[Perez-Bahena, M. H.; Nino-Suarez, P. A.; Pellico-Sanchez, O. I.] Inst Politecn Nacl, ESIME Azcapotzalco, Mexico City, DF, Mexico; [Sanchez, Oscar Aviles F.; Beleno, Ruben Hernandez; Caldas, Oscar I.] Univ Mil Nueva Granada, Grp Invest Davinci, Km 2 Via Cajica Zipaquira, Bogota, Colombia</t>
  </si>
  <si>
    <t>Universidad Autonoma Metropolitana - Mexico; University Autonoma Metropolitana Azcapotzalco; Instituto Politecnico Nacional - Mexico; Universidad Militar Nueva Granada</t>
  </si>
  <si>
    <t>Niño-Suarez, PA (corresponding author), Inst Politecn Nacl, ESIME Azcapotzalco, Mexico City, DF, Mexico.</t>
  </si>
  <si>
    <t>ing.michaelhanns@gmail.com; pninos@ipn.mx; oscar.aviles@unimilitar.edu.co; ruben.hernandez@unimilitar.edu.co; oscar.caldas@unimilitar.edu.co; oscarisaisd@gmail.com</t>
  </si>
  <si>
    <t>Caldas, Oscar/KPA-9561-2024</t>
  </si>
  <si>
    <t>Caldas, Oscar I/0000-0002-3105-4656; Aviles Sanchez, Oscar Fernando/0000-0001-8676-9926; Pellico, Oscar/0000-0001-6346-0643; Hernandez Beleno, Ruben Dario/0000-0001-8152-2633</t>
  </si>
  <si>
    <t>Instituto Politecnico Nacional; Escuela Superior de Ingenieria Mecanica y Electrica; Unidad Azcapotzalco; CONACYT</t>
  </si>
  <si>
    <t>Instituto Politecnico Nacional; Escuela Superior de Ingenieria Mecanica y Electrica; Unidad Azcapotzalco; CONACYT(Consejo Nacional de Ciencia y Tecnologia (CONACyT))</t>
  </si>
  <si>
    <t>This work was supported by Instituto Politecnico Nacional, Escuela Superior de Ingenieria Mecanica y Electrica, Unidad Azcapotzalco and CONACYT.</t>
  </si>
  <si>
    <t>10.1080/02564602.2023.2185691</t>
  </si>
  <si>
    <t>KM4Z1</t>
  </si>
  <si>
    <t>WOS:000954219600001</t>
  </si>
  <si>
    <t>Gonzalez-Vazquez, A; Garcia, L; Kilby, J; McNair, P</t>
  </si>
  <si>
    <t>Gonzalez-Vazquez, Alberto; Garcia, Lorenzo; Kilby, Jeff; McNair, Peter</t>
  </si>
  <si>
    <t>Soft Wearable Rehabilitation Robots with Artificial Muscles based on Smart Materials: A Review</t>
  </si>
  <si>
    <t>ADVANCED INTELLIGENT SYSTEMS</t>
  </si>
  <si>
    <t>artificial muscles; rehabilitation; smart materials; soft robots; wearables</t>
  </si>
  <si>
    <t>CEREBRAL-PALSY; DESIGN; ACTUATOR; EXOSKELETONS; GAIT; STATE; BIOMECHANICS; INDIVIDUALS; PERFORMANCE; LIGHTWEIGHT</t>
  </si>
  <si>
    <t>Wearables robots have gained attention for the rehabilitation of people with physical disabilities. However, the current technology relies on heavy and bulky actuation components, making it hard to use outside clinical settings. Artificial muscles based on smart materials are trending for soft wearable rehabilitation robots as they present advantages of compliance, are lightweight, and do not require external components. Nevertheless, they present challenges that remain unresolved, preventing widespread adoption. This work reviews the current state of soft wearable rehabilitation robots with artificial muscles based on smart materials (AMSMs). A literature search is conducted utilizing Web of Science and Scopus. Based on the inclusion-exclusion criteria, 15 devices are found using four different smart materials. This study attempts to provide an insight into the distinct biomechanical requirements, the use of smart materials, their limitations, their designs, and possible future research directions, which can provide helpful guidance on the implementation and development of advanced soft wearable rehabilitation robots with AMSMs.</t>
  </si>
  <si>
    <t>[Gonzalez-Vazquez, Alberto; Garcia, Lorenzo; Kilby, Jeff] Auckland Univ Technol, Sch Engn Comp &amp; Math Sci, BioDesign Lab, Auckland 1010, New Zealand; [McNair, Peter] Auckland Univ Technol, Hlth &amp; Rehabil Res Inst, Auckland 1010, New Zealand</t>
  </si>
  <si>
    <t>Garcia, L (corresponding author), Auckland Univ Technol, Sch Engn Comp &amp; Math Sci, BioDesign Lab, Auckland 1010, New Zealand.</t>
  </si>
  <si>
    <t>Consejo Nacional de Ciencica y Tecnologia of Mexico [739850]; Marie Curie Actions (MSCA) [739850] Funding Source: Marie Curie Actions (MSCA)</t>
  </si>
  <si>
    <t>Consejo Nacional de Ciencica y Tecnologia of Mexico; Marie Curie Actions (MSCA)(Marie Curie Actions)</t>
  </si>
  <si>
    <t>This work was partially supported by Consejo Nacional de Ciencica y Tecnologia of Mexico (no. 739850).</t>
  </si>
  <si>
    <t>2640-4567</t>
  </si>
  <si>
    <t>ADV INTELL SYST-GER</t>
  </si>
  <si>
    <t>Adv. Intell. Syst.</t>
  </si>
  <si>
    <t>10.1002/aisy.202200159</t>
  </si>
  <si>
    <t>F9CR2</t>
  </si>
  <si>
    <t>WOS:000943279000001</t>
  </si>
  <si>
    <t>Singh, NR; Leff, AP</t>
  </si>
  <si>
    <t>Singh, Neena R.; Leff, Alexander P.</t>
  </si>
  <si>
    <t>Advances in the Rehabilitation of Hemispatial Inattention</t>
  </si>
  <si>
    <t>Hemispatial inattention; Neglect; Sensory stimulation; Brain stimulation; Dopaminergic therapy; Rehabilitation</t>
  </si>
  <si>
    <t>FRONTAL EYE-FIELD; UNILATERAL NEGLECT; NEURAL MECHANISMS; ATTENTION; CONSEQUENCES; ADAPTATION; EXTINCTION; MOVEMENTS; DEFICITS</t>
  </si>
  <si>
    <t>Purpose of ReviewThere continue to be a plethora of approaches to the rehabilitation of hemispatial inattention, from different forms of sensory stimulation (visual, auditory and somatosensory feedback), through all major modes of non-invasive brain stimulation to drug therapies. Here we summarise trials published in the years 2017-2022 and tabulate their effect sizes, with the aim of drawing on common themes that may serve to inform future rehabilitative studies.Recent FindingsImmersive virtual reality approaches to visual stimulation seem well tolerated, although they have yet to yield any clinically relevant improvements. Dynamic auditory stimulation looks very promising and has high potential for implementation. Robotic interventions are limited by their cost and are perhaps best suited to patients with a co-occurring hemiparesis. Regarding brain stimulation, rTMS continues to demonstrate moderate effects but tDCS studies have yielded disappointing results so far. Drugs, primarily aimed at the dopaminergic system, often demonstrate beneficial effects of a medium size, but as with many of the approaches, it seems difficult to predict responders and non-responders.Our main recommendation is that researchers consider incorporating single-case experimental designs into their studies as rehabilitation trials are likely to remain small in terms of patient numbers, and this is the best way to deal with all the factors that cause large between-subject heterogeneity.</t>
  </si>
  <si>
    <t>[Singh, Neena R.; Leff, Alexander P.] UCL, UCL Queen Sq Inst Neurol, London, England; [Singh, Neena R.] Cleveland Clin London, Neurosci Inst, Dept Neurol, London, England</t>
  </si>
  <si>
    <t>University of London; University College London; Cleveland Clinic Foundation</t>
  </si>
  <si>
    <t>Leff, AP (corresponding author), UCL, UCL Queen Sq Inst Neurol, London, England.</t>
  </si>
  <si>
    <t>a.leff@ucl.ac.uk</t>
  </si>
  <si>
    <t>Leff, Alexander/C-1502-2008</t>
  </si>
  <si>
    <t>Leff, Alexander/0000-0002-0831-3541</t>
  </si>
  <si>
    <t>10.1007/s11910-023-01252-8</t>
  </si>
  <si>
    <t>9T9VV</t>
  </si>
  <si>
    <t>WOS:000943118900001</t>
  </si>
  <si>
    <t>Ang, BWK; Yeow, CH; Lim, JH</t>
  </si>
  <si>
    <t>Ang, Benjamin Wee Keong; Yeow, Chen-Hua; Lim, Jeong Hoon</t>
  </si>
  <si>
    <t>A Critical Review on Factors Affecting the User Adoption of Wearable and Soft Robotics</t>
  </si>
  <si>
    <t>wearable robot; soft exoskeleton; exosuit; soft robotics</t>
  </si>
  <si>
    <t>EXOSKELETON GLOVE; KNEE EXTENSION; TENDON-DRIVEN; HAND; DESIGN; TECHNOLOGY; ACTUATOR; EXOSUIT; GRIPPER; MUSCLE</t>
  </si>
  <si>
    <t>In recent years, the advent of soft robotics has changed the landscape of wearable technologies. Soft robots are highly compliant and malleable, thus ensuring safe human-machine interactions. To date, a wide variety of actuation mechanisms have been studied and adopted into a multitude of soft wearables for use in clinical practice, such as assistive devices and rehabilitation modalities. Much research effort has been put into improving their technical performance and establishing the ideal indications for which rigid exoskeletons would play a limited role. However, despite having achieved many feats over the past decade, soft wearable technologies have not been extensively investigated from the perspective of user adoption. Most scholarly reviews of soft wearables have focused on the perspective of service providers such as developers, manufacturers, or clinicians, but few have scrutinized the factors affecting adoption and user experience. Hence, this would pose a good opportunity to gain insight into the current practice of soft robotics from a user's perspective. This review aims to provide a broad overview of the different types of soft wearables and identify the factors that hinder the adoption of soft robotics. In this paper, a systematic literature search using terms such as soft, robot, wearable, and exoskeleton was conducted according to PRISMA guidelines to include peer-reviewed publications between 2012 and 2022. The soft robotics were classified according to their actuation mechanisms into motor-driven tendon cables, pneumatics, hydraulics, shape memory alloys, and polyvinyl chloride muscles, and their pros and cons were discussed. The identified factors affecting user adoption include design, availability of materials, durability, modeling and control, artificial intelligence augmentation, standardized evaluation criteria, public perception related to perceived utility, ease of use, and aesthetics. The critical areas for improvement and future research directions to increase adoption of soft wearables have also been highlighted.</t>
  </si>
  <si>
    <t>[Ang, Benjamin Wee Keong; Yeow, Chen-Hua] Natl Univ Singapore, Dept Biomed Engn, Singapore 117583, Singapore; [Lim, Jeong Hoon] Natl Univ Singapore, Yong Loo Lin Sch Med, Dept Med, Singapore 119074, Singapore; [Lim, Jeong Hoon] Univ Med Cluster, Natl Univ Hosp, Div Rehabil Med, Singapore 119077, Singapore</t>
  </si>
  <si>
    <t>National University of Singapore; National University of Singapore; National University of Singapore</t>
  </si>
  <si>
    <t>Lim, JH (corresponding author), Natl Univ Singapore, Yong Loo Lin Sch Med, Dept Med, Singapore 119074, Singapore.;Lim, JH (corresponding author), Univ Med Cluster, Natl Univ Hosp, Div Rehabil Med, Singapore 119077, Singapore.</t>
  </si>
  <si>
    <t>angwkb@nus.edu.sg; rayeow@nus.edu.sg; mdcljh@nus.edu.sg</t>
  </si>
  <si>
    <t>Lim, Jeong-Hoon/ABE-6003-2020; Liu, Zhipeng/IUM-2978-2023</t>
  </si>
  <si>
    <t>LIM, JEONG HOON/0000-0002-4266-8709; Yeow, Chen-Hua/0000-0002-6210-4548</t>
  </si>
  <si>
    <t>National Research Foundation Central Gap Fund [A-0005540-01-00]</t>
  </si>
  <si>
    <t>National Research Foundation Central Gap Fund</t>
  </si>
  <si>
    <t>This research was funded by National Research Foundation Central Gap Fund (A-0005540-01-00) and the APC of this paper was paid by the same fund.</t>
  </si>
  <si>
    <t>10.3390/s23063263</t>
  </si>
  <si>
    <t>A9HI2</t>
  </si>
  <si>
    <t>WOS:000958151400001</t>
  </si>
  <si>
    <t>Devi, DH; Duraisamy, K; Armghan, A; Alsharari, M; Aliqab, K; Sorathiya, V; Das, S; Rashid, N</t>
  </si>
  <si>
    <t>Devi, Delshi Howsalya; Duraisamy, Kumutha; Armghan, Ammar; Alsharari, Meshari; Aliqab, Khaled; Sorathiya, Vishal; Das, Sudipta; Rashid, Nasr</t>
  </si>
  <si>
    <t>5G Technology in Healthcare and Wearable Devices: A Review</t>
  </si>
  <si>
    <t>5G; wearable devices; healthcare; chronic disease; health monitoring; telemedicine; IoT; IoMT; robotic surgery</t>
  </si>
  <si>
    <t>NETWORKS; INTERNET; COMMUNICATION; CHALLENGES; IOT</t>
  </si>
  <si>
    <t>Wearable devices with 5G technology are currently more ingrained in our daily lives, and they will now be a part of our bodies too. The requirement for personal health monitoring and preventive disease is increasing due to the predictable dramatic increase in the number of aging people. Technologies with 5G in wearables and healthcare can intensely reduce the cost of diagnosing and preventing diseases and saving patient lives. This paper reviewed the benefits of 5G technologies, which are implemented in healthcare and wearable devices such as patient health monitoring using 5G, continuous monitoring of chronic diseases using 5G, management of preventing infectious diseases using 5G, robotic surgery using 5G, and 5G with future of wearables. It has the potential to have a direct effect on clinical decision making. This technology could improve patient rehabilitation outside of hospitals and monitor human physical activity continuously. This paper draws the conclusion that the widespread adoption of 5G technology by healthcare systems enables sick people to access specialists who would be unavailable and receive correct care more conveniently.</t>
  </si>
  <si>
    <t>[Devi, Delshi Howsalya] Karpaga Vinayaga Coll Engn &amp; Technol, Dept AI &amp; DS, Chengalpattu 603308, Tamil Nadu, India; [Duraisamy, Kumutha] Karpaga Vinayaga Coll Engn &amp; Technol, Dept Biomed Engn, Chengalpattu 603308, Tamil Nadu, India; [Armghan, Ammar; Alsharari, Meshari; Aliqab, Khaled; Rashid, Nasr] Jouf Univ, Coll Engn, Dept Elect Engn, Sakaka 72388, Saudi Arabia; [Sorathiya, Vishal] Parul Univ, Parul Inst Engn &amp; Technol, Fac Engn &amp; Technol, Waghodia Rd, Vadodara 391760, Gujarat, India; [Das, Sudipta] IMPS Coll Engn &amp; Technol, Dept Elect &amp; Commun Engn, Malda 732103, West Bengal, India; [Rashid, Nasr] Al Azhar Univ, Fac Engn, Dept Elect Engn, Nasr City, Nasr City 11884, Cairo, Egypt</t>
  </si>
  <si>
    <t>Al Jouf University; Parul University; Parul Institute of Engineering &amp; Technology; Egyptian Knowledge Bank (EKB); Al Azhar University</t>
  </si>
  <si>
    <t>Armghan, A; Alsharari, M (corresponding author), Jouf Univ, Coll Engn, Dept Elect Engn, Sakaka 72388, Saudi Arabia.</t>
  </si>
  <si>
    <t>aarmghan@ju.edu.sa; mmaalsharari@ju.edu.sa</t>
  </si>
  <si>
    <t>Armghan, Ammar/ABA-9560-2021; Aliqab, Khaled/ABL-7613-2022; D, Kumutha/AAR-2119-2021; Rashid, Nasr/HNP-2359-2023; Das, Sudipta/AAM-7906-2020; Alsharari, Meshari/GSN-8368-2022; Sorathiya, Dr Vishal/AAP-1061-2020</t>
  </si>
  <si>
    <t>Sorathiya, Dr Vishal/0000-0002-6121-5940; Armghan, Dr. Ammar/0000-0002-9062-7493; Rashid, Nasr/0000-0003-4725-2072; Das, Sudipta/0000-0003-4555-7438; Alsharari, Meshari/0000-0002-7989-3360; VIJAY, Dr. KUMUTHA/0000-0002-7691-5579; Aliqab, Khaled/0000-0002-6507-206X</t>
  </si>
  <si>
    <t>10.3390/s23052519</t>
  </si>
  <si>
    <t>9U0OA</t>
  </si>
  <si>
    <t>WOS:000947420500001</t>
  </si>
  <si>
    <t>Goldberg, C; Winterbottom, L; Geller, D; Nilsen, DM; Mahoney, D; Gillen, G</t>
  </si>
  <si>
    <t>Goldberg, Carly; Winterbottom, Lauren; Geller, Daniel; Nilsen, Dawn M.; Mahoney, Danielle; Gillen, Glen</t>
  </si>
  <si>
    <t>Technology-Related Interventions to Improve Performance in Activities of Daily Living for Adults With Stroke (2012-2019)</t>
  </si>
  <si>
    <t>AMERICAN JOURNAL OF OCCUPATIONAL THERAPY</t>
  </si>
  <si>
    <t>SUBACUTE STROKE; UPPER EXTREMITY; UPPER-LIMB; REHABILITATION; RELIABILITY; EFFICACY; BALANCE; SCALE</t>
  </si>
  <si>
    <t>Systematic Review Briefs provide a summary of the findings from systematic reviews developed in conjunction with the American Occupational Therapy Association's Evidence-Based Practice Program. Each Systematic Review Brief summarizes the evidence on a theme related to a systematic review topic. This Systematic Review Brief presents findings for technology-related interventions to improve performance in activities of daily living for adults with stroke, such as virtual reality/gaming, biofeedback, robotics, electrical stimulation, and telerehabilitation.</t>
  </si>
  <si>
    <t>[Goldberg, Carly] New York Presbyterian Columbia Univ, Inpatient Rehabil Unit, Irving Med Ctr, New York, NY 10032 USA; [Goldberg, Carly; Winterbottom, Lauren; Geller, Daniel; Nilsen, Dawn M.; Mahoney, Danielle; Gillen, Glen] Columbia Univ, Dept Rehabil &amp; Regenerat Med, Programs Occupat Therapy, Irving Med Ctr, New York, NY 10027 USA; [Winterbottom, Lauren; Nilsen, Dawn M.] Columbia Univ, Dept Rehabil &amp; Regenerat Med, Irving Med Ctr, New York, NY 10027 USA</t>
  </si>
  <si>
    <t>NewYork-Presbyterian Hospital; Columbia University; NewYork-Presbyterian Hospital; Columbia University; NewYork-Presbyterian Hospital</t>
  </si>
  <si>
    <t>Goldberg, C (corresponding author), New York Presbyterian Columbia Univ, Inpatient Rehabil Unit, Irving Med Ctr, New York, NY 10032 USA.;Goldberg, C (corresponding author), Columbia Univ, Dept Rehabil &amp; Regenerat Med, Programs Occupat Therapy, Irving Med Ctr, New York, NY 10027 USA.</t>
  </si>
  <si>
    <t>Geller, Daniel/NDS-9105-2025; Winterbottom, Lauren/JCN-4856-2023</t>
  </si>
  <si>
    <t>Winterbottom, Lauren/0000-0003-4859-2087</t>
  </si>
  <si>
    <t>AMER OCCUPATIONAL THERAPY ASSOC, INC</t>
  </si>
  <si>
    <t>BETHESDA</t>
  </si>
  <si>
    <t>4720 MONTGOMERY LANE, BETHESDA, MD 20814-3425 USA</t>
  </si>
  <si>
    <t>0272-9490</t>
  </si>
  <si>
    <t>1943-7676</t>
  </si>
  <si>
    <t>AM J OCCUP THER</t>
  </si>
  <si>
    <t>Am. J. Occup. Ther.</t>
  </si>
  <si>
    <t>MAR-APR</t>
  </si>
  <si>
    <t>10.5014/ajot.2022.77S10002</t>
  </si>
  <si>
    <t>H1XD4</t>
  </si>
  <si>
    <t>WOS:000993955500002</t>
  </si>
  <si>
    <t>Moeller, T; Moehler, F; Krell-Roesch, J; Dezman, M; Marquardt, C; Asfour, T; Stein, T; Woll, A</t>
  </si>
  <si>
    <t>Moeller, Tobias; Moehler, Felix; Krell-Roesch, Janina; Dezman, Miha; Marquardt, Charlotte; Asfour, Tamim; Stein, Thorsten; Woll, Alexander</t>
  </si>
  <si>
    <t>Use of Lower Limb Exoskeletons as an Assessment Tool for Human Motor Performance: A Systematic Review</t>
  </si>
  <si>
    <t>wearable robotics; wearable devices; test; diagnosis; range of motion; strength; gait; proprioception; stiffness</t>
  </si>
  <si>
    <t>ROBOTIC HIP EXOSKELETON; LOWER-EXTREMITY; GAIT; REHABILITATION; ORTHOSIS; DESIGN; HEALTH; MOTION; LEG</t>
  </si>
  <si>
    <t>Exoskeletons are a promising tool to support individuals with a decreased level of motor performance. Due to their built-in sensors, exoskeletons offer the possibility of continuously recording and assessing user data, for example, related to motor performance. The aim of this article is to provide an overview of studies that rely on using exoskeletons to measure motor performance. Therefore, we conducted a systematic literature review, following the PRISMA Statement guidelines. A total of 49 studies using lower limb exoskeletons for the assessment of human motor performance were included. Of these, 19 studies were validity studies, and six were reliability studies. We found 33 different exoskeletons; seven can be considered stationary, and 26 were mobile exoskeletons. The majority of the studies measured parameters such as range of motion, muscle strength, gait parameters, spasticity, and proprioception. We conclude that exoskeletons can be used to measure a wide range of motor performance parameters through built-in sensors, and seem to be more objective and specific than manual test procedures. However, since these parameters are usually estimated from built-in sensor data, the quality and specificity of an exoskeleton to assess certain motor performance parameters must be examined before an exoskeleton can be used, for example, in a research or clinical setting.</t>
  </si>
  <si>
    <t>[Moeller, Tobias; Moehler, Felix; Krell-Roesch, Janina; Stein, Thorsten; Woll, Alexander] Karlsruhe Inst Technol, Inst Sports &amp; Sports Sci, D-76131 Karlsruhe, Germany; [Dezman, Miha; Marquardt, Charlotte; Asfour, Tamim] Karlsruhe Inst Technol, Inst Anthropomat &amp; Robot High Performance Humanoid, D-76131 Karlsruhe, Germany</t>
  </si>
  <si>
    <t>Helmholtz Association; Karlsruhe Institute of Technology; Helmholtz Association; Karlsruhe Institute of Technology</t>
  </si>
  <si>
    <t>Moeller, T (corresponding author), Karlsruhe Inst Technol, Inst Sports &amp; Sports Sci, D-76131 Karlsruhe, Germany.</t>
  </si>
  <si>
    <t>tobias.moeller@kit.edu</t>
  </si>
  <si>
    <t>Dežman, Miha/AFQ-5482-2022; Krell-Roesch, Janina/IXN-4715-2023</t>
  </si>
  <si>
    <t>Stein, Thorsten/0000-0002-7885-7085; Marquardt, Charlotte Dorothea/0000-0002-5757-1512; Asfour, Tamim/0000-0003-4879-7680; Dezman, Miha/0000-0001-7160-749X; Woll, Alexander/0000-0002-5736-2980; Moller, Tobias/0000-0003-0454-4833; Krell-Roesch, Janina/0000-0003-4011-9842</t>
  </si>
  <si>
    <t>10.3390/s23063032</t>
  </si>
  <si>
    <t>A9CP9</t>
  </si>
  <si>
    <t>WOS:000958027800001</t>
  </si>
  <si>
    <t>Wang, XM; Yu, HL; Kold, S; Rahbek, O; Bai, SP</t>
  </si>
  <si>
    <t>Wang, Xiaoming; Yu, Hongliu; Kold, Soren; Rahbek, Ole; Bai, Shaoping</t>
  </si>
  <si>
    <t>Wearable sensors for activity monitoring and motion control: A review</t>
  </si>
  <si>
    <t>BIOMIMETIC INTELLIGENCE AND ROBOTICS</t>
  </si>
  <si>
    <t>Wearable sensor; Activity monitoring and tracking; Intelligent motion control; Human-machine interface</t>
  </si>
  <si>
    <t>GAIT EVENT DETECTION; INERTIAL SENSORS; WALKING; SYSTEM; ROBOT; RECOGNITION; CLASSIFICATION; PERFORMANCE; TECHNOLOGY; INTENTION</t>
  </si>
  <si>
    <t>Wearable sensors for activity monitoring currently are being designed and developed, driven by an increasing demand in health care for noninvasive patient monitoring and rehabilitation training. This article reviews state-of-the-art wearable sensors for activity monitoring and motion control. Different technologies, including electromechanical, bioelectrical, and biomechanical sensors, are reviewed, along with their broad applications. Moreover, an overview of existing commercial wearable products and the computation methods for motion analysis are provided. Future research issues are identified and discussed. (c) 2023 The Author(s). Published by Elsevier B.V. on behalf of Shandong University. This is an open access article under the CC BY license (http://creativecommons.org/licenses/by/4.0/).</t>
  </si>
  <si>
    <t>[Wang, Xiaoming; Bai, Shaoping] Aalborg Univ, Dept Mat &amp; Prod, DK-9220 Aalborg, Denmark; [Wang, Xiaoming; Yu, Hongliu] Univ Shanghai Sci &amp; Technol, Rehabil Engn &amp; Technol Inst, Shanghai 200093, Peoples R China; [Kold, Soren; Rahbek, Ole] Aalborg Univ Hosp, Dept Orthoped Surg, DK-9220 Aalborg, Denmark</t>
  </si>
  <si>
    <t>Aalborg University; University of Shanghai for Science &amp; Technology; Aalborg University; Aalborg University Hospital</t>
  </si>
  <si>
    <t>Bai, SP (corresponding author), Aalborg Univ, Dept Mat &amp; Prod, DK-9220 Aalborg, Denmark.</t>
  </si>
  <si>
    <t>shb@mp.aau.dk</t>
  </si>
  <si>
    <t>Rahbek, Ole/AIB-8046-2022; Huang, Yiying/JRX-5127-2023; bai, shaoping/AAH-2817-2020</t>
  </si>
  <si>
    <t>Kold, Soren/0000-0002-3387-1473; Bai, Shaoping/0000-0001-5882-9768; Wang, Xiaoming/0000-0003-4472-0299</t>
  </si>
  <si>
    <t>Region Nordjylland Health Hub Project SLAM; National Natural Science Foundation of China [62073224]; China Scholarships Council</t>
  </si>
  <si>
    <t>Region Nordjylland Health Hub Project SLAM; National Natural Science Foundation of China(National Natural Science Foundation of China (NSFC)); China Scholarships Council</t>
  </si>
  <si>
    <t>This work was supported by the Region Nordjylland Health Hub Project SLAM and the National Natural Science Foundation of China (62073224) . X. Wang acknowledges the financial support from the China Scholarships Council for her study at Aalborg University, Denmark.</t>
  </si>
  <si>
    <t>2097-0242</t>
  </si>
  <si>
    <t>2667-3797</t>
  </si>
  <si>
    <t>BIOMIM INTELL ROBOT</t>
  </si>
  <si>
    <t>Biomim. Intell. Robot.</t>
  </si>
  <si>
    <t>10.1016/j.birob.2023.100089</t>
  </si>
  <si>
    <t>M0N4X</t>
  </si>
  <si>
    <t>WOS:001354598600007</t>
  </si>
  <si>
    <t>Johnson, WB; Young, A; Goldman, S; Wilson, J; Alderete, JF; Childers, WL</t>
  </si>
  <si>
    <t>Johnson, W. Brett; Young, Aaron; Goldman, Stephen; Wilson, Jon; Alderete, Joseph F.; Childers, W. Lee</t>
  </si>
  <si>
    <t>Exoskeletal solutions to enable mobility with a lower leg fracture in austere environments</t>
  </si>
  <si>
    <t>WEARABLE TECHNOLOGIES</t>
  </si>
  <si>
    <t>Design; Exoskeletons; Rehabilitation robotics</t>
  </si>
  <si>
    <t>EPIDEMIOLOGY; ORTHOSES; INJURIES; WALKING; DESIGN; PEOPLE; DEVICE; COST; CARE</t>
  </si>
  <si>
    <t>The treatment and evacuation of people with lower limb fractures in austere environments presents unique challenges that assistive exoskeletal devices could address. In these dangerous situations, independent mobility for the injured can preserve their vital capabilities so that they can safely evacuate and minimize the need for additional personnel to help. This expert view article discusses how different exoskeleton archetypes could provide independent mobility while satisfying the requisite needs for portability, maintainability, durability, and adaptability to be available and useful within austere environments. The authors also discuss areas of development that would enable exoskeletons to operate more effectively in these scenarios as well as preserve the health of the injured limb so that definitive treatment after evacuation will produce better outcomes.</t>
  </si>
  <si>
    <t>[Johnson, W. Brett; Goldman, Stephen; Childers, W. Lee] Extrem Trauma &amp; Amputat Ctr Excellence, Res &amp; Surveillance Div, San Antonio, TX 78234 USA; [Johnson, W. Brett; Childers, W. Lee] Brooke Army Med Ctr, Ctr Intrepid, San Antonio, TX 78219 USA; [Young, Aaron] Georgia Inst Technol, Sch Mech Engn, Atlanta, GA 30332 USA; [Goldman, Stephen] Uniformed Serv Univ Hlth Sci, Bethesda, MD 20814 USA; [Wilson, Jon] Alabama Coll Osteopath Med, Dothan, AL 36303 USA; [Alderete, Joseph F.] US Army, Inst Surg Res, San Antonio, TX 78234 USA</t>
  </si>
  <si>
    <t>United States Department of Defense; United States Army; San Antonio Military Medical Center; University System of Georgia; Georgia Institute of Technology; Uniformed Services University of the Health Sciences - USA</t>
  </si>
  <si>
    <t>Johnson, WB (corresponding author), Extrem Trauma &amp; Amputat Ctr Excellence, Res &amp; Surveillance Div, San Antonio, TX 78234 USA.;Johnson, WB (corresponding author), Brooke Army Med Ctr, Ctr Intrepid, San Antonio, TX 78219 USA.</t>
  </si>
  <si>
    <t>william.b.johnson462.civ@mail.mil</t>
  </si>
  <si>
    <t>U.S. Army Medical Department</t>
  </si>
  <si>
    <t>The views expressed herein are those of the authors and do not reflect the official policy or position of Brooke Army Medical Center, the U.S. Army Medical Department, the U.S. Army Office of the Surgeon General, the Department of the Army, the Department of the Air Force, the Defense Health Agency, or the Department of Defense, or the U.S. Government. Illustrations courtesy of Erica Lee Vasquez and Brooke Army Medical Center's Electronic Multimedia Imaging Center.</t>
  </si>
  <si>
    <t>2631-7176</t>
  </si>
  <si>
    <t>WEAR TECHNOL</t>
  </si>
  <si>
    <t>Wearable Technol.</t>
  </si>
  <si>
    <t>FEB 28</t>
  </si>
  <si>
    <t>e5</t>
  </si>
  <si>
    <t>10.1017/wtc.2022.26</t>
  </si>
  <si>
    <t>Engineering, Biomedical; Robotics; Rehabilitation</t>
  </si>
  <si>
    <t>Engineering; Robotics; Rehabilitation</t>
  </si>
  <si>
    <t>MG2I6</t>
  </si>
  <si>
    <t>WOS:001192404100001</t>
  </si>
  <si>
    <t>Zanatta, F; Farhane-Medina, NZ; Adorni, R; Steca, P; Giardini, A; D'Addario, M; Pierobon, A</t>
  </si>
  <si>
    <t>Zanatta, Francesco; Farhane-Medina, Naima Z.; Adorni, Roberta; Steca, Patrizia; Giardini, Anna; D'Addario, Marco; Pierobon, Antonia</t>
  </si>
  <si>
    <t>Combining robot-assisted therapy with virtual reality or using it alone? A systematic review on health-related quality of life in neurological patients</t>
  </si>
  <si>
    <t>HEALTH AND QUALITY OF LIFE OUTCOMES</t>
  </si>
  <si>
    <t>Health-related quality of life; Neurorehabilitation; Robot-assisted therapy; Virtual reality; Systematic review</t>
  </si>
  <si>
    <t>PROGRESSIVE MULTIPLE-SCLEROSIS; CHRONIC STROKE; REHABILITATION; MOTOR; IMPROVEMENTS; OUTCOMES; WALKING; PEOPLE; NEUROREHABILITATION; EXOSKELETON</t>
  </si>
  <si>
    <t>BackgroundIn the field of neurorehabilitation, robot-assisted therapy (RAT) and virtual reality (VR) have so far shown promising evidence on multiple motor and functional outcomes. The related effectiveness on patients' health-related quality of life (HRQoL) has been investigated across neurological populations but still remains unclear. The present study aimed to systematically review the studies investigating the effects of RAT alone and with VR on HRQoL in patients with different neurological diseases.MethodsA systematic review of the studies evaluating the impact of RAT alone and combined with VR on HRQoL in patients affected by neurological diseases (i.e., stroke, multiple sclerosis, spinal cord injury, Parkinson's Disease) was conducted according to PRISMA guidelines. Electronic searches of PubMed, Web of Science, Cochrane Library, CINAHL, Embase, and PsychINFO (2000-2022) were performed. Risk of bias was evaluated through the National Institute of Health Quality Assessment Tool. Descriptive data regarding the study design, participants, intervention, rehabilitation outcomes, robotic device typology, HRQoL measures, non-motor factors concurrently investigated, and main results were extracted and meta-synthetized.ResultsThe searches identified 3025 studies, of which 70 met the inclusion criteria. An overall heterogeneous configuration was found regarding the study design adopted, intervention procedures and technological devices implemented, rehabilitation outcomes (i.e., related to both upper and lower limb impairment), HRQoL measures administered, and main evidence. Most of the studies reported significant effects of both RAT and RAT plus VR on patients HRQoL, whether they adopted generic or disease-specific HRQoL measures. Significant post-intervention within-group changes were mainly found across neurological populations, while fewer studies reported significant between-group comparisons, and then, mostly in patients with stroke. Longitudinal investigations were also observed (up to 36 months), but significant longitudinal effects were exclusively found in patients with stroke or multiple sclerosis. Finally, concurrent evaluations on non-motor outcomes beside HRQoL included cognitive (i.e., memory, attention, executive functions) and psychological (i.e., mood, satisfaction with the treatment, device usability, fear of falling, motivation, self-efficacy, coping, and well-being) variables.ConclusionsDespite the heterogeneity observed among the studies included, promising evidence was found on the effectiveness of RAT and RAT plus VR on HRQoL. However, further targeted short- and long-term investigations, are strongly recommended for specific HRQoL subcomponents and neurological populations, through the adoption of defined intervention procedures and disease-specific assessment methodology.</t>
  </si>
  <si>
    <t>[Zanatta, Francesco; Adorni, Roberta; Steca, Patrizia; D'Addario, Marco] Univ Milano Bicocca, Dept Psychol, Milan, Italy; [Farhane-Medina, Naima Z.] Maimonides Biomed Res Inst Cordoba IMIBIC, Cordoba, Spain; [Farhane-Medina, Naima Z.] Univ Cordoba, Dept Psychol, Cordoba, Spain; [Giardini, Anna] Istituti Clinici Scientif Maugeri IRCCS, Informat Technol Dept, Pavia, Italy; [Pierobon, Antonia] Istituti Clinici Sci Maugeri IRCCS, Psychol Unit Montescano Inst, Montescano, Italy</t>
  </si>
  <si>
    <t>University of Milano-Bicocca; Universidad de Cordoba</t>
  </si>
  <si>
    <t>Adorni, R (corresponding author), Univ Milano Bicocca, Dept Psychol, Milan, Italy.</t>
  </si>
  <si>
    <t>roberta.adorni1@unimib.it</t>
  </si>
  <si>
    <t>D'Addario, Marco/HQY-6087-2023; Giardini, Anna/ABI-7610-2020; Farhane Medina, Naima Z./HMO-6986-2023; Adorni, Roberta/GMW-9037-2022; Pierobon, Antonia/AAA-2859-2021; Zanatta, Francesco/KIA-7528-2024</t>
  </si>
  <si>
    <t>Zanatta, Francesco/0000-0002-6995-4190; Farhane-Medina, Naima Z./0000-0002-6626-9358</t>
  </si>
  <si>
    <t>1477-7525</t>
  </si>
  <si>
    <t>HEALTH QUAL LIFE OUT</t>
  </si>
  <si>
    <t>Health Qual. Life Outcomes</t>
  </si>
  <si>
    <t>10.1186/s12955-023-02097-y</t>
  </si>
  <si>
    <t>9B4AT</t>
  </si>
  <si>
    <t>WOS:000934681900001</t>
  </si>
  <si>
    <t>de Miguel-Fernández, J; Lobo-Prat, J; Prinsen, E; Font-Llagunes, JM; Marchal-Crespo, L</t>
  </si>
  <si>
    <t>de Miguel-Fernandez, Jesus; Lobo-Prat, Joan; Prinsen, Erik; Font-Llagunes, Josep M.; Marchal-Crespo, Laura</t>
  </si>
  <si>
    <t>Control strategies used in lower limb exoskeletons for gait rehabilitation after brain injury: a systematic review and analysis of clinical effectiveness</t>
  </si>
  <si>
    <t>Powered exoskeleton; Gait rehabilitation; Lower limb; Brain injury; Stroke; Cerebral palsy; Literature synthesis</t>
  </si>
  <si>
    <t>HYBRID ASSISTIVE LIMB; ANKLE-FOOT-ORTHOSIS; OF-THE-ART; SUBACUTE STROKE PATIENTS; CEREBRAL-PALSY; WALKING ABILITIES; ADAPTIVE-CONTROL; OUTCOME MEASURES; ROBOT; MOTOR</t>
  </si>
  <si>
    <t>BackgroundIn the past decade, there has been substantial progress in the development of robotic controllers that specify how lower-limb exoskeletons should interact with brain-injured patients. However, it is still an open question which exoskeleton control strategies can more effectively stimulate motor function recovery. In this review, we aim to complement previous literature surveys on the topic of exoskeleton control for gait rehabilitation by: (1) providing an updated structured framework of current control strategies, (2) analyzing the methodology of clinical validations used in the robotic interventions, and (3) reporting the potential relation between control strategies and clinical outcomes.MethodsFour databases were searched using database-specific search terms from January 2000 to September 2020. We identified 1648 articles, of which 159 were included and evaluated in full-text. We included studies that clinically evaluated the effectiveness of the exoskeleton on impaired participants, and which clearly explained or referenced the implemented control strategy.Results(1) We found that assistive control (100% of exoskeletons) that followed rule-based algorithms (72%) based on ground reaction force thresholds (63%) in conjunction with trajectory-tracking control (97%) were the most implemented control strategies. Only 14% of the exoskeletons implemented adaptive control strategies. (2) Regarding the clinical validations used in the robotic interventions, we found high variability on the experimental protocols and outcome metrics selected. (3) With high grade of evidence and a moderate number of participants (N = 19), assistive control strategies that implemented a combination of trajectory-tracking and compliant control showed the highest clinical effectiveness for acute stroke. However, they also required the longest training time. With high grade of evidence and low number of participants (N = 8), assistive control strategies that followed a threshold-based algorithm with EMG as gait detection metric and control signal provided the highest improvements with the lowest training intensities for subacute stroke. Finally, with high grade of evidence and a moderate number of participants (N = 19), assistive control strategies that implemented adaptive oscillator algorithms together with trajectory-tracking control resulted in the highest improvements with reduced training intensities for individuals with chronic stroke.ConclusionsDespite the efforts to develop novel and more effective controllers for exoskeleton-based gait neurorehabilitation, the current level of evidence on the effectiveness of the different control strategies on clinical outcomes is still low. There is a clear lack of standardization in the experimental protocols leading to high levels of heterogeneity. Standardized comparisons among control strategies analyzing the relation between control parameters and biomechanical metrics will fill this gap to better guide future technical developments. It is still an open question whether controllers that provide an on-line adaptation of the control parameters based on key biomechanical descriptors associated to the patients' specific pathology outperform current control strategies.</t>
  </si>
  <si>
    <t>[de Miguel-Fernandez, Jesus; Font-Llagunes, Josep M.] Univ Politecn Cataluna, Dept Mech Engn, Biomech Engn Lab, Diagonal 647, Barcelona 08028, Spain; [de Miguel-Fernandez, Jesus; Font-Llagunes, Josep M.] Univ Politecn Cataluna, Res Ctr Biomed Engn, Diagonal 647, Barcelona 08028, Spain; [de Miguel-Fernandez, Jesus; Font-Llagunes, Josep M.] Inst Recerca St Joan de Deu, Santa Rosa 39 57, Esplugas de Llobregat 08950, Spain; [Lobo-Prat, Joan] ABLE Human Mot, Diagonal 647, Barcelona 08028, Spain; [Prinsen, Erik] Roessingh Res &amp; Dev, Roessinghsbleekweg 33b, NL-7522 AH Enschede, Netherlands; [Marchal-Crespo, Laura] Delft Univ Technol, Cognit Robot Dept, Mekelweg 2, NL-2628 Delft, Netherlands; [Marchal-Crespo, Laura] Univ Bern, ARTORG Ctr Biomed Engn Res, Motor Learning &amp; Neurorehabil Lab, Freiburg Str 3, CH-3010 Bern, Switzerland; [Marchal-Crespo, Laura] Erasmus MC Univ Med Ctr, Dept Rehabil Med, Doctor Molewaterpl 40, NL-3015 GD Rotterdam, Netherlands</t>
  </si>
  <si>
    <t>Universitat Politecnica de Catalunya; Universitat Politecnica de Catalunya; Delft University of Technology; University of Bern; Erasmus University Rotterdam; Erasmus MC</t>
  </si>
  <si>
    <t>Marchal-Crespo, L (corresponding author), Delft Univ Technol, Cognit Robot Dept, Mekelweg 2, NL-2628 Delft, Netherlands.;Marchal-Crespo, L (corresponding author), Univ Bern, ARTORG Ctr Biomed Engn Res, Motor Learning &amp; Neurorehabil Lab, Freiburg Str 3, CH-3010 Bern, Switzerland.;Marchal-Crespo, L (corresponding author), Erasmus MC Univ Med Ctr, Dept Rehabil Med, Doctor Molewaterpl 40, NL-3015 GD Rotterdam, Netherlands.</t>
  </si>
  <si>
    <t>laura.marchal@unibe.ch</t>
  </si>
  <si>
    <t>Marchal-Crespo, Laura/AAA-1373-2019; Lobo-Prat, Joan/C-9754-2019; Font-Llagunes, Josep Maria/C-8665-2014</t>
  </si>
  <si>
    <t>Prinsen, Erik/0000-0001-7376-0236; Font-Llagunes, Josep Maria/0000-0002-7192-2980; de Miguel-Fernandez, Jesus/0000-0001-8651-1642; Lobo-Prat, Joan/0000-0003-4197-1391; Marchal-Crespo, Laura/0000-0002-8008-5803</t>
  </si>
  <si>
    <t>FEB 19</t>
  </si>
  <si>
    <t>10.1186/s12984-023-01144-5</t>
  </si>
  <si>
    <t>9B1PB</t>
  </si>
  <si>
    <t>WOS:000934515400001</t>
  </si>
  <si>
    <t>Brinkemper, A; Grasmuecke, D; Yilmaz, E; Schildhauer, TA; Aach, M</t>
  </si>
  <si>
    <t>Brinkemper, Alexis; Grasmuecke, Dennis; Yilmaz, Emre; Schildhauer, Thomas Armin; Aach, Mirko</t>
  </si>
  <si>
    <t>HAL Training in Spinal Cord Injured Patients: A Narrative Review of 10 Years Experience</t>
  </si>
  <si>
    <t>spinal cord injury; exoskeleton; Hybrid Assistive Limb; rehabilitation; review</t>
  </si>
  <si>
    <t>VOLUNTARY-DRIVEN EXOSKELETON; QUALITY-OF-LIFE; REHABILITATION; PILOT; ROBOT; NEUROREHABILITATION; FEASIBILITY; WALKING</t>
  </si>
  <si>
    <t>To provide a summary and overview of the use of Hybrid Assistive Limb in spinal cord injured patients over the past 10 years. A review of the literature was performed via Web of Science and PubMed using the search terms Hybrid assistive limb or HAL or wearable robot or exoskeleton and SCI or spinal cord injury by two of the authors. Relevant articles were then studied in full text. Our review of the literature found 21 articles that met the inclusion criteria of this narrative review including 344 participants. Articles were sorted into two general categories: (1) clinical trials, and (2) single-case or two-case reports. The vast majority of patients improved functionally, showing increased walking distances, walking speeds, and endurance. In addition, a variety of other advances were described, such as temporary decrease in spasticity, improvement in bladder and bowel management, pain reduction, and change in muscle activity. Even though there is no uniform application of HAL training in people living with SCI the current study situation suggests that many patients could benefit from this innovative training within their means.</t>
  </si>
  <si>
    <t>[Brinkemper, Alexis; Yilmaz, Emre; Schildhauer, Thomas Armin] BG Univ Hosp Bergmannsheil, Dept Gen &amp; Trauma Surg, D-44789 Bochum, Germany; [Grasmuecke, Dennis; Aach, Mirko] BG Univ Hosp Bergmannsheil, Dept Spinal Cord Injuries, D-44789 Bochum, Germany</t>
  </si>
  <si>
    <t>Ruhr University Bochum; Ruhr University Bochum</t>
  </si>
  <si>
    <t>Brinkemper, A (corresponding author), BG Univ Hosp Bergmannsheil, Dept Gen &amp; Trauma Surg, D-44789 Bochum, Germany.</t>
  </si>
  <si>
    <t>alexis.brinkemper@bergmannsheil.de</t>
  </si>
  <si>
    <t>Schildhauer, Thomas/0000-0002-3232-9869; Brinkemper, Alexis/0000-0002-8394-8176</t>
  </si>
  <si>
    <t>Open Access Publication Funds of the Ruhr-Universitat Bochum</t>
  </si>
  <si>
    <t>We acknowledge support by the Open Access Publication Funds of the Ruhr-Universitat Bochum.</t>
  </si>
  <si>
    <t>10.3390/app13031369</t>
  </si>
  <si>
    <t>9A0XN</t>
  </si>
  <si>
    <t>WOS:000933790000001</t>
  </si>
  <si>
    <t>Kim, RK; Kang, N; Desai, Z; Cauraugh, JH</t>
  </si>
  <si>
    <t>Kim, Rye-Kyeong; Kang, Nyeonju; Desai, Zeel; Cauraugh, James H.</t>
  </si>
  <si>
    <t>A Meta-Analysis on Dual Protocols for Chronic Stroke Motor Recovery: Robotic Training and tDCS</t>
  </si>
  <si>
    <t>stroke; robotic; transcranial direct current stimulation; rehabilitation; meta-analysis</t>
  </si>
  <si>
    <t>DIRECT-CURRENT STIMULATION; NONINVASIVE BRAIN-STIMULATION; UPPER-LIMB REHABILITATION; DOUBLE-BLIND; ASSISTED REHABILITATION; COMPUTER INTERFACE; NEURAL PLASTICITY; SINGLE-SESSION; THERAPY; SUBACUTE</t>
  </si>
  <si>
    <t>Two popular chronic stroke rehabilitation protocols are robotic-assisted movements and transcranial direct current stimulation (tDCS). Separately, both protocols have produced encouraging motor recovery improvements. An intriguing question remains: what happens to motor recovery when both protocols are administered together? Do the two protocols together produce additive dual effects? This systematic review and meta-analysis investigated the dual effect of combining robotic training and tDCS. We investigated the potential effects of tDCS protocols in addition to robotic-training programs on motor recovery of the upper and lower extremities post-stroke. A systematic literature search identified 20 qualified studies that used robotic training combined with tDCS protocols for upper limb (i.e., 15 studies) and lower limb (i.e., 5 studies) post-stroke rehabilitation. Individuals in the subacute and chronic stages of recovery were investigated. The 20 included studies compared additive effects of the combined protocols with robotic training sham control groups. Further, we estimated short-term and long-term treatment effects of the combined protocols. The random-effects model meta-analyses failed to find any significant short-term and long-term motor improvements in the upper extremities after the combined treatments. However, robotic-assisted movements combined with tDCS protocols revealed significant moderate transient and sustained improvements in functions of the lower limbs post-stroke. These meta-analytic findings suggest clinical implications concerning coupled top-down and bottom-up training protocols (i.e., robotic training and tDCS combined), which will allow us to make progress toward post-stroke motor recovery.</t>
  </si>
  <si>
    <t>[Kim, Rye-Kyeong; Kang, Nyeonju] Incheon Natl Univ, Sport Sci Inst, Hlth Promot Ctr, Div Sport Sci, Incheon 22012, South Korea; [Desai, Zeel; Cauraugh, James H.] Univ Florida, Dept Appl Physiol &amp; Kinesiol, Gainesville, FL 32611 USA</t>
  </si>
  <si>
    <t>Incheon National University; State University System of Florida; University of Florida</t>
  </si>
  <si>
    <t>Cauraugh, JH (corresponding author), Univ Florida, Dept Appl Physiol &amp; Kinesiol, Gainesville, FL 32611 USA.</t>
  </si>
  <si>
    <t>cauraugh@ufl.edu</t>
  </si>
  <si>
    <t>Kang, Nyeonju/AAX-1879-2021; Cauraugh, James/A-8810-2012</t>
  </si>
  <si>
    <t>Cauraugh, James/0000-0002-1919-8059; KANG, NYEONJU/0000-0001-5185-9139</t>
  </si>
  <si>
    <t>Incheon National University Research Grant in 2021 [2021-0072]</t>
  </si>
  <si>
    <t>Incheon National University Research Grant in 2021</t>
  </si>
  <si>
    <t>This research was funded by Incheon National University Research Grant in 2021 (2021-0072).</t>
  </si>
  <si>
    <t>10.3390/app13031992</t>
  </si>
  <si>
    <t>9A0SY</t>
  </si>
  <si>
    <t>WOS:000933778100001</t>
  </si>
  <si>
    <t>Wang, WC; Yeh, CY; Huang, JJ; Chang, SC; Pei, YC</t>
  </si>
  <si>
    <t>Wang, Wei-Cheng; Yeh, Chia-Yi; Huang, Jian-Jia; Chang, Shih-Chieh; Pei, Yu-Cheng</t>
  </si>
  <si>
    <t>Synergic Effect of Robot-Assisted Rehabilitation and Antispasticity Therapy: A Narrative Review</t>
  </si>
  <si>
    <t>stroke; spinal cord injury; robotic-assisted therapy; antispasticity therapy; rehabilitation</t>
  </si>
  <si>
    <t>STROKE; SPASTICITY; TOXIN; PREDICTORS; MOTION; PILOT; HAND</t>
  </si>
  <si>
    <t>Background: Stroke and spinal cord injury are neurological disorders that cause disability and exert tremendous social and economic effects. Robot-assisted training (RAT), which may reduce spasticity, is widely applied in neurorehabilitation. The combined effects of RAT and antispasticity therapies, such as botulinum toxin A injection therapy, on functional recovery remain unclear. This review evaluated the effects of combined therapy on functional recovery and spasticity reduction. Materials and Methods: Studies evaluating the efficacy of RAT and antispasticity therapy in promoting functional recovery and reducing spasticity were systemically reviewed. Five randomized controlled trials (RCTs) were included. The modified Jadad scale was applied for quality assessment. Functional assessments, such as the Berg Balance Scale, were used to measure the primary outcome. Spasticity assessments, such as the modified Ashworth Scale, were used to measure the secondary outcome. Results: Combined therapy improves functional recovery in the lower limbs but does not reduce spasticity in the upper or lower limbs. Conclusions: The evidence supports that combined therapy improves lower limb function but does not reduce spasticity. The considerable risk of bias among the included studies and the enrolled patients who did not receive interventions within the golden period of intervention are two major factors that should be considered when interpreting these results. Additional high-quality RCTs are required.</t>
  </si>
  <si>
    <t>[Wang, Wei-Cheng; Yeh, Chia-Yi] Chang Gung Mem Hosp, Dept Med Educ, C,5 Fushing St, Taoyuan 333, Taiwan; [Yeh, Chia-Yi] Chang Gung Mem Hosp Linkou, Dept Orthoped Surg, 5 Fushing St, Taoyuan 333, Taiwan; [Huang, Jian-Jia; Chang, Shih-Chieh; Pei, Yu-Cheng] Chang Gung Mem Hosp Linkou, Dept Phys Med &amp; Rehabil, 5 Fushing St, Taoyuan 333, Taiwan; [Huang, Jian-Jia; Pei, Yu-Cheng] Chang Gung Univ, Grad Sch Sci Design Program Innovat Smart Med, 259 Wen Hwa 1st Rd, Taoyuan 333, Taiwan; [Huang, Jian-Jia; Pei, Yu-Cheng] Chang Gung Mem Hosp Linkou, Ctr Vascularized Tissue Allograft, 5 Fushing St, Taoyuan 333, Taiwan; [Pei, Yu-Cheng] Chang Gung Univ, Sch Med, 259 Wen Hwa 1st Rd, Taoyuan 333, Taiwan</t>
  </si>
  <si>
    <t>Chang Gung Memorial Hospital; Chang Gung Memorial Hospital; Chang Gung Memorial Hospital; Chang Gung University; Chang Gung Memorial Hospital; Chang Gung University</t>
  </si>
  <si>
    <t>Chang, SC; Pei, YC (corresponding author), Chang Gung Mem Hosp Linkou, Dept Phys Med &amp; Rehabil, 5 Fushing St, Taoyuan 333, Taiwan.;Pei, YC (corresponding author), Chang Gung Univ, Grad Sch Sci Design Program Innovat Smart Med, 259 Wen Hwa 1st Rd, Taoyuan 333, Taiwan.;Pei, YC (corresponding author), Chang Gung Mem Hosp Linkou, Ctr Vascularized Tissue Allograft, 5 Fushing St, Taoyuan 333, Taiwan.;Pei, YC (corresponding author), Chang Gung Univ, Sch Med, 259 Wen Hwa 1st Rd, Taoyuan 333, Taiwan.</t>
  </si>
  <si>
    <t>kenny92031@cgmh.org.tw; yspeii@gmail.com</t>
  </si>
  <si>
    <t>Chang, Ya-Hsuan/AAG-1313-2021</t>
  </si>
  <si>
    <t>Pei, Yu-Cheng/0000-0001-5986-0046</t>
  </si>
  <si>
    <t>Chang Gung Medical Foundation [CMRPG3K2151-2, CMRPG3K0231-2, BMRPB67]</t>
  </si>
  <si>
    <t>Chang Gung Medical Foundation</t>
  </si>
  <si>
    <t>This research was funded by The Chang Gung Medical Foundation Grants CMRPG3K2151-2 and CMRPG3K0231-2 for manpower, and BMRPB67 for English editing.</t>
  </si>
  <si>
    <t>10.3390/life13020252</t>
  </si>
  <si>
    <t>9J9AJ</t>
  </si>
  <si>
    <t>WOS:000940470100001</t>
  </si>
  <si>
    <t>Morris, L; Diteesawat, RS; Rahman, N; Turton, A; Cramp, M; Rossiter, J</t>
  </si>
  <si>
    <t>Morris, Leah; Diteesawat, Richard S.; Rahman, Nahian; Turton, Ailie; Cramp, Mary; Rossiter, Jonathan</t>
  </si>
  <si>
    <t>The-state-of-the-art of soft robotics to assist mobility: a review of physiotherapist and patient identified limitations of current lower-limb exoskeletons and the potential soft-robotic solutions</t>
  </si>
  <si>
    <t>Mobility; Rehabilitation; Patient; Therapist; Exoskeleton; Assistive device; Soft robotics</t>
  </si>
  <si>
    <t>ORTHOSES; ACTUATOR; REHABILITATION; PARTICIPATION; PERSPECTIVES; STRATEGIES; COMPLIANT; DESIGN; DEVICE; AIDS</t>
  </si>
  <si>
    <t>BackgroundSoft, wearable, powered exoskeletons are novel devices that may assist rehabilitation, allowing users to walk further or carry out activities of daily living. However, soft robotic exoskeletons, and the more commonly used rigid exoskeletons, are not widely adopted clinically. The available evidence highlights a disconnect between the needs of exoskeleton users and the engineers designing devices. This review aimed to explore the literature on physiotherapist and patient perspectives of the longer-standing, and therefore greater evidenced, rigid exoskeleton limitations. It then offered potential solutions to these limitations, including soft robotics, from an engineering standpoint.MethodsA state-of-the-art review was carried out which included both qualitative and quantitative research papers regarding patient and/or physiotherapist perspectives of rigid exoskeletons. Papers were themed and themes formed the review's framework.ResultsSix main themes regarding the limitations of soft exoskeletons were important to physiotherapists and patients: safety; a one-size-fits approach; ease of device use; weight and placement of device; cost of device; and, specific to patients only, appearance of the device. Potential soft-robotics solutions to address these limitations were offered, including compliant actuators, sensors, suit attachments fitting to user's body, and the use of control algorithms.ConclusionsIt is evident that current exoskeletons are not meeting the needs of their users. Solutions to the limitations offered may inform device development. However, the solutions are not infallible and thus further research and development is required.</t>
  </si>
  <si>
    <t>[Morris, Leah; Turton, Ailie; Cramp, Mary] Univ West England, Ctr Hlth &amp; Clin Res, Bristol, England; [Morris, Leah; Diteesawat, Richard S.; Rahman, Nahian; Rossiter, Jonathan] Bristol Robot Lab, Bristol, England; [Diteesawat, Richard S.; Rahman, Nahian; Rossiter, Jonathan] Univ Bristol, Dept Engn Math, Bristol, England</t>
  </si>
  <si>
    <t>University of West England; University of West England; University of Bristol; University of Bristol</t>
  </si>
  <si>
    <t>Morris, L (corresponding author), Univ West England, Ctr Hlth &amp; Clin Res, Bristol, England.;Morris, L (corresponding author), Bristol Robot Lab, Bristol, England.</t>
  </si>
  <si>
    <t>leah.morris@uwe.ac.uk</t>
  </si>
  <si>
    <t>Rahman, Nahian/AAM-8875-2020; Diteesawat, Richard Suphapol/AGY-4221-2022</t>
  </si>
  <si>
    <t>Diteesawat, Richard Suphapol/0000-0001-7002-5658; Morris, Leah/0000-0002-4651-1514; Rossiter, Jonathan/0000-0002-9109-9987; Rahman, Nahian/0000-0002-5165-2821</t>
  </si>
  <si>
    <t>JAN 30</t>
  </si>
  <si>
    <t>10.1186/s12984-022-01122-3</t>
  </si>
  <si>
    <t>8F4NZ</t>
  </si>
  <si>
    <t>WOS:000919643100001</t>
  </si>
  <si>
    <t>Gandolfi, M; Mazzoleni, S; Morone, G; Iosa, M; Galletti, F; Smania, N</t>
  </si>
  <si>
    <t>Gandolfi, Marialuisa; Mazzoleni, Stefano; Morone, Giovanni; Iosa, Marco; Galletti, Filippo; Smania, Nicola</t>
  </si>
  <si>
    <t>The role of feedback in the robotic-assisted upper limb rehabilitation in people with multiple sclerosis: a systematic review</t>
  </si>
  <si>
    <t>Serious game; sensorimotor learning; engagement; neuroplasticity</t>
  </si>
  <si>
    <t>INDUCED MOVEMENT THERAPY; OF-THE-ART; BRAIN; NEUROPLASTICITY; STROKE; ADAPTATION; PLASTICITY; RECOVERY; DEFICIT</t>
  </si>
  <si>
    <t>IntroductionRobotic-assisted upper limb rehabilitation might improve upper limb recovery in people with multiple sclerosis (PwMS) with moderate-to-severe disability. In the few existing studies, the training effects have been related to the type of intervention, if intensive, repetitive, or task-oriented training might promote neuroplasticity and recovery. Notably, most of these devices operate within a serious game context providing different feedback. Since feedback is a key component of motor control and thus involved in motor and cognitive rehabilitation, clinicians cannot desist from considering the potential contribution of feedback in the upper limb robot-assisted rehabilitation effects.Area coveredIn this systematic review, we reported the rehabilitation protocols used in the robot-assisted upper limb training in PwMS to provide state-of-the-art on the role of feedback in robotic-assisted Upper Limb rehabilitation. PubMed, the Cochrane Library, and the Physiotherapy Evidence Database databases were systematically searched from inception to March 2022. After a literature search, the classification systems for feedback and the serious game were applied.Expert opinionThere is a need for sharing standard definitions and components of feedback and serious game in technologically assisted upper limb rehabilitation. Indeed, improving these aspects might further improve the effectiveness of such training in the management of PwMS.</t>
  </si>
  <si>
    <t>[Gandolfi, Marialuisa; Smania, Nicola] Univ Verona, Neuromotor &amp; Cognit Rehabil Res Ctr CRRNC, Dept Neurosci Biomed &amp; Movement Sci, I-37134 Verona, Italy; [Mazzoleni, Stefano] Politecn Bari, Dept Elect &amp; Informat Engn, Bari, Italy; [Mazzoleni, Stefano] Scuola Super Sant Anna, BioRobot Inst, Pisa, Italy; [Morone, Giovanni] Univ Laquila, Dept Life Hlth &amp; Environm Sci, I-67100 Laquila, Italy; [Morone, Giovanni] San Raffaele Inst Sulmona, Sulmona, AQ, Italy; [Iosa, Marco] Univ Sapienza Rome, Dept Psychol, Rome, Italy; [Iosa, Marco] IRCCS Santa Lucia Fdn, Smart Lab, Rome, Italy; [Galletti, Filippo] Univ Verona, Riabilitaz Neurolog, Verona, Italy; [Galletti, Filippo] Fdn IRCCS San Gerardo Tintori, Riabilitaz Specialist, I-20900 Monza, Italy</t>
  </si>
  <si>
    <t>University of Verona; Politecnico di Bari; Scuola Superiore Sant'Anna; University of L'Aquila; Sapienza University Rome; IRCCS Santa Lucia; University of Verona; Fondazione IRCCS San Gerardo dei Tintori</t>
  </si>
  <si>
    <t>Morone, G (corresponding author), Univ Laquila, Dept Life Hlth &amp; Environm Sci, I-67100 Laquila, Italy.</t>
  </si>
  <si>
    <t>giovanni.morone@univaq.it</t>
  </si>
  <si>
    <t>Morone, Giovanni/AAN-2666-2020; Iosa, Marco/AAC-1693-2022; Mazzoleni, Stefano/AAM-8581-2020; Mazzoleni, Stefano/B-5875-2011; Morone, Giovanni/A-9561-2013; Gandolfi, Marialuisa/J-7033-2018</t>
  </si>
  <si>
    <t>Mazzoleni, Stefano/0000-0002-9528-3239; Morone, Giovanni/0000-0003-3602-4197; Gandolfi, Marialuisa/0000-0002-0877-4807; smania, nicola/0000-0001-7630-1887; Iosa, Marco/0000-0003-2434-3887</t>
  </si>
  <si>
    <t>10.1080/17434440.2023.2169129</t>
  </si>
  <si>
    <t>8F4ZZ</t>
  </si>
  <si>
    <t>WOS:000919337500001</t>
  </si>
  <si>
    <t>den Brave, M; Beaudart, C; de Noordhout, BM; Gillot, V; Kaux, JF</t>
  </si>
  <si>
    <t>den Brave, Meike; Beaudart, Charlotte; de Noordhout, Benoit Maertens; Gillot, Vincent; Kaux, Jean-Francois</t>
  </si>
  <si>
    <t>Effect of robot-assisted gait training on quality of life and depression in neurological impairment: A systematic review and meta-analysis</t>
  </si>
  <si>
    <t>Robot-assisted gait training; neuromuscular disorders; quality of life; depression; robotic devices</t>
  </si>
  <si>
    <t>SPINAL-CORD-INJURY; FORM HEALTH SURVEY; MULTIPLE-SCLEROSIS; VIRTUAL-REALITY; STROKE; REHABILITATION; OUTCOMES; BALANCE; INDIVIDUALS; EXOSKELETON</t>
  </si>
  <si>
    <t>Objective Robot-assisted gait training (RAGT) is often used as a rehabilitation tool for neurological impairments. The purpose of this study is to investigate the effects of rehabilitation with robotic devices on quality of life and depression. Data sources Two electronic databases (MEDLINE and Scopus) were searched for studies from inception up to December 2022. Review methods Randomized controlled trials (RCTs) and non-RCTs were pooled separately for analyses, studying each one's mental and physical health and depression. Random effect meta-analyses were run using standardized mean difference and 95% confidence interval (CI). Results A total of 853 studies were identified from the literature search. 31 studies (17 RCTs and 14 non-RCTs) including 1151 subjects met the inclusion criteria. 31 studies were selected for the systematic review and 27 studies for the meta-analysis. The outcome measure of mental health significantly improved in favor of the RAGT group in RCTs and non-RCTs (adjusted Hedges'g 0.72, 95% CI: 0.34-1.10, adjusted Hedges g = 0.80, 95% CI 0.21-1.39, respectively). We observed a significant effect of RAGT on physical health in RCTs and non-RCTs (adjusted Hedges'g 0.58, 95% CI 0.28, 0.88, adjusted Hedges g = 0.73, 95% CI 0.12, 1.33). After realizing a sensitivity analysis in RCTs, a positive impact on depression is observed (Hedges' g of -0.66, 95% CI -1.08 to -0.24). Conclusion This study suggests that RAGT could improve the quality of life of patients with neurological impairments. A positive impact on depression is also observed in the short term. Further studies are needed to differentiate grounded and overgrounded exoskeletons as well as RCT comparing overground exoskeletons with a control group.</t>
  </si>
  <si>
    <t>[den Brave, Meike] Univ Liege, Dept Phys &amp; Rehabil Med, Ave Hop 1, B-4000 Liege, Belgium; [Beaudart, Charlotte] Univ Liege, WHO Collaborating Ctr Publ Hlth Aspects Musculoske, Dept Publ Hlth Epidemiol &amp; Hlth Econ, Liege, Belgium; [de Noordhout, Benoit Maertens] Univ Liege, Dept Phys &amp; Rehabil Med, CNRF Fraiture, Liege, Belgium; [Gillot, Vincent] CHR, Liege, Belgium; [Kaux, Jean-Francois] Univ Liege, Dept Rehabil &amp; Sports Sci, Liege, Belgium; [Kaux, Jean-Francois] Univ &amp; Univ Hosp Liege, FIMS Collaborat Ctr Sports Med, FIFA Med Ctr Excellence, IOC Res Ctr Prevent Injury &amp; Protect Athlete Hlth,, Liege, Belgium</t>
  </si>
  <si>
    <t>University of Liege; University of Liege; University of Liege; University of Liege; University of Liege</t>
  </si>
  <si>
    <t>den Brave, M (corresponding author), Univ Liege, Dept Phys &amp; Rehabil Med, Ave Hop 1, B-4000 Liege, Belgium.</t>
  </si>
  <si>
    <t>mdenbrave@chuliege.be</t>
  </si>
  <si>
    <t>Kaux, Jean-François/A-9932-2009; Beaudart, Charlotte/AAL-3044-2020</t>
  </si>
  <si>
    <t>, Meike/0000-0002-5073-434X; Beaudart, Charlotte/0000-0002-0827-5303</t>
  </si>
  <si>
    <t>10.1177/02692155231152567</t>
  </si>
  <si>
    <t>H0IU3</t>
  </si>
  <si>
    <t>WOS:000922445300001</t>
  </si>
  <si>
    <t>Xue, XL; Yang, XW; Deng, ZY</t>
  </si>
  <si>
    <t>Xue, Xiali; Yang, Xinwei; Deng, Zhongyi</t>
  </si>
  <si>
    <t>Efficacy of rehabilitation robot-assisted gait training on lower extremity dyskinesia in patients with Parkinson?s disease: A systematic review and meta-analysis</t>
  </si>
  <si>
    <t>AGEING RESEARCH REVIEWS</t>
  </si>
  <si>
    <t>Parkinson?s disease; Robot-assisted gait training; Lower extremity; Movement disorders; Balance</t>
  </si>
  <si>
    <t>POSTURAL INSTABILITY; SUPERIOR; BALANCE</t>
  </si>
  <si>
    <t>Background: Robot-assisted training is used as a new rehabilitation training method for the treatment of motor dysfunction in neurological diseases. Robot-assisted gait training (RAGT) has been reported to treat motor dysfunction in patients with Parkinson's disease (PD). The purpose of this study was to summarize previous clinical studies comparing the effectiveness of RAGT and conventional training for lower extremity dyskinesia in PD patients. Methods: PubMed, Cochrane library, Scopus, Embase, EBSCO, Web of Science, CNKI, and Wanfang databases were searched. This study included all randomized controlled trials (RCTs) compared lower extremity RAGT with conventional training on motor impairment in PD patients. The retrieval time limit is from the establishment of the database to October 2022. Two researchers independently screened the literature, extracted data, assessed the risk of bias of included studies, and then used RevMan 5.3 software for meta-analysis. Results: A total of 14 RCTs with 572 patients were included. The results showed that compared with the control group, RAGT significantly improved the motor function evaluation-related indicators 10MWT, 6MWT, TUG and UPDRS III, 10MWT [MD = 0.08, 95 % CI (0.01, 0.14), P = 0.03], 6MWT [MD = 42.83, 95 % CI (22.05, 63.62), P &lt; 0.0001], TUG[MD =-1.81, 95 % CI (-2.55,-1.08), P &lt; 0.0001], UPDRS III [MD = -3.82, 95 % CI (-4.27,-3.37), P &lt; 0.00001]; For the balance function evaluation index BBS [MD = 3.33, 95 % CI (2.76, 3.89), P &lt; 0.00001], the above results were significantly different significance. Conclusion: The currently limited evidence suggests that RAGT provides evidence for the effectiveness of lower extremity motor function and balance dysfunction, and RAGT can significantly improve motor and balance function in PD patients.</t>
  </si>
  <si>
    <t>[Xue, Xiali; Yang, Xinwei] Chengdu Sport Univ, Sch Sports Med &amp; Hlth, Chengdu, Peoples R China; [Deng, Zhongyi] Sun Yat Sen Univ, Affiliated Hosp 3, Zhongshan, Peoples R China; [Xue, Xiali] Chengdu Sport Univ, Sch Sports Med &amp; Hlth, 2 Tiyuan Rd, Chengdu, Sichuan, Peoples R China</t>
  </si>
  <si>
    <t>Chengdu Sport University; Sun Yat Sen University; Chengdu Sport University</t>
  </si>
  <si>
    <t>Xue, XL (corresponding author), Chengdu Sport Univ, Sch Sports Med &amp; Hlth, 2 Tiyuan Rd, Chengdu, Sichuan, Peoples R China.</t>
  </si>
  <si>
    <t>Key Laboratory of Sports Medicine of Sichuan Province, Institute of Sports Medicine and Health, Chengdu Sport University [2022-A060]</t>
  </si>
  <si>
    <t>Key Laboratory of Sports Medicine of Sichuan Province, Institute of Sports Medicine and Health, Chengdu Sport University</t>
  </si>
  <si>
    <t>This study was supported by the Key Laboratory of Sports Medicine of Sichuan Province, Institute of Sports Medicine and Health, Chengdu Sport University (No. 2022-A060) .</t>
  </si>
  <si>
    <t>1568-1637</t>
  </si>
  <si>
    <t>1872-9649</t>
  </si>
  <si>
    <t>AGEING RES REV</t>
  </si>
  <si>
    <t>Ageing Res. Rev.</t>
  </si>
  <si>
    <t>10.1016/j.arr.2022.101837</t>
  </si>
  <si>
    <t>Cell Biology; Geriatrics &amp; Gerontology</t>
  </si>
  <si>
    <t>8O4IJ</t>
  </si>
  <si>
    <t>WOS:000925799000001</t>
  </si>
  <si>
    <t>Masengo, G; Zhang, XD; Dong, RL; Alhassan, AB; Hamza, K; Mudaheranwa, E</t>
  </si>
  <si>
    <t>Masengo, Gilbert; Zhang, Xiaodong; Dong, Runlin; Alhassan, Ahmad B.; Hamza, Khaled; Mudaheranwa, Emmanuel</t>
  </si>
  <si>
    <t>Lower limb exoskeleton robot and its cooperative control: A review, trends, and challenges for future research</t>
  </si>
  <si>
    <t>human-robot; cooperative control; exoskeleton; physiological signals; actuator</t>
  </si>
  <si>
    <t>SLIDING MODE CONTROL; IMPEDANCE CONTROL; REHABILITATION; WALKING; JOINT; RECOGNITION; ALGORITHMS; PROSTHESES; INTERFACE; TRACKING</t>
  </si>
  <si>
    <t>Effective control of an exoskeleton robot (ER) using a human-robot interface is crucial for assessing the robot's movements and the force they produce to generate efficient control signals. Interestingly, certain surveys were done to show off cutting-edge exoskeleton robots. The review papers that were previously published have not thoroughly examined the control strategy, which is a crucial component of automating exoskeleton systems. As a result, this review focuses on examining the most recent developments and problems associated with exoskeleton control systems, particularly during the last few years (2017-2022). In addition, the trends and challenges of cooperative control, particularly multi-information fusion, are discussed.</t>
  </si>
  <si>
    <t>[Masengo, Gilbert; Zhang, Xiaodong; Dong, Runlin; Alhassan, Ahmad B.; Hamza, Khaled] Xi An Jiao Tong Univ, Sch Mech Engn, Xian, Peoples R China; [Masengo, Gilbert; Zhang, Xiaodong; Dong, Runlin; Alhassan, Ahmad B.; Hamza, Khaled] Xi An Jiao Tong Univ, Shaanxi Key Lab Intelligent Robot, Xian, Peoples R China; [Masengo, Gilbert; Mudaheranwa, Emmanuel] Integrated Polytech Reg Coll IPRC Karongi, Rwanda Polytech, Dept Mech Engn, Kigali, Rwanda; [Mudaheranwa, Emmanuel] Cardiff Univ, Dept Engn, Cardiff, Wales</t>
  </si>
  <si>
    <t>Xi'an Jiaotong University; Xi'an Jiaotong University; Cardiff University</t>
  </si>
  <si>
    <t>Masengo, G (corresponding author), Xi An Jiao Tong Univ, Sch Mech Engn, Xian, Peoples R China.;Masengo, G (corresponding author), Xi An Jiao Tong Univ, Shaanxi Key Lab Intelligent Robot, Xian, Peoples R China.;Masengo, G (corresponding author), Integrated Polytech Reg Coll IPRC Karongi, Rwanda Polytech, Dept Mech Engn, Kigali, Rwanda.</t>
  </si>
  <si>
    <t>engemabert@yahoo.com</t>
  </si>
  <si>
    <t>MASENGO, GILBERT/U-6121-2017; MUDAHERANWA, Emmanuel/AAS-6163-2021; Alhassan, Ahmad/GYJ-8057-2022</t>
  </si>
  <si>
    <t>National Natural Science Foundation of China [52175061]; Shanxi Provincial Key Research Project [2020XXX001]; Science and technology innovation project of Shaanxi province [2019ZDLGY14-09]; Xinjiang Funded by Autonomous Region Major Science and Technology Special Project [2021A02002]; Shaanxi Provincial Key RD Program [2022SF-352, 2023-YBGY-355, 2023-YBGY-356]; Fundamental Research Funds for the Central Universities [xzd012022019]</t>
  </si>
  <si>
    <t>National Natural Science Foundation of China(National Natural Science Foundation of China (NSFC)); Shanxi Provincial Key Research Project; Science and technology innovation project of Shaanxi province; Xinjiang Funded by Autonomous Region Major Science and Technology Special Project; Shaanxi Provincial Key RD Program; Fundamental Research Funds for the Central Universities(Fundamental Research Funds for the Central Universities)</t>
  </si>
  <si>
    <t>This work was supported by the National Natural Science Foundation of China under Grants 52175061, in part by the Shanxi Provincial Key Research Project under Grant 2020XXX001, in part by the Science and technology innovation project of Shaanxi province under Grant 2019ZDLGY14-09, in part by the Xinjiang Funded by Autonomous Region Major Science and Technology Special Project under Grant 2021A02002, in part by the Shaanxi Provincial Key R&amp;D Program under Grant 2022SF-352, 2023-YBGY-355, 2023-YBGY-356, and in part by the Fundamental Research Funds for the Central Universities under Grant xzd012022019.</t>
  </si>
  <si>
    <t>JAN 12</t>
  </si>
  <si>
    <t>10.3389/fnbot.2022.913748</t>
  </si>
  <si>
    <t>8G1GX</t>
  </si>
  <si>
    <t>gold, Green Published, Green Accepted</t>
  </si>
  <si>
    <t>WOS:000920099600001</t>
  </si>
  <si>
    <t>Muthu, P; Tan, YQ; Latha, S; Dhanalakshmi, S; Lai, KW; Wu, X</t>
  </si>
  <si>
    <t>Muthu, P.; Tan, Yongqi; Latha, S.; Dhanalakshmi, Samiappan; Lai, Khin Wee; Wu, Xiang</t>
  </si>
  <si>
    <t>Discernment on assistive technology for the care and support requirements of older adults and differently-abled individuals</t>
  </si>
  <si>
    <t>assistive technologies; intellectual disabilities; machine learning; telecare; autism</t>
  </si>
  <si>
    <t>SPINAL-CORD-INJURY; PEOPLE; SYSTEM; CHILDREN; AUTISM; DEVICE; REHABILITATION; LOCALIZATION; EXOSKELETON; EXPERIENCES</t>
  </si>
  <si>
    <t>Assistive technology for the differently abled and older adults has made remarkable achievements in providing rehabilitative, adaptive, and assistive devices. It provides huge assistance for people with physical impairments to lead a better self-reliant daily life, in terms of mobility, education, rehabilitation, etc. This technology ranges from simple hand-held devices to complex robotic accessories which promote the individual's independence. This study aimed at identifying the assistance required by differently-abled individuals, and the solutions proposed by different researchers, and reviewed their merits and demerits. It provides a detailed discussion on the state of art assistive technologies, their applications, challenges, types, and their usage for rehabilitation. The study also identifies different unexplored research areas related to assistive technology that can improve the daily life of individuals and advance the field. Despite their high usage, assistive technologies have some limitations which have been briefly described in the study. This review, therefore, can help understand the utilization, and pros and cons of assistive devices in rehabilitation engineering and assistive technologies.</t>
  </si>
  <si>
    <t>[Muthu, P.] SRM Inst Sci &amp; Technol, Dept Biomed Engn, Chennai, India; [Tan, Yongqi] 71st Grp Mil Hosp Chinese Peoples Liberat Army, Xuzhou, Jiangsu, Peoples R China; [Latha, S.; Dhanalakshmi, Samiappan] SRM Inst Sci &amp; Technol, Dept Elect &amp; Commun Engn, Chennai, India; [Lai, Khin Wee] Univ Malaya, Fac Engn, Dept Biomed Engn, Kuala Lumpur, Malaysia; [Wu, Xiang] Xuzhou Med Univ, Sch Med Informat Engn, Xuzhou, Peoples R China</t>
  </si>
  <si>
    <t>SRM Institute of Science &amp; Technology Chennai; SRM Institute of Science &amp; Technology Chennai; Universiti Malaya; Xuzhou Medical University</t>
  </si>
  <si>
    <t>Dhanalakshmi, S (corresponding author), SRM Inst Sci &amp; Technol, Dept Elect &amp; Commun Engn, Chennai, India.;Lai, KW (corresponding author), Univ Malaya, Fac Engn, Dept Biomed Engn, Kuala Lumpur, Malaysia.;Wu, X (corresponding author), Xuzhou Med Univ, Sch Med Informat Engn, Xuzhou, Peoples R China.</t>
  </si>
  <si>
    <t>dhanalas@srmist.edu.in; lai.khinwee@um.edu.my; wuxiang@xzhmu.edu.cn</t>
  </si>
  <si>
    <t>S, Latha/AAE-7799-2021; Lai, Khin Wee/A-2997-2011; Dhanalakshmi, Samiappan/J-2073-2018; P, Muthu/ADW-1697-2022</t>
  </si>
  <si>
    <t>Dhanalakshmi, Samiappan/0000-0002-6970-2719; Khin Wee, Lai/0000-0002-8602-0533; P, Muthu/0000-0002-0245-2567</t>
  </si>
  <si>
    <t>Xuzhou Science and Technology Program [KC19211]</t>
  </si>
  <si>
    <t>Xuzhou Science and Technology Program</t>
  </si>
  <si>
    <t>Xuzhou Science and Technology Program Project Grant No. KC19211.</t>
  </si>
  <si>
    <t>10.3389/fpubh.2022.1030656</t>
  </si>
  <si>
    <t>8E9LT</t>
  </si>
  <si>
    <t>WOS:000919290200001</t>
  </si>
  <si>
    <t>Zhang, J; Wu, JY; Qiu, YY; Song, AG; Li, WF; Li, X; Liu, YC</t>
  </si>
  <si>
    <t>Zhang, Jun; Wu, Jingyue; Qiu, Yiyi; Song, Aiguo; Li, Weifeng; Li, Xin; Liu, Yecheng</t>
  </si>
  <si>
    <t>Intelligent speech technologies for transcription, disease diagnosis, and medical equipment interactive control in smart hospitals: A review</t>
  </si>
  <si>
    <t>COMPUTERS IN BIOLOGY AND MEDICINE</t>
  </si>
  <si>
    <t>Automatic speech recognition; Smart hospital; Machine learning; Transcription; Diagnosis; Human-computer interaction</t>
  </si>
  <si>
    <t>HIDDEN MARKOV-MODELS; HEALTH-CARE-SYSTEM; PARKINSONS-DISEASE; ARTIFICIAL-INTELLIGENCE; SPEAKER IDENTIFICATION; ALZHEIMERS-DISEASE; WAVELET ADAPTATION; MONITORING-SYSTEM; FEATURE-SELECTION; RECOGNITION</t>
  </si>
  <si>
    <t>The growing and aging of the world population have driven the shortage of medical resources in recent years, especially during the COVID-19 pandemic. Fortunately, the rapid development of robotics and artificial intel-ligence technologies help to adapt to the challenges in the healthcare field. Among them, intelligent speech technology (IST) has served doctors and patients to improve the efficiency of medical behavior and alleviate the medical burden. However, problems like noise interference in complex medical scenarios and pronunciation differences between patients and healthy people hamper the broad application of IST in hospitals. In recent years, technologies such as machine learning have developed rapidly in intelligent speech recognition, which is expected to solve these problems. This paper first introduces IST's procedure and system architecture and an-alyzes its application in medical scenarios. Secondly, we review existing IST applications in smart hospitals in detail, including electronic medical documentation, disease diagnosis and evaluation, and human-medical equipment interaction. In addition, we elaborate on an application case of IST in the early recognition, diag-nosis, rehabilitation training, evaluation, and daily care of stroke patients. Finally, we discuss IST's limitations, challenges, and future directions in the medical field. Furthermore, we propose a novel medical voice analysis system architecture that employs active hardware, active software, and human-computer interaction to realize intelligent and evolvable speech recognition. This comprehensive review and the proposed architecture offer directions for future studies on IST and its applications in smart hospitals.</t>
  </si>
  <si>
    <t>[Zhang, Jun; Wu, Jingyue; Qiu, Yiyi; Song, Aiguo] Southeast Univ, Sch Instrument Sci &amp; Engn, State Key Lab Bioelect, Nanjing 210096, Peoples R China; [Li, Weifeng; Li, Xin] Guangdong Acad Med Sci, Guangdong Prov Peoples Hosp, Dept Emergency Med, Guangzhou 510080, Peoples R China; [Liu, Yecheng] Chinese Acad Med Sci &amp; Peking Union Med Coll, Peking Union Med Coll Hosp, Emergency Dept, Beijing 100730, Peoples R China</t>
  </si>
  <si>
    <t>Southeast University - China; Southern Medical University - China; Guangdong Academy of Medical Sciences &amp; Guangdong General Hospital; Chinese Academy of Medical Sciences - Peking Union Medical College; Peking Union Medical College Hospital; Peking Union Medical College</t>
  </si>
  <si>
    <t>Zhang, J (corresponding author), Southeast Univ, Sch Instrument Sci &amp; Engn, State Key Lab Bioelect, Nanjing 210096, Peoples R China.</t>
  </si>
  <si>
    <t>j.zhang@seu.edu.cn</t>
  </si>
  <si>
    <t>Li, Weifeng/F-6551-2012</t>
  </si>
  <si>
    <t>National Key R&amp;D Program of China [2020AAA0109603]; National Natural Science Foundation of China [61873066, 62173090]; Southeast University [2242020R40096]</t>
  </si>
  <si>
    <t>National Key R&amp;D Program of China; National Natural Science Foundation of China(National Natural Science Foundation of China (NSFC)); Southeast University</t>
  </si>
  <si>
    <t>This work was supported in part by the National Key R&amp;D Program of China under Grant 2020AAA0109603, the National Natural Science Foundation of China under Grants 61873066 and 62173090, and the Zhi Shan Scholars Program of Southeast University under Grant 2242020R40096. We would like to thank the Reviewers for taking thetime and effort necessary to review the manuscript. We sincerely appreciate all valuable comments and suggestions that help us improve the quality of the manuscript.</t>
  </si>
  <si>
    <t>0010-4825</t>
  </si>
  <si>
    <t>1879-0534</t>
  </si>
  <si>
    <t>COMPUT BIOL MED</t>
  </si>
  <si>
    <t>Comput. Biol. Med.</t>
  </si>
  <si>
    <t>10.1016/j.compbiomed.2022.106517</t>
  </si>
  <si>
    <t>Biology; Computer Science, Interdisciplinary Applications; Engineering, Biomedical; Mathematical &amp; Computational Biology</t>
  </si>
  <si>
    <t>Life Sciences &amp; Biomedicine - Other Topics; Computer Science; Engineering; Mathematical &amp; Computational Biology</t>
  </si>
  <si>
    <t>8I3GQ</t>
  </si>
  <si>
    <t>WOS:000921614000001</t>
  </si>
  <si>
    <t>Wang, JH; Ueda, T</t>
  </si>
  <si>
    <t>Wang, Jiehui; Ueda, Tamon</t>
  </si>
  <si>
    <t>A review study on unmanned aerial vehicle and mobile robot technologies on damage inspection of reinforced concrete structures</t>
  </si>
  <si>
    <t>STRUCTURAL CONCRETE</t>
  </si>
  <si>
    <t>damage detection; damage inspection; mobile robot; reinforced concrete structure; unmanned aerial vehicle</t>
  </si>
  <si>
    <t>VISUAL INSPECTION; UAV; DRONE; AGRICULTURE; METHODOLOGY; DESIGN</t>
  </si>
  <si>
    <t>For damaged buildings that had suffered from a destructive earthquake, timely damage inspection is essential to evaluate their residual seismic safety as well as to assess the long-term maintenance capacity for planning a suitable structural rehabilitation strategy for further service. However, the conventional inspection method by human hands is time-consuming, highly costly, and risky for inspectors in the fieldwork. Thus, in this present study, the current situation for structural damage inspection is summarized, the future potentials of newly developed technology in this field are explored, and the application and usage of robotic technologies with unmanned aerial vehicles (UAVs) and mobile robots that are rapidly developed recently have been reviewed and evaluated. In this work an overview is given of the practical applications of the UAV- and mobile robot-based damage inspection, in which these robotic machines are employed as useful tools to inspect and monitor the damaged condition of infrastructure facilities or buildings by collecting photography data. In addition, a conceptual comparison with the conventional approach is given to allow a better understanding of the advantages and limitations of a robotic technology-aimed damage inspection approach. Also, a discussion on instructions, recommendations, existing challenges, and future directions to address the robotic technology-aimed damage inspection approach into further practice is presented.</t>
  </si>
  <si>
    <t>[Wang, Jiehui; Ueda, Tamon] Shenzhen Univ, Coll Civil &amp; Transportat Engn, Room A505,Zhigong Bldg,Canghai Campus, Shenzhen 518060, Guangdong, Peoples R China</t>
  </si>
  <si>
    <t>Ueda, T (corresponding author), Shenzhen Univ, Coll Civil &amp; Transportat Engn, Room A505,Zhigong Bldg,Canghai Campus, Shenzhen 518060, Guangdong, Peoples R China.</t>
  </si>
  <si>
    <t>wangjiehui@szu.edu.cn; ueda@szu.edu.cn</t>
  </si>
  <si>
    <t>; Wang, Jiehui/HRB-4898-2023</t>
  </si>
  <si>
    <t>UEDA, Tamon/0000-0002-6683-1849; Wang, Jiehui/0000-0003-0302-9178</t>
  </si>
  <si>
    <t>ERNST &amp; SOHN</t>
  </si>
  <si>
    <t>ROTHERSTRASSE 21, BERLIN, DEUTSCHLAND 10245, GERMANY</t>
  </si>
  <si>
    <t>1464-4177</t>
  </si>
  <si>
    <t>1751-7648</t>
  </si>
  <si>
    <t>STRUCT CONCRETE</t>
  </si>
  <si>
    <t>Struct. Concr.</t>
  </si>
  <si>
    <t>10.1002/suco.202200846</t>
  </si>
  <si>
    <t>Construction &amp; Building Technology; Engineering, Civil</t>
  </si>
  <si>
    <t>Construction &amp; Building Technology; Engineering</t>
  </si>
  <si>
    <t>W7UE8</t>
  </si>
  <si>
    <t>WOS:000906993900001</t>
  </si>
  <si>
    <t>Arienti, C; Patrini, M; Negrini, S; Kiekens, C</t>
  </si>
  <si>
    <t>Arienti, Chiara; Patrini, Michele; Negrini, Stefano; Kiekens, Carlotte</t>
  </si>
  <si>
    <t>Overview of Cochrane Systematic Reviews for Rehabilitation Interventions in Persons With Spinal Cord Injury: A Mapping Synthesis</t>
  </si>
  <si>
    <t>Evidence-based practice; Pain; Rehabilitation; Respiration; Spinal cord injuries; Systematic reviews as topic; Walking</t>
  </si>
  <si>
    <t>WORLD-HEALTH-ORGANIZATION; EPIDEMIOLOGY</t>
  </si>
  <si>
    <t>Objective: This article aims to describe the evidence on rehabilitation interventions for persons with spinal cord injury (SCI) identified in Cochrane Systematic Reviews (CSRs) selected for inclusion in the World Health Organization Rehabilitation Programme-Package of Interven-tions for Rehabilitation.'Data Sources: The CSRs search was led by the Cochrane Rehabilitation team, using the tagging process, using the terms spinal cord injury and rehabilitation in the Cochrane Library. Study Selection: We performed an overview of all the CSRs according to the inclusion criteria defined with the World Health Organization: reha-bilitation interventions in persons with SCI.Data Extraction: The CSRs identified after the screening process were summarized using an evidence map, grouping outcomes, and comparisons of included CSRs indicating the effect and the quality of evidence to provide a comprehensive view of what is known.Data Synthesis: Out of 248 CSRs from the past 10 years tagged in the Cochrane Rehabilitation database, 3 were related to SCI. They provide data on 13 outcomes analyzed within 11 comparisons for a total of 64 primary studies, including 2024 participants with SCI. Of these, 7 outcomes and 1 comparison focused on people with cervical SCI. Rehabilitation interventions might improve respiratory outcomes and pain relief in people with SCI. There is uncertainty whether bodyweight-supported treadmill training, robotic-assisted training, and functional electrostimulation affect walking speed and capacity.Conclusions: The current evidence needs to be confirmed by better quality research. Therefore, future priorities are the improvement of methodo-logical quality of the studies in people with SCI, particularly considering the complexity of this health condition. Further, there is a need for more CSRs in the field.Archives of Physical Medicine and Rehabilitation 2023;104:143-50 (c) 2022 by the American Congress of Rehabilitation Medicine.</t>
  </si>
  <si>
    <t>[Arienti, Chiara; Patrini, Michele; Negrini, Stefano] IRCCS Fdn Don Carlo Gnocchi, Via Festa Perdono 7, I-20122 Milan, Italy; [Negrini, Stefano] Univ La Statale, Dept Biomed Surg &amp; Dent Sci, Milan, Italy; [Negrini, Stefano] IRCCS Ist Ortoped Galeazzi, Milan, Italy; [Kiekens, Carlotte] IRCCS Multimed, Milan, Italy; [Negrini, Stefano] Univ La Statale, Dept Biomed Surg &amp; Dental Sci, Via Festa Perdono 7, I-20122 Milan, Italy</t>
  </si>
  <si>
    <t>IRCCS Fondazione Don Carlo Gnocchi Onlus; IRCCS Istituto Ortopedico Galeazzi; IRCCS Multimedica</t>
  </si>
  <si>
    <t>Negrini, S (corresponding author), IRCCS Fdn Don Carlo Gnocchi, Via Festa Perdono 7, I-20122 Milan, Italy.;Negrini, S (corresponding author), Univ La Statale, Dept Biomed Surg &amp; Dental Sci, Via Festa Perdono 7, I-20122 Milan, Italy.</t>
  </si>
  <si>
    <t>stefano.negrini@unimi.it</t>
  </si>
  <si>
    <t>Kiekens, Carlotte/V-7545-2018; Negrini, Stefano/B-6667-2013; Arienti, Chiara/AAC-5302-2022</t>
  </si>
  <si>
    <t>Kiekens, Carlotte/0000-0001-8500-7751; Negrini, Stefano/0000-0002-1878-2747; Arienti, Chiara/0000-0003-0787-6075</t>
  </si>
  <si>
    <t>10.1016/j.apmr.2022.07.003</t>
  </si>
  <si>
    <t>7Z4JI</t>
  </si>
  <si>
    <t>WOS:000915526900001</t>
  </si>
  <si>
    <t>Arntz, A; Weber, F; Handgraaf, M; Lällä, K; Korniloff, K; Murtonen, KP; Chichaeva, J; Kidritsch, A; Heller, M; Sakellari, E; Athanasopoulou, C; Lagiou, A; Tzonichaki, I; Salinas-Bueno, I; Martinez-Bueso, P; Velasco-Roldán, O; Schulz, RJ; Grueneberg, C</t>
  </si>
  <si>
    <t>Arntz, Angela; Weber, Franziska; Handgraaf, Marietta; Lalla, Kaisa; Korniloff, Katariina; Murtonen, Kari-Pekka; Chichaeva, Julija; Kidritsch, Anita; Heller, Mario; Sakellari, Evanthia; Athanasopoulou, Christina; Lagiou, Areti; Tzonichaki, Ioanna; Salinas-Bueno, Iosune; Martinez-Bueso, Pau; Velasco-Roldan, Olga; Schulz, Ralf -Joachim; Grueneberg, Christian</t>
  </si>
  <si>
    <t>Technologies in Home-Based Digital Rehabilitation: Scoping Review</t>
  </si>
  <si>
    <t>JMIR REHABILITATION AND ASSISTIVE TECHNOLOGIES</t>
  </si>
  <si>
    <t>digital rehabilitation; digital technologies; home-based rehabilitation; digital health intervention; scoping review; artificial intelligence; AI; machine learning; COVID-19 pandemic; mobile app; remote health; mobile phone</t>
  </si>
  <si>
    <t>VIRTUAL-REALITY; CARDIAC REHABILITATION; MULTIPLE-SCLEROSIS; PARKINSONS-DISEASE; UPPER-LIMB; TELEREHABILITATION; SMARTPHONE; BALANCE; DEFINITION; OUTCOMES</t>
  </si>
  <si>
    <t>Background: Due to growing pressure on the health care system, a shift in rehabilitation to home settings is essential. However, efficient support for home -based rehabilitation is lacking. The COVID-19 pandemic has further exacerbated these challenges and has affected individuals and health care professionals during rehabilitation. Digital rehabilitation (DR) could support home rehabilitation. To develop and implement DR solutions that meet clients' needs and ease the growing pressure on the health system, it is necessary to provide an overview of existing, relevant, and future solutions shaping the constantly evolving market of technologies for home -based DR. Objective: In this scoping review, we aimed to identify digital technologies for home -based DR, predict new or emerging trends, and report on the influences of the COVID-19 pandemic on DR. Methods: The scoping review followed the framework of Arksey and O'Malley, with improvements made by Levac et literature search was performed in PubMed, Embase, CINAHL, PsycINFO, and the Cochrane Library. The search spanned January 2015 to January 2022. A bibliometric analysis was performed to provide an overview of the included references, and a co -occurrence analysis identified the technologies for home -based DR. A full -text analysis of all included reviews filtered the trends home -based DR. A gray literature search supplemented the results of the review analysis and revealed the influences COVID-19 pandemic on the development of DR. Results: A total of 2437 records were included in the bibliometric analysis and 95 in the full-text analysis, and 40 records were included as a result of the gray literature search. Sensors, robotic devices, gamification, virtual and augmented reality, and digital and mobile apps are already used in home-based DR; however, artificial intelligence and machine learning, exoskeletons, and digital and mobile apps represent new and emerging trends. Advantages and disadvantages were displayed for all technologies. The COVID-19 pandemic has led to an increased use of digital technologies as remote approaches but has not led to the development of new technologies. Conclusions: Multiple tools are available and implemented for home-based DR; however, some technologies face limitations in the application of home-based rehabilitation. However, artificial intelligence and machine learning could be instrumental redesigning rehabilitation and addressing future challenges of the health care system, and the rehabilitation sector in particular. The results show the need for feasible and effective approaches to implement DR that meet clients' needs and adhere to framework conditions, regardless of exceptional situations such as the COVID-19 pandemic.</t>
  </si>
  <si>
    <t>[Arntz, Angela; Weber, Franziska; Handgraaf, Marietta; Grueneberg, Christian] Univ Appl Hlth Sci Bochum, Dept Appl Hlth Sci, Div Physiotherapy, Gesundheitscampus 6-8, D-44801 Bochum, Germany; [Arntz, Angela] Univ Cologne, Fac Human Sci, Cologne, Germany; [Weber, Franziska] Univ Med Ctr Utrecht, Dept Rehabil Physiotherapy Sci &amp; Sports, Utrecht, Netherlands; [Lalla, Kaisa; Korniloff, Katariina; Murtonen, Kari-Pekka; Chichaeva, Julija] Jamk Univ Appl Sci, Inst Rehabil, Jyvaskyla, Finland; [Kidritsch, Anita] St Polten Univ Appl Sci, Inst Hlth Sci, St Polten, Austria; [Heller, Mario] St Polten Univ Appl Sci, Dept Media &amp; Digital Technol, St Polten, Austria; [Sakellari, Evanthia; Lagiou, Areti] Univ West Attica, Dept Publ &amp; Community Hlth, Lab Hyg &amp; Epidemiol, Athens, Greece; [Athanasopoulou, Christina; Tzonichaki, Ioanna] Univ West Attica, Dept Occupat Therapy, Athens, Greece; [Salinas-Bueno, Iosune; Martinez-Bueso, Pau; Velasco-Roldan, Olga] Hlth Res Inst Balear Isl IdISBa, Palma De Mallorca, Spain; [Salinas-Bueno, Iosune; Martinez-Bueso, Pau; Velasco-Roldan, Olga] Univ Balear Isl, Dept Nursing &amp; Physiotherapy, Palma De Mallorca, Spain; [Schulz, Ralf -Joachim] St Marien Hosp, Dept Geriatr Med, Cologne, Germany</t>
  </si>
  <si>
    <t>University of Cologne; Utrecht University; Utrecht University Medical Center; Jyvaskyla University of Applied Sciences; St. Polten University of Applied Sciences; St. Polten University of Applied Sciences; University of West Attica; University of West Attica; Institut Investigacio Sanitaria Illes Balears (IdISBa); Universitat de les Illes Balears; St. Marien Hospital</t>
  </si>
  <si>
    <t>Arntz, A (corresponding author), Univ Appl Hlth Sci Bochum, Dept Appl Hlth Sci, Div Physiotherapy, Gesundheitscampus 6-8, D-44801 Bochum, Germany.</t>
  </si>
  <si>
    <t>angela.arntz@hs-gesundheit.de</t>
  </si>
  <si>
    <t>Athanasopoulou, Christina/GZB-0287-2022; Velasco, Olga/E-4094-2013; Weber, Franzi/JYP-4448-2024; Martinez-Bueso, Pau/E-4098-2013</t>
  </si>
  <si>
    <t>Murtonen, Kari-Pekka/0000-0002-4370-1873; Arntz, Angela/0000-0002-1255-1374; Handgraaf, Marietta/0000-0001-9291-3111; Heller, Mario/0000-0003-2750-5634; Weber, Franziska/0000-0002-6226-9879; Chichaeva, Julija/0000-0002-2390-0947; Lalla, Kaisa/0000-0001-6153-9980; Athanasopoulou, Christina/0000-0001-5577-1193; Korniloff, Katariina/0000-0002-0753-1483; Kidritsch, Anita/0000-0003-3214-0270; Martinez-Bueso, Pau/0000-0002-0128-0265</t>
  </si>
  <si>
    <t>Erasmus+ program of the European Commission [2020-1-FI01-KA226-HE-092634]</t>
  </si>
  <si>
    <t>Erasmus+ program of the European Commission(Erasmus+)</t>
  </si>
  <si>
    <t>The authors would like to thank all the researchers whose work was included in this review. The research reported in this publication was part of the project Competences for the new era of user-driven Digital Rehabilitation (DIRENE) , which was supported the Erasmus+ program of the European Commission (project number: 2020-1-FI01-KA226-HE-092634) . More information about the Erasmus+ programs is available on the web [210] . The European Commission is not responsible for the content of publication. The content is the sole responsibility of the authors.</t>
  </si>
  <si>
    <t>2369-2529</t>
  </si>
  <si>
    <t>JMIR REHABIL ASSIST</t>
  </si>
  <si>
    <t>JMIR Rehabil. Assist. Technol.</t>
  </si>
  <si>
    <t>e43615</t>
  </si>
  <si>
    <t>10.2196/43615</t>
  </si>
  <si>
    <t>Health Care Sciences &amp; Services; Rehabilitation</t>
  </si>
  <si>
    <t>OM4C2</t>
  </si>
  <si>
    <t>WOS:001207666900008</t>
  </si>
  <si>
    <t>Chen, LF; Xie, HQ; Liu, ZC; Li, B; Cheng, H</t>
  </si>
  <si>
    <t>Chen, Lufeng; Xie, Hongqin; Liu, Zicheng; Li, Bin; Cheng, Hong</t>
  </si>
  <si>
    <t>Exploring Challenges and Opportunities of Wearable Robots: A Comprehensive Review of Design, Human-Robot Interaction and Control Strategy</t>
  </si>
  <si>
    <t>APSIPA TRANSACTIONS ON SIGNAL AND INFORMATION PROCESSING</t>
  </si>
  <si>
    <t>Wearable robots; supernumerary robotic limbs; exoskeleton; human-machine interaction; control strategy</t>
  </si>
  <si>
    <t>THE-LOOP OPTIMIZATION; POWERED EXOSKELETON; LOWER-LIMB; SHOULDER MECHANISM; POSITION CONTROL; REHABILITATION; GENERATION; ASSISTANCE; WALKING; FORCE</t>
  </si>
  <si>
    <t>The aging population and increased number of individuals with motor dysfunction pose significant challenges to the workforce. This situation is further exacerbated by a declining working-age population, which has resulted in labor shortages. A potential remedy to these issues lies in the employment of wearable robots. As a form of human-robot collaboration, these devices can augment motor capabilities and offer assistance with various motor functions. To this end, this paper presents a systematic review of the current research status of wearable robots, focusing on the applications of Supernumerary Robotic Limbs (SRL) and exoskeletons for task assistance and motor function restoration in the field of industrial and rehabilitation, respectively. The paper also deliberates on the research trends, challenges, and prospective directions of human-robot interaction and control strategies regarding wearable robots.</t>
  </si>
  <si>
    <t>[Chen, Lufeng; Xie, Hongqin; Li, Bin; Cheng, Hong] Univ Elect Sci &amp; Technol China, Sch Automat Engn, Chengdu, Peoples R China; [Liu, Zicheng] Microsoft Res, Redmond, WA 98052 USA</t>
  </si>
  <si>
    <t>University of Electronic Science &amp; Technology of China; Microsoft</t>
  </si>
  <si>
    <t>Cheng, H (corresponding author), Univ Elect Sci &amp; Technol China, Sch Automat Engn, Chengdu, Peoples R China.;Liu, ZC (corresponding author), Microsoft Res, Redmond, WA 98052 USA.</t>
  </si>
  <si>
    <t>zliu@microsoft.com; hcheng@uestc.edu.cn</t>
  </si>
  <si>
    <t>Chen, Lufeng/0000-0002-0854-3144</t>
  </si>
  <si>
    <t>National Key Research and Development Program of China [2018AAA0102505]; Natural Science Foundation of China [52005082]; Natural Science Foundation of Sichuan Province [2022NSFSC1956]; Fundamental Research Funds for the Central Universities [ZYGX2021YGCX015]</t>
  </si>
  <si>
    <t>National Key Research and Development Program of China(National Key Research &amp; Development Program of China); Natural Science Foundation of China(National Natural Science Foundation of China (NSFC)); Natural Science Foundation of Sichuan Province; Fundamental Research Funds for the Central Universities(Fundamental Research Funds for the Central Universities)</t>
  </si>
  <si>
    <t>This work was supported in part by the National Key Research and Development Program of China (No. 2018AAA0102505), the Natural Science Foundation of China (No. 52005082), Natural Science Foundation of Sichuan Province (No. 2022NSFSC1956) and the Fundamental Research Funds for the Central Universities (ZYGX2021YGCX015).</t>
  </si>
  <si>
    <t>NOW PUBLISHERS INC</t>
  </si>
  <si>
    <t>HANOVER</t>
  </si>
  <si>
    <t>PO BOX 1024, HANOVER, MA 02339, UNITED STATES</t>
  </si>
  <si>
    <t>2048-7703</t>
  </si>
  <si>
    <t>APSIPA TRANS SIGNAL</t>
  </si>
  <si>
    <t>APSIPA Trans. Signal Inf. Proc.</t>
  </si>
  <si>
    <t>10.1561/116.00000156</t>
  </si>
  <si>
    <t>Engineering, Electrical &amp; Electronic</t>
  </si>
  <si>
    <t>X6MY9</t>
  </si>
  <si>
    <t>WOS:001099583400001</t>
  </si>
  <si>
    <t>Choy, CS; Cloherty, SL; Pirogova, E; Fang, Q</t>
  </si>
  <si>
    <t>Choy, Chi Sang; Cloherty, Shaun L.; Pirogova, Elena; Fang, Qiang</t>
  </si>
  <si>
    <t>Virtual Reality Assisted Motor Imagery for Early Post-Stroke Recovery: A Review</t>
  </si>
  <si>
    <t>IEEE REVIEWS IN BIOMEDICAL ENGINEERING</t>
  </si>
  <si>
    <t>Stroke (medical condition); Medical treatment; Neuroplasticity; Brain; Virtual reality; Task analysis; Robots; Stroke; motor imagery; virtual reality; EEG; rehabilitation; motor recovery; neuroplasticity</t>
  </si>
  <si>
    <t>HEALTH-CARE PROFESSIONALS; STROKE REHABILITATION; ISCHEMIC-STROKE; HUMAN BRAIN; EEG; PLASTICITY; NEUROPLASTICITY; REORGANIZATION; METAANALYSIS; GUIDELINES</t>
  </si>
  <si>
    <t>Stroke is a serious neurological disease that may lead to long-term disabilities and even death for stroke patients worldwide. The acute period, (=1 mo post-stroke), is crucial for rehabilitation but the current standard clinical practice may be ineffective for patients with severe motor impairment, since most rehabilitation programs involve physical movement. Imagined movement - the so-called motor imagery (MI) - has been shown to activate motor areas of the brain without physical movement. MI there-fore offers an opportunity for early rehabilitation of stroke patients. MI, however, is not widely employed in clinical practice due to a lack of evidence-based research. Here, we review MI-based approaches to rehabilitation of stroke patients and immersive virtual reality (VR) technologies to potentially assist MI and thus, promote recovery of motor function.</t>
  </si>
  <si>
    <t>[Choy, Chi Sang; Cloherty, Shaun L.; Pirogova, Elena] RMIT Univ, Sch Engn, Melbourne, Vic 3000, Australia; [Fang, Qiang] Shantou Univ, Dept Biomed Engn, Shantou 515063, Peoples R China</t>
  </si>
  <si>
    <t>Royal Melbourne Institute of Technology (RMIT); Shantou University</t>
  </si>
  <si>
    <t>Pirogova, E (corresponding author), RMIT Univ, Sch Engn, Melbourne, Vic 3000, Australia.;Fang, Q (corresponding author), Shantou Univ, Dept Biomed Engn, Shantou 515063, Peoples R China.</t>
  </si>
  <si>
    <t>s3835267@student.rmit.edu.au; s.cloherty@ieee.org; elena.pirogova@rmit.edu.au; qiangfang@stu.edu.cn</t>
  </si>
  <si>
    <t>Choy, Chi Sang/JNS-8140-2023; Cloherty, Shaun/AAH-5029-2019</t>
  </si>
  <si>
    <t>Fang, Qiang/0000-0003-3209-6417; Pirogova, Elena/0000-0001-9422-1370; Cloherty, Shaun/0000-0002-7679-1764; Choy, Chi Sang/0000-0002-8061-9035</t>
  </si>
  <si>
    <t>Li Ka Shing Foundation Cross-Disciplinary Research [2020LKSFG01C]; Australian Government; RMIT University</t>
  </si>
  <si>
    <t>Li Ka Shing Foundation Cross-Disciplinary Research; Australian Government(Australian Government); RMIT University</t>
  </si>
  <si>
    <t>This work was supported in part by the Li Ka Shing Foundation Cross-Disciplinary Research under Grant 2020LKSFG01C in part by the Australian Government (RTP Stipend Scholarship (RSS-SC)), and in part by the RMIT University (Engineering Top-up Scholarship (E&amp;B).</t>
  </si>
  <si>
    <t>1937-3333</t>
  </si>
  <si>
    <t>1941-1189</t>
  </si>
  <si>
    <t>IEEE REV BIOMED ENG</t>
  </si>
  <si>
    <t>IEEE Rev. Biomed. Eng.</t>
  </si>
  <si>
    <t>10.1109/RBME.2022.3165062</t>
  </si>
  <si>
    <t>D2MY5</t>
  </si>
  <si>
    <t>WOS:000967127200001</t>
  </si>
  <si>
    <t>Cisek, K; Kelleher, JD</t>
  </si>
  <si>
    <t>Cisek, Katryna; Kelleher, John D.</t>
  </si>
  <si>
    <t>Current Topics in Technology-Enabled Stroke Rehabilitation and Reintegration: A Scoping Review and Content Analysis</t>
  </si>
  <si>
    <t>Stroke; rehabilitation; reintegration; information technology; artificial intelligence; topic modeling; scoping review; content analysis</t>
  </si>
  <si>
    <t>EXOSKELETON; DESIGN</t>
  </si>
  <si>
    <t>Background. There is a worldwide health crisis stemming from the rising incidence of various debilitating chronic diseases, with stroke as a leading contributor. Chronic stroke management encompasses rehabilitation and reintegration, and can require decades of personalized medicine and care. Information technology (IT) tools have the potential to support individuals managing chronic stroke symptoms. Objectives. This scoping review identifies prevalent topics and concepts in research literature on IT technology for stroke rehabilitation and reintegration, utilizing content analysis, based on topic modelling techniques from natural language processing to identify gaps in this literature. Eligibility Criteria. Our methodological search initially identified over 14,000 publications of the last two decades in the Web of Science and Scopus databases, which we filter, using keywords and a qualitative review, to a core corpus of 1062 documents. Results. We generate a 3 topic, 4-topic and 5-topic model and interpret the resulting topics as four distinct thematics in the literature, which we label as Robotics, Software, Functional and Cognitive. We analyze the prevalence and distinctiveness of each thematic and identify some areas relatively neglected by the field. These are mainly in the Cognitive thematic, especially for systems and devices for sensory loss rehabilitation, tasks of daily living performance and social participation. Conclusion. The results indicate that IT-enabled stroke literature has focused on Functional outcomes and Robotic technologies, with lesser emphasis on Cognitive outcomes and combined interventions. We hope this review broadens awareness, usage and mainstream acceptance of novel technologies in rehabilitation and reintegration among clinicians, carers and patients.</t>
  </si>
  <si>
    <t>[Cisek, Katryna] Technol Univ Dublin, Informat Commun &amp; Entertainment Inst, Project PRECISE4Q, Predict Modeling Stroke, Dublin 6, Ireland; [Kelleher, John D.] Maynooth Univ, ADAPT Res Ctr, Project PRECISE4Q, Predict Modeling Stroke, Maynooth W23 A3HY, Kildare, Ireland</t>
  </si>
  <si>
    <t>Maynooth University</t>
  </si>
  <si>
    <t>Cisek, K (corresponding author), Technol Univ Dublin, Informat Commun &amp; Entertainment Inst, Project PRECISE4Q, Predict Modeling Stroke, Dublin 6, Ireland.</t>
  </si>
  <si>
    <t>katryna.cisek@tudublin.ie; john.kelleher@mu.ie</t>
  </si>
  <si>
    <t>Kelleher, John D./N-6963-2017</t>
  </si>
  <si>
    <t>Kelleher, John D./0000-0001-6462-3248</t>
  </si>
  <si>
    <t>European Union [777107]; Science Foundation Ireland [13/RC/2106_P2]; European Regional Development Fund</t>
  </si>
  <si>
    <t>European Union(European Union (EU)); Science Foundation Ireland(Science Foundation Ireland (SFI)); European Regional Development Fund(European Union (EU))</t>
  </si>
  <si>
    <t>This work was supported in part by the European Union's Horizon 2020 Research and Innovation Program through the PRECISE4Q Project under Grant 777107, in part by the ADAPT Research Centre funded by the Science Foundation Ireland under Grant 13/RC/2106_P2, and in part by the European Regional Development Fund.</t>
  </si>
  <si>
    <t>10.1109/TNSRE.2023.3304758</t>
  </si>
  <si>
    <t>P9JN6</t>
  </si>
  <si>
    <t>WOS:001053767800004</t>
  </si>
  <si>
    <t>Fu, JH; Chen, SG; Jia, J</t>
  </si>
  <si>
    <t>Fu, Jianghong; Chen, Shugeng; Jia, Jie</t>
  </si>
  <si>
    <t>Sensorimotor Rhythm-Based Brain-Computer Interfaces for Motor Tasks Used in Hand Upper Extremity Rehabilitation after Stroke: A Systematic Review</t>
  </si>
  <si>
    <t>brain-computer interfaces; motor task; sensorimotor rhythm; stroke; hand rehabilitation</t>
  </si>
  <si>
    <t>DIRECT-CURRENT STIMULATION; UPPER-LIMB FUNCTION; ELECTRICAL-STIMULATION; IMAGERY; RECOVERY; THERAPY; TETRAPLEGIA; FEEDBACK; PATIENT</t>
  </si>
  <si>
    <t>Brain-computer interfaces (BCIs) are becoming more popular in the neurological rehabilitation field, and sensorimotor rhythm (SMR) is a type of brain oscillation rhythm that can be captured and analyzed in BCIs. Previous reviews have testified to the efficacy of the BCIs, but seldom have they discussed the motor task adopted in BCIs experiments in detail, as well as whether the feedback is suitable for them. We focused on the motor tasks adopted in SMR-based BCIs, as well as the corresponding feedback, and searched articles in PubMed, Embase, Cochrane library, Web of Science, and Scopus and found 442 articles. After a series of screenings, 15 randomized controlled studies were eligible for analysis. We found motor imagery (MI) or motor attempt (MA) are common experimental paradigms in EEG-based BCIs trials. Imagining/attempting to grasp and extend the fingers is the most common, and there were multi-joint movements, including wrist, elbow, and shoulder. There were various types of feedback in MI or MA tasks for hand grasping and extension. Proprioception was used more frequently in a variety of forms. Orthosis, robot, exoskeleton, and functional electrical stimulation can assist the paretic limb movement, and visual feedback can be used as primary feedback or combined forms. However, during the recovery process, there are many bottleneck problems for hand recovery, such as flaccid paralysis or opening the fingers. In practice, we should mainly focus on patients' difficulties, and design one or more motor tasks for patients, with the assistance of the robot, FES, or other combined feedback, to help them to complete a grasp, finger extension, thumb opposition, or other motion. Future research should focus on neurophysiological changes and functional improvements and further elaboration on the changes in neurophysiology during the recovery of motor function.</t>
  </si>
  <si>
    <t>[Fu, Jianghong; Chen, Shugeng; Jia, Jie] Fudan Univ, Huashan Hosp, Dept Rehabil Med, Shanghai 200040, Peoples R China; [Jia, Jie] Fudan Univ, Huashan Hosp, Natl Clin Res Ctr Aging &amp; Med, Shanghai 200040, Peoples R China; [Jia, Jie] Natl Ctr Neurol Disorders, Shanghai 200040, Peoples R China</t>
  </si>
  <si>
    <t>Fudan University; Fudan University</t>
  </si>
  <si>
    <t>Jia, J (corresponding author), Fudan Univ, Huashan Hosp, Dept Rehabil Med, Shanghai 200040, Peoples R China.;Jia, J (corresponding author), Fudan Univ, Huashan Hosp, Natl Clin Res Ctr Aging &amp; Med, Shanghai 200040, Peoples R China.;Jia, J (corresponding author), Natl Ctr Neurol Disorders, Shanghai 200040, Peoples R China.</t>
  </si>
  <si>
    <t>shannonjj@126.com</t>
  </si>
  <si>
    <t>Chen, Shugeng/HKF-6533-2023</t>
  </si>
  <si>
    <t>Chen, Shugeng/0000-0003-1886-9233</t>
  </si>
  <si>
    <t>National Key Research and Development Program Project of China [2018YFC2002300]; National Natural Integration Project [91948302]; National Natural Innovation Research Group Project [82021002]; National Natural Science Foundation of China [82202798]; Shanghai Sailing Program [22YF1404200]</t>
  </si>
  <si>
    <t>National Key Research and Development Program Project of China; National Natural Integration Project; National Natural Innovation Research Group Project; National Natural Science Foundation of China(National Natural Science Foundation of China (NSFC)); Shanghai Sailing Program</t>
  </si>
  <si>
    <t>This research was funded by the National Key Research and Development Program Project of China (2018YFC2002300), the National Natural Integration Project (91948302), the National Natural Innovation Research Group Project (82021002), the National Natural Science Foundation of China (82202798), and the Shanghai Sailing Program (22YF1404200).</t>
  </si>
  <si>
    <t>10.3390/brainsci13010056</t>
  </si>
  <si>
    <t>8B4RK</t>
  </si>
  <si>
    <t>WOS:000916911200001</t>
  </si>
  <si>
    <t>Fu, JY; Wang, HY; Na, RS; Jisaihan, A; Wang, ZX; Ohno, Y</t>
  </si>
  <si>
    <t>Fu, Jiayu; Wang, Haiyan; Na, Risu; Jisaihan, A.; Wang, Zhixiong; Ohno, Yuko</t>
  </si>
  <si>
    <t>Recent advancements in digital health management using multi-modal signal monitoring</t>
  </si>
  <si>
    <t>MATHEMATICAL BIOSCIENCES AND ENGINEERING</t>
  </si>
  <si>
    <t>digital health management; internet of medical things; multi-modal signal monitoring</t>
  </si>
  <si>
    <t>REHABILITATION; ROBOT; NETWORK; DESIGN; KNEE; RECOGNITION; VALIDATION; REALITY; DEVICE; MOBILE</t>
  </si>
  <si>
    <t>Healthcare is the method of keeping or enhancing physical and mental well-being with its aid of illness and injury prevention, diagnosis, and treatment. The majority of conventional healthcare practices involve manual management and upkeep of client demographic information, case histories, diagnoses, medications, invoicing, and drug stock upkeep, which can result in human errors that have an impact on clients. By linking all the essential parameter monitoring equipment through a network with a decision-support system, digital health management based on Internet of Things (IoT) elim-inates human errors and aids the doctor in making more accurate and timely diagnoses. The term Internet of Medical Things (IoMT) refers to medical devices that have the ability to communicate data over a network without requiring human-to-human or human-to-computer interaction. Mean-while, more effective monitoring gadgets have been made due to the technology advancements, and these devices can typically record a few physiological signals simultaneously, including the electrocar-diogram (ECG) signal, the electroglottography (EGG) signal, the electroencephalogram (EEG) signal, and the electrooculogram (EOG) signal. Yet, there has not been much research on the connection be-tween digital health management and multi-modal signal monitoring. To bridge the gap, this article reviews the latest advancements in digital health management using multi-modal signal monitoring. Specifically, three digital health processes, namely, lower-limb data collection, statistical analysis of lower-limb data, and lower-limb rehabilitation via digital health management, are covered in this ar-ticle, with the aim to fully review the current application of digital health technology in lower-limb symptom recovery.</t>
  </si>
  <si>
    <t>[Fu, Jiayu; Na, Risu; Jisaihan, A.; Wang, Zhixiong; Ohno, Yuko] Osaka Univ, Grad Sch Med, Dept Math Hlth Sci, Osaka 5650871, Japan; [Wang, Haiyan; Wang, Zhixiong] Maanshan Univ, Maanshan 243000, Peoples R China; [Na, Risu] Shanghai Jian Qiao Univ, Shanghai 201315, Peoples R China</t>
  </si>
  <si>
    <t>The University of Osaka</t>
  </si>
  <si>
    <t>Wang, ZX; Ohno, Y (corresponding author), Osaka Univ, Grad Sch Med, Dept Math Hlth Sci, Osaka 5650871, Japan.;Wang, ZX (corresponding author), Maanshan Univ, Maanshan 243000, Peoples R China.</t>
  </si>
  <si>
    <t>wangzhixiong@masu.edu.cn; ohno@sahs.med.osaka-u.ac.jp</t>
  </si>
  <si>
    <t>ohno, yuko/IWD-7759-2023; wang, zhixiong/LIC-9429-2024; wang, haiyan/MFK-1898-2025; Fu, Jianyu/AAO-7885-2020; Na, Risu/U-8059-2019</t>
  </si>
  <si>
    <t>Open Project of China International Science and Technology Cooperation Base on Intelligent Equipment Manufacturing in Special Service Environment [ISTC2021KF07, 2020jyxm1897]</t>
  </si>
  <si>
    <t>Open Project of China International Science and Technology Cooperation Base on Intelligent Equipment Manufacturing in Special Service Environment</t>
  </si>
  <si>
    <t>This study was supported in part by the Open Project of China International Science and Technology Cooperation Base on Intelligent Equipment Manufacturing in Special Service Environment (ISTC2021KF07) , in part by 2020 Anhui Province Education and Teaching Research Project: Osaka Medical College Sinojapanese cooperation in running a new school model (2020jyxm1897) .</t>
  </si>
  <si>
    <t>AMER INST MATHEMATICAL SCIENCES-AIMS</t>
  </si>
  <si>
    <t>SPRINGFIELD</t>
  </si>
  <si>
    <t>PO BOX 2604, SPRINGFIELD, MO 65801-2604, UNITED STATES</t>
  </si>
  <si>
    <t>1551-0018</t>
  </si>
  <si>
    <t>MATH BIOSCI ENG</t>
  </si>
  <si>
    <t>Math. Biosci. Eng.</t>
  </si>
  <si>
    <t>10.3934/mbe.2023241</t>
  </si>
  <si>
    <t>8H6FP</t>
  </si>
  <si>
    <t>WOS:000921127400010</t>
  </si>
  <si>
    <t>Gupta, A; Prakash, NB; Honavar, PR</t>
  </si>
  <si>
    <t>Gupta, Anupam; Prakash, Naveen B.; Honavar, Preethi R.</t>
  </si>
  <si>
    <t>Gait training with robotic exoskeleton assisted rehabilitation system in patients with incomplete traumatic and non-traumatic spinal cord injury: A pilot study and review of literature</t>
  </si>
  <si>
    <t>Exoskeleton robot; gait training; incomplete spinal cord injury; locomotion</t>
  </si>
  <si>
    <t>WALKING; EXPERIENCE; LESIONS; PEOPLE; ADULTS; LIFE</t>
  </si>
  <si>
    <t>Objective: This pilot study aimed to assess the safety and feasibility of robotic gait training and its' effects on gait parameters in individuals with incomplete motor spinal cord injury-SCI (AIS C and AIS D). Methods: The study was conducted in a tertiary research center with indigenously developed Robotic Exoskeleton Assisted Rehabilitation Systems (REARS). Primary outcome measures used were the ten-meter walk test (10MWT), two-minute walk test (2MWT), six-minute walk test (6MWT), the timed up and go test (TUG), the walking index for spinal cord injury II (WISCI II), and the spinal cord independence measure version III (SCIM III) at baseline, 12 sessions, and after 24 sessions (endpoint) of training. At baseline, individuals who could not perform 10MWT, TUG, and 6MWT were grouped in G1 for analysis. Participants in G2 were able to perform all the tests at baseline. Results: The median (interquartile range [IQR]) age and duration of illness was 41 (24) years and 167 (147) days, respectively. Five out of seven participants had non-traumatic etiology and five were males. After completing training, participants in G1 were able to complete the 10MWT, 6MWT, and TUG, and the mean (SD) scores were 0.2 m/s (0.2), 66.3 m (61.2) and 113.3 s (117.4), respectively. Participants in G2 could perform the TUG test 13.5 s faster at the end of the study (11.9 s vs 25.4 s). The minimum clinically important difference (MCID) for TUG was 10.8 s. In G2, the pre-post training change in mean score of 10MWT and 6MWT was 0.11 m/s and 42 m, respectively; these values approached the MCID for these measures. None of the participants had any injury during training. Conclusions: Robotic gait training with REARS is safe and feasible. Such training may lead to an improvement in balance and walking capacity.</t>
  </si>
  <si>
    <t>[Gupta, Anupam; Prakash, Naveen B.; Honavar, Preethi R.] Natl Inst Mental Hlth &amp; Neuro Sci NIMHANS, Dept Neurol Rehabil, Bengaluru, Karnataka, India</t>
  </si>
  <si>
    <t>National Institute of Mental Health &amp; Neurosciences - India</t>
  </si>
  <si>
    <t>Gupta, A (corresponding author), Natl Inst Mental Hlth &amp; Neuro Sci NIMHANS, Dept Neurol Rehabil, Bengaluru, Karnataka, India.</t>
  </si>
  <si>
    <t>drgupta159@yahoo.co.in</t>
  </si>
  <si>
    <t>S26</t>
  </si>
  <si>
    <t>S31</t>
  </si>
  <si>
    <t>10.4103/aian.aian_1075_21</t>
  </si>
  <si>
    <t>9N0FH</t>
  </si>
  <si>
    <t>WOS:000942595400004</t>
  </si>
  <si>
    <t>Kalinowska, A; Pilarski, PM; Murphey, TD</t>
  </si>
  <si>
    <t>Kalinowska, Aleksandra; Pilarski, Patrick M.; Murphey, Todd D.</t>
  </si>
  <si>
    <t>Embodied Communication: How Robots and People Communicate Through Physical Interaction</t>
  </si>
  <si>
    <t>human-robot collaboration; embodied communication; physical interaction; assistive robots</t>
  </si>
  <si>
    <t>THE-LOOP OPTIMIZATION; SHARED CONTROL; JOINT ACTION; EXOSKELETON; PROSTHESIS; INTERFACE; SAFETY; SIGNAL; ARM; REHABILITATION</t>
  </si>
  <si>
    <t>Early research on physical human-robot interaction (pHRI) has necessarily focused on device design-the creation of compliant and sensorized hardware, such as exoskeletons, prostheses, and robot arms, that enables people to safely come in contact with robotic systems and to communicate about their collaborative intent. As hardware capabilities have become sufficient for many applications, and as computing has become more powerful, algorithms that support fluent and expressive use of pHRI systems have begun to play a prominent role in determining the systems' usefulness. In this review, we describe a selection of representative algorithmic approaches that regulate and interpret pHRI, describing the progression from algorithms based on physical analogies, such as admittance control, to computational methods based on higher-level reasoning, which take advantage of multimodal communication channels. Existing algorithmic approaches largely enable task-specific pHRI, but they do not generalize to versatile human-robot collaboration. Throughout the review and in our discussion of next steps, we therefore argue that emergent embodied dialogue-bidirectional, multimodal communication that can be learned through continuous interaction-is one of the next frontiers of pHRI.</t>
  </si>
  <si>
    <t>[Kalinowska, Aleksandra; Murphey, Todd D.] Northwestern Univ, Dept Mech Engn, Evanston, IL 60208 USA; [Pilarski, Patrick M.] Univ Alberta, Dept Med, Edmonton, AB, Canada; [Pilarski, Patrick M.] Amii, Edmonton, AB, Canada; [Murphey, Todd D.] Northwestern Univ, Dept Phys Therapy &amp; Human Movement Sci, Chicago, IL 60611 USA</t>
  </si>
  <si>
    <t>Northwestern University; University of Alberta; Northwestern University</t>
  </si>
  <si>
    <t>Murphey, TD (corresponding author), Northwestern Univ, Dept Mech Engn, Evanston, IL 60208 USA.;Murphey, TD (corresponding author), Northwestern Univ, Dept Phys Therapy &amp; Human Movement Sci, Chicago, IL 60611 USA.</t>
  </si>
  <si>
    <t>t-murphey@northwestern.edu</t>
  </si>
  <si>
    <t>Murphey, Todd/C-9815-2009; Pilarski, Patrick M./C-3485-2008</t>
  </si>
  <si>
    <t>Pilarski, Patrick M./0000-0003-1686-2978; Murphey, Todd/0000-0003-2262-8176</t>
  </si>
  <si>
    <t>National Science Foundation [CNS-1837515]; Canada CIFAR AI Chair (Amii)</t>
  </si>
  <si>
    <t>National Science Foundation(National Science Foundation (NSF)); Canada CIFAR AI Chair (Amii)</t>
  </si>
  <si>
    <t>This work was supported by the National Science Foundation under grant CNS-1837515. Any opinions, findings, and conclusions or recommendations expressed in this material are those of the authors and do not necessarily reflect the views of the National Science Foundation. P.M.P. was supported in part by a Canada CIFAR AI Chair (Amii).</t>
  </si>
  <si>
    <t>10.1146/annurev-control-070122-102501</t>
  </si>
  <si>
    <t>E7XT4</t>
  </si>
  <si>
    <t>WOS:000977635100008</t>
  </si>
  <si>
    <t>Li, C; Tu, ST; Xu, S; Zhang, YL; Yan, ZJ; Jia, J; Tian, SL</t>
  </si>
  <si>
    <t>Li, Chong; Tu, Shuting; Xu, Shuo; Zhang, Yongli; Yan, Zhijie; Jia, Jie; Tian, Shiliu</t>
  </si>
  <si>
    <t>Research Hotspots and Frontiers of Transcranial Direct Current Stimulation in Stroke: A Bibliometric Analysis</t>
  </si>
  <si>
    <t>tDCS; stroke; CiteSpace; bibliometric; visual analysis</t>
  </si>
  <si>
    <t>MOTOR CORTEX; REHABILITATION; EXCITABILITY; DYSPHAGIA; SAFETY; TDCS</t>
  </si>
  <si>
    <t>Background: Over the past decade, many studies in the field of transcranial direct current stimulation (tDCS) in stroke have been published in scholarly journals. However, a scientometric analysis focusing on tDCS after stroke is still missing. The purpose of this study is to deliver a bibliometric analysis to investigate the global hotspots and frontiers in the domain of tDCS in stroke from 2012 to 2021. Methods: Articles and reviews related to tDCS in stroke were retrieved and obtained from the Web of Science core collection database from 2012 to 2021. Data visualization and analysis were conducted by using CiteSpace, VOSviewer, and Microsoft Excel 2019. Results: Finally, 371 publications were included in the scientometric analysis, including 288 articles and 83 reviews. The results showed that the number of publications per year increased from 15 to 68 in the last 10 years. Neurosciences was the main research hotspot category (n = 201). Frontiers in Human Neuroscience was the most published journal with 14 papers. The most productive author, institution, and country were Fregni F (n = 13), the League of European Research Universities (n = 37), and the United States of America (n = 98), respectively. A burstness analysis of keywords and the literature indicated that current studies in the field of tDCS in stroke focused on poststroke aphasia, tDCS combined with robotic therapy, and anatomical parameters. Conclusion: The research of tDCS in stroke is predicted to remain a research hotspot in the future. We recommend investigating the curative effect of other different tDCS closed-loop rehabilitation methods for different stroke dysfunctions. In conclusion, this bibliometric study presented the hotspots and trends of tDCS in stroke over the last decade, which may help researchers manage their further studies.</t>
  </si>
  <si>
    <t>[Li, Chong; Tian, Shiliu] Shanghai Univ Sport, Sch Exercise &amp; Hlth, Shanghai 200040, Peoples R China; [Tu, Shuting; Zhang, Yongli] Fujian Univ Tradit Chinese Med, Inst Rehabil, Fuzhou 350122, Peoples R China; [Xu, Shuo; Jia, Jie] Fudan Univ, Huashan Hosp, Dept Rehabil Med, Shanghai 200040, Peoples R China; [Yan, Zhijie] Xinxiang Med Univ, Affiliated Hosp 3, Xinxiang 453003, Peoples R China; [Tian, Shiliu] Shanghai Univ Sport, Key Lab Exercise &amp; Hlth Sci, Minist Educ, Shanghai 200433, Peoples R China; [Tian, Shiliu] Shanghai Frontiers Sci Res Base Exercise &amp; Metab H, Shanghai 200031, Peoples R China; [Tian, Shiliu] Fujian Sports Vocat Educ &amp; Tech Coll, Fuzhou 350003, Peoples R China</t>
  </si>
  <si>
    <t>Shanghai University of Sport; Fujian University of Traditional Chinese Medicine; Fudan University; Xinxiang Medical University; Shanghai University of Sport; Ministry of Education - China</t>
  </si>
  <si>
    <t>Tian, SL (corresponding author), Shanghai Univ Sport, Sch Exercise &amp; Hlth, Shanghai 200040, Peoples R China.;Jia, J (corresponding author), Fudan Univ, Huashan Hosp, Dept Rehabil Med, Shanghai 200040, Peoples R China.;Tian, SL (corresponding author), Shanghai Univ Sport, Key Lab Exercise &amp; Hlth Sci, Minist Educ, Shanghai 200433, Peoples R China.;Tian, SL (corresponding author), Shanghai Frontiers Sci Res Base Exercise &amp; Metab H, Shanghai 200031, Peoples R China.;Tian, SL (corresponding author), Fujian Sports Vocat Educ &amp; Tech Coll, Fuzhou 350003, Peoples R China.</t>
  </si>
  <si>
    <t>shannonjj@126.com; tianshiliu@sus.edu.cn</t>
  </si>
  <si>
    <t>Zhang, Yongli/0000-0002-7589-2336; Yan, Zhijie/0000-0001-8065-0748; Xu, Shuo/0000-0002-9347-0882</t>
  </si>
  <si>
    <t>National Key Research and Development Program of the Ministry of Science and Technology of the People's Republic of China [2018YFC2002300, 2018YFC2002301]; Innovative Research Group Project of National Natural Science Foundation of China [82021002]; National Natural Science Foundation of China [91948302]</t>
  </si>
  <si>
    <t>National Key Research and Development Program of the Ministry of Science and Technology of the People's Republic of China(National Key Research &amp; Development Program of China); Innovative Research Group Project of National Natural Science Foundation of China(National Natural Science Foundation of China (NSFC)); National Natural Science Foundation of China(National Natural Science Foundation of China (NSFC))</t>
  </si>
  <si>
    <t>This study was funded by the National Key Research and Development Program of the Ministry of Science and Technology of the People's Republic of China (Grant Numbers 2018YFC2002300 and 2018YFC2002301); the Innovative Research Group Project of National Natural Science Foundation of China (Grant Number 82021002), and the National Natural Science Foundation of China (Grant Number 91948302). The APC was funding by all the above funding.</t>
  </si>
  <si>
    <t>10.3390/brainsci13010015</t>
  </si>
  <si>
    <t>7X8YS</t>
  </si>
  <si>
    <t>WOS:000914481200001</t>
  </si>
  <si>
    <t>Liu, C; Guo, K; Lu, JX; Yang, HB</t>
  </si>
  <si>
    <t>Liu, Chang; Guo, Kai; Lu, Jingxin; Yang, Hongbo</t>
  </si>
  <si>
    <t>A review on the application of intelligent control strategies for post-stroke hand rehabilitation machines</t>
  </si>
  <si>
    <t>Hand rehabilitation robots; intelligent control strategies; bioelectrical signals</t>
  </si>
  <si>
    <t>SERIES ELASTIC ACTUATION; FINGER EXOSKELETON; LEARNING CONTROL; DESIGN; SYSTEM; EMG; PLASTICITY; STROKE; GLOVE; ELECTROMYOGRAPHY</t>
  </si>
  <si>
    <t>Among the approaches to functional hand rehabilitation after stroke, the use of hand rehabilitation robots can provide functional training of the hand or assist the paralyzed hand in activities of daily living, and in particular, intelligent control strategies play a very important role in rehabilitation robotics. The purpose of this review is to summarize the current status of commercially available intelligently controlled hand rehabilitation robots developed in recent years. Firstly, we summarize the theoretical basis of post-stroke hand rehabilitation in the reviewed literature, and the intelligent control strategies of hand rehabilitation robots. Then, representative intelligently controlled hand rehabilitation robots are listed. Finally, we discuss the future directions of the intelligently controlled hand rehabilitation robots. The results show that the development trend in recent years is more inclined to: combining the theoretical basis of stroke hand rehabilitation and studying intelligent control methods of hand function rehabilitation robots that combine human bioelectrical signals to achieve prediction of patients' motor intentions and also induced stimulation of neuroplasticity in the brain. As well as fusing different bioelectrical signals as a way to improve the applicability of the assistive device in real life. This paper will help researchers to understand the current state of the art regarding intelligently controlled hand rehabilitation robotics after stroke in recent years.</t>
  </si>
  <si>
    <t>[Liu, Chang; Lu, Jingxin; Yang, Hongbo] Changchun Univ Sci &amp; Technol, Coll Mech &amp; Elect Engn, Changchun, Peoples R China; [Liu, Chang; Guo, Kai; Lu, Jingxin; Yang, Hongbo] Chinese Acad Sci, Suzhou Inst Biomed Engn &amp; Technol, Suzhou, Peoples R China; [Guo, Kai; Yang, Hongbo] Univ Sci &amp; Technol China, Sch Biomed Engn Suzhou, Div Life Sci &amp; Med, Hefei, Peoples R China; [Guo, Kai; Yang, Hongbo] Chinese Acad Sci, Suzhou Inst Biomed Engn &amp; Technol, 88 Keling Rood, Suzhou 215163, Peoples R China</t>
  </si>
  <si>
    <t>Changchun University of Science &amp; Technology; Chinese Academy of Sciences; Suzhou Institute of Biomedical Engineering &amp; Technology, CAS; Chinese Academy of Sciences; University of Science &amp; Technology of China, CAS; Chinese Academy of Sciences; Suzhou Institute of Biomedical Engineering &amp; Technology, CAS</t>
  </si>
  <si>
    <t>Guo, K; Yang, HB (corresponding author), Chinese Acad Sci, Suzhou Inst Biomed Engn &amp; Technol, 88 Keling Rood, Suzhou 215163, Peoples R China.</t>
  </si>
  <si>
    <t>guok@sibet.ac.cn; yanghb@sibet.ac.cn</t>
  </si>
  <si>
    <t>Guo, Kai/GXG-4150-2022</t>
  </si>
  <si>
    <t>GUO, Kai/0000-0003-2071-6869</t>
  </si>
  <si>
    <t>Key Research and Development Program of Jiangsu Province [BE2021012-1]; International Partnership Program of the Chinese Academy of Science [154232KYSB20200016]</t>
  </si>
  <si>
    <t>Key Research and Development Program of Jiangsu Province; International Partnership Program of the Chinese Academy of Science</t>
  </si>
  <si>
    <t>The author(s) disclosed receipt of the following financial sup-port for the research, authorship, and/or publication of this article: This research was funded by the Key Research and Development Program of Jiangsu Province (Grant No. BE2021012-1) and the International Partnership Program of the Chinese Academy of Science (Grant No. 154232KYSB20200016).</t>
  </si>
  <si>
    <t>10.1177/16878132221148018</t>
  </si>
  <si>
    <t>H9CH3</t>
  </si>
  <si>
    <t>WOS:000998850200001</t>
  </si>
  <si>
    <t>Liu, KR; Chen, WW; Yang, WM; Jiao, ZW; Yu, Y</t>
  </si>
  <si>
    <t>Liu, Kerun; Chen, Weiwei; Yang, Weimin; Jiao, Zhiwei; Yu, Yuan</t>
  </si>
  <si>
    <t>Review of the Research Progress in Soft Robots</t>
  </si>
  <si>
    <t>driven method; manufacturing process; smart material; soft actuator; soft robot</t>
  </si>
  <si>
    <t>POLYMER; FABRICATION; DESIGN</t>
  </si>
  <si>
    <t>The soft robot is a new type of robot with strong adaptability, good pliability, and high flexibility. Today, it is widely used in the fields of bioengineering, disaster rescue, industrial production, medical services, exploration, and surveying. In this paper, the typical driven methods, 3D printing technologies, applications, the existed problems, and the development prospects for soft robots are summarized comprehensively. Firstly, the driven methods and materials of the soft robot are introduced, including fluid driven, smart materials driven, chemical reaction driven, a twisted and coiled polymer actuator, and so on. Secondly, the basic principles and characteristics of mainstream 3D printing technologies for soft materials are introduced, including FDM, DIW, IP, SLA, SLS, and so on. Then, current applications of soft robots, such as bionic structures, gripping operations, and medical rehabilitation are described. Finally, the problems existing in the development of soft robots, such as the shortage of 3D printable soft materials, efficient and effective manufacturing of soft robots, shortage of smart soft materials, efficient use of energy, the realization of complex motion forms of soft robot, control action accuracy and actual kinematic modeling are summarized. Based on the above, some suggestions are put forward pertinently, and the future development and applications of the soft robot are prospected.</t>
  </si>
  <si>
    <t>[Liu, Kerun; Chen, Weiwei; Yang, Weimin; Jiao, Zhiwei; Yu, Yuan] Beijing Univ Chem Technol, Coll Mech &amp; Elect Engn, North Third Ring Rd 15, Beijing 100029, Peoples R China; [Jiao, Zhiwei] State Key Lab Organ Inorgan Composites, Beijing 100029, Peoples R China</t>
  </si>
  <si>
    <t>Beijing University of Chemical Technology</t>
  </si>
  <si>
    <t>Jiao, ZW; Yu, Y (corresponding author), Beijing Univ Chem Technol, Coll Mech &amp; Elect Engn, North Third Ring Rd 15, Beijing 100029, Peoples R China.;Jiao, ZW (corresponding author), State Key Lab Organ Inorgan Composites, Beijing 100029, Peoples R China.</t>
  </si>
  <si>
    <t>jiaozw@mail.buct.edu.cn; yuyuanjd@263.net</t>
  </si>
  <si>
    <t>Liu, Ke/ABC-5398-2021</t>
  </si>
  <si>
    <t>Jiao, Zhiwei/0000-0002-0719-8422</t>
  </si>
  <si>
    <t>Beijing Nova Program of China; Beijing Natural Science Foundation-Haidian Original Innovation Fund; National Natural Science Foundation of China; [Z201100006820146]; [L212047]; [52171149]</t>
  </si>
  <si>
    <t>Beijing Nova Program of China(Beijing Municipal Science &amp; Technology Commission); Beijing Natural Science Foundation-Haidian Original Innovation Fund; National Natural Science Foundation of China(National Natural Science Foundation of China (NSFC)); ; ;</t>
  </si>
  <si>
    <t>This research was funded by Beijing Nova Program of China (No. Z201100006820146), Beijing Natural Science Foundation-Haidian Original Innovation Fund (No. L212047), National Natural Science Foundation of China (No. 52171149).</t>
  </si>
  <si>
    <t>10.3390/app13010120</t>
  </si>
  <si>
    <t>7P3TU</t>
  </si>
  <si>
    <t>WOS:000908632900001</t>
  </si>
  <si>
    <t>Liu, Z; Shi, Y; Lin, YD; Yang, YX</t>
  </si>
  <si>
    <t>Liu, Zhe; Shi, Yu; Lin, Yandai; Yang, Yanxi</t>
  </si>
  <si>
    <t>Intelligent medicine and beyond</t>
  </si>
  <si>
    <t>CHINESE SCIENCE BULLETIN-CHINESE</t>
  </si>
  <si>
    <t>Chinese</t>
  </si>
  <si>
    <t>intelligent medicine; surgical robot; nanorobots; drug-device-field integration</t>
  </si>
  <si>
    <t>ROBOTIC SURGERY; SIMULATION; SURVIVAL; NETWORK; HISTORY</t>
  </si>
  <si>
    <t>With the developments of medical artificial intelligence (AI), meta-data analysis, intelligence-aided drug design and discovery, surgical robots and image-navigated precision treatments, intelligent medicine (IM) as a new era evolved from ancient medicine and biomedical medicine, has become an emerging topic and important criteria for clinical applications. It is fully characterized by fundamental research-driven, new-generation technique-directed as well as state-of-the-art paradigms for advanced disease diagnosis and therapy leading to an even broader future of modern medicine. As a fundamental subject and also a practice-oriented field, intelligent medicine is highly trans-disciplinary and cross-developed, which has emerged the knowledge of modern medicine, basic sciences and engineering. Basically, intelligent medicine has three domains of intelligent biomaterials, intelligent devices and intelligent techniques. Intelligent biomaterials derive from traditional biomedical materials, and currently are endowed with multiple functionalities for medical uses. For example, micro-/nanorobots, smart responsive biomaterials and digital drugs are representative intelligent biomaterials which have been already commercialized and applied to clinical uses. Intelligent devices, such as surgical robots, rehabilitation robots and medical powered exoskeleton, are an important majority in the family of intelligent medicine. Intelligent biomaterials and intelligent devices are more and more closely integrated with each other especially on the occasions of intelligence acquisition, remote transmission, AI-aided analysis and management. In comparison, intelligent techniques are internalized in the former two domains and are playing a critical role in the development of intelligent medicine. Representative intelligent techniques of telemedicine, image-navigated surgery, virtual/augmented reality and AI-assisted image analysis for early-stage disease assessments have been employed in nowadays clinical operations which to a large extent relieved medical labors. In the past decades, China has been in the leading groups compared to international colleagues in the arena of intelligent medicine, and a series of eminent research has been clinically translated for practical uses in China. For instance, the first 5G-aided remote surgery has been realized in Fujian Province in January 2019, which for the first time validated their applicability for human uses. The surgical robots have found China as the most vigorous market, and more than 10 famous Chinese companies are developing versatile surgical robots for both Chinese people and people all over the world. China also applied AI techniques to new drug developments especially in early 2020 when COVID-19 epidemic roared, and several active molecules and drug motifs have been discovered for early-stage COVID-19 screening and treatments. Based on the significance of intelligent medicine and its rapid developments in both basic research and industrials, this review summarized the comprehensive viewpoints of the Y6 Xiangshan Science Conferences titled with Fundamental Principles and Key Technologies of Intelligent Medicine, and gave an in-depth discussion on main perspectives of future developments of the integration of biomaterial and devices, the integration of bioinformatics and medical hardware, and the synergy of biotechnology and intelligence information. It is expected that this featuring article will further promote intelligent medicine to an even broader community not only for scientists but also for industrials, and in the long run embrace a perspective future for its blooming and rich contributions in China in the coming 5 years.</t>
  </si>
  <si>
    <t>[Liu, Zhe; Shi, Yu; Lin, Yandai; Yang, Yanxi] Tianjin Univ, Coll Med, Tianjin 300072, Peoples R China</t>
  </si>
  <si>
    <t>Tianjin University</t>
  </si>
  <si>
    <t>Liu, Z (corresponding author), Tianjin Univ, Coll Med, Tianjin 300072, Peoples R China.</t>
  </si>
  <si>
    <t>zheliu@tju.edu.cn</t>
  </si>
  <si>
    <t>Liu, Zhe/R-1597-2016</t>
  </si>
  <si>
    <t>lin, yandai/0009-0001-4339-0577</t>
  </si>
  <si>
    <t>SCIENCE PRESS</t>
  </si>
  <si>
    <t>EPHRATA</t>
  </si>
  <si>
    <t>300 WEST CHESNUT ST, EPHRATA, PA 17522 USA</t>
  </si>
  <si>
    <t>0023-074X</t>
  </si>
  <si>
    <t>2095-9419</t>
  </si>
  <si>
    <t>CHIN SCI B-CHIN</t>
  </si>
  <si>
    <t>Chin. Sci. Bull.-Chin.</t>
  </si>
  <si>
    <t>10.1360/TB-2022-1240</t>
  </si>
  <si>
    <t>E5EK9</t>
  </si>
  <si>
    <t>WOS:000975768700005</t>
  </si>
  <si>
    <t>Loro, A; Borg, MB; Battaglia, M; Amico, AP; Antenucci, R; Benanti, P; Bertoni, M; Bissolotti, L; Boldrini, P; Bonaiuti, D; Bowman, T; Capecci, M; Castelli, E; Cavalli, L; Cinone, N; Cosenza, L; Di Censo, R; Di Stefano, G; Draicchio, F; Falabella, V; Filippetti, M; Galeri, S; Gimigliano, F; Grigioni, M; Invernizzi, M; Jonsdottir, J; Lentino, C; Massai, P; Mazzoleni, S; Mazzon, S; Molteni, F; Morelli, S; Morone, G; Nardone, A; Panzeri, D; Petrarca, M; Posteraro, F; Santamato, A; Scotti, L; Senatore, M; Spina, S; Taglione, E; Turchetti, G; Varalta, V; Picelli, A; Baricich, A</t>
  </si>
  <si>
    <t>Loro, Alberto; Borg, Margherita Beatrice; Battaglia, Marco; Amico, Angelo Paolo; Antenucci, Roberto; Benanti, Paolo; Bertoni, Michele; Bissolotti, Luciano; Boldrini, Paolo; Bonaiuti, Donatella; Bowman, Thomas; Capecci, Marianna; Castelli, Enrico; Cavalli, Loredana; Cinone, Nicoletta; Cosenza, Lucia; Di Censo, Rita; Di Stefano, Giuseppina; Draicchio, Francesco; Falabella, Vincenzo; Filippetti, Mirko; Galeri, Silvia; Gimigliano, Francesca; Grigioni, Mauro; Invernizzi, Marco; Jonsdottir, Johanna; Lentino, Carmelo; Massai, Perla; Mazzoleni, Stefano; Mazzon, Stefano; Molteni, Franco; Morelli, Sandra; Morone, Giovanni; Nardone, Antonio; Panzeri, Daniele; Petrarca, Maurizio; Posteraro, Federico; Santamato, Andrea; Scotti, Lorenza; Senatore, Michele; Spina, Stefania; Taglione, Elisa; Turchetti, Giuseppe; Varalta, Valentina; Picelli, Alessandro; Baricich, Alessio</t>
  </si>
  <si>
    <t>Balance Rehabilitation through Robot-Assisted Gait Training in Post-Stroke Patients: A Systematic Review and Meta-Analysis</t>
  </si>
  <si>
    <t>rehabilitation; robotics; balance; stroke; gait</t>
  </si>
  <si>
    <t>SUBACUTE STROKE PATIENTS; LIMB MOTOR FUNCTION; HEMIPARETIC STROKE; MIRROR THERAPY; PILOT; FEASIBILITY; RECOVERY; BLIND</t>
  </si>
  <si>
    <t>Background: Balance impairment is a common disability in post-stroke survivors, leading to reduced mobility and increased fall risk. Robotic gait training (RAGT) is largely used, along with traditional training. There is, however, no strong evidence about RAGT superiority, especially on balance. This study aims to determine RAGT efficacy on balance of post-stroke survivors. Methods: PubMed, Cochrane Library, and PeDRO databases were investigated. Randomized clinical trials evaluating RAGT efficacy on post-stroke survivor balance with Berg Balance Scale (BBS) or Timed Up and Go test (TUG) were searched. Meta-regression analyses were performed, considering weekly sessions, single-session duration, and robotic device used. Results: A total of 18 trials have been included. BBS pre-post treatment mean difference is higher in RAGT-treated patients, with a pMD of 2.17 (95% CI 0.79; 3.55). TUG pre-post mean difference is in favor of RAGT, but not statistically, with a pMD of -0.62 (95%CI - 3.66; 2.43). Meta-regression analyses showed no relevant association, except for TUG and treatment duration (beta = -1.019, 95% CI - 1.827; -0.210, p-value = 0.0135). Conclusions: RAGT efficacy is equal to traditional therapy, while the combination of the two seems to lead to better outcomes than each individually performed. Robot-assisted balance training should be the focus of experimentation in the following years, given the great results in the first available trials. Given the massive heterogeneity of included patients, trials with more strict inclusion criteria (especially time from stroke) must be performed to finally define if and when RAGT is superior to traditional therapy.</t>
  </si>
  <si>
    <t>[Loro, Alberto; Borg, Margherita Beatrice; Battaglia, Marco; Baricich, Alessio] Univ Piemonte Orientale Amedeo Avogadro, Dept Hlth Sci, I-28100 Novara, Italy; [Loro, Alberto; Borg, Margherita Beatrice; Battaglia, Marco; Baricich, Alessio] AOU Maggiore Carita Univ Hosp, Phys Med &amp; Rehabil Unit, I-28100 Novara, Italy; [Amico, Angelo Paolo] Polyclin Bari, Phys Med &amp; Rehabil Unit, I-70124 Bari, Italy; [Antenucci, Roberto] Castel San Giovanni Hosp, Rehabil Unit, I-29015 Piacenza, Italy; [Benanti, Paolo] Pontifical Gregorian Univ, Theol Dept, I-00187 Rome, Italy; [Bertoni, Michele] ASST Sette Laghi, Phys Med &amp; Rehabil, I-21100 Varese, Italy; [Bissolotti, Luciano] Fdn Teresa Camplani, Casa Cura Domus Salutis, I-25100 Brescia, Italy; [Boldrini, Paolo; Bonaiuti, Donatella; Di Stefano, Giuseppina] Italian Soc Phys &amp; Rehabil Med SIMFER, Robot Rehabil Sect, I-00187 Rome, Italy; [Bowman, Thomas; Galeri, Silvia; Jonsdottir, Johanna] IRCCS Fdn Don Carlo Gnocchi, Neurorehabil Dept, I-20148 Milan, Italy; [Capecci, Marianna] Univ Politecn Marche UNIVPM, Expt &amp; Clin Med Dept, I-60126 Ancona, Italy; [Castelli, Enrico; Petrarca, Maurizio] Bambino Gesu Pediat Hosp, Neurorehabil Unit, I-00165 Rome, Italy; [Cavalli, Loredana] Ctr Giusti, Phys Med &amp; Rehabil Unit, I-50125 Florence, Italy; [Cinone, Nicoletta; Santamato, Andrea; Spina, Stefania] Univ Hosp Foggia, Div Phys Med &amp; Rehabil, Unit Spast &amp; Movement Disorders, I-71100 Foggia, Italy; [Cosenza, Lucia] Santi Antonio &amp; Biagio &amp; Cesare Arrigo Natl Hosp, Dept Rehabil, Rehabil Unit, I-15122 Alessandria, Italy; [Di Censo, Rita; Filippetti, Mirko; Varalta, Valentina; Picelli, Alessandro] Univ Verona, Univ Hosp Verona, Dept Neurosci Biomed &amp; Movement Sci, Unit Neurorehabil, I-37126 Verona, Italy; [Draicchio, Francesco] Ist Nazl Assicuraz Infortuni Lavoro INAIL, Dipartimento Med Epidemiol Igiene Lavoro &amp; Ambient, I-00192 Rome, Italy; [Falabella, Vincenzo] Italian Federat Persons Spinal Cord Injuries FISH, I-00197 Rome, Italy; [Gimigliano, Francesca] Luigi Vanvitelli Univ Campania, Dept Phys &amp; Mental Hlth &amp; Prevent Med, I-81100 Naples, Italy; [Grigioni, Mauro; Morelli, Sandra] Italian Natl Inst Hlth ISS, Dept New Technol Publ Healthcare, I-00161 Rome, Italy; [Invernizzi, Marco] Azienda Osped Santi Antonio &amp; Biagio &amp; Cesare Arri, Dipartimento Atti Integrate Ric &amp; Innovaz DAIRI, Translat Med, I-15122 Alessandria, Italy; [Lentino, Carmelo] Santa Corona Hosp, Rehabil Unit, I-17027 Pietra Ligure, Italy; [Massai, Perla] Tuscany Rehabil Clin, I-52025 Montevarchi, Italy; [Mazzoleni, Stefano] Polytech Univ Bari, Dept Elect Engn &amp; Informat Technol, I-70126 Bari, Italy; [Mazzoleni, Stefano] Scuola Super Sant Anna, BioRobot Inst, I-56025 Pontedera, Italy; [Mazzon, Stefano] Azienda Unita Locale Socio Sanit Euganea AULSS 6, I-35100 Padua, Italy; [Molteni, Franco] Valduce Villa Beretta Hosp, Rehabil Dept, I-23845 Costa Masnaga, Italy; [Morone, Giovanni] Santa Lucia Fdn IRCCS, Neurorehabil Unit, I-00179 Rome, Italy; [Nardone, Antonio] Univ Pavia, Pediat Diagnost &amp; Clin Surg Sci Dept, I-27100 Pavia, Italy; [Nardone, Antonio] Ist Clin Sci Maugeri SPA IRCCS, Neurorehabil Unit, I-27100 Pavia, Italy; [Panzeri, Daniele] IRCCS Eugenio Medea, Pediat Rehabil Unit, I-23842 Bosisio Parini, Italy; [Posteraro, Federico] Versilia Hosp, Rehabil Unit, I-55041 Camaiore, Italy; [Scotti, Lorenza] Univ Piemonte Orientale Amedeo Avogadro, Dept Translat Med, I-28100 Novara, Italy; [Senatore, Michele] Italian Assoc Occupat Therapists AITO, I-00136 Rome, Italy; [Taglione, Elisa] Ist Nazl Assicuraz Infortuni Lavoro INAIL, Rehabil Unit, I-56048 Volterra, Italy; [Turchetti, Giuseppe] Scuola Super Sant Anna, Inst Management, I-56127 Pisa, Italy</t>
  </si>
  <si>
    <t>University of Eastern Piedmont Amedeo Avogadro; Universita degli Studi di Bari Aldo Moro; ASST dei Sette Laghi; IRCCS Fondazione Don Carlo Gnocchi Onlus; Marche Polytechnic University; IRCCS Bambino Gesu; University of Foggia; University of Verona; Azienda Ospedaliera Universitaria Integrata Verona; Universita della Campania Vanvitelli; Istituto Superiore di Sanita (ISS); Azienda Ospedaliera SS Antonio Biagio Cesare Arrigo; Politecnico di Bari; Scuola Superiore Sant'Anna; IRCCS Santa Lucia; University of Pavia; IRCCS Eugenio Medea; Ospedale Versilia; University of Eastern Piedmont Amedeo Avogadro; Scuola Superiore Sant'Anna</t>
  </si>
  <si>
    <t>Loro, A (corresponding author), Univ Piemonte Orientale Amedeo Avogadro, Dept Hlth Sci, I-28100 Novara, Italy.;Loro, A (corresponding author), AOU Maggiore Carita Univ Hosp, Phys Med &amp; Rehabil Unit, I-28100 Novara, Italy.</t>
  </si>
  <si>
    <t>alberto.loro.1995@gmail.com</t>
  </si>
  <si>
    <t>Morone, Giovanni/AAN-2666-2020; Molteni, Franco/J-4455-2016; Spina, Stefania/AEH-6796-2022; Panzeri, Daniele/AAH-5504-2019; Capecci, Marianna/AFL-2394-2022; Baricich, Alessio/ABG-7696-2020; bowman, thomas/AAC-1223-2019; Loro, Alberto/IXD-1801-2023; cinone, nicoletta/ISS-7034-2023; santamato, andrea/AAB-9751-2022; Petrarca, Maurizio/GWZ-3714-2022; Borg, Margherita/AAF-5974-2021; Francesco, Draicchio/AAC-7681-2022; Battaglia, Marco/MTC-4898-2025; Scotti, Lorenza/AAB-9544-2019; Mazzoleni, Stefano/AAM-8581-2020; Antenucci, Roberto/AAA-8195-2020; Jonsdottir, Johanna/X-9348-2019; Picelli, Alessandro/K-5610-2016; Mazzoleni, Stefano/B-5875-2011; Spina, Stefania/IAR-7324-2023; NARDONE, Antonio/J-8733-2016; Turchetti, Giuseppe/K-5393-2018; Morone, Giovanni/A-9561-2013</t>
  </si>
  <si>
    <t>Jonsdottir, Johanna/0000-0002-8287-4881; Picelli, Alessandro/0000-0002-3558-8276; Mazzoleni, Stefano/0000-0002-9528-3239; Spina, Stefania/0000-0002-7220-4016; NARDONE, Antonio/0000-0002-9547-1774; Cinone, Nicoletta/0000-0002-5389-3290; Cavalli, Loredana/0000-0003-4075-933X; Morelli, Sandra/0000-0001-9497-6810; Di Censo, Rita/0000-0002-8017-4013; Loro, Alberto/0000-0002-8116-4802; Invernizzi, Marco/0000-0001-5141-0681; Turchetti, Giuseppe/0000-0002-1877-5459; Battaglia, Marco/0000-0003-1357-1374; BARICICH, Alessio/0000-0001-8440-6283; bowman, thomas/0000-0002-9268-3915; Morone, Giovanni/0000-0003-3602-4197; Borg, Margherita Beatrice/0000-0002-0831-4843; Taglione, Elisa/0000-0002-0284-9011; SANTAMATO, ANDREA/0000-0002-1452-8485</t>
  </si>
  <si>
    <t>10.3390/brainsci13010092</t>
  </si>
  <si>
    <t>7X9AY</t>
  </si>
  <si>
    <t>WOS:000914487000001</t>
  </si>
  <si>
    <t>Plaza, A; Hernandez, M; Puyuelo, G; Garces, E; Garcia, E</t>
  </si>
  <si>
    <t>Plaza, Alberto; Hernandez, Mar; Puyuelo, Gonzalo; Garces, Elena; Garcia, Elena</t>
  </si>
  <si>
    <t>Lower-Limb Medical and Rehabilitation Exoskeletons: A Review of the Current Designs</t>
  </si>
  <si>
    <t>Exoskeleton; rehabilitation; lower limb; as-sistance robots; state of the art</t>
  </si>
  <si>
    <t>JOINT-COUPLED ORTHOSIS; GAIT; WALKING; GENERATION; PARAPLEGICS; DISORDERS; DISEASE; SYSTEM; ROBOTS; STANCE</t>
  </si>
  <si>
    <t>Medical and rehabilitation exoskeletons are being increasingly considered by therapists when choosing a treatment for individuals affected by lower limb impairments. Although all such exoskeletons seem to provide similar features and performance, there are, in practice, significant differences among them in terms of maximum walking speed, maximum torque, weight, autonomy, interaction with the user, or even the way to use it. In this review, the state of the art of the main commercial exoskeletons is described, while analyzing their properties, advantages, and disadvantages. Three groups are considered: complete exoskeletons, partial exoskeletons and open lines of research. A comparative analysis between them is performed while considering the main scientific and technical aspects to be improved. In conclusion to this analysis, the balance between feasibility and innovation in exoskeletons development is a design challenge. Commercial exoskeletons must fulfil standards whilst ensuring their safety and robustness. However, achieving a new generation of exoskeletons means a need to implement new hardware paradigms, and to enhance control strategies focused on assist-as-needed scheme. Finally, some aspects to improve current designs of the exoskeleton are presented.</t>
  </si>
  <si>
    <t>[Plaza, Alberto; Puyuelo, Gonzalo; Garces, Elena] Marsi Bion, Madrid 28521, Spain; [Plaza, Alberto] Univ Politecn Madrid, Escuela Int Doctorado, Madrid 28040, Spain; [Hernandez, Mar; Garces, Elena] Ctr Automatica &amp; Robot CSIC UPM, Madrid 28500, Spain; [Puyuelo, Gonzalo] Univ Rey Juan Carlos, Escuela Int Doctorado, Madrid 28008, Spain; [Garces, Elena] Univ Alcala, Programa Doctorado Ciencias Salud, Madrid 28801, Spain</t>
  </si>
  <si>
    <t>Universidad Politecnica de Madrid; Universidad Rey Juan Carlos; Universidad de Alcala</t>
  </si>
  <si>
    <t>Plaza, A (corresponding author), Marsi Bion, Madrid 28521, Spain.</t>
  </si>
  <si>
    <t>alberto.plaza@marsibionics.com; mar.hernandez@car.upm-csic.es; gonzalo.puyuelo@marsibionics.com; helena.garces@marsibionics.com; elena.garcia@car.upm-csic.es</t>
  </si>
  <si>
    <t>Hernández, Mar/HSH-3709-2023</t>
  </si>
  <si>
    <t>Hernandez Melero, Mar/0000-0002-2937-1150; Plaza, Alberto/0000-0003-3126-9048</t>
  </si>
  <si>
    <t>Education and Research Counseling of Comunidad de Madrid [IND2017/TIC-7698]</t>
  </si>
  <si>
    <t>Education and Research Counseling of Comunidad de Madrid</t>
  </si>
  <si>
    <t>This work was supported by the Education and Research Counseling of Comunidad de Madrid under Project IND2017/TIC-7698.</t>
  </si>
  <si>
    <t>10.1109/RBME.2021.3078001</t>
  </si>
  <si>
    <t>D2DA7</t>
  </si>
  <si>
    <t>WOS:000966866000001</t>
  </si>
  <si>
    <t>Stauffer, TP; Kim, BI; Grant, C; Adams, SB; Anastasio, AT</t>
  </si>
  <si>
    <t>Stauffer, Taylor P.; Kim, Billy I.; Grant, Caitlin; Adams, Samuel B.; Anastasio, Albert T.</t>
  </si>
  <si>
    <t>Robotic Technology in Foot and Ankle Surgery: A Comprehensive Review</t>
  </si>
  <si>
    <t>foot; ankle; robotics; deep learning; computer-assisted surgery</t>
  </si>
  <si>
    <t>OF-THE-ART; GAIT; ARTHROPLASTY; NAVIGATION; DESIGN; OPTIMIZATION; KINEMATICS; EXPERIENCE; MECHANISM; SYSTEMS</t>
  </si>
  <si>
    <t>Recent developments in robotic technologies in the field of orthopaedic surgery have largely been focused on higher volume arthroplasty procedures, with a paucity of attention paid to robotic potential for foot and ankle surgery. The aim of this paper is to summarize past and present developments foot and ankle robotics and describe outcomes associated with these interventions, with specific emphasis on the following topics: translational and preclinical utilization of robotics, deep learning and artificial intelligence modeling in foot and ankle, current applications for robotics in foot and ankle surgery, and therapeutic and orthotic-related utilizations of robotics related to the foot and ankle. Herein, we describe numerous recent robotic advancements across foot and ankle surgery, geared towards optimizing intra-operative performance, improving detection of foot and ankle pathology, understanding ankle kinematics, and rehabilitating post-surgically. Future research should work to incorporate robotics specifically into surgical procedures as other specialties within orthopaedics have done, and to further individualize machinery to patients, with the ultimate goal to improve perioperative and post-operative outcomes.</t>
  </si>
  <si>
    <t>[Stauffer, Taylor P.; Kim, Billy I.; Grant, Caitlin] Duke Univ, Sch Med, Durham, NC 27710 USA; [Adams, Samuel B.; Anastasio, Albert T.] Duke Univ, Departmen Orthopaed Surg, Durham, NC 27710 USA</t>
  </si>
  <si>
    <t>Duke University; Duke University</t>
  </si>
  <si>
    <t>Anastasio, AT (corresponding author), Duke Univ, Departmen Orthopaed Surg, Durham, NC 27710 USA.</t>
  </si>
  <si>
    <t>albert.anastasio@duke.edu</t>
  </si>
  <si>
    <t>Anastasio, Albert/AAF-1862-2020</t>
  </si>
  <si>
    <t>Grant, Caitlin/0000-0002-8617-775X; , Taylor Stauffer/0000-0002-4184-0634; Adams, Samuel/0000-0003-1020-1167; Anastasio, Albert/0000-0001-5817-3826; Kim, Billy/0000-0002-1519-6566</t>
  </si>
  <si>
    <t>Euguene A. Stead Fellowship Endowment from the Duke University School of Medicine</t>
  </si>
  <si>
    <t>T.P.S. was funded by the Euguene A. Stead Fellowship Endowment from the Duke University School of Medicine.</t>
  </si>
  <si>
    <t>10.3390/s23020686</t>
  </si>
  <si>
    <t>8R2VF</t>
  </si>
  <si>
    <t>WOS:000927753300001</t>
  </si>
  <si>
    <t>Wu, ZP; Yang, MX; Xia, YL; Wang, LW</t>
  </si>
  <si>
    <t>Wu, Zongpeng; Yang, Mingxing; Xia, Yulei; Wang, Liwei</t>
  </si>
  <si>
    <t>Mechanical Structural Design and Actuation Technologies of Powered Knee Exoskeletons: A Review</t>
  </si>
  <si>
    <t>knee exoskeletons; mechanical structure design; actuation technologies; compliance</t>
  </si>
  <si>
    <t>SLIDING MODE CONTROLLER; GAIT REHABILITATION; JOINT; ROBOT; ADAPTATION; STRATEGIES; STIFFNESS; PARALLEL; ASSIST; SYSTEM</t>
  </si>
  <si>
    <t>Robot knee exoskeletons can not only help the rehabilitation training function of the elderly and disabled patients, but also enhance the performance of healthy people in normal walking and weigh-bearing walking by providing sufficient torques. In recent years, the exoskeletons of knee joints have been extensively explored. The review is to summarize the existing research results of mechanical structure design and actuation technologies, propose the future development trend, and promote the further development of the powered knee exoskeletons, related theories, and engineering applications. In this study, the mechanical structures of knee exoskeletons are first illustrated. Their mechanical structures are classified into two types: simple mechanical structures with one purely rotary DOF and biological geometry-based multi-DOF structures. Subsequently, the actuation design of wearable knee exoskeletons includes conventional driving actuators, pneumatic muscle actuators, variable stiffness actuators, and other actuators are compared and the driving compliance and the difficulty in the accurate control are analyzed. Furthermore, other crucial technologies such as motion intention recognition, control strategy and performance evaluation methods of most knee assistive devices are reviewed. Finally, the key technologies of structural design and actuation design in the research of knee exoskeletons are summarized and future research hotspots are proposed.</t>
  </si>
  <si>
    <t>[Wu, Zongpeng; Yang, Mingxing; Xia, Yulei; Wang, Liwei] Anhui Univ Technol, Anhui Prov Key Lab Special Heavy Load Robot, Maanshan 243032, Peoples R China; [Wu, Zongpeng; Yang, Mingxing] Anhui Univ Technol, Anhui Prov Engn Lab Intelligent Demolit Equipment, Maanshan 243032, Peoples R China; [Wu, Zongpeng] Anhui Univ Technol, Engn Practice &amp; Innovat Educ Ctr, Maanshan 243032, Peoples R China; [Yang, Mingxing; Xia, Yulei; Wang, Liwei] Anhui Univ Technol, Sch Mech Engn, Maanshan 243032, Peoples R China; [Yang, Mingxing] Haisida Robot Co Anhui Prov, Maanshan 243000, Peoples R China</t>
  </si>
  <si>
    <t>Anhui University of Technology; Anhui University of Technology; Anhui University of Technology; Anhui University of Technology</t>
  </si>
  <si>
    <t>Yang, MX (corresponding author), Anhui Univ Technol, Anhui Prov Key Lab Special Heavy Load Robot, Maanshan 243032, Peoples R China.;Yang, MX (corresponding author), Anhui Univ Technol, Anhui Prov Engn Lab Intelligent Demolit Equipment, Maanshan 243032, Peoples R China.;Yang, MX (corresponding author), Anhui Univ Technol, Sch Mech Engn, Maanshan 243032, Peoples R China.;Yang, MX (corresponding author), Haisida Robot Co Anhui Prov, Maanshan 243000, Peoples R China.</t>
  </si>
  <si>
    <t>mingxingyangvip@163.com</t>
  </si>
  <si>
    <t>Xia, Yulei/0000-0002-0535-0435</t>
  </si>
  <si>
    <t>Nation Nature Science Foundation of China [52005006]; Open Project of Anhui Province Engineering Laboratory of Intelligent Demolition Equipment [APELIDE2021B002]; Postdoctoral Research Fund of Anhui Province [2021B504]</t>
  </si>
  <si>
    <t>Nation Nature Science Foundation of China(National Natural Science Foundation of China (NSFC)); Open Project of Anhui Province Engineering Laboratory of Intelligent Demolition Equipment; Postdoctoral Research Fund of Anhui Province</t>
  </si>
  <si>
    <t>This research was funded by the Nation Nature Science Foundation of China (grant number 52005006), the Open Project of Anhui Province Engineering Laboratory of Intelligent Demolition Equipment (grant number APELIDE2021B002), and the Postdoctoral Research Fund of Anhui Province (grant number 2021B504).</t>
  </si>
  <si>
    <t>10.3390/app13021064</t>
  </si>
  <si>
    <t>7X7ER</t>
  </si>
  <si>
    <t>WOS:000914361500001</t>
  </si>
  <si>
    <t>Siviy, C; Baker, LM; Quinlivan, BT; Porciuncula, F; Swaminathan, K; Awad, LN; Walsh, CJ</t>
  </si>
  <si>
    <t>Siviy, Christopher; Baker, Lauren M. M.; Quinlivan, Brendan T. T.; Porciuncula, Franchino; Swaminathan, Krithika; Awad, Louis N. N.; Walsh, Conor J. J.</t>
  </si>
  <si>
    <t>Opportunities and challenges in the development of exoskeletons for locomotor assistance</t>
  </si>
  <si>
    <t>NATURE BIOMEDICAL ENGINEERING</t>
  </si>
  <si>
    <t>ANKLE-FOOT-ORTHOSIS; SPLIT-BELT TREADMILL; PORTABLE SOFT EXOSUIT; OF-THE-ART; STROKE PATIENTS; LEG EXOSKELETON; METABOLIC COST; POWERED EXOSKELETON; AMBULATORY FUNCTION; GAIT-ASSISTANCE</t>
  </si>
  <si>
    <t>Exoskeletons can augment the performance of unimpaired users and restore movement in individuals with gait impairments. Knowledge of how users interact with wearable devices and of the physiology of locomotion have informed the design of rigid and soft exoskeletons that can specifically target a single joint or a single activity. In this Review, we highlight the main advances of the past two decades in exoskeleton technology and in the development of lower-extremity exoskeletons for locomotor assistance, discuss research needs for such wearable robots and the clinical requirements for exoskeleton-assisted gait rehabilitation, and outline the main clinical challenges and opportunities for exoskeleton technology.</t>
  </si>
  <si>
    <t>[Siviy, Christopher; Baker, Lauren M. M.; Quinlivan, Brendan T. T.; Porciuncula, Franchino; Swaminathan, Krithika; Walsh, Conor J. J.] Harvard Univ, John A Paulson Sch Engn &amp; Appl Sci, Cambridge, MA 02138 USA; [Porciuncula, Franchino; Awad, Louis N. N.] Boston Univ, Coll Hlth &amp; Rehabil Sci Sargent, Dept Phys Therapy, Boston, MA USA</t>
  </si>
  <si>
    <t>Harvard University; Boston University</t>
  </si>
  <si>
    <t>Walsh, CJ (corresponding author), Harvard Univ, John A Paulson Sch Engn &amp; Appl Sci, Cambridge, MA 02138 USA.</t>
  </si>
  <si>
    <t>walsh@seas.harvard.edu</t>
  </si>
  <si>
    <t>; Awad, Louis/O-1799-2014</t>
  </si>
  <si>
    <t>Swaminathan, Krithika/0000-0001-7570-1408; Siviy, Christopher/0000-0003-0789-0109; Awad, Louis/0000-0002-0159-8011</t>
  </si>
  <si>
    <t>National Institutes of Health [BRG R01HD088619, R01AG067394]; American Heart Association [AHA 18TPA34170171]; National Science Foundation Graduate Research Fellowship [DGE1144152]; National Science Foundation [CMMI-1925085]</t>
  </si>
  <si>
    <t>National Institutes of Health(United States Department of Health &amp; Human ServicesNational Institutes of Health (NIH) - USA); American Heart Association(American Heart Association); National Science Foundation Graduate Research Fellowship(National Science Foundation (NSF)); National Science Foundation(National Science Foundation (NSF))</t>
  </si>
  <si>
    <t>We thank L. Schumm and D. Orzel for help with the illustrations. This work was supported by the National Institutes of Health under award numbers BRG R01HD088619 and R01AG067394, and by the American Heart Association grant AHA 18TPA34170171. This work is based on studies supported by the National Science Foundation Graduate Research Fellowship under Grant No. DGE1144152, and by the National Science Foundation under Grant No. CMMI-1925085.</t>
  </si>
  <si>
    <t>2157-846X</t>
  </si>
  <si>
    <t>NAT BIOMED ENG</t>
  </si>
  <si>
    <t>Nat. Biomed. Eng</t>
  </si>
  <si>
    <t>10.1038/s41551-022-00984-1</t>
  </si>
  <si>
    <t>AG4R5</t>
  </si>
  <si>
    <t>WOS:000903223500003</t>
  </si>
  <si>
    <t>Yamamoto, R; Sasaki, S; Kuwahara, W; Kawakami, M; Kaneko, F</t>
  </si>
  <si>
    <t>Yamamoto, Rieko; Sasaki, Shun; Kuwahara, Wataru; Kawakami, Michiyuki; Kaneko, Fuminari</t>
  </si>
  <si>
    <t>Effect of exoskeleton-assisted Body Weight-Supported Treadmill Training on gait function for patients with chronic stroke: a scoping review</t>
  </si>
  <si>
    <t>Robot-assisted gait training; Chronic stroke; Gait exercise; Body Weight-Supported Treadmill Training; Exoskeleton; Scoping review</t>
  </si>
  <si>
    <t>AUGMENTED EXERCISE THERAPY; REHABILITATION PROGRAM; RECOVERY; WALKING; STIMULATION; INTENSITY; PATTERNS; IMPACT</t>
  </si>
  <si>
    <t>Background: Therapeutic exercise for gait function using an exoskeleton-assisted Body Weight Supported Treadmill Training (BWSTT) has been identified as a potential intervention that allows for task-based repetitive training with appropriate kinematics while adjusting the amount of body weight support (BWS). Nonetheless, its effect on gait in patients with stroke in the chronic phase are yet to be clarified. The primary aim of this scoping review was to present the status of effectiveness of exoskeleton-assisted BWSTT in patients with chronic stroke. The secondary aims were to summarise intervention protocols, types and functions of BWSTT exoskeletal robotic devices currently used clinically. Method and results: Articles were accessed and collected from PubMed, Ovid MEDLINE, Cochrane Central Register of Controlled Trials, and Web of Science databases, which were completed in October 2020. Articles were included if the subjects were adults with stroke in the chronic phase (onset &gt;= 6 months) and if they utilised a robotic exoskeleton with treadmill and body weight support and investigated the efficacy of gait exercise. A total of 721 studies were identified, of which 11 randomised controlled trials were selected. All included studies were published from 2008 to 2020. Overall, 309 subjects were enrolled; of these, 241 (156 males, 85 females) participated. Walking outcome measures were used more often to evaluate the functional aspects of gait than to evaluate gait independence. In 10 of 11 studies, showed the effectiveness of exoskeleton robot-assisted BWSTT in terms of outcomes contributing to improved gait function. Two studies reported that exoskeleton-assisted BWSTT with combination therapy was sig-nificantly more effective in improving than exoskeleton-assisted BWSTT alone. However, no significant difference was identified between the groups; compared with therapist-assisted BWSTT groups, exoskeleton-assisted BWSTT groups did not exhibit significant change. Conclusion: This review suggests that exoskeleton-assisted BWSTT for patients with chronic stroke may be effective in improving walking function. However, the potential may be to assist and not because of using the robot. Further studies are required to verify its efficacy and strengthen evidence on intervention protocols.</t>
  </si>
  <si>
    <t>[Yamamoto, Rieko; Sasaki, Shun; Kuwahara, Wataru; Kawakami, Michiyuki; Kaneko, Fuminari] Keio Univ, Sch Med, Dept Rehabil Med, 35 Shinanomachi,Shjinjuku Ku, Tokyo, Japan; [Yamamoto, Rieko] Yokohama Natl Univ, Grad Sch Environm &amp; Informat Sci, Dept Artificial Environm Safety Environm &amp; Syst En, 79-7 Tokiwadai,Hodogaya Ku, Yokohama, Japan; [Yamamoto, Rieko] Hokkaido Univ, Ctr Environm &amp; Hlth Sci, Kita 12,Nishi 7,Kita Ku, Sapporo, Japan; [Sasaki, Shun] ARCE Inc, Div Hlth Promot, Sagamihara, Japan; [Kuwahara, Wataru; Kaneko, Fuminari] Tokyo Metropolitan Univ, Grad Sch Hlth Sci, Dept Phys Therapy, 7-2-10 Higashi Oku,Arakawa Ku, Tokyo, Japan</t>
  </si>
  <si>
    <t>Keio University; Yokohama National University; Hokkaido University</t>
  </si>
  <si>
    <t>Kaneko, F (corresponding author), Keio Univ, Sch Med, Dept Rehabil Med, 35 Shinanomachi,Shjinjuku Ku, Tokyo, Japan.;Kaneko, F (corresponding author), Tokyo Metropolitan Univ, Grad Sch Hlth Sci, Dept Phys Therapy, 7-2-10 Higashi Oku,Arakawa Ku, Tokyo, Japan.</t>
  </si>
  <si>
    <t>f-kaneko@tmu.ac.jp</t>
  </si>
  <si>
    <t>Kawakami, Michiyuki/AAY-6325-2020; KANEKO, FUMINARI/AGN-8558-2022</t>
  </si>
  <si>
    <t>Kawakami, Michiyuki/0000-0001-6459-3325; Kaneko, Fuminari/0000-0001-7125-0689; Yamamoto, Rieko/0000-0002-6032-8257</t>
  </si>
  <si>
    <t>AMED; [JP19he2302006]; [JP19he2202005]</t>
  </si>
  <si>
    <t>AMED; ;</t>
  </si>
  <si>
    <t>This work was supported by AMED under Grant Number JP19he2302006 and JP19he2202005</t>
  </si>
  <si>
    <t>DEC 21</t>
  </si>
  <si>
    <t>10.1186/s12984-022-01111-6</t>
  </si>
  <si>
    <t>7F7JB</t>
  </si>
  <si>
    <t>WOS:000902018100001</t>
  </si>
  <si>
    <t>Mathew, M; Thomas, MJ; Navaneeth, MG; Sulaiman, S; Amudhan, AN; Sudheer, AP</t>
  </si>
  <si>
    <t>Mathew, Meby; Thomas, Mervin Joe; Navaneeth, M. G.; Sulaiman, Shifa; Amudhan, A. N.; Sudheer, A. P.</t>
  </si>
  <si>
    <t>A systematic review of technological advancements in signal sensing, actuation, control and training methods in robotic exoskeletons for rehabilitation</t>
  </si>
  <si>
    <t>INDUSTRIAL ROBOT-THE INTERNATIONAL JOURNAL OF ROBOTICS RESEARCH AND APPLICATION</t>
  </si>
  <si>
    <t>Exoskeleton; Robotic rehabilitation; Intention sensing; Actuators; Training methods; Control</t>
  </si>
  <si>
    <t>UPPER-LIMB REHABILITATION; VIRTUAL-REALITY SYSTEM; SLIDING MODE CONTROL; DRIVEN; STROKE; CLASSIFICATION; ASSISTANCE; ADAPTATION; MOVEMENT; WALKING</t>
  </si>
  <si>
    <t>PurposeThe purpose of this review paper is to address the substantial challenges of the outdated exoskeletons used for rehabilitation and further study the current advancements in this field. The shortcomings and technological developments in sensing the input signals to enable the desired motions, actuation, control and training methods are explained for further improvements in exoskeleton research. Design/methodology/approachSearch platforms such as Web of Science, IEEE, Scopus and PubMed were used to collect the literature. The total number of recent articles referred to in this review paper with relevant keywords is filtered to 143. FindingsExoskeletons are getting smarter often with the integration of various modern tools to enhance the effectiveness of rehabilitation. The recent applications of bio signal sensing for rehabilitation to perform user-desired actions promote the development of independent exoskeleton systems. The modern concepts of artificial intelligence and machine learning enable the implementation of brain-computer interfacing (BCI) and hybrid BCIs in exoskeletons. Likewise, novel actuation techniques are necessary to overcome the significant challenges seen in conventional exoskeletons, such as the high-power requirements, poor back drivability, bulkiness and low energy efficiency. Implementation of suitable controller algorithms facilitates the instantaneous correction of actuation signals for all joints to obtain the desired motion. Furthermore, applying the traditional rehabilitation training methods is monotonous and exhausting for the user and the trainer. The incorporation of games, virtual reality (VR) and augmented reality (AR) technologies in exoskeletons has made rehabilitation training far more effective in recent times. The combination of electroencephalogram and electromyography-based hybrid BCI is desirable for signal sensing and controlling the exoskeletons based on user intentions. The challenges faced with actuation can be resolved by developing advanced power sources with minimal size and weight, easy portability, lower cost and good energy storage capacity. Implementation of novel smart materials enables a colossal scope for actuation in future exoskeleton developments. Improved versions of sliding mode control reported in the literature are suitable for robust control of nonlinear exoskeleton models. Optimizing the controller parameters with the help of evolutionary algorithms is also an effective method for exoskeleton control. The experiments using VR/AR and games for rehabilitation training yielded promising results as the performance of patients improved substantially. Research limitations/implicationsRobotic exoskeleton-based rehabilitation will help to reduce the fatigue of physiotherapists. Repeated and intention-based exercise will improve the recovery of the affected part at a faster pace. Improved rehabilitation training methods like VR/AR-based technologies help in motivating the subject. Originality/valueThe paper describes the recent methods for signal sensing, actuation, control and rehabilitation training approaches used in developing exoskeletons. All these areas are key elements in an exoskeleton where the review papers are published very limitedly. Therefore, this paper will stand as a guide for the researchers working in this domain.</t>
  </si>
  <si>
    <t>[Mathew, Meby; Navaneeth, M. G.; Sulaiman, Shifa; Amudhan, A. N.; Sudheer, A. P.] Natl Inst Technol, Dept Mech Engn, Calicut, India; [Mathew, Meby] Amal Jyothi Coll Engn, Dept Mech Engn, Kanjirapally, India; [Thomas, Mervin Joe] Indian Inst Technol, Dept Mech Engn, Palakkad, India; [Sulaiman, Shifa] Kazan Fed Univ, Lab Intelligent Robot Syst, Kazan, Russia; [Amudhan, A. N.] Amrita Vishwa Vidyapeetham, Amrita Sch Engn, Dept Mech Engn, Coimbatore, India</t>
  </si>
  <si>
    <t>National Institute of Technology (NIT System); National Institute of Technology Calicut; Indian Institute of Technology System (IIT System); Indian Institute of Technology (IIT) - Palakkad; Kazan Federal University; Amrita Vishwa Vidyapeetham; Amrita Vishwa Vidyapeetham Coimbatore</t>
  </si>
  <si>
    <t>Sudheer, AP (corresponding author), Natl Inst Technol, Dept Mech Engn, Calicut, India.</t>
  </si>
  <si>
    <t>meby_p190065me@nitc.ac.in; mervinjoe4@gmail.com; navaneeth_p170113me@nitc.ac.in; shifa_p170114me@nitc.ac.in; amudhanan@gmail.com; apsudheer@nitc.ac.in</t>
  </si>
  <si>
    <t>Mathew, Meby/KWU-0009-2024; Thomas, Dr. Mervin/AAW-5453-2021</t>
  </si>
  <si>
    <t>M G, Navaneeth/0000-0001-8327-125X; Joe Thomas, Dr. Mervin/0000-0002-2173-5810; Sudheer, A.P./0000-0003-0644-3702; Mathew, Meby/0000-0001-8406-4893</t>
  </si>
  <si>
    <t>0143-991X</t>
  </si>
  <si>
    <t>1758-5791</t>
  </si>
  <si>
    <t>IND ROBOT</t>
  </si>
  <si>
    <t>Ind. Robot.</t>
  </si>
  <si>
    <t>10.1108/IR-09-2022-0239</t>
  </si>
  <si>
    <t>Engineering, Industrial; Robotics</t>
  </si>
  <si>
    <t>D4LW5</t>
  </si>
  <si>
    <t>WOS:000897216500001</t>
  </si>
  <si>
    <t>Zhou, Y</t>
  </si>
  <si>
    <t>Zhou, Yuan</t>
  </si>
  <si>
    <t>Recent advances in wearable actuated ankle-foot orthoses: Medical effects, design, and control</t>
  </si>
  <si>
    <t>Actuated ankle-foot orthosis; gait rehabilitation; medical effects; design elements; control strategies</t>
  </si>
  <si>
    <t>ADAPTIVE-CONTROL; EXOSKELETON; WALKING; REHABILITATION; ASSISTANCE; STIFFNESS; GAIT; OPTIMIZATION; INDIVIDUALS; PERFORMANCE</t>
  </si>
  <si>
    <t>This paper presents a survey on recent advances of wearable actuated ankle-foot orthoses (AAFOs). First of all, their medical functions are investigated. From the short-term aspect, they lead to rectification of pathological gaits, reduction of metabolic cost, and improvement of gait performance. After AAFO-based walking training with sufficient time, free walking performance can be enhanced. Then, key design factors are studied. First, primary design parameters are investigated. Second, common actuators are analysed. Third, human-robot interaction (HRI), ergonomics, safety, and application places, are considered. In the following section, control technologies are reviewed from the aspects of rehabilitation stages, gait feature quantities, and controller characteristics. Finally, existing problems are discussed; development trends are prospected.</t>
  </si>
  <si>
    <t>[Zhou, Yuan] City Univ Hong Kong, Dept Biomed Engn, Hong Kong, Peoples R China; [Zhou, Yuan] City Univ Hong Kong, Dept Biomed Engn, Kowloon, Tat Chee Ave, Hong Kong, Peoples R China</t>
  </si>
  <si>
    <t>City University of Hong Kong; City University of Hong Kong</t>
  </si>
  <si>
    <t>Zhou, Y (corresponding author), City Univ Hong Kong, Dept Biomed Engn, Kowloon, Tat Chee Ave, Hong Kong, Peoples R China.</t>
  </si>
  <si>
    <t>yuazhou4-c@my.cityu.edu.hk</t>
  </si>
  <si>
    <t>10.1177/09544119221142335</t>
  </si>
  <si>
    <t>8U2YG</t>
  </si>
  <si>
    <t>WOS:000898307500001</t>
  </si>
  <si>
    <t>Guo, XL; Wallace, R; Tan, Y; Oetomo, D; Klaic, M; Crocher, V</t>
  </si>
  <si>
    <t>Guo, Xinliang; Wallace, Rebecca; Tan, Ying; Oetomo, Denny; Klaic, Marlena; Crocher, Vincent</t>
  </si>
  <si>
    <t>Technology-assisted assessment of spasticity: a systematic review</t>
  </si>
  <si>
    <t>Spasticity; Outcome measure; Neuro-rehabilitation; Neurological disorders; Muscle tone</t>
  </si>
  <si>
    <t>STRETCH-REFLEX THRESHOLD; UPPER-LIMB SPASTICITY; TEST-RETEST RELIABILITY; MODIFIED ASHWORTH SCALE; BOTULINUM-TOXIN-A; POSTSTROKE SPASTICITY; STROKE PATIENTS; INTERRATER RELIABILITY; PASSIVE STRETCH; CEREBRAL-PALSY</t>
  </si>
  <si>
    <t>Background: Spasticity is defined asa motor disorder characterised by a velocity dependent increase in tonic stretch reflexes (muscle tone) with exaggerated tendon jerks. It is a highly prevalent condition following stroke and other neurological conditions. Clinical assessment of spasticity relies predominantly on manual, non-instrumented, clinical scales. Technology based solutions have been developed in the last decades to offer more specific, sensitive and accurate alternatives but no consensus exists on these different approaches. Method: A systematic review of literature of technology-based methods aiming at the assessment of spasticity was performed. The approaches taken in the studies were classified based on the method used as well as their outcome measures. The psychometric properties and usability of the methods and outcome measures reported were evaluated. Results: 124 studies were included in the analysis. 78 different outcome measures were identified, among which seven were used in more than 10 different studies each. The different methods rely on a wide range of different equipment (from robotic systems to simple goniometers) affecting their cost and usability. Studies equivalently applied to the lower and upper limbs (48% and 52%, respectively). A majority of studies applied to a stroke population (N = 79). More than half the papers did not report thoroughly the psychometric properties of the measures. Analysis identified that only 54 studies used measures specific to spasticity. Repeatability and discriminant validity were found to be of good quality in respectively 25 and 42 studies but were most often not evaluated (N = 95 and N = 78). Clinical validity was commonly assessed only against clinical scales (N = 33). Sensitivity of the measure was assessed in only three studies. Conclusion: The development of a large diversity of assessment approaches appears to be done at the expense of their careful evaluation. Still, among the well validated approaches, the ones based on manual stretching and measuring a muscle activity reaction and the ones leveraging controlled stretches while isolating the stretch-reflex torque component appear as the two promising practical alternatives to clinical scales. These methods should be further evaluated, including on their sensitivity, to fully inform on their potential.</t>
  </si>
  <si>
    <t>[Guo, Xinliang; Tan, Ying; Oetomo, Denny; Crocher, Vincent] Univ Melbourne, Mech Engn Dept, UoM &amp; Fourier Intelligence Joint Robot Lab, Melbourne, Australia; [Wallace, Rebecca] Royal Melbourne Hosp, Allied Hlth Dept, Melbourne, Australia; [Klaic, Marlena] Univ Melbourne, Sch Hlth Sci, Melbourne, Australia</t>
  </si>
  <si>
    <t>University of Melbourne; Melbourne Health; Royal Melbourne Hospital; University of Melbourne</t>
  </si>
  <si>
    <t>Crocher, V (corresponding author), Univ Melbourne, Mech Engn Dept, UoM &amp; Fourier Intelligence Joint Robot Lab, Melbourne, Australia.</t>
  </si>
  <si>
    <t>vcrocher@unimelb.edu.au</t>
  </si>
  <si>
    <t>Crocher, Vincent/AAQ-2561-2020; TAN, YING/AAT-4671-2020</t>
  </si>
  <si>
    <t>Klaic, Marlena/0000-0003-2328-0503; Guo, Xinliang/0000-0002-1505-4226; Crocher, Vincent/0000-0001-9643-8389</t>
  </si>
  <si>
    <t>DEC 9</t>
  </si>
  <si>
    <t>10.1186/s12984-022-01115-2</t>
  </si>
  <si>
    <t>6X7KM</t>
  </si>
  <si>
    <t>WOS:000896588300001</t>
  </si>
  <si>
    <t>Kohli, M; Kar, AK; Sinha, S</t>
  </si>
  <si>
    <t>Kohli, Manu; Kar, Arpan Kumar; Sinha, Shuchi</t>
  </si>
  <si>
    <t>Robot facilitated rehabilitation of children with autism spectrum disorder: A 10 year scoping review</t>
  </si>
  <si>
    <t>EXPERT SYSTEMS</t>
  </si>
  <si>
    <t>autism; rehabilitation; robot mediated intervention; robots; social emotional skills; therapy</t>
  </si>
  <si>
    <t>YOUNG-CHILDREN; JOINT ATTENTION; BEHAVIORAL INTERVENTION; MULTIROBOT THERAPY; HUMANOID ROBOT; SOCIAL-SKILLS; SYSTEM; IMITATION; ASD; ADOLESCENTS</t>
  </si>
  <si>
    <t>BackgroundA severe shortage of skilled clinicians and infrastructure limits the delivery of early intervention programmes for autism spectrum disorder (ASD) children that are labour and duration intensive and most advantageous in the first 3 years. AimAssess the role of robot mediated intervention (RMI) role in the rehabilitation of ASD individuals by responding to five research questions in the area of (1) Technology maturity; (2) Skill improvement areas; (3) Research design including participant's demographics, datasets, intervention details, and evaluation tools; (4) Data gathering, analysis, and technology contribution, and (5) Role of Robots in intervention and its effectiveness. MethodsScoping review included RMI studies for ASD individuals published in PUBMED, SCOPUS, and IEEE-Xplore databases between January 1, 2011, and December 31, 2020. The publications were evaluated utilizing the PRISMA scoping review criteria (PRISMA-ScR) checklist and the Critical Appraisal Skills Program (CASP). ResultsThe 59 selected publications demonstrated that RMI improved skills for ASD individuals in 12 areas. During RMI, extensive joint attention stimuli were given to ASD individuals, and the therapy promoted ASD children's eye contact, imitation, socio-communication, and academic skills. However, various ethical, privacy, and safety concerns were reported in the review. ConclusionRMI can improve access, quality, and affordability in ASD intervention. The acceptance and use of technology can be fast-tracked by (1) incorporating statistically valid study designs; (2) carrying out field trials including diverse participant groups; (3) standardizing datasets with quality parameters; (4) recruiting statistically appropriate participant groups from ASD, Neuro Typical (NT) and diverse developmental disorder population; and (5) and addressing ethical, privacy, safety, trust, and other stakeholder concerns.</t>
  </si>
  <si>
    <t>[Kohli, Manu; Kar, Arpan Kumar; Sinha, Shuchi] Indian Inst Technol Delhi, Dept Management Studies, New Delhi, India</t>
  </si>
  <si>
    <t>Indian Institute of Technology System (IIT System); Indian Institute of Technology (IIT) - Delhi</t>
  </si>
  <si>
    <t>Kohli, M (corresponding author), Indian Inst Technol Delhi, Dept Management Studies, New Delhi, India.</t>
  </si>
  <si>
    <t>manu.kohli@dms.iitd.ac.in</t>
  </si>
  <si>
    <t>Kar, Arpan Kumar/B-9999-2009</t>
  </si>
  <si>
    <t>Kar, Arpan Kumar/0000-0003-4186-4887</t>
  </si>
  <si>
    <t>0266-4720</t>
  </si>
  <si>
    <t>1468-0394</t>
  </si>
  <si>
    <t>EXPERT SYST</t>
  </si>
  <si>
    <t>Expert Syst.</t>
  </si>
  <si>
    <t>10.1111/exsy.13204</t>
  </si>
  <si>
    <t>G0XE1</t>
  </si>
  <si>
    <t>WOS:000894239600001</t>
  </si>
  <si>
    <t>Ma, BX; Yang, J; Wong, FKY; Wong, AKC; Ma, TT; Meng, JA; Zhao, Y; Wang, YG; Lu, Q</t>
  </si>
  <si>
    <t>Ma, Bingxin; Yang, Jin; Wong, Frances Kam Yuet; Wong, Arkers Kwan Ching; Ma, Tingting; Meng, Jianan; Zhao, Yue; Wang, Yaogang; Lu, Qi</t>
  </si>
  <si>
    <t>Artificial intelligence in elderly healthcare: A scoping review</t>
  </si>
  <si>
    <t>Artificial intelligence; Elderly healthcare; Scoping review</t>
  </si>
  <si>
    <t>QUALITY-OF-LIFE; SOCIAL ROBOT INTERVENTION; OLDER-ADULTS; ASSISTED THERAPY; COMPANION ROBOT; PARKINSONS-DISEASE; MONITORING-SYSTEM; DEMENTIA SYMPTOMS; RANDOMIZED-TRIAL; STROKE PATIENTS</t>
  </si>
  <si>
    <t>The ageing population has led to a surge in the adoption of artificial intelligence (AI) technologies in elderly healthcare worldwide. However, in the advancement of AI technologies, there is currently a lack of clarity about the types and roles of AI technologies in elderly healthcare. This scoping review aimed to provide a comprehensive overview of AI technologies in elderly healthcare by exploring the types of AI technologies employed, and identifying their roles in elderly healthcare based on existing studies. A total of 10 databases were searched for this review, from January 1 2000 to July 31 2022. Based on the inclusion criteria, 105 studies were included. The AI devices utilized in elderly healthcare were summarised as robots, exoskeleton devices, intelligent homes, AI-enabled health smart applications and wearables, voice-activated devices, and virtual reality. Five roles of AI technologies were identified: rehabilitation therapists, emotional supporters, social facilitators, supervisors, and cognitive promoters. Results showed that the impact of AI technologies on elderly healthcare is promising and that AI technologies are capable of satisfying the unmet care needs of older adults and demonstrating great potential in its further development in this area. More well-designed randomised controlled trials are needed in the future to validate the roles of AI technologies in elderly healthcare.</t>
  </si>
  <si>
    <t>[Ma, Bingxin; Yang, Jin; Ma, Tingting; Meng, Jianan; Zhao, Yue; Lu, Qi] Tianjin Med Univ, Sch Nursing, 22 Qixiangtai Rd, Tianjin 300070, Peoples R China; [Wong, Frances Kam Yuet; Wong, Arkers Kwan Ching] Hong Kong Polytech Univ, Sch Nursing, Hong Kong, Peoples R China; [Wang, Yaogang] Tianjin Med Univ, Sch Publ Hlth, 22 Qixiangtai Rd, Tianjin 300070, Peoples R China; [Wang, Yaogang] Tianjin Univ Tradit Chinese Med, Publ Hlth Sci &amp; Engn Coll, Sch Integrat Med, Tianjin, Peoples R China; [Wang, Yaogang] Natl Inst Hlth Data Sci Peking Univ, Beijing, Peoples R China</t>
  </si>
  <si>
    <t>Tianjin Medical University; Hong Kong Polytechnic University; Tianjin Medical University; Tianjin University of Traditional Chinese Medicine</t>
  </si>
  <si>
    <t>Zhao, Y; Lu, Q (corresponding author), Tianjin Med Univ, Sch Nursing, 22 Qixiangtai Rd, Tianjin 300070, Peoples R China.;Wang, YG (corresponding author), Tianjin Med Univ, Sch Publ Hlth, 22 Qixiangtai Rd, Tianjin 300070, Peoples R China.</t>
  </si>
  <si>
    <t>yuezhao35@tmu.edu.cn; YaogangWANG@tmu.edu.cn; luqi@tmu.edu.cn</t>
  </si>
  <si>
    <t>Wong, Frances/E-5787-2014; Wong, Arkers/N-6253-2017</t>
  </si>
  <si>
    <t>Wong, Arkers/0000-0001-6708-3099; Ma, Bingxin/0000-0002-0477-4711</t>
  </si>
  <si>
    <t>National Natural Science Foundation of China; Major Science and Technology Project of Public Health in Tianjin; [71974142]; [71910107004]; [72204186]; [72274134]; [21ZXGWSY00090]</t>
  </si>
  <si>
    <t>National Natural Science Foundation of China(National Natural Science Foundation of China (NSFC)); Major Science and Technology Project of Public Health in Tianjin; ; ; ; ;</t>
  </si>
  <si>
    <t>Funding This work was supported by the National Natural Science Foundation of China (grant number: 71974142; 71910107004; 72204186; 72274134) and the Major Science and Technology Project of Public Health in Tianjin (grant number: 21ZXGWSY00090) .</t>
  </si>
  <si>
    <t>10.1016/j.arr.2022.101808</t>
  </si>
  <si>
    <t>7B6HC</t>
  </si>
  <si>
    <t>WOS:000899231000003</t>
  </si>
  <si>
    <t>Garlet, AB; Righi, NC; Schardong, J; Plentz, RD</t>
  </si>
  <si>
    <t>Garlet, Andrieli Barbieri; Righi, Natiele Camponogara; Schardong, Jociane; Della Mea Plentz, Rodrigo</t>
  </si>
  <si>
    <t>Effects of robotic rehabilitation using the Erigo® device on patients with neurological injury: a systematic review and meta-analysis of randomized clinical trials</t>
  </si>
  <si>
    <t>Neurological rehabilitation; brain diseases; robotics; safety; systematic review</t>
  </si>
  <si>
    <t>GAIT REHABILITATION; STROKE PATIENTS; THERAPY; BALANCE</t>
  </si>
  <si>
    <t>Objective: To systematically review the effects of robotic rehabilitation with the Erigo (R) device on patients with neurological injury on safety, spasticity, muscle strength, functionality, gait/balance, and changes in the level of consciousness. Methods: MEDLINE, SciELO, EMBASE, The Cochrane Library - CENTRAL and PEDro databases were consulted without the restriction of date and language. Randomized controlled trials that evaluated the robotic rehabilitation and compared it to conventional or placebo therapy, isolated or in association with other therapy, were selected. Studies in which the treatment time was less than 10 sessions were excluded. The risk of bias was assessed with the use of the RoB 2.0 tool. Results: Nine studies were included, totaling 347 patients. The robotic rehabilitation performed by the Erigo (R) device proved to be safe for neurological patients. The meta-analysis showed an improvement for spasticity (MD = 0.29; 95% CI= -0.49 to -0.08;I-2 = 0%), but there was no significant increase in muscle strength in patients with stroke (MD = 0.25; CI 95% = -0.22 to -0,71; I-2 = 0%). Erigo (R) showed inconclusive effects on functionality, gait/balance and level of consciousness in patients with severe acquired brain injury and vegetative or minimally conscious state. All studies present some concerns for the risk of bias. Conclusion: Erigo (R) as a robotic rehabilitation strategy is safe for patients with acquired brain injury and appears to reduce spasticity in patients with stroke. The effects on muscle strength, functionality, gait and balance and level of consciousness remain uncertain and the methodological quality of the clinical trials included in this review is limited.</t>
  </si>
  <si>
    <t>[Garlet, Andrieli Barbieri; Righi, Natiele Camponogara; Schardong, Jociane; Della Mea Plentz, Rodrigo] Univ Fed Ciencias Saude Porto Alegre UFCSPA, Porto Alegre, Brazil; [Garlet, Andrieli Barbieri; Righi, Natiele Camponogara; Schardong, Jociane; Della Mea Plentz, Rodrigo] Irmandade Santa Casa Misericordia Porto Alegre ISC, Porto Alegre, Brazil; [Schardong, Jociane] Irmandade Santa Casa Misericordia Porto Alegre Hos, Serv Physiotherapy, Rua Prof Annes Dias,295, Porto Alegre, Brazil</t>
  </si>
  <si>
    <t>Universidade Federal de Ciencias da Saude de Porto Alegre</t>
  </si>
  <si>
    <t>Schardong, J (corresponding author), Irmandade Santa Casa Misericordia Porto Alegre Hos, Serv Physiotherapy, Rua Prof Annes Dias,295, Porto Alegre, Brazil.</t>
  </si>
  <si>
    <t>joci_fisioufsm@yahoo.com.br</t>
  </si>
  <si>
    <t>Plentz, Rodrigo/F-5693-2010</t>
  </si>
  <si>
    <t>Della Mea Plentz, Rodrigo/0000-0002-2662-8192</t>
  </si>
  <si>
    <t>MAY 18</t>
  </si>
  <si>
    <t>10.1080/17483107.2022.2151656</t>
  </si>
  <si>
    <t>TG4J5</t>
  </si>
  <si>
    <t>WOS:000893441300001</t>
  </si>
  <si>
    <t>Bonanno, M; De Luca, R; De Nunzio, AM; Quartarone, A; Calabro, RS</t>
  </si>
  <si>
    <t>Bonanno, Mirjam; De Luca, Rosaria; De Nunzio, Alessandro Marco; Quartarone, Angelo; Calabro, Rocco Salvatore</t>
  </si>
  <si>
    <t>Innovative Technologies in the Neurorehabilitation of Traumatic Brain Injury: A Systematic Review</t>
  </si>
  <si>
    <t>robotic device; virtual reality; innovations in neurorehabilitation; traumatic brain injury</t>
  </si>
  <si>
    <t>DIRECT-CURRENT STIMULATION; VIRTUAL-REALITY; COGNITIVE REHABILITATION; SUPPORTED TREADMILL; BODY-WEIGHT; THERAPY; ATTENTION; GAIT; TELEREHABILITATION; INTERVENTIONS</t>
  </si>
  <si>
    <t>Motor and cognitive rehabilitation in individuals with traumatic brain injury (TBI) is a growing field of clinical and research interest. In fact, novel rehabilitative approaches allow a very early verticalization and gait training through robotic devices and other innovative tools boosting neuroplasticity, thanks to the high-intensity, repetitive and task-oriented training. In the same way, cognitive rehabilitation is also evolving towards advanced interventions using virtual reality (VR), computer-based approaches, telerehabilitation and neuromodulation devices. This review aimed to systematically investigate the existing evidence concerning the role of innovative technologies in the motor and cognitive neurorehabilitation of TBI patients. We searched and reviewed the studies published in the Cochrane Library, PEDro, PubMed and Scopus between January 2012 and September 2022. After an accurate screening, only 29 papers were included in this review. This systematic review has demonstrated the beneficial role of innovative technologies when applied to cognitive rehabilitation in patients with TBI, while evidence of their effect on motor rehabilitation in this patient population is poor and still controversial.</t>
  </si>
  <si>
    <t>[Bonanno, Mirjam; De Luca, Rosaria; Quartarone, Angelo; Calabro, Rocco Salvatore] IRCCS, Ctr Neurolesi Bonino Pulejo, Via Palermo,SS 113,C Casazza, I-98124 Messina, Italy; [De Nunzio, Alessandro Marco; Calabro, Rocco Salvatore] LUNEX Int Univ Hlth Exercise &amp; Sports, Dept Res &amp; Dev, Ave Parc Sports 50, L-4671 Differdange, Luxembourg</t>
  </si>
  <si>
    <t>De Luca, R (corresponding author), IRCCS, Ctr Neurolesi Bonino Pulejo, Via Palermo,SS 113,C Casazza, I-98124 Messina, Italy.</t>
  </si>
  <si>
    <t>rosaria.deluca@irccsme.it</t>
  </si>
  <si>
    <t>Bonanno, Mirjam/IUP-3451-2023; Calabrò, Rocco/K-7520-2016</t>
  </si>
  <si>
    <t>De Nunzio, Alessandro Marco/0000-0003-4862-6742; calabro, rocco salvatore/0000-0002-8566-3166; Bonanno, Mirjam/0000-0002-3284-9741</t>
  </si>
  <si>
    <t>Italian Ministry of Health-Current Research; [2022]</t>
  </si>
  <si>
    <t>Italian Ministry of Health-Current Research;</t>
  </si>
  <si>
    <t>The funding was supported by the Italian Ministry of Health-Current Research 2022. This funding does not have an alphanumeric identification code.</t>
  </si>
  <si>
    <t>10.3390/brainsci12121678</t>
  </si>
  <si>
    <t>7D6PF</t>
  </si>
  <si>
    <t>WOS:000900609100001</t>
  </si>
  <si>
    <t>Cortés-Pérez, I; González-González, N; Peinado-Rubia, AB; Nieto-Escamez, FA; Obrero-Gaitán, E; García-López, H</t>
  </si>
  <si>
    <t>Cortes-Perez, Irene; Gonzalez-Gonzalez, Noelia; Peinado-Rubia, Ana Belen; Nieto-Escamez, Francisco Antonio; Obrero-Gaitan, Esteban; Garcia-Lopez, Hector</t>
  </si>
  <si>
    <t>Efficacy of Robot-Assisted Gait Therapy Compared to Conventional Therapy or Treadmill Training in Children with Cerebral Palsy: A Systematic Review with Meta-Analysis</t>
  </si>
  <si>
    <t>cerebral palsy; robot-assisted gait training; conventional therapy; treadmill training; gait; standing; movement abilities; functional independence; meta-analysis</t>
  </si>
  <si>
    <t>WALKING FUNCTION; MOTOR FUNCTION; REHABILITATION; DIAGNOSIS; WEIGHT; STROKE; BIAS; RECOMMENDATIONS; CLASSIFICATION; IMPLEMENTATION</t>
  </si>
  <si>
    <t>Background: Motor, gait and balance disorders reduce functional capabilities for activities of daily living in children with cerebral palsy (CP). Robot-assisted gait therapy (RAGT) is being used to complement conventional therapy (CT) or treadmill therapy (TT) in CP rehabilitation. The aim of this systematic review is to assess the effect of RAGT on gait, balance and functional independence in CP children, in comparison to CT or TT. Methods: We have conducted a systematic review with meta-analysis. A search in PubMed Medline, Web of Science, Scopus, CINAHL, PEDro and SciELO has been conducted for articles published until October 2022. Controlled clinical trials (CCT), in which RAGT was compared to TT or CT and assessed gait speed, step and stride length, width step, walking distance, cadence, standing ability, walking, running and jumping ability, gross motor function and functional independence in children with CP, have been included. Methodological quality was assessed with the PEDro scale and the pooled effect was calculated with Cohen's Standardized Mean Difference (SMD) and its 95% Confidence Interval (95% CI). Results: A total of 15 CCTs have been included, providing data from 413 participants, with an averaged methodological quality of 5.73 +/- 1.1 points in PEDro. The main findings of this review are that RAGT shows better results than CT in the post-intervention assessment for gait speed (SMD 0.56; 95% CI 0.03 to 1.1), walking distance (SMD 2; 95% CI 0.36 to 3.65) and walking, running and jumping ability (SMD 0.63; 95% CI 0.12 to 1.14). Conclusions: This study shows that the effect of RAGT is superior to CT on gait speed, walking distance and walking, running and jumping ability in post-intervention, although no differences were found between RAGT and TT or CT for the remaining variables.</t>
  </si>
  <si>
    <t>[Cortes-Perez, Irene; Garcia-Lopez, Hector] Univ Almeria, Dept Nursing Physiotherapy &amp; Med, Rd Sacramento S-N, Almeria 04120, Spain; [Cortes-Perez, Irene; Obrero-Gaitan, Esteban] Univ Jaen, Dept Hlth Sci, Campus Las Lagunillas, Jaen 23071, Spain; [Gonzalez-Gonzalez, Noelia] Torremar Physiotherapy Ctr, St Dr Fleming 39, Torre Del Mar 29740, Spain; [Peinado-Rubia, Ana Belen] AFIXA Fibromyalgia Assoc, Jaen 23008, Spain; [Nieto-Escamez, Francisco Antonio] Univ Almeria, Dept Psychol, Rd Sacramento S-N, Almeria 04120, Spain; [Nieto-Escamez, Francisco Antonio] Univ Almeria, Ctr Neuropsychol Assessment &amp; Neurorehabil CERNEP, Rd Sacramento S-N, Almeria 04120, Spain</t>
  </si>
  <si>
    <t>Universidad de Almeria; Universidad de Jaen; Universidad de Almeria; Universidad de Almeria</t>
  </si>
  <si>
    <t>Obrero-Gaitán, E (corresponding author), Univ Jaen, Dept Hlth Sci, Campus Las Lagunillas, Jaen 23071, Spain.</t>
  </si>
  <si>
    <t>López, Héctor/AAM-8839-2021; Peinado Rubia, Ana/KLZ-1969-2024; Obrero-Gaitán, Esteban/HPF-9474-2023; Nieto-Escamez, Francisco Antonio/L-4460-2014</t>
  </si>
  <si>
    <t>Garcia Lopez, Hector/0000-0003-3160-7692; Obrero-Gaitan, Esteban/0000-0002-8430-5500; Nieto-Escamez, Francisco Antonio/0000-0001-5301-9475; Cortes Perez, Irene/0000-0002-1876-1399; Peinado Rubia, Ana/0000-0003-4822-5260</t>
  </si>
  <si>
    <t>10.3390/s22249910</t>
  </si>
  <si>
    <t>7H9ZJ</t>
  </si>
  <si>
    <t>WOS:000903555100001</t>
  </si>
  <si>
    <t>de Oliveira, J; de Souza, MA; Assef, AA; Maia, JM</t>
  </si>
  <si>
    <t>de Oliveira, Jonathan; de Souza, Mauren Abreu; Assef, Amauri Amorin; Maia, Joaquim Miguel</t>
  </si>
  <si>
    <t>Multi-Sensing Techniques with Ultrasound for Musculoskeletal Assessment: A Review</t>
  </si>
  <si>
    <t>biosensing; ultrasound (US); electromyography (EMG); muscle-tendon unit (MTU); motor unit (MU); monitoring techniques; biomedical engineering</t>
  </si>
  <si>
    <t>SHEAR-WAVE ELASTOGRAPHY; HUMAN SKELETAL-MUSCLE; M-MODE ULTRASOUND; DIAGNOSTIC PERFORMANCE; GESTURE RECOGNITION; FASCICLE LENGTH; TIME; ELECTROMYOGRAPHY; CONTRACTION; ULTRASONOGRAPHY</t>
  </si>
  <si>
    <t>The study of muscle contractions generated by the muscle-tendon unit (MTU) plays a critical role in medical diagnoses, monitoring, rehabilitation, and functional assessments, including the potential for movement prediction modeling used for prosthetic control. Over the last decade, the use of combined traditional techniques to quantify information about the muscle condition that is correlated to neuromuscular electrical activation and the generation of muscle force and vibration has grown. The purpose of this review is to guide the reader to relevant works in different applications of ultrasound imaging in combination with other techniques for the characterization of biological signals. Several research groups have been using multi-sensing systems to carry out specific studies in the health area. We can divide these studies into two categories: human-machine interface (HMI), in which sensors are used to capture critical information to control computerized prostheses and/or robotic actuators, and physiological study, where sensors are used to investigate a hypothesis and/or a clinical diagnosis. In addition, the relevance, challenges, and expectations for future work are discussed.</t>
  </si>
  <si>
    <t>[de Oliveira, Jonathan; de Souza, Mauren Abreu] Pontif Catholic Univ Parana, Grad Program Hlth Technol PPGTS, BR-80215901 Curitiba, Brazil; [Assef, Amauri Amorin; Maia, Joaquim Miguel] Fed Univ Technol Parana UTFPR, Grad Program Elect &amp; Comp Engn CPGEI, BR-80230901 Curitiba, Brazil; [Maia, Joaquim Miguel] Fed Univ Technol Parana UTFPR, Elect Engn Dept DAELN, BR-80230901 Curitiba, Brazil</t>
  </si>
  <si>
    <t>Pontificia Universidade Catolica do Parana; Universidade Tecnologica Federal do Parana; Universidade Tecnologica Federal do Parana</t>
  </si>
  <si>
    <t>de Oliveira, J (corresponding author), Pontif Catholic Univ Parana, Grad Program Hlth Technol PPGTS, BR-80215901 Curitiba, Brazil.</t>
  </si>
  <si>
    <t>gmjo92@gmail.com</t>
  </si>
  <si>
    <t>de Oliveira, Jonathan/GLV-4687-2022; Maia, Joaquim/AAP-4574-2020; Assef, Amauri/AAE-8240-2022; Abreu de Souza, Mauren/ISU-7999-2023</t>
  </si>
  <si>
    <t>de Oliveira, Jonathan/0000-0002-7216-0666; Assef, Amauri Amorin/0000-0002-2001-5387; Abreu de Souza, Mauren/0000-0001-6137-918X; Maia, Joaquim Miguel/0000-0001-6309-8664</t>
  </si>
  <si>
    <t>National Council for Scientific and Technological Development-CNPq [146388/2020-8]; Araucaria Foundation-Parana, Coordination of Superior Level Staff Improvement-CAPES [001]; Federal Technological University of Parana (UTFPR); Pontifical Catholic University of Parana (PUCPR)</t>
  </si>
  <si>
    <t>National Council for Scientific and Technological Development-CNPq(Conselho Nacional de Desenvolvimento Cientifico e Tecnologico (CNPQ)); Araucaria Foundation-Parana, Coordination of Superior Level Staff Improvement-CAPES; Federal Technological University of Parana (UTFPR); Pontifical Catholic University of Parana (PUCPR)</t>
  </si>
  <si>
    <t>The authors thank the following Brazilian organizations: National Council for Scientific and Technological Development-CNPq (Grant 146388/2020-8), Araucaria Foundation-Parana, Coordination of Superior Level Staff Improvement-CAPES (Grant 001), Federal Technological University of Parana (UTFPR), and Pontifical Catholic University of Parana (PUCPR) for their financial support that made our research possible.</t>
  </si>
  <si>
    <t>10.3390/s22239232</t>
  </si>
  <si>
    <t>6Z0EC</t>
  </si>
  <si>
    <t>WOS:000897456000001</t>
  </si>
  <si>
    <t>Dino, MJS; Davidson, PM; Dion, KW; Szanton, SL; Ong, IL</t>
  </si>
  <si>
    <t>Dino, Michael Joseph S.; Davidson, Patricia M.; Dion, Kenneth W.; Szanton, Sarah L.; Ong, Irvin L.</t>
  </si>
  <si>
    <t>Nursing and human-computer interaction in healthcare robots for older people: An integrative review</t>
  </si>
  <si>
    <t>INTERNATIONAL JOURNAL OF NURSING STUDIES ADVANCES</t>
  </si>
  <si>
    <t>Technology; Robotics; Health; Human-computer interaction; Older person</t>
  </si>
  <si>
    <t>HUMAN-CENTERED DESIGN; VIRTUAL-REALITY; TELEREHABILITATION SYSTEM; TELEPRESENCE ROBOT; TECHNOLOGY; REHABILITATION; PATIENT; COMMUNICATION; SUPPORT; FUTURE</t>
  </si>
  <si>
    <t>Objectives: This study examined the published works related to healthcare robotics for older people using the attributes of health, nursing, and the human-computer interaction framework.Design: An integrative literature review.Methods: A search strategy captured 55 eligible articles from databases (CINAHL, Embase, IEEE Xplore, and PubMed) and hand-searching approaches. Bibliometric and content analyses groun-ded on the health and nursing attributes and human-computer interaction framework were performed using MAXQDA. Finally, results were verified using critical friend feedback by a second reviewer.Results: Most articles were from multiple authorship, published in non-nursing journals, and originating from developed economies. They primarily focused on applying healthcare robots in practice settings, physical health, and communication tasks. Using the human-computer inter-action framework, it was found that older adults frequently served as the primary users while nurses, healthcare providers, and researchers functioned as secondary users and operators. Research articles focused on the usability, functionality, and acceptability of robotic systems. At the same time, theoretical papers explored the frameworks and the value of empathy and emotion in robots, human-computer interaction and nursing models and theories supporting healthcare practice, and gerontechnology. Current robotic systems are less anthropomorphic, operated through real-time direct and supervisory inputs, and mainly equipped with visual and auditory sensors and actuators with limited capability in performing health assessments.Conclusion: Results communicate the need for technological competency among nurses, ad-vancements in increasing healthcare robot humanness, and the importance of conscientious ef-forts from an interdisciplinary research team in improving robotic system usability and utility for the care of older adults.</t>
  </si>
  <si>
    <t>[Dino, Michael Joseph S.; Davidson, Patricia M.; Dion, Kenneth W.; Szanton, Sarah L.; Ong, Irvin L.] Johns Hopkins Univ, Sch Nursing, 525 N Wolfe St, Baltimore, MD 21205 USA; [Dino, Michael Joseph S.; Ong, Irvin L.] Our Lady Fatima Univ, 120 McArthur Highway, Valenzuela City 1440, Philippines; [Davidson, Patricia M.] Univ Wollongong, Vice Chancellors Unit Bldg 36, Wollongong, NSW 2522, Australia</t>
  </si>
  <si>
    <t>Johns Hopkins University; Our Lady of Fatima University; University of Wollongong</t>
  </si>
  <si>
    <t>Dino, MJS (corresponding author), Johns Hopkins Univ, Sch Nursing, 525 N Wolfe St, Baltimore, MD 21205 USA.</t>
  </si>
  <si>
    <t>mdino1@jhu.edu; pdavidson@uow.edu.au; kdion1@jhu.edu; sarah.szanton@jhu.edu; irvinong@jhu.edu</t>
  </si>
  <si>
    <t>DIÑO, MICHAEL/ABE-8983-2020; DINO, MICHAEL JOSEPH/G-3947-2018; ONG, IRVIN/V-3629-2019</t>
  </si>
  <si>
    <t>DINO, MICHAEL JOSEPH/0000-0003-1493-2549; Davidson, Patricia M./0000-0003-2050-1534; ONG, IRVIN/0000-0001-7417-700X</t>
  </si>
  <si>
    <t>2666-142X</t>
  </si>
  <si>
    <t>INT J NURS STUD ADV</t>
  </si>
  <si>
    <t>Int. J. Nurs. Stud. Adv.</t>
  </si>
  <si>
    <t>10.1016/j.ijnsa.2022.100072</t>
  </si>
  <si>
    <t>L9QD2</t>
  </si>
  <si>
    <t>WOS:001026532200040</t>
  </si>
  <si>
    <t>Net'uková, S; Bejtic, M; Malá, C; Horáková, L; Kutílek, P; Kauler, J; Krupicka, R</t>
  </si>
  <si>
    <t>Net'ukova, Slavka; Bejtic, Martin; Mala, Christiane; Horakova, Lucie; Kutilek, Patrik; Kauler, Jan; Krupicka, Radim</t>
  </si>
  <si>
    <t>Lower Limb Exoskeleton Sensors: State-of-the-Art</t>
  </si>
  <si>
    <t>exoskeletons; sensors; lower limbs; wearable robots; powered orthosis</t>
  </si>
  <si>
    <t>BRAIN-COMPUTER INTERFACE; SURFACE ELECTROMYOGRAPHY; MUSCLE-CONTRACTION; POWERED EXOSKELETON; MACHINE INTERFACE; FOREARM MUSCLES; SYSTEM; REHABILITATION; SONOMYOGRAPHY; CHALLENGES</t>
  </si>
  <si>
    <t>Due to the ever-increasing proportion of older people in the total population and the growing awareness of the importance of protecting workers against physical overload during long-time hard work, the idea of supporting exoskeletons progressed from high-tech fiction to almost commercialized products within the last six decades. Sensors, as part of the perception layer, play a crucial role in enhancing the functionality of exoskeletons by providing as accurate real-time data as possible to generate reliable input data for the control layer. The result of the processed sensor data is the information about current limb position, movement intension, and needed support. With the help of this review article, we want to clarify which criteria for sensors used in exoskeletons are important and how standard sensor types, such as kinematic and kinetic sensors, are used in lower limb exoskeletons. We also want to outline the possibilities and limitations of special medical signal sensors detecting, e.g., brain or muscle signals to improve data perception at the human-machine interface. A topic-based literature and product research was done to gain the best possible overview of the newest developments, research results, and products in the field. The paper provides an extensive overview of sensor criteria that need to be considered for the use of sensors in exoskeletons, as well as a collection of sensors and their placement used in current exoskeleton products. Additionally, the article points out several types of sensors detecting physiological or environmental signals that might be beneficial for future exoskeleton developments.</t>
  </si>
  <si>
    <t>[Net'ukova, Slavka; Bejtic, Martin; Mala, Christiane; Horakova, Lucie; Kutilek, Patrik; Kauler, Jan; Krupicka, Radim] Czech Tech Univ, Fac Biomed Engn, Kladno 27201, Czech Republic</t>
  </si>
  <si>
    <t>Czech Technical University Prague</t>
  </si>
  <si>
    <t>Krupicka, R (corresponding author), Czech Tech Univ, Fac Biomed Engn, Kladno 27201, Czech Republic.</t>
  </si>
  <si>
    <t>krupicka@fbmi.cvut.cz</t>
  </si>
  <si>
    <t>Netukova, Slavka/AAP-5058-2021; Kutílek, Patrik/AAM-1123-2020; Krupicka, Radim/Q-1551-2019</t>
  </si>
  <si>
    <t>Bejtic, Martin/0000-0002-9997-5443; Krupicka, Radim/0000-0002-0280-215X; Mala, Christiane/0000-0001-5440-8712</t>
  </si>
  <si>
    <t>Ministry of Health of the Czech Republic [NU20-04-00327]; project National Institute for Neurological Research (Program EXCELES) [LX22NPO5107]; European Union-Next Generation EU</t>
  </si>
  <si>
    <t>Ministry of Health of the Czech Republic(Ministry of Health, Czech Republic); project National Institute for Neurological Research (Program EXCELES); European Union-Next Generation EU</t>
  </si>
  <si>
    <t>This research was funded by the Ministry of Health of the Czech Republic, grant no. NU20-04-00327 and by the project National Institute for Neurological Research (Program EXCELES, ID Project No. LX22NPO5107)-Funded by the European Union-Next Generation EU.</t>
  </si>
  <si>
    <t>10.3390/s22239091</t>
  </si>
  <si>
    <t>6Y8MC</t>
  </si>
  <si>
    <t>WOS:000897341500001</t>
  </si>
  <si>
    <t>Said, RR; Heyat, MBB; Song, KR; Tian, C; Wu, Z</t>
  </si>
  <si>
    <t>Said, Ramadhan Rashid; Heyat, Md Belal Bin; Song, Keer; Tian, Chao; Wu, Zhe</t>
  </si>
  <si>
    <t>A Systematic Review of Virtual Reality and Robot Therapy as Recent Rehabilitation Technologies Using EEG-Brain-Computer Interface Based on Movement-Related Cortical Potentials</t>
  </si>
  <si>
    <t>BIOSENSORS-BASEL</t>
  </si>
  <si>
    <t>neurological diseases; electroencephalography; biomedical signal; brain-computer interface; human healthcare; virtual reality; robot therapy; machine learning</t>
  </si>
  <si>
    <t>MOTOR RECOVERY; STROKE; PLASTICITY; INDUCTION; IMAGERY</t>
  </si>
  <si>
    <t>To enhance the treatment of motor function impairment, patients' brain signals for self-control as an external tool may be an extraordinarily hopeful option. For the past 10 years, researchers and clinicians in the brain-computer interface (BCI) field have been using movement-related cortical potential (MRCP) as a control signal in neurorehabilitation applications to induce plasticity by monitoring the intention of action and feedback. Here, we reviewed the research on robot therapy (RT) and virtual reality (VR)-MRCP-based BCI rehabilitation technologies as recent advancements in human healthcare. A list of 18 full-text studies suitable for qualitative review out of 322 articles published between 2000 and 2022 was identified based on inclusion and exclusion criteria. We used PRISMA guidelines for the systematic review, while the PEDro scale was used for quality evaluation. Bibliometric analysis was conducted using the VOSviewer software to identify the relationship and trends of key items. In this review, 4 studies used VR-MRCP, while 14 used RT-MRCP-based BCI neurorehabilitation approaches. The total number of subjects in all identified studies was 107, whereby 4.375 +/- 6.3627 were patient subjects and 6.5455 +/- 3.0855 were healthy subjects. The type of electrodes, the epoch, classifiers, and the performance information that are being used in the RT- and VR-MRCP-based BCI rehabilitation application are provided in this review. Furthermore, this review also describes the challenges facing this field, solutions, and future directions of these smart human health rehabilitation technologies. By key items relationship and trends analysis, we found that motor control, rehabilitation, and upper limb are important key items in the MRCP-based BCI field. Despite the potential of these rehabilitation technologies, there is a great scarcity of literature related to RT and VR-MRCP-based BCI. However, the information on these rehabilitation methods can be beneficial in developing RT and VR-MRCP-based BCI rehabilitation devices to induce brain plasticity and restore motor impairment. Therefore, this review will provide the basis and references of the MRCP-based BCI used in rehabilitation applications for further clinical and research development.</t>
  </si>
  <si>
    <t>[Said, Ramadhan Rashid; Wu, Zhe] Univ Elect Sci &amp; Technol China, Sch Life Sci &amp; Technol, Chengdu 611731, Peoples R China; [Heyat, Md Belal Bin] Shenzhen Univ, Coll Comp Sci &amp; Software Engn, IoT Res Ctr, Shenzhen 518060, Peoples R China; [Song, Keer] Univ Georgia, Franklin Coll Arts &amp; Sci, Athens, GA 30602 USA; [Tian, Chao] Sichuan Canc Hosp, Dept Womens Hlth, Chengdu 610044, Peoples R China</t>
  </si>
  <si>
    <t>University of Electronic Science &amp; Technology of China; Shenzhen University; University System of Georgia; University of Georgia</t>
  </si>
  <si>
    <t>Wu, Z (corresponding author), Univ Elect Sci &amp; Technol China, Sch Life Sci &amp; Technol, Chengdu 611731, Peoples R China.</t>
  </si>
  <si>
    <t>wuzhe@uestc.edu.cn</t>
  </si>
  <si>
    <t>Heyat, Md/J-1999-2016; Heyat, Md Belal Bin/AAT-8607-2021</t>
  </si>
  <si>
    <t>Heyat, Md Belal Bin/0000-0001-5307-9582; Said, Ramadhan/0000-0002-6211-2740</t>
  </si>
  <si>
    <t>2079-6374</t>
  </si>
  <si>
    <t>Biosensors-Basel</t>
  </si>
  <si>
    <t>10.3390/bios12121134</t>
  </si>
  <si>
    <t>Chemistry, Analytical; Nanoscience &amp; Nanotechnology; Instruments &amp; Instrumentation</t>
  </si>
  <si>
    <t>Chemistry; Science &amp; Technology - Other Topics; Instruments &amp; Instrumentation</t>
  </si>
  <si>
    <t>7D5FK</t>
  </si>
  <si>
    <t>WOS:000900516000001</t>
  </si>
  <si>
    <t>Hsu, TH; Tsai, CL; Chi, JY; Hsu, CY; Lin, YN</t>
  </si>
  <si>
    <t>Hsu, Ting-Hsuan; Tsai, Chi -Lin; Chi, Ju-Yang; Hsu, Chih-Yang; Lin, Yen-Nung</t>
  </si>
  <si>
    <t>Effect of wearable exoskeleton on post-stroke gait: A systematic review and meta-analysis</t>
  </si>
  <si>
    <t>ANNALS OF PHYSICAL AND REHABILITATION MEDICINE</t>
  </si>
  <si>
    <t>Stroke rehabilitation; Mobility limitation; Exoskeleton device; Robotics; Wearable device</t>
  </si>
  <si>
    <t>STROKE REHABILITATION; MOTOR RECOVERY; ASSISTED GAIT; BALANCE; SUPERIORITY; SCALE</t>
  </si>
  <si>
    <t>Background: Wearable exoskeletons are a recently developed technology.Objectives: The present systematic review aimed to investigate the effect of a wearable exoskeleton on post -stroke walking by considering its use in a gait training system and simply as an orthosis assisting walking.Methods: We systematically searched for randomised and quasi-randomised controlled trials in PubMed, Scopus, CINAHL and Embase databases from their earliest publication record to July 2021. We chose reports of trials investigating the effects of exoskeleton-assisted training or the effects of wearing an exoskeleton to assist walking. A meta-analysis was conducted to explore the benefits of the wearable exoskeleton on mobil-ity capacity, walking speed, motor function, balance, endurance and activities of daily living. Results: We included 13 studies (492 participants) comparing exoskeleton-assisted training with dose -matched conventional gait training. Studies addressing the effect of wearing a wearable exoskeleton were unavailable. As compared with conventional gait training at the end of the intervention, exoskeleton-assisted training was superior for walking speed (mean difference [MD] 0.13 m/s, 95% CI 0.05; 0.21) and balance (standardized MD [SMD] 0.3, 95% CI 0.07; 0.54). The subgroup with chronic stroke (i.e., &gt; 6 months) pre-sented the outcome favouring exoskeleton-assisted training regarding overall mobility capacity (SMD 0.37, 95% CI 0.04; 0.69). At the end of follow-up, exoskeleton-assisted training was superior to conventional gait training in overall mobility (SMD 0.45, 95% CI 0.07; 0.84) and endurance (MD 46.23 m, 95% CI 9.90; 82.56).Conclusions: Exoskeleton-assisted training was superior to dose-matched conventional gait training in sev-eral gait-related outcomes at the end of the intervention and follow-up in this systematic review and meta -analysis, which may support the use of exoskeleton-assisted training in the rehabilitation setting. Whether wearing versus not wearing a wearable exoskeleton is beneficial during walking remains unknown.(c) 2022 Elsevier Masson SAS. All rights reserved.</t>
  </si>
  <si>
    <t>[Hsu, Ting-Hsuan; Tsai, Chi -Lin; Chi, Ju-Yang; Hsu, Chih-Yang; Lin, Yen-Nung] Taipei Med Univ, Wan Fang Hosp, Dept Phys Med &amp; Rehabil, 111 Hsing Long Rd,Sect 3, Taipei 11696, Taiwan; [Chi, Ju-Yang] Univ Sydney, Fac Med &amp; Hlth, Sch Med Sci, Sydney, Australia; [Lin, Yen-Nung] Taipei Med Univ, Grad Inst Injury Prevent &amp; Control, Taipei, Taiwan</t>
  </si>
  <si>
    <t>Taipei Municipal WanFang Hospital; Taipei Medical University; University of Sydney; Taipei Medical University</t>
  </si>
  <si>
    <t>Lin, YN (corresponding author), Taipei Med Univ, Wan Fang Hosp, Dept Phys Med &amp; Rehabil, 111 Hsing Long Rd,Sect 3, Taipei 11696, Taiwan.</t>
  </si>
  <si>
    <t>solin@w.tmu.edu.tw</t>
  </si>
  <si>
    <t>Lin, Yen-Nung/J-5278-2019</t>
  </si>
  <si>
    <t>Lin, Yen-Nung/0000-0002-7350-503X; Hsu, Ting-Hsuan/0009-0008-2815-6265; Tsai, Chi-Lin/0000-0003-0484-9629</t>
  </si>
  <si>
    <t>Wan Fang Hospital [111-wf-eva-05]</t>
  </si>
  <si>
    <t>Wan Fang Hospital</t>
  </si>
  <si>
    <t>Wan Fang Hospital (111-wf-eva-05).</t>
  </si>
  <si>
    <t>ELSEVIER FRANCE-EDITIONS SCIENTIFIQUES MEDICALES ELSEVIER</t>
  </si>
  <si>
    <t>ISSY-LES-MOULINEAUX</t>
  </si>
  <si>
    <t>65 RUE CAMILLE DESMOULINS, CS50083, 92442 ISSY-LES-MOULINEAUX, FRANCE</t>
  </si>
  <si>
    <t>1877-0657</t>
  </si>
  <si>
    <t>1877-0665</t>
  </si>
  <si>
    <t>ANN PHYS REHABIL MED</t>
  </si>
  <si>
    <t>Ann. Phys. Rehabil. Med.</t>
  </si>
  <si>
    <t>10.1016/j.rehab.2022.101674</t>
  </si>
  <si>
    <t>6R3UQ</t>
  </si>
  <si>
    <t>WOS:000892232800006</t>
  </si>
  <si>
    <t>Wang, DJ; Gu, XP; Li, WZ; Jin, YX; Yang, MS; Yu, HL</t>
  </si>
  <si>
    <t>Wang, Duojin; Gu, Xiaoping; Li, Wenzhuo; Jin, Yaoxiang; Yang, Maisi; Yu, Hongliu</t>
  </si>
  <si>
    <t>Evaluation of safety-related performance of wearable lower limb exoskeleton robot (WLLER): A systematic review</t>
  </si>
  <si>
    <t>Wearable lower limb exoskeleton robot; Test; Safety; Performance indicator</t>
  </si>
  <si>
    <t>HYBRID ASSISTIVE LIMB; SPINAL-CORD-INJURY; POWERED EXOSKELETON; MECHANICAL DESIGN; KNEE EXOSKELETON; CONTROL STRATEGY; CEREBRAL-PALSY; GAIT; WALKING; REHABILITATION</t>
  </si>
  <si>
    <t>Wearable lower limb exoskeleton robots (WLLER) have broad development prospects in the military, industrial and medical fields. The intelligent device comes into intimate contact with the human body, and its safety is an essential factor that developers must consider. With the increasing research on the safety of WLLER, its safety test methods and indicators should gradually improve. By examining current test methods and indicators, this study aims to mobilize this information and summarize the most recent safety research. The safety-related studies reviewed in this paper are not limited to evaluating subjects in clinical trials but are concerned with extensive safety research. The focus of our analysis is the test performance indicators. Some functional evaluation indicators are also summarized to explore a broader and more applicable approach on the safety metrics. We found that, in general, most researchers pay attention to the power-assisting performance of WLLER, but the stability and comfort have been largely ignored. At the same time, our analysis also reveals that although there are a wide variety of existing evaluation indicators, uniform and standard test methods and indicators for safety testing of WLLER are still deficient. Based on these results, we identified and discussed several promising research directions that may help the community to attain a widely accepted test method that can objectively evaluate the safety of WLLER.(c) 2022 Elsevier B.V. All rights reserved.</t>
  </si>
  <si>
    <t>[Wang, Duojin; Gu, Xiaoping; Li, Wenzhuo; Jin, Yaoxiang; Yang, Maisi; Yu, Hongliu] Univ Shanghai Sci &amp; Technol, Inst Rehabil Engn &amp; Technol, 516 Jungong Rd, Shanghai 200093, Peoples R China; [Wang, Duojin; Yu, Hongliu] Shanghai Engn Res Ctr Assist Devices, 516 Jungong Rd, Shanghai 200093, Peoples R China</t>
  </si>
  <si>
    <t>University of Shanghai for Science &amp; Technology</t>
  </si>
  <si>
    <t>Wang, DJ (corresponding author), Univ Shanghai Sci &amp; Technol, Inst Rehabil Engn &amp; Technol, 516 Jungong Rd, Shanghai 200093, Peoples R China.</t>
  </si>
  <si>
    <t>duojin.wang@usst.edu.cn; 213332822@st.usst.edu.cn; m15591847972@163.com; jin3143306403@163.com; 676671235@qq.com; ichbinotto@aliyun.com</t>
  </si>
  <si>
    <t>Yang, Maisi/JKH-8098-2023; Yu, Hongliu/KIH-0320-2024</t>
  </si>
  <si>
    <t>Wang, Duojin/0000-0002-3864-3998</t>
  </si>
  <si>
    <t>Shanghai Science and technology innovation action plan, China; [19DZ2203600]</t>
  </si>
  <si>
    <t>Shanghai Science and technology innovation action plan, China;</t>
  </si>
  <si>
    <t>The authors gratefully acknowledge the financial supports by Shanghai Science and technology innovation action plan, China (19DZ2203600) .</t>
  </si>
  <si>
    <t>10.1016/j.robot.2022.104308</t>
  </si>
  <si>
    <t>7I6CT</t>
  </si>
  <si>
    <t>WOS:000903974100001</t>
  </si>
  <si>
    <t>Colucci, A; Vermehren, M; Cavallo, A; Angerhoefer, C; Peekhaus, N; Zollo, L; Kim, WS; Paik, NJ; Soekadar, SR</t>
  </si>
  <si>
    <t>Colucci, Annalisa; Vermehren, Mareike; Cavallo, Alessia; Angerhoefer, Cornelius; Peekhaus, Niels; Zollo, Loredana; Kim, Won-Seok; Paik, Nam-Jong; Soekadar, Surjo R. R.</t>
  </si>
  <si>
    <t>Brain-Computer Interface-Controlled Exoskeletons in Clinical Neurorehabilitation: Ready or Not?</t>
  </si>
  <si>
    <t>brain-computer interface (BCI); stroke; exoskeletons; motor recovery; clinical translation</t>
  </si>
  <si>
    <t>MACHINE INTERFACES; MOTOR CORTEX; STROKE; STIMULATION; REHABILITATION; COMMUNICATION; OSCILLATIONS; RESTORATION; THERAPY; THOUGHT</t>
  </si>
  <si>
    <t>The development of brain-computer interface-controlled exoskeletons promises new treatment strategies for neurorehabilitation after stroke or spinal cord injury. By converting brain/neural activity into control signals of wearable actuators, brain/neural exoskeletons (B/NEs) enable the execution of movements despite impaired motor function. Beyond the use as assistive devices, it was shown that-upon repeated use over several weeks-B/NEs can trigger motor recovery, even in chronic paralysis. Recent development of lightweight robotic actuators, comfortable and portable real-world brain recordings, as well as reliable brain/neural control strategies have paved the way for B/NEs to enter clinical care. Although B/NEs are now technically ready for broader clinical use, their promotion will critically depend on early adopters, for example, research-oriented physiotherapists or clinicians who are open for innovation. Data collected by early adopters will further elucidate the underlying mechanisms of B/NE-triggered motor recovery and play a key role in increasing efficacy of personalized treatment strategies. Moreover, early adopters will provide indispensable feedback to the manufacturers necessary to further improve robustness, applicability, and adoption of B/NEs into existing therapy plans.</t>
  </si>
  <si>
    <t>[Colucci, Annalisa; Vermehren, Mareike; Cavallo, Alessia; Angerhoefer, Cornelius; Peekhaus, Niels; Soekadar, Surjo R. R.] Charite Univ Med Berlin, Dept Psychiat &amp; Neurosci, Neurowissensch Forschungszentrum Julich NWFZ, Clin Neurotechnol Lab,Charite Campus Mitte CCM, Charitepl 1, Berlin, Germany; [Zollo, Loredana] Univ Campus Biomed Rome, Unit Adv Robot &amp; Human Centred Technol, CREO Lab, Rome, RM, Italy; [Kim, Won-Seok; Paik, Nam-Jong] Seoul Natl Univ, Coll Med, Bundang Hosp, Dept Rehabil Med, Seongnam Si, Gyeonggi Do, South Korea; [Soekadar, Surjo R. R.] Charite Univ Med Berlin, Charitepl 1, D-10117 Berlin, Germany</t>
  </si>
  <si>
    <t>Berlin Institute of Health; Free University of Berlin; Humboldt University of Berlin; Charite Universitatsmedizin Berlin; University Campus Bio-Medico - Rome Italy; Seoul National University (SNU); Berlin Institute of Health; Free University of Berlin; Humboldt University of Berlin; Charite Universitatsmedizin Berlin</t>
  </si>
  <si>
    <t>Soekadar, SR (corresponding author), Charite Univ Med Berlin, Charitepl 1, D-10117 Berlin, Germany.</t>
  </si>
  <si>
    <t>surjo.soekadar@charite.de</t>
  </si>
  <si>
    <t>, 김원석/AAJ-2334-2020; Zollo, Loredana/AAB-9645-2020; Paik, Nam-Jong/D-5798-2012; Soekadar, Surjo/AAA-3801-2020; Angerhoefer, Cornelius/NKP-2341-2025</t>
  </si>
  <si>
    <t>Kim, Won-Seok/0000-0002-1199-5707; Vermehren, Mareike/0009-0001-1159-7127; Paik, Nam-Jong/0000-0002-5193-8678; Soekadar, Surjo R./0000-0003-1280-5538</t>
  </si>
  <si>
    <t>European Research Council (ERC); Federal Ministry of Research and Education (BMBF) [759370]; Einstein Stiftung Berlin [SSMART 01DR21025A, NEO 13GW0483C, QHMI 03ZU1110DD, NeuroQ 13N16486]; ERA-NET NEURON; [01GP2121]</t>
  </si>
  <si>
    <t>European Research Council (ERC)(European Research Council (ERC)); Federal Ministry of Research and Education (BMBF)(Federal Ministry of Education &amp; Research (BMBF)); Einstein Stiftung Berlin; ERA-NET NEURON;</t>
  </si>
  <si>
    <t>The author(s) disclosed receipt of the following financial support for the research, authorship, and/or publication of this article: This work was supported in part by the European Research Council (ERC) under the project NGBMI (759370), the Federal Ministry of Research and Education (BMBF, SSMART 01DR21025A, NEO 13GW0483C, QHMI 03ZU1110DD and NeuroQ 13N16486), the Einstein Stiftung Berlin, and the ERA-NET NEURON project HYBRIDMIND (01GP2121).</t>
  </si>
  <si>
    <t>10.1177/15459683221138751</t>
  </si>
  <si>
    <t>6T2XH</t>
  </si>
  <si>
    <t>WOS:000890318900001</t>
  </si>
  <si>
    <t>Miyake, T; Okabe, M</t>
  </si>
  <si>
    <t>Miyake, Tsutomu; Okabe, Masataka</t>
  </si>
  <si>
    <t>Roles of Mono- and Bi-articular Muscles in Human Limbs: Two-joint Link Model and Applications</t>
  </si>
  <si>
    <t>INTEGRATIVE ORGANISMAL BIOLOGY</t>
  </si>
  <si>
    <t>OBSTACLE AVOIDANCE; UNIQUE ACTION; PECTORAL FIN; LOCOMOTION; BIOMECHANICS; WALKING; JOINT; HINDLIMB; CAT; MOVEMENT</t>
  </si>
  <si>
    <t>Synopsis We review the two-joint link model of mono- and bi-articular muscles in the human branchium and thigh for applications related to biomechanical studies of tetrapod locomotion including gait analyses of humans and non-human tetrapods. This model has been proposed to elucidate functional roles of human mono- and bi-articular muscles by analyzing human limb movements biomechanically and testing the results both theoretically and mechanically using robotic arms and legs. However, the model has not yet been applied to biomechanical studies of tetrapod locomotion, in part since it was established based mainly on mechanical engineering analyses and because it has been applied mostly to robotics, fields of mechanical engineering, and to rehabilitation sciences. When we discovered and published the identical pairs of mono- and bi-articular muscles in pectoral fins of the coelacanth fish Latimeria chalumnae to those of humans, we recognized the significant roles of mono- and bi-articular muscles in evolution of tetrapod limbs from paired fins and tetrapod limb locomotion. Therefore, we have been reviewing the theoretical background and mechanical parameters of the model in order to analyze functional roles of mono- and bi-articular muscles in tetrapod limb locomotion. Herein, we present re-defined biological parameters including 3 axes among 3 joints of forelimbs or hindlimbs that the model has formulated and provide biological and analytical tools and examples to facilitate applicable power of the model to our on-going gait analyses of humans and tetrapods.</t>
  </si>
  <si>
    <t>[Miyake, Tsutomu; Okabe, Masataka] Jikei Univ, Sch Med, Dept Anat, Tokyo 1058461, Japan</t>
  </si>
  <si>
    <t>Jikei University</t>
  </si>
  <si>
    <t>Miyake, T (corresponding author), Jikei Univ, Sch Med, Dept Anat, Tokyo 1058461, Japan.</t>
  </si>
  <si>
    <t>standwalk34@gmail.com</t>
  </si>
  <si>
    <t>Miyake, Tsutomu/0000-0001-9066-3219</t>
  </si>
  <si>
    <t>2517-4843</t>
  </si>
  <si>
    <t>INTEGR ORGANISM BIOL</t>
  </si>
  <si>
    <t>Integr. Organism. Biol.</t>
  </si>
  <si>
    <t>NOV 22</t>
  </si>
  <si>
    <t>obac042</t>
  </si>
  <si>
    <t>10.1093/iob/obac042</t>
  </si>
  <si>
    <t>Biology; Evolutionary Biology; Zoology</t>
  </si>
  <si>
    <t>Life Sciences &amp; Biomedicine - Other Topics; Evolutionary Biology; Zoology</t>
  </si>
  <si>
    <t>6R7YZ</t>
  </si>
  <si>
    <t>WOS:000892515700001</t>
  </si>
  <si>
    <t>Wang, HX; Zuo, SM; Cerezo-Sánchez, M; Arekhloo, NG; Nazarpour, K; Heidari, H</t>
  </si>
  <si>
    <t>Wang, Huxi; Zuo, Siming; Cerezo-Sanchez, Maria; Arekhloo, Negin Ghahremani; Nazarpour, Kianoush; Heidari, Hadi</t>
  </si>
  <si>
    <t>Wearable super-resolution muscle-machine interfacing</t>
  </si>
  <si>
    <t>electrical impedance tomography; electromyography; forcemyography; human-computer interface; magnetomyography; muscle-machine interface; super-resolution; wearable sensors</t>
  </si>
  <si>
    <t>HAND GESTURE RECOGNITION; ELECTRICAL-IMPEDANCE; SURFACE EMG; REAL-TIME; PROSTHESIS CONTROL; MAGNETIC-FIELDS; WRIST ANGLE; SENSOR; SIGNAL; SONOMYOGRAPHY</t>
  </si>
  <si>
    <t>Muscles are the actuators of all human actions, from daily work and life to communication and expression of emotions. Myography records the signals from muscle activities as an interface between machine hardware and human wetware, granting direct and natural control of our electronic peripherals. Regardless of the significant progression as of late, the conventional myographic sensors are still incapable of achieving the desired high-resolution and non-invasive recording. This paper presents a critical review of state-of-the-art wearable sensing technologies that measure deeper muscle activity with high spatial resolution, so-called super-resolution. This paper classifies these myographic sensors according to the different signal types (i.e., biomechanical, biochemical, and bioelectrical) they record during measuring muscle activity. By describing the characteristics and current developments with advantages and limitations of each myographic sensor, their capabilities are investigated as a super-resolution myography technique, including: (i) non-invasive and high-density designs of the sensing units and their vulnerability to interferences, (ii) limit-of-detection to register the activity of deep muscles. Finally, this paper concludes with new opportunities in this fast-growing super-resolution myography field and proposes promising future research directions. These advances will enable next-generation muscle-machine interfaces to meet the practical design needs in real-life for healthcare technologies, assistive/rehabilitation robotics, and human augmentation with extended reality.</t>
  </si>
  <si>
    <t>[Wang, Huxi; Zuo, Siming; Cerezo-Sanchez, Maria; Arekhloo, Negin Ghahremani; Heidari, Hadi] Univ Glasgow, James Watt Sch Engn, Microelect Lab, Glasgow, Lanark, Scotland; [Wang, Huxi; Zuo, Siming; Cerezo-Sanchez, Maria; Arekhloo, Negin Ghahremani; Nazarpour, Kianoush; Heidari, Hadi] Neuranics Ltd, Glasgow, Lanark, Scotland; [Nazarpour, Kianoush] Univ Edinburgh, Sch Informat, Edinburgh, Midlothian, Scotland</t>
  </si>
  <si>
    <t>University of Glasgow; University of Edinburgh</t>
  </si>
  <si>
    <t>Heidari, H (corresponding author), Univ Glasgow, James Watt Sch Engn, Microelect Lab, Glasgow, Lanark, Scotland.;Nazarpour, K; Heidari, H (corresponding author), Neuranics Ltd, Glasgow, Lanark, Scotland.;Nazarpour, K (corresponding author), Univ Edinburgh, Sch Informat, Edinburgh, Midlothian, Scotland.</t>
  </si>
  <si>
    <t>kianoush.nazarpour@ed.ac.uk; hadi.heidari@glasgow.ac.uk</t>
  </si>
  <si>
    <t>Zuo, Siming/HQY-5528-2023; Nazarpour, Kianoush/F-5873-2010; Heidari, Hadi/GPX-9588-2022</t>
  </si>
  <si>
    <t>Wang, Huxi/0000-0002-5587-6099</t>
  </si>
  <si>
    <t>EPSRC; University of Glasgow Scholarship; [EP/X525716/1]; [EP/X024989/1]; [EP/X034690/1]; [EP/R004242/2]</t>
  </si>
  <si>
    <t>EPSRC(UK Research &amp; Innovation (UKRI)Engineering &amp; Physical Sciences Research Council (EPSRC)); University of Glasgow Scholarship; ; ; ;</t>
  </si>
  <si>
    <t>Funding This work was partially supported by EPSRC projects EP/X525716/1, EP/X024989/1, EP/X034690/1, and EP/R004242/2. The works of MC-S and NA were supported by the University of Glasgow Scholarship.</t>
  </si>
  <si>
    <t>10.3389/fnins.2022.1020546</t>
  </si>
  <si>
    <t>6S0MU</t>
  </si>
  <si>
    <t>WOS:000892692400001</t>
  </si>
  <si>
    <t>Li, R; Ding, MF; Wang, J; Pan, HX; Sun, X; Huang, LY; Fu, CY; He, CQ; Wei, Q</t>
  </si>
  <si>
    <t>Li, Ran; Ding, Mingfu; Wang, Jiao; Pan, Hongxia; Sun, Xin; Huang, Liyi; Fu, Chenying; He, Chengqi; Wei, Quan</t>
  </si>
  <si>
    <t>Effectiveness of robotic-assisted gait training on cardiopulmonary fitness and exercise capacity for incomplete spinal cord injury: A systematic review and meta-analysis of randomized controlled trials</t>
  </si>
  <si>
    <t>Cardiopulmonary fitness; exercise capacity; rehabilitation; robot-assisted; spinal cord injury</t>
  </si>
  <si>
    <t>WALKING SPEED; PEOPLE; INDIVIDUALS; RECOVERY; HEALTH; ADULTS</t>
  </si>
  <si>
    <t>Objective To determine the effects of robotic-assisted gait training on cardiopulmonary fitness and exercise capacity for people with incomplete spinal cord injury. Methods PubMed, Embase, Web of Science, PEDro, CENTRAL and CINAHL were searched from inception until September 4, 2022. Randomized controlled trials that evaluated the effects of robotic-assisted gait training on cardiopulmonary fitness and exercise capacity for individuals with incomplete spinal cord injury were selected. Mean differences (MD) with 95% confidence interval (CI) were calculated. The methodological quality was evaluated by the Cochrane Risk of Bias 2.0 tool. Subgroup analyses were conducted according to the time since injury. Results In total 19 studies involving 770 patients were eligible for analysis. Individuals with acute incomplete spinal cord injury in robotic-assisted gait training groups showed significantly greater improvements in 6-minute walking test (MD 53.32; 95% CI 33.49 to 73.15; P &lt; 0.001), lower extremity motor scale (MD 5.22; 95% CI 3.63 to 6.80; P &lt; 0.001) and walking index for spinal cord injury II (MD 3.18; 95% CI 1.34 to 5.02; P &lt; 0.001). Robotic-assisted gait training improved peak oxygen consumption to a greater degree for chronic incomplete spinal cord injury patients (MD 4.90; 95% CI 0.96 to 8.84; P = 0.01). Conclusion Robot-assisted gait training may be a feasible and effective intervention in terms of cardiopulmonary fitness and exercise capacity for individuals with incomplete spinal cord injury.</t>
  </si>
  <si>
    <t>[Li, Ran; Ding, Mingfu; Wang, Jiao; Pan, Hongxia; Sun, Xin; Huang, Liyi; He, Chengqi; Wei, Quan] Sichuan Univ, West China Hosp, Dept Rehabil Med, Chengdu, Sichuan, Peoples R China; [Li, Ran; Ding, Mingfu; Wang, Jiao; Pan, Hongxia; Sun, Xin; Huang, Liyi; He, Chengqi; Wei, Quan] Key Lab Rehabil Med Sichuan Prov, Chengdu, Sichuan, Peoples R China; [Fu, Chenying] Sichuan Univ, Natl Clin Res Ctr Geriatr, West China Hosp, Chengdu, Peoples R China; [Fu, Chenying] Sichuan Univ, West China Hosp, Aging &amp; Geriatr Mech Lab, Chengdu, Peoples R China; [Wei, Quan] Sichuan Univ, Dept Rehabil Med Ctr, 37 Guo Xue Xiang, Chengdu 610041, Sichuan, Peoples R China; [Wei, Quan] Sichuan Univ, Key Lab Rehabil Med, West China Hosp, 37 Guo Xue Xiang, Chengdu 610041, Sichuan, Peoples R China</t>
  </si>
  <si>
    <t>Sichuan University; Sichuan University; Sichuan University; Sichuan University; Sichuan University</t>
  </si>
  <si>
    <t>Wei, Q (corresponding author), Sichuan Univ, West China Hosp, Dept Rehabil Med, Chengdu, Sichuan, Peoples R China.;Wei, Q (corresponding author), Sichuan Univ, Dept Rehabil Med Ctr, 37 Guo Xue Xiang, Chengdu 610041, Sichuan, Peoples R China.;Wei, Q (corresponding author), Sichuan Univ, Key Lab Rehabil Med, West China Hosp, 37 Guo Xue Xiang, Chengdu 610041, Sichuan, Peoples R China.</t>
  </si>
  <si>
    <t>weiquan@scu.edu.cn</t>
  </si>
  <si>
    <t>Wei, Quan/AAV-4474-2021; fu, chenying/AAG-6333-2020</t>
  </si>
  <si>
    <t>Sun, Xin/0000-0003-3845-4342; Li, Ran/0000-0003-2794-9948; fu, chenying/0000-0002-4416-7633</t>
  </si>
  <si>
    <t>10.1177/02692155221133474</t>
  </si>
  <si>
    <t>8W5PL</t>
  </si>
  <si>
    <t>WOS:000885448400001</t>
  </si>
  <si>
    <t>Novelli, GL; Vargas, GG; Andrade, RM</t>
  </si>
  <si>
    <t>Novelli, Guilherme L.; Vargas, Gabriel G.; Andrade, Rafhael M.</t>
  </si>
  <si>
    <t>Dielectric elastomer actuators as artificial muscles for wearable robots</t>
  </si>
  <si>
    <t>Dielectric elastomer actuator; artificial muscle; wearable robots</t>
  </si>
  <si>
    <t>FABRICATION; DRIVEN; DEFORMATION; MECHANISM; PERFORMANCE; CONSTANT; NETWORKS; ELEMENT; DESIGN; FILMS</t>
  </si>
  <si>
    <t>Current powered prosthetic and orthotic devices are mostly based on rigid actuators, which exhibit some intrinsic limitations, such as the reduced number of degrees of freedom, high weight, and limited flexibility. As progress is made in the soft robotics field, artificial muscles arise as potential candidates to replace current rigid actuator technologies. Dielectric elastomer actuators (DEAs) are a very promising class of soft actuator and are attracting attention due to their high energy density, fast response, and high actuation strains, similar or even superior to natural muscles. Such remarkable properties can lead the DEAs to be the next generation of actuators for wearable robots, and overcome the limitations imposed by the rigid actuators currently used. This paper reviews the state of art of the applications of DEAs to prostheses, orthoses, and rehabilitation devices. We analyzed the main configurations that are suitable as artificial muscles for the above-mentioned applications and presented the basic model of a dielectric elastomer transducer. When compared to the properties of natural skeletal muscle, some of these configurations stand out. However, there are still some drawbacks that prevent the large-scale application of DEAs, for instance the high operating voltages, durability issues, and nonlinearities that make them difficult to control. We investigated recent advances in materials, control strategies and fabrication methods that tackle these drawbacks, and they indicate that dielectric elastomers are great candidates to be the next generation of actuators for bionic devices.</t>
  </si>
  <si>
    <t>[Novelli, Guilherme L.; Andrade, Rafhael M.] Univ Fed Espirito Santo, Grad Program Mech Engn, Vitoria, Brazil; [Vargas, Gabriel G.] Univ Sao Paulo, Polytech Sch, Mech Engn Dept, Sao Paulo, Brazil; [Andrade, Rafhael M.] Univ Fed Espirito Santo, Grad Program Mech Engn, Ave Fernando Ferrari,514 Goiabeiras, BR-29075910 Vitoria, ES, Brazil</t>
  </si>
  <si>
    <t>Universidade Federal do Espirito Santo; Universidade de Sao Paulo; Universidade Federal do Espirito Santo</t>
  </si>
  <si>
    <t>Andrade, RM (corresponding author), Univ Fed Espirito Santo, Grad Program Mech Engn, Ave Fernando Ferrari,514 Goiabeiras, BR-29075910 Vitoria, ES, Brazil.</t>
  </si>
  <si>
    <t>rafhael.andrade@ufes.br</t>
  </si>
  <si>
    <t>Andrade, R./AAD-2847-2019; Vargas, Gabriel/B-2405-2018; Novelli, Guilherme/JVP-4080-2024</t>
  </si>
  <si>
    <t>Milanezi de Andrade, Rafhael/0000-0002-2839-3649; Gomes Vargas, Gabriel/0000-0002-7559-8663</t>
  </si>
  <si>
    <t>FAPES (Fundacao de Amparo a Pesquisa e Inovacao do Espirito Santo) [2021-8GJZ6, 2021-L7SZ4]; FINEP(Financiadora de Estudos e Projetos com recursos do FNDCT) [2784/20]; Coordenacao de Aperfeicoamento de Pessoal de NivelSuperior - Brasil (CAPES) [001]</t>
  </si>
  <si>
    <t>FAPES (Fundacao de Amparo a Pesquisa e Inovacao do Espirito Santo); FINEP(Financiadora de Estudos e Projetos com recursos do FNDCT); Coordenacao de Aperfeicoamento de Pessoal de NivelSuperior - Brasil (CAPES)(Coordenacao de Aperfeicoamento de Pessoal de Nivel Superior (CAPES))</t>
  </si>
  <si>
    <t>The authors disclosed receipt of the following financial sup-port for the research, authorship, and/or publication of thisarticle: This research was partially funded by grants from FAPES (Fundacao de Amparo a Pesquisa e Inovacao do Espirito Santo, TO 151/2021 Project No. 2021-8GJZ6 and TO 460/2021 Project No. 2021-L7SZ4), FINEP(Financiadora de Estudos e Projetos com recursos do FNDCT ref 2784/20) and was financed in part by the Coordenacao de Aperfeicoamento de Pessoal de NivelSuperior - Brasil (CAPES) - Finance Code 001.</t>
  </si>
  <si>
    <t>10.1177/1045389X221128567</t>
  </si>
  <si>
    <t>E6LH2</t>
  </si>
  <si>
    <t>WOS:000883319500001</t>
  </si>
  <si>
    <t>Warutkar, V; Dadgal, R; Mangulkar, UR</t>
  </si>
  <si>
    <t>Warutkar, Vaishnavi; Dadgal, Ragini; Mangulkar, Utkarsha R.</t>
  </si>
  <si>
    <t>Use of Robotics in Gait Rehabilitation Following Stroke: A Review</t>
  </si>
  <si>
    <t>robotics; stroke; hemiplegia; gait; exoskeleton</t>
  </si>
  <si>
    <t>NON-AMBULATORY PATIENTS; SINGLE-BLIND; END-EFFECTOR; PARTICIPATION; EXOSKELETON</t>
  </si>
  <si>
    <t>A stroke is an acute disruption of focal or global brain activity that last for a day or leads to death. Most stroke patients have an asymmetric gait, lower-extremity stiffness of the affected (hemiplegia) side, and impaired single stance and weight transfer capacity, restricting their locomotor function. Although between 65% and 85% of individuals can walk alone within six months after a stroke with appropriate surgical/pharmaceutical procedures and rehabilitative therapy, poor walking and cardiac efficiency continue to impede everyday walking for hemiplegia patients. Various methods are used to improve gait in stroke patients. Robotic-assisted gait training (RAGT) is given via a robot system device. Ground exoskeletons, end-effector devices, wearable exoskeletons are three types of rehabilitation robots that have been developed. The HAL (Hybrid Assistive Limb) exoskeleton and RoboGait is also modified gait device to enhance gait. Robotic Neurorehabilitation can be a useful technique for reducing gait impairments and, as a result, increasing the standard of living of post-stroke individuals.</t>
  </si>
  <si>
    <t>[Warutkar, Vaishnavi; Dadgal, Ragini; Mangulkar, Utkarsha R.] Datta Meghe Inst Med Sci, Dept Neurophysiotherapy, Ravi Nair Physiotherapy Coll, Wardha, India</t>
  </si>
  <si>
    <t>Dadgal, R (corresponding author), Datta Meghe Inst Med Sci, Dept Neurophysiotherapy, Ravi Nair Physiotherapy Coll, Wardha, India.</t>
  </si>
  <si>
    <t>dr.raginidadgal@gmail.com</t>
  </si>
  <si>
    <t>Dadgal, Ragini/AAB-2967-2021</t>
  </si>
  <si>
    <t>NOV 4</t>
  </si>
  <si>
    <t>e31075</t>
  </si>
  <si>
    <t>10.7759/cureus.31075</t>
  </si>
  <si>
    <t>F9QZ2</t>
  </si>
  <si>
    <t>WOS:000985633700003</t>
  </si>
  <si>
    <t>Sannicandro, K; De Santis, A; Bellini, C; Minerva, T</t>
  </si>
  <si>
    <t>Sannicandro, Katia; De Santis, Annamaria; Bellini, Claudia; Minerva, Tommaso</t>
  </si>
  <si>
    <t>A scoping review on the relationship between robotics in educational contexts and e-health</t>
  </si>
  <si>
    <t>FRONTIERS IN EDUCATION</t>
  </si>
  <si>
    <t>educational robotics; scoping review; special needs; inclusive education; teaching; computational thinking; robotic healthcare; digital education</t>
  </si>
  <si>
    <t>COMPUTATIONAL THINKING; TEACHERS; TECHNOLOGIES; NEEDS; STEM</t>
  </si>
  <si>
    <t>In recent years, due to technological advancement, research has been directed to the development and analysis of resources and tools related to educational robotics with particular attention to the field of special needs and training actions aimed at learners, teachers, professionals, and families. The use of robotics in all levels of education can support the development of logical and computational thinking, interaction, communication, and socialization, and the acquisition of particularly complex work practices, for example, in the medical field. The adoption of successful educational robotics training practices can be a potential tool to support rehabilitation interventions for disabilities and comprehensive training for students or future professionals in healthcare. A scoping review was conducted on the main topics education  AND robotics  with three specific focuses on complementary themes in educational research about ER: (1) teaching and computational thinking, (2) training in the health sector, and (3) education and special needs. The authors systematically searched two online databases, Scopus and Web of Science, up to April 2022. A total of 164 articles were evaluated, and 59 articles were analyzed, in a particular way N = 33 related to computational thinking, N = 15 related to e-health, and N = 11 related to special needs. The following four questions guided our research: (1) What are the educational and experimental experiences conducted through robotics in transdisciplinary fields? (2) What tools and resources are most used in such experiments (educational robotics kit, humanoid robots, telepresence robots etc.)? (3) What are the constitutive elements of the experiments and studies involving robotics and health in educational contexts? and (4) What are those explicitly related to students with special needs? In this study, part of the research project Robotics and E-health: new Challenges for Education  (RECE) activated at the University of Modena and Reggio Emilia. RECE aims to investigate the training, educational, cognitive, and legal processes induced by the increasing diffusion of educational robotics and telemedicine in clinical and surgical contexts.</t>
  </si>
  <si>
    <t>[Sannicandro, Katia; De Santis, Annamaria; Bellini, Claudia; Minerva, Tommaso] Univ Modena &amp; Reggio Emilia, Res Ctr Robot &amp; E Hlth Challenge Educ RECE, Reggio Emilia, Italy</t>
  </si>
  <si>
    <t>Universita di Modena e Reggio Emilia</t>
  </si>
  <si>
    <t>Sannicandro, K (corresponding author), Univ Modena &amp; Reggio Emilia, Res Ctr Robot &amp; E Hlth Challenge Educ RECE, Reggio Emilia, Italy.</t>
  </si>
  <si>
    <t>katia.sannicandro@unimore.it</t>
  </si>
  <si>
    <t>De Santis, Annamaria/0000-0001-7680-2956; SANNICANDRO, Katia/0000-0001-6364-1786</t>
  </si>
  <si>
    <t>Department of Surgery, Medicine, Dentistry and Morphological Sciences; Oncology and Regenerative Medicine of the University of Modena and Reggio Emilia, Italy</t>
  </si>
  <si>
    <t>This work was part of the robotics and E-Health: a challenge for education (RECE) research program funded by Department of Surgery, Medicine, Dentistry and Morphological Sciences with interest in Transplant, Oncology and Regenerative Medicine of the University of Modena and Reggio Emilia, Italy.</t>
  </si>
  <si>
    <t>2504-284X</t>
  </si>
  <si>
    <t>FRONT EDUC</t>
  </si>
  <si>
    <t>Front. Educ.</t>
  </si>
  <si>
    <t>10.3389/feduc.2022.955572</t>
  </si>
  <si>
    <t>Education &amp; Educational Research</t>
  </si>
  <si>
    <t>6J2JR</t>
  </si>
  <si>
    <t>WOS:000886654400001</t>
  </si>
  <si>
    <t>Fu, JR; Choudhury, R; Hosseini, SM; Simpson, R; Park, JH</t>
  </si>
  <si>
    <t>Fu, Jirui; Choudhury, Renoa; Hosseini, Saba M.; Simpson, Rylan; Park, Joon-Hyuk</t>
  </si>
  <si>
    <t>Myoelectric Control Systems for Upper Limb Wearable Robotic Exoskeletons and Exosuits-A Systematic Review</t>
  </si>
  <si>
    <t>myoelectric control; EMG-based control system; upper limb wearable robot; upper limb exoskeleton; upper limb exosuit; biomechanical model; pattern recognition; machine learning; reinforcement learning</t>
  </si>
  <si>
    <t>PATTERN-RECOGNITION; EMG FEATURE; HILL-TYPE; REHABILITATION; MOTION; MOVEMENT; MODELS; LEVEL</t>
  </si>
  <si>
    <t>In recent years, myoelectric control systems have emerged for upper limb wearable robotic exoskeletons to provide movement assistance and/or to restore motor functions in people with motor disabilities and to augment human performance in able-bodied individuals. In myoelectric control, electromyographic (EMG) signals from muscles are utilized to implement control strategies in exoskeletons and exosuits, improving adaptability and human-robot interactions during various motion tasks. This paper reviews the state-of-the-art myoelectric control systems designed for upper-limb wearable robotic exoskeletons and exosuits, and highlights the key focus areas for future research directions. Here, different modalities of existing myoelectric control systems were described in detail, and their advantages and disadvantages were summarized. Furthermore, key design aspects (i.e., supported degrees of freedom, portability, and intended application scenario) and the type of experiments conducted to validate the efficacy of the proposed myoelectric controllers were also discussed. Finally, the challenges and limitations of current myoelectric control systems were analyzed, and future research directions were suggested.</t>
  </si>
  <si>
    <t>[Fu, Jirui; Choudhury, Renoa; Park, Joon-Hyuk] Univ Cent Florida, Dept Mech &amp; Aerosp Engn, Orlando, FL 32816 USA; [Hosseini, Saba M.; Simpson, Rylan] Univ Cent Florida, Dept Elect &amp; Comp Engn, Orlando, FL 32816 USA</t>
  </si>
  <si>
    <t>State University System of Florida; University of Central Florida; State University System of Florida; University of Central Florida</t>
  </si>
  <si>
    <t>Park, JH (corresponding author), Univ Cent Florida, Dept Mech &amp; Aerosp Engn, Orlando, FL 32816 USA.</t>
  </si>
  <si>
    <t>joonpark@ucf.edu</t>
  </si>
  <si>
    <t>Park, Joon-Hyuk/JHT-2858-2023; Fu, Jirui/HJA-8973-2022; Choudhury, Renoa/HJH-2152-2023</t>
  </si>
  <si>
    <t>M. Hosseini, Saba/0000-0002-6836-5722; Fu, Jirui/0000-0002-3552-9284; Choudhury, Renoa/0000-0002-6301-3197; Park, Joon-Hyuk/0000-0001-9038-4981</t>
  </si>
  <si>
    <t>10.3390/s22218134</t>
  </si>
  <si>
    <t>6B7YV</t>
  </si>
  <si>
    <t>WOS:000881545400001</t>
  </si>
  <si>
    <t>Naro, A; Calabrò, RS</t>
  </si>
  <si>
    <t>Naro, Antonino; Calabro, Rocco Salvatore</t>
  </si>
  <si>
    <t>Improving Upper Limb and Gait Rehabilitation Outcomes in Post-Stroke Patients: A Scoping Review on the Additional Effects of Non-Invasive Brain Stimulation When Combined with Robot-Aided Rehabilitation</t>
  </si>
  <si>
    <t>stroke; robotic; non-invasive brain stimulation</t>
  </si>
  <si>
    <t>TRANSCRANIAL MAGNETIC STIMULATION; CHRONIC STROKE PATIENTS; DOUBLE-BLIND; CONTROLLED-TRIAL; MOTOR RECOVERY; PLASTICITY; MODEL; TDCS; EXCITABILITY; MODULATION</t>
  </si>
  <si>
    <t>Robot-aided rehabilitation (RAR) and non-invasive brain stimulation (NIBS) are the two main interventions for post-stroke rehabilitation. The efficacy of both approaches in combination has not been well established yet. The importance of coupling these interventions, which both enhance brain plasticity to promote recovery, lies in augmenting the rehabilitation potential to constrain the limitation in daily living activities and the quality of life following stroke. This review aimed to evaluate the evidence of NIBS coupled with RAR in improving rehabilitation outcomes of upper limb and gait motor impairment in adult individuals with stroke. We included 18 clinical trials in this review. All studies were highly heterogeneous concerning the technical characteristics of robotic devices and NIBS protocols. However, the studies reported a global improvement in body structure and function and activity limitation for the upper limb, which were non-significant between the active and control groups. Concerning gait training protocols, the active group outperformed the control group in improving walking capacity and recovery. According to this review, NIBS and RAR in combination are promising but not yet largely recommendable as a systematic approach for stroke rehabilitation as there is not enough data about this. Therefore, more homogenous clinical trials are required, pointing out the best characteristics of the combined therapeutic protocols.</t>
  </si>
  <si>
    <t>[Naro, Antonino] AOU Policlin G Martino, Stroke Unit, I-98122 Messina, Italy; [Calabro, Rocco Salvatore] IRCCS Ctr Neurolesi Bonino Pulejo, Neurorehabil Unit, I-98123 Messina, Italy</t>
  </si>
  <si>
    <t>University of Messina; University Messina Policlin; AOU Policlinico Gaetano Martino; IRCCS Bonino Pulejo</t>
  </si>
  <si>
    <t>Calabrò, RS (corresponding author), IRCCS Ctr Neurolesi Bonino Pulejo, Neurorehabil Unit, I-98123 Messina, Italy.</t>
  </si>
  <si>
    <t>Calabrò, Rocco/K-7520-2016</t>
  </si>
  <si>
    <t>calabro, rocco salvatore/0000-0002-8566-3166</t>
  </si>
  <si>
    <t>Ministry of Health, Italy, Current Research Funds; [2022]</t>
  </si>
  <si>
    <t>Ministry of Health, Italy, Current Research Funds;</t>
  </si>
  <si>
    <t>This research was funded by the Ministry of Health, Italy, Current Research Funds 2022.</t>
  </si>
  <si>
    <t>10.3390/brainsci12111511</t>
  </si>
  <si>
    <t>6V4LZ</t>
  </si>
  <si>
    <t>WOS:000895022800001</t>
  </si>
  <si>
    <t>Postol, YM; Sahalevych, AI; Serhiichuk, RV; Korytskyi, AV; Ozhohin, VV; Dubovyi, YO; Khrapchuk, AY</t>
  </si>
  <si>
    <t>Postol, Ya. M.; Sahalevych, A. I.; V. Serhiichuk, R.; V. Korytskyi, A.; V. Ozhohin, V.; Dubovyi, Ya. O.; Khrapchuk, A. Yu.</t>
  </si>
  <si>
    <t>The use of endoscopic combined intrarenal surgery in the treatment of nephrolithiasis</t>
  </si>
  <si>
    <t>ZAPOROZHYE MEDICAL JOURNAL</t>
  </si>
  <si>
    <t>nephrolithiasis; kidney stones; endoscopic combined intrarenal surgery; percutaneous nephrolithotomy; retrograde intrarenal surgery; robotic surgery; endoscopy</t>
  </si>
  <si>
    <t>CLINICAL-RESEARCH OFFICE; PERCUTANEOUS NEPHROLITHOTOMY; SUPINE VALDIVIA; RENAL STONES; FLEXIBLE NEPHROSCOPY; STAGHORN CALCULI; RETROGRADE; POSITION; URETEROSCOPE; EPIDEMIOLOGY</t>
  </si>
  <si>
    <t>Urolithiasis is one of the most common urological conditions (30-45 %), peaking in the 4th-6th decades of life. About 50 % of patients have one recurrent episode of nephrolithiasis during their lifetime, and among the operated patients, more than 10-15 % of individuals report recurrences with the need for repeated surgical treatment. Increasing the incidence of nephrolithiasis in the world requires the development of new and improvement of existing methods of surgical treatment, which would be characterized by a high level of efficiency and low invasiveness with minimal complications and postoperative rehabilitation. The use of a combination of percutaneous nephrolithotripsy and flexible ureteronephrolithotripsy, especially in complex cases of urolithiasis, can increase the safety and improve the treatment of nephrolithiasis by combining the positive qualities of both methods. Aim. To summarize the data of the world scientific literature on the treatment of nephrolithiasis by studying a combination of per cutaneous nephrolithotripsy and retrograde or antegrade flexible intrarenal surgery based on the evaluation of their effectiveness and safety. Materials and methods. The literature review was conducted using the databases PubMed, Google Scholar, Web of Science and Scopus for the period 2015-2022. The following keywords were used for the search: surgical treatment of nephrolithiasis, endoscopic combined intrarenal surgery (ECIRS), percutaneous nephrolithotomy, retrograde intrarenal surgery, simultaneous use of flexible ureterorenoscopy and percutaneous nephrolithotomy, simultaneous use of flexible ureterorenoscopy and percutaneous nephrolithotripsy. Conclusions. The use of ECIRS increases the effectiveness of one-stage treatment of nephrolithiasis with minimal complications and reduces the number of re-operations required. Treatment of complex forms of nephrolithiasis may be a priority for ECIRS. The main disadvantages of ECIRS are the need for simultaneous operation of two operating surgeons and the availability of two sets of endoscopic equipment, which make this procedure expensive.</t>
  </si>
  <si>
    <t>[Postol, Ya. M.; Sahalevych, A. I.; V. Serhiichuk, R.; V. Ozhohin, V.; Dubovyi, Ya. O.; Khrapchuk, A. Yu.] Shupyk Natl Healthcare Univ Ukraine, Dept Urol, Kiev, Ukraine; [V. Korytskyi, A.] Kyiv Reg Clin Hosp, Dept Urol, Kiev, Ukraine</t>
  </si>
  <si>
    <t>Shupyk National Healthcare University of Ukraine</t>
  </si>
  <si>
    <t>Postol, YM (corresponding author), Shupyk Natl Healthcare Univ Ukraine, Dept Urol, Kiev, Ukraine.</t>
  </si>
  <si>
    <t>urolog.postol@gmail.com</t>
  </si>
  <si>
    <t>; Sahalevych, Andriy/W-9946-2018</t>
  </si>
  <si>
    <t>Andryi, Khrapchuk/0000-0003-4218-180X; Postol, Yaroslav/0000-0003-2361-5211; Dubovyi, Yaroslav/0000-0003-0671-8753; Roman, Sergiicuk/0000-0002-4414-5565; Koric'kii, Andrii/0000-0001-9607-591X; Sahalevych, Andriy/0000-0001-5273-6907; Ozhohin, Vladislav/0000-0002-2589-9409</t>
  </si>
  <si>
    <t>ZAPORIZHZHYA STATE MEDICAL UNIV</t>
  </si>
  <si>
    <t>ZAPORIZHZHYA</t>
  </si>
  <si>
    <t>PR-KT MAYAKOVSKOGO, 26, ZAPORIZHZHYA, 69035, UKRAINE</t>
  </si>
  <si>
    <t>2306-4145</t>
  </si>
  <si>
    <t>2310-1210</t>
  </si>
  <si>
    <t>ZAPOROZHYE MED J</t>
  </si>
  <si>
    <t>ZAPOROZHYE MED. J.</t>
  </si>
  <si>
    <t>10.14739/2310-1210.2022.6.259771</t>
  </si>
  <si>
    <t>7R7LT</t>
  </si>
  <si>
    <t>WOS:000910251900015</t>
  </si>
  <si>
    <t>Shah, MN; Basah, SN; Basaruddin, KS; Takemura, H; Yeap, EJ; Lim, CC</t>
  </si>
  <si>
    <t>Shah, Muhammad N.; Basah, Shafriza N.; Basaruddin, Khairul S.; Takemura, Hiroshi; Yeap, Ewe J.; Lim, Chee C.</t>
  </si>
  <si>
    <t>Ankle Injury Rehabilitation Robot (AIRR): Review of Strengths and Opportunities Based on a SWOT (Strengths, Weaknesses, Opportunities, Threats) Analysis</t>
  </si>
  <si>
    <t>ankle rehabilitation; ankle injury; biomedical; automated rehabilitation; rehabilitation robotics; rubric assessment; review</t>
  </si>
  <si>
    <t>FOOT-ORTHOSIS; AIDED NEUROREHABILITATION; ADMITTANCE CONTROL; POSITION CONTROL; PARALLEL ROBOT; DESIGN; STROKE; KINEMATICS; GAIT; EXOSKELETON</t>
  </si>
  <si>
    <t>Generally, severity, any additional damage to the joint surface, and the optimal rehabilitation influence the recovery of an ankle injury. Optimal rehabilitation is the only approach for a human to heal as soon as possible. Ankle injury rehabilitation robots (AIRRs) are designed to fulfil the ideal rehabilitation by providing the required accuracy, consistency, and repeatability, compared to conventional rehabilitation methods. This review is to explore the performance of the existing AIRR using a SWOT analysis with a focus on the strengths and opportunities of an AIRR. Sources from journals and conference papers are selected for review after several screenings, according to the search conditions set by the authors. The results have shown a large group of AIRRs could accomplish all basic ankle motions and select parallel mechanisms to drive the foot platform. Most AIRRs provides crucial feedback sensors, such as position, torque, and angle. These factors determine the accuracy of the foot platform. Both the electrical/pneumatic actuation and wearable/platform-based AIRRs have their purpose for rehabilitation and must be considered as equal contributions to ankle injury rehabilitation research using robots. Opportunities to provide innovation to the already established AIRR research still exist in the ability to accommodate complex motion ankle rehabilitation exercises and to establish teaching and playback into the rehabilitation procedures for AIRRs. In general, the existing strengths of AIRRs provide advantages to patients where they can enhance the rehabilitation procedures while opportunities and knowledge gaps for AIRR research are still open to improvement.</t>
  </si>
  <si>
    <t>[Shah, Muhammad N.; Basah, Shafriza N.; Basaruddin, Khairul S.; Takemura, Hiroshi; Yeap, Ewe J.; Lim, Chee C.] Univ Malaysia Perlis, Sports Engn Res Ctr, Ctr Excellence SERC, Perlis 02600, Malaysia; [Shah, Muhammad N.; Basah, Shafriza N.; Lim, Chee C.] Univ Malaysia Perlis, Fac Elect Engn &amp; Technol, Perlis 02600, Malaysia; [Basaruddin, Khairul S.] Univ Malaysia Perlis, Fac Mech Engn &amp; Technol, Perlis 02600, Malaysia; [Takemura, Hiroshi] Tokyo Univ Sci, Fac Sci &amp; Technol, Dept Mech Engn, Chiba 2788510, Japan; [Yeap, Ewe J.] ParkC Med Ctr, Orthoped Dept, Kuala Lumpur 50300, Malaysia</t>
  </si>
  <si>
    <t>Universiti Malaysia Perlis; Universiti Malaysia Perlis; Universiti Malaysia Perlis; Tokyo University of Science</t>
  </si>
  <si>
    <t>Shah, MN (corresponding author), Univ Malaysia Perlis, Sports Engn Res Ctr, Ctr Excellence SERC, Perlis 02600, Malaysia.;Shah, MN (corresponding author), Univ Malaysia Perlis, Fac Elect Engn &amp; Technol, Perlis 02600, Malaysia.</t>
  </si>
  <si>
    <t>nazrinshahrol@unimap.edu.my</t>
  </si>
  <si>
    <t>Bin Shahrol Aman, Muhammad Nazrin Shah/GQZ-6994-2022; Yeap, Ewe/D-1960-2010; Lim, Chee Chin/GNO-9181-2022; Basaruddin, Khairul/I-8478-2019; BASAH, SHAFRIZA/AAN-8887-2020</t>
  </si>
  <si>
    <t>Lim, Chee Chin/0000-0003-3845-3825; Basaruddin, Khairul Salleh/0000-0002-9806-3565; Shah, Muhammad Nazrin/0000-0002-3176-3022; Hiroshi, Takemura/0000-0003-0434-3142</t>
  </si>
  <si>
    <t>Tokyo University of Science International Collaboration Grant 2021 [MEMA0]</t>
  </si>
  <si>
    <t>Tokyo University of Science International Collaboration Grant 2021</t>
  </si>
  <si>
    <t>This work was supported and funded in part by Tokyo University of Science International Collaboration Grant 2021. Funding number: MEMA0.</t>
  </si>
  <si>
    <t>10.3390/machines10111031</t>
  </si>
  <si>
    <t>7U9CC</t>
  </si>
  <si>
    <t>WOS:000912421700001</t>
  </si>
  <si>
    <t>Zhang, YH; Zhao, L; Mo, CH</t>
  </si>
  <si>
    <t>Zhang, Yanheng; Zhao, Liang; Mo, Chunhui</t>
  </si>
  <si>
    <t>Design and dynamic analysis of a multi-function movable rehabilitation robot</t>
  </si>
  <si>
    <t>JOURNAL OF THE BRAZILIAN SOCIETY OF MECHANICAL SCIENCES AND ENGINEERING</t>
  </si>
  <si>
    <t>Rehabilitation robot; Dynamics model; Interaction force; Joint force</t>
  </si>
  <si>
    <t>SPINAL-CORD; GAIT; STROKE; SIT; EXOSKELETON; DEVICES; INJURY</t>
  </si>
  <si>
    <t>The development of a device that incorporates the function of rehabilitation and wheelchair will facilitate home-based rehabilitation. This paper presents a multi-function moveable rehabilitation robot that can realize moving, lower limb rehabilitation besides sitting/standing and sitting/lying, and all these functions share the same drivers. Furthermore, the sitting/standing function allows the lower limb to realize a normal-like movement. The lower limb rehabilitation is realized by leg training devices which provide assistive forces only at the patient's feet and carry the patient's lower limb to move in a plane. The motion of the leg training devices will cause extra forces acting on patients' joints. The dynamics model of the human-robot system is established, and the trends of driving forces and interaction forces in different training modes are analyzed. Furthermore, the characteristics of forces acting on the patient's joints during the training process are also studied. The simulation results showed that the force acting on the hip joint is larger than the force acting on the knee joint, and the value of joint forces is primarily related to the position of the lower limb under a lower training speed. Besides, to reduce the joint forces, the patient's thigh should be fixed on the cushion when they carry out knee flexion/extension training. Finally, the validity of the dynamic model is verified through experiments.</t>
  </si>
  <si>
    <t>[Zhang, Yanheng; Zhao, Liang; Mo, Chunhui] Beijing Univ Posts &amp; Telecommun, Automat Sch, Beijing 100876, Peoples R China</t>
  </si>
  <si>
    <t>Beijing University of Posts &amp; Telecommunications</t>
  </si>
  <si>
    <t>Zhang, YH (corresponding author), Beijing Univ Posts &amp; Telecommun, Automat Sch, Beijing 100876, Peoples R China.</t>
  </si>
  <si>
    <t>zyh620@bupt.edu.cn; 755400711@qq.com; mch9541@163.com</t>
  </si>
  <si>
    <t>National Natural Science Foundation of China [51875046]</t>
  </si>
  <si>
    <t>This paper was funded by the National Natural Science Foundation of China (51875046).</t>
  </si>
  <si>
    <t>1678-5878</t>
  </si>
  <si>
    <t>1806-3691</t>
  </si>
  <si>
    <t>J BRAZ SOC MECH SCI</t>
  </si>
  <si>
    <t>J. Braz. Soc. Mech. Sci. Eng.</t>
  </si>
  <si>
    <t>10.1007/s40430-022-03803-5</t>
  </si>
  <si>
    <t>5C4JL</t>
  </si>
  <si>
    <t>WOS:000864228400002</t>
  </si>
  <si>
    <t>Du, HJ; Liu, XT; Sun, HD; Zhu, Q; Sun, LP</t>
  </si>
  <si>
    <t>Du, Huijiang; Liu, Xiaotong; Sun, Hudie; Zhu, Qi; Sun, Liping</t>
  </si>
  <si>
    <t>Progress in Control-Actuation Robotic System for Gastrointestinal NOTES Development</t>
  </si>
  <si>
    <t>TRANSLUMINAL ENDOSCOPIC SURGERY</t>
  </si>
  <si>
    <t>Purpose. Natural orifice transluminal endoscopic surgery (NOTES) is a minimally invasive surgical procedure that reduces patient trauma, infection probability, and rehabilitation time. This paper reviews the progress made in the control-actuation robotic systems for gastrointestinal NOTES development. Material and Methods. A survey on both existing and state-of-the-art control-actuation robotic systems for gastrointestinal NOTES was conducted in December 2021. Results. Nine control-actuation robotic systems for gastrointestinal NOTES were identified. The structures and specifications of these robotic systems were reported. The technical parameters were also discussed. Special attention was directed to systems using a control-actuation structure and tendon-driven mechanism. The control-actuation robotic systems typically deploy a control-actuation structure and tendon-driven mechanism. Control-actuation robotic systems for gastrointestinal NOTES show great ability to improve operational accuracy and flexibility and flatten the learning curve of procedures. These characteristics suggest that the use of control-actuation robotic systems is worth exploring in future development.</t>
  </si>
  <si>
    <t>[Du, Huijiang; Liu, Xiaotong; Zhu, Qi; Sun, Liping] Shanghai Univ Med &amp; Hlth Sci, Sch Med Instruments, Shanghai, Peoples R China; [Sun, Hudie] Shanghai Univ, Sino European Sch Technol, Shanghai, Peoples R China</t>
  </si>
  <si>
    <t>Shanghai University of Medicine &amp; Health Sciences; Shanghai University</t>
  </si>
  <si>
    <t>Sun, LP (corresponding author), Shanghai Univ Med &amp; Hlth Sci, Sch Med Instruments, Shanghai, Peoples R China.</t>
  </si>
  <si>
    <t>duhj@sumhs.edu.cn; dream_lxt@foxmail.com; hudiesun@shu.edu.cn; zhuq_19@sumhs.edu.cn; sunlp@sumhs.edu.cn</t>
  </si>
  <si>
    <t>Du, Huijiang/IVH-5652-2023; Zhu, Qi/KYR-6238-2024</t>
  </si>
  <si>
    <t>Zhang, Xiaofeng/0000-0003-2738-3286; Du, Huijiang/0000-0001-6402-9900</t>
  </si>
  <si>
    <t>National Key Research and Development Program of China; [2018YFB1307700]</t>
  </si>
  <si>
    <t>National Key Research and Development Program of China(National Key Research &amp; Development Program of China);</t>
  </si>
  <si>
    <t>AcknowledgmentsThis paper was funded by the National Key Research and Development Program of China (2018YFB1307700).</t>
  </si>
  <si>
    <t>OCT 30</t>
  </si>
  <si>
    <t>10.1155/2022/7047481</t>
  </si>
  <si>
    <t>6L6BI</t>
  </si>
  <si>
    <t>WOS:000888269300002</t>
  </si>
  <si>
    <t>Yoo, JI; Oh, MK; Lee, SU; Lee, CH</t>
  </si>
  <si>
    <t>Yoo, Jun-Il; Oh, Min-Kyun; Lee, Shi-Uk; Lee, Chang Han</t>
  </si>
  <si>
    <t>Robot-assisted rehabilitation for total knee or hip replacement surgery patients: A systematic review and meta-analysis</t>
  </si>
  <si>
    <t>meta-analysis; rehabilitation; robot; systematic review; total hip replacement; total knee replacement</t>
  </si>
  <si>
    <t>SPINAL-CORD-INJURY; PUBLICATION BIAS; VISUAL ANALOG; ARTHROPLASTY; PAIN; LIMB; TELEREHABILITATION; FEASIBILITY; RELEVANCE; RECOVERY</t>
  </si>
  <si>
    <t>Background: This study was performed to update the current evidence and evaluate the effects of robot-assisted rehabilitation (RAR) in comparison with conventional rehabilitation (CR) in patients following total knee (TKR) or hip replacements (THR). Methods: PubMed Central, OVID Medline, Cochrane Collaboration Library, and EMBASE for a comprehensive search for all relevant studies, from database inception to July 2022. The following inclusion criteria were used to determine eligibility for studies: randomized and matched controlled trials recruiting men and women who underwent TKR and THR; and studies examining the effect of RAR on outcome measures of physical function and pain. Results: A total of 9 studies (230 patients) were included in this review and 4 were included in the meta-analysis. The meta-analysis of 2 studies showed that Hybrid Assistive Limb (HAL) training for 5 days, significantly improved pain measured on a visual analogue scale, compared to CR in patients following TKR (SMD = 1.05, 95% confidence interval [Cl] 0.39-1.71). Heterogeneity for I-2 value was lower than moderate (tau&lt;^&gt;2 = 0.0121; I-2 = 5%; P = .30). There were 2 studies that assessed self-selected walking speed. The meta-analysis of these studies showed that HAL training was significantly superior to CR in patients following TKR (SMD = 48.70, 95% Cl -50.53 to 147.94) at 2 months. A high heterogeneity was detected (P I-2 = 97%). Conclusion: The result of this systematic review and meta-analysis suggest that RAR may be an effective treatment in TKR and THR patients. However, high-quality studies are needed to verify the long-term effect on their recovery.</t>
  </si>
  <si>
    <t>[Yoo, Jun-Il] Gyeongsang Natl Univ, Dept Orthopaed Surg, Coll Med, Jinju, South Korea; [Yoo, Jun-Il; Oh, Min-Kyun; Lee, Chang Han] Gyeongsang Natl Univ Hosp, Jinju 52727, South Korea; [Oh, Min-Kyun; Lee, Chang Han] Gyeongsang Natl Univ, Coll Med, Dept Rehabil Med, Jinju 52727, South Korea; [Lee, Shi-Uk] Seoul Natl Univ, Dept Rehabil Med, Coll Med, SMG SNU Boramae Med Ctr, Seoul, South Korea; [Lee, Chang Han] Gyeongsang Natl Univ, Inst Hlth Sci, Coll Med, Jinju 52727, South Korea</t>
  </si>
  <si>
    <t>Gyeongsang National University; Gyeongsang National University; Gyeongsang National University Hospital; Gyeongsang National University; Seoul National University (SNU); Seoul National University Hospital; Gyeongsang National University</t>
  </si>
  <si>
    <t>Lee, CH (corresponding author), Gyeongsang Natl Univ Hosp, Jinju 52727, South Korea.;Lee, CH (corresponding author), Gyeongsang Natl Univ, Coll Med, Dept Rehabil Med, Jinju 52727, South Korea.;Lee, CH (corresponding author), Gyeongsang Natl Univ, Inst Hlth Sci, Coll Med, Jinju 52727, South Korea.</t>
  </si>
  <si>
    <t>ychkhk1407@gmail.com</t>
  </si>
  <si>
    <t>Lee, Chang-Han/AAG-9178-2019</t>
  </si>
  <si>
    <t>Lee, Chang Han/0000-0001-8351-5226</t>
  </si>
  <si>
    <t>OCT 7</t>
  </si>
  <si>
    <t>e30852</t>
  </si>
  <si>
    <t>10.1097/MD.0000000000030852</t>
  </si>
  <si>
    <t>5E3HL</t>
  </si>
  <si>
    <t>WOS:000865518700089</t>
  </si>
  <si>
    <t>Babaiasl, M; Yang, F; Swensen, JP</t>
  </si>
  <si>
    <t>Babaiasl, Mahdieh; Yang, Fan; Swensen, John Paul</t>
  </si>
  <si>
    <t>Robotic needle steering: state-of-the-art and research challenges</t>
  </si>
  <si>
    <t>INTELLIGENT SERVICE ROBOTICS</t>
  </si>
  <si>
    <t>Robot-assisted surgery; Steerable needles; Waterjet-assisted surgery; Medical robotics; Soft tissue simulants</t>
  </si>
  <si>
    <t>TISSUE MIMICKING MATERIALS; STEERABLE NEEDLES; SOFT-TISSUE; INTERACTIVE SIMULATION; FLEXIBLE NEEDLES; PROSTATE-CANCER; ULTRASOUND; INSERTION; MOTION; MECHANICS</t>
  </si>
  <si>
    <t>Medical robotics is an interdisciplinary field that came into existence to improve medical procedures utilizing robotics technology. Medical robotics range from minimally invasive surgeries using robots to robots that support patients in rehabilitation to image-guided systems for different medical interventions. Different advantages of robots made them appealing to be used for medical interventions. Among these advantages are being precise, untiring, dexterous, and the ability to work in environments that are not safe to human clinicians. Steerable needles are a type of medical devices that can steer around obstacles to reach a target location and thus can improve the accuracy of medical procedures. This paper provides a comprehensive review of the state-of-the-art and research challenges in robotic needle steering. First off, the motivations, including clinical motivations behind needle steering, are demonstrated, and then the state of the art of the different needle steering techniques in the literature are analyzed. This includes their modeling, path planning, control, and clinical applications. Finally, a discussion of the advantages and limitations of the existing techniques that hindered the clinical acceptance of the steerable needles, along with suggestions to get these needles closer to their clinical applications, as well as concluding remarks, is provided.</t>
  </si>
  <si>
    <t>[Babaiasl, Mahdieh; Yang, Fan; Swensen, John Paul] Washington State Univ, Pullman, WA 99164 USA</t>
  </si>
  <si>
    <t>Washington State University</t>
  </si>
  <si>
    <t>Babaiasl, M (corresponding author), Washington State Univ, Pullman, WA 99164 USA.</t>
  </si>
  <si>
    <t>mahdieh.babaiasl@wsu.edu</t>
  </si>
  <si>
    <t>Yang, Fan/JGM-1775-2023; Swensen, John/AAC-8194-2020; Babaiasl, Mahdieh/U-9822-2019</t>
  </si>
  <si>
    <t>Babaiasl, Mahdieh/0000-0002-3652-5795</t>
  </si>
  <si>
    <t>1861-2776</t>
  </si>
  <si>
    <t>1861-2784</t>
  </si>
  <si>
    <t>INTEL SERV ROBOT</t>
  </si>
  <si>
    <t>Intell. Serv. Robot.</t>
  </si>
  <si>
    <t>10.1007/s11370-022-00446-2</t>
  </si>
  <si>
    <t>5Q5BA</t>
  </si>
  <si>
    <t>WOS:000865207100001</t>
  </si>
  <si>
    <t>Sánchez, AB; Ortega, AB; Rayón, EM; Becerra, FAG; Pliego, AA; Amezcua, RC; Valdivia, CHG</t>
  </si>
  <si>
    <t>Barrera Sanchez, Agustin; Blanco Ortega, Andres; Martinez Rayon, Eladio; Gomez Becerra, Fabio Abel; Abundez Pliego, Arturo; Campos Amezcua, Rafael; Guzman Valdivia, Cesar Humberto</t>
  </si>
  <si>
    <t>State of the Art Review of Active and Passive Knee Orthoses</t>
  </si>
  <si>
    <t>orthosis; knee; design; joints; actuators; mechanical systems; control; human locomotion</t>
  </si>
  <si>
    <t>LOWER-LIMB EXOSKELETONS; VARIABLE STIFFNESS ACTUATOR; SIT-TO-STAND; DESIGN; COMPLIANT; JOINT</t>
  </si>
  <si>
    <t>The use of specialized devices, such as orthopedic devices, has become indispensable in the lives of people with disabilities since ancient times. The primary purpose of such devices is to perform activities and solve problems that afflict their bearers in any extremity of their body. One of the most recurrent problems occurs in the lower extremities regarding mobility and autonomy. In addition, the use of orthopedic devices is considered a tool to lighten the repetitive and heavy rehabilitation work of physiotherapists while improving the patient's recovery efficiency. A significant challenge is that a great variety of these devices are similar in their design and manufacture, complicating their application in rehabilitation processes. For these reasons, this article aims to provide an overview of the features and considerations made in the architecture of orthosis designs, emphasizing lower extremity orthoses for the case of knee joint analysis. A literature review of active and passive knee orthoses manufactured from the 1970s to the present was carried out, considering aspects such as manufacturing materials, mechanical systems, types of actuators, and control strategies. This review shows that the designs and development of orthoses have been abundant in these devices for lower limbs. Based on the literature collected, we have studied the main robotic devices focusing on the characteristics of design, manufacturing, and control systems to assist in human locomotion and support in rehabilitation processes.</t>
  </si>
  <si>
    <t>[Barrera Sanchez, Agustin; Blanco Ortega, Andres; Martinez Rayon, Eladio; Abundez Pliego, Arturo; Campos Amezcua, Rafael] Tecnol Nacl Mexico, Dept Ingn Mecan, Ctr Nacl Invest &amp; Desarrollo Tecnol, Cuernavaca 62490, Morelos, Mexico; [Gomez Becerra, Fabio Abel] Tecnol Nacl Mexico, Inst Tecnol Jose Mario Molina Pasquel &amp; Henriquez, Campus Puerto Vallarta, Puerto Vallarta 48338, Jalisco, Mexico; [Guzman Valdivia, Cesar Humberto] Autonomous Univ Aguascalientes, Dept Mech Engn, Aguascalientes 20100, Aguascalientes, Mexico</t>
  </si>
  <si>
    <t>Universidad Autonoma de Aguascalientes</t>
  </si>
  <si>
    <t>Ortega, AB (corresponding author), Tecnol Nacl Mexico, Dept Ingn Mecan, Ctr Nacl Invest &amp; Desarrollo Tecnol, Cuernavaca 62490, Morelos, Mexico.</t>
  </si>
  <si>
    <t>andres.bo@cenidet.tecnm.mx</t>
  </si>
  <si>
    <t>Campos-Amezcua, Rafael/AAT-4152-2020; Abúndez-Pliego, Arturo/N-8195-2016; BLANCO ORTEGA, ANDRES/HKN-0647-2023</t>
  </si>
  <si>
    <t>Gomez Becerra, Fabio Abel/0000-0002-0431-0810; Campos Amezcua, Rafael/0000-0003-3380-2598; Martinez, Eladio/0000-0003-3846-6888; Blanco Ortega, Andres/0000-0002-0088-6863; Barrera Sanchez, Agustin/0000-0002-4547-3739; Abundez-Pliego, Arturo/0000-0001-8220-4338</t>
  </si>
  <si>
    <t>National Council for Research and Technological Development</t>
  </si>
  <si>
    <t>This work has been carried out under the financing of the National Council for Research and Technological Development through doctoral support for researchers.</t>
  </si>
  <si>
    <t>10.3390/machines10100865</t>
  </si>
  <si>
    <t>5S3NI</t>
  </si>
  <si>
    <t>WOS:000875100700001</t>
  </si>
  <si>
    <t>Hans, S; Baudouin, R; Circiu, MP; Couineau, F; Lisan, Q; Crevier-Buchman, L; Lechien, JR</t>
  </si>
  <si>
    <t>Hans, Stephane; Baudouin, Robin; Circiu, Marta P.; Couineau, Florent; Lisan, Quentin; Crevier-Buchman, Lise; Lechien, Jerome R.</t>
  </si>
  <si>
    <t>Laryngeal Cancer Surgery: History and Current Indications of Transoral Laser Microsurgery and Transoral Robotic Surgery</t>
  </si>
  <si>
    <t>laryngeal cancer; history; minimally invasive surgery; transoral laser microsurgery; transoral robotic surgery</t>
  </si>
  <si>
    <t>GLOTTIC CANCER; EXPERIENCE; CARCINOMA; CORDECTOMY; LESIONS</t>
  </si>
  <si>
    <t>The development of transoral laser microsurgery (TLM) was an important step in the history of conservative laryngeal surgery. TLM reported comparable oncological outcomes and better functional postoperative and rehabilitation outcomes than open partial laryngectomy. TLM is currently considered as the standard surgical approach for early-stage laryngeal carcinoma. However, TLM has many limitations, including the limited view of the surgical field through the laryngoscope, exposure difficulties for some tumor locations, and a long learning curve. The development of transoral robotic surgery (TORS) appears to be an important issue to overcome these limitations. The current robotic technologies used in surgery benefited from the research of the U.S. Military and National Aeronautics and Space Administration (NASA) in the 1970s and 1980s. The first application in humans started in the 2000s with the first robotic-assisted cholecystectomy in the US, performed by a surgeon located in France. The use of robots in otolaryngology occurred after the development of the Da Vinci system in digestive surgery, urology, and gynecology, and mainly concerns cT1-T2 and some selected cT3 oropharyngeal and supraglottic carcinomas. With the development of a new robotic system with smaller arms and instruments, TORS indications will probably evolve in the next few years, leading to better outcomes for laryngeal or hypopharyngeal carcinomas.</t>
  </si>
  <si>
    <t>[Hans, Stephane; Baudouin, Robin; Circiu, Marta P.; Couineau, Florent; Lisan, Quentin; Crevier-Buchman, Lise; Lechien, Jerome R.] Univ Versailles St Quentin en Yvelines, Paris Saclay Univ, Foch Hosp, UFR Simone Veil,Sch Med,Dept Otorhinolaryngol &amp; H, F-92150 Paris, France; [Lechien, Jerome R.] Univ Mons UMons, EpiCURA Hosp, UMONS Res Inst Hlth Sci &amp; Technol, Div Laryngol &amp; Bronchoesophagol, B-7000 Mons, Belgium; [Lechien, Jerome R.] Polyclin Poitiers Elsan, F-86000 Poitiers, France</t>
  </si>
  <si>
    <t>Universite Paris Saclay; Hospital Foch; University of Mons</t>
  </si>
  <si>
    <t>Lechien, JR (corresponding author), Univ Versailles St Quentin en Yvelines, Paris Saclay Univ, Foch Hosp, UFR Simone Veil,Sch Med,Dept Otorhinolaryngol &amp; H, F-92150 Paris, France.;Lechien, JR (corresponding author), Univ Mons UMons, EpiCURA Hosp, UMONS Res Inst Hlth Sci &amp; Technol, Div Laryngol &amp; Bronchoesophagol, B-7000 Mons, Belgium.;Lechien, JR (corresponding author), Polyclin Poitiers Elsan, F-86000 Poitiers, France.</t>
  </si>
  <si>
    <t>jerome.lechien@umons.ac.be</t>
  </si>
  <si>
    <t>Crevier Buchman, Lise/0000-0002-2900-0528; Lechien, Jerome/0000-0002-0845-0845; Baudouin, Robin/0000-0002-4039-4310</t>
  </si>
  <si>
    <t>10.3390/jcm11195769</t>
  </si>
  <si>
    <t>5G3LA</t>
  </si>
  <si>
    <t>WOS:000866902500001</t>
  </si>
  <si>
    <t>Kalita, B; Leonessa, A; Dwivedy, SK</t>
  </si>
  <si>
    <t>Kalita, Bhaben; Leonessa, Alexander; Dwivedy, Santosha K.</t>
  </si>
  <si>
    <t>A Review on the Development of Pneumatic Artificial Muscle Actuators: Force Model and Application</t>
  </si>
  <si>
    <t>pneumatic artificial muscle; actuator; robotics; force model; flexible; soft structure</t>
  </si>
  <si>
    <t>MECHANICAL PERFORMANCE; NONLINEAR DYNAMICS; PAM ACTUATOR; REHABILITATION; EXOSKELETON; ROBOT; MANIPULATOR; SYSTEM; DRIVEN; POWER</t>
  </si>
  <si>
    <t>Pneumatic artificial muscles (PAMs) are soft and flexible linear pneumatic actuators which produce human muscle like actuation. Due to these properties, the muscle actuators have an adaptable compliance for various robotic platforms as well as medical applications. While a variety of possible actuation schemes are present, there is still a need for the development of a soft actuator that is very light-weight, compact, and flexible with high power-to-weight ratio. To achieve this, the development of the PAM actuators has become an interesting topic for many researchers. In this review, the development of the different kinds of PAM available to date are presented along with manufacturing process and the operating principle. The various force models for artificial muscle presented in the literature are broadly reviewed with the constraints. Furthermore, the applications of PAM are included and classified based on the fields of biorobotics, medicine, and industry, along with advanced medical instrumentation. Finally, the needful improvements in terms of the dynamics of the muscle are discussed for the precise control of the PAMs as per the requirements for the applications. This review will be helpful for researchers working in the field of robotics and for designers to develop new type of artificial muscle depending on the applications.</t>
  </si>
  <si>
    <t>[Kalita, Bhaben; Leonessa, Alexander] Virginia Tech, Terr Robot Engn &amp; Controls TREC Lab, Blacksburg, VA 24060 USA; [Kalita, Bhaben; Dwivedy, Santosha K.] Indian Inst Technol Guwahati, Dept Mech Engn, Gauhati 781039, Assam, India</t>
  </si>
  <si>
    <t>Virginia Polytechnic Institute &amp; State University; Indian Institute of Technology System (IIT System); Indian Institute of Technology (IIT) - Guwahati</t>
  </si>
  <si>
    <t>Kalita, B (corresponding author), Virginia Tech, Terr Robot Engn &amp; Controls TREC Lab, Blacksburg, VA 24060 USA.;Kalita, B (corresponding author), Indian Inst Technol Guwahati, Dept Mech Engn, Gauhati 781039, Assam, India.</t>
  </si>
  <si>
    <t>bhaben@vt.edu</t>
  </si>
  <si>
    <t>KALITA, BHABEN/Y-3175-2019</t>
  </si>
  <si>
    <t>Leonessa, Alexander/0000-0001-9317-2714</t>
  </si>
  <si>
    <t>10.3390/act11100288</t>
  </si>
  <si>
    <t>5R0EQ</t>
  </si>
  <si>
    <t>WOS:000874194000001</t>
  </si>
  <si>
    <t>Montoro-Cárdenas, D; Cortés-Pérez, I; Ibancos-Losada, MD; Zagalaz-Anula, N; Obrero-Gaitán, E; Osuna-Pérez, MC</t>
  </si>
  <si>
    <t>Montoro-Cardenas, Desiree; Cortes-Perez, Irene; del Rocio Ibancos-Losada, Maria; Zagalaz-Anula, Noelia; Obrero-Gaitan, Esteban; Catalina Osuna-Perez, Maria</t>
  </si>
  <si>
    <t>Nintendo® Wii Therapy Improves Upper Extremity Motor Function in Children with Cerebral Palsy: A Systematic Review with Meta-Analysis</t>
  </si>
  <si>
    <t>Nintendo (R) Wii; videogames; cerebral palsy; upper extremity; grip strength; hand dexterity; arm functional movements; meta-analysis</t>
  </si>
  <si>
    <t>UPPER-LIMB FUNCTION; QUALITY-OF-LIFE; VIRTUAL-REALITY; CONVENTIONAL THERAPY; NEURAL PLASTICITY; ROBOTIC THERAPY; SINGLE-BLIND; REHABILITATION; BALANCE; PILOT</t>
  </si>
  <si>
    <t>Background: Nintendo (R) Wii-based therapy (NWT) is a non-immersive virtual reality therapy used to recover upper extremity (UE) motor function in children with cerebral palsy (CP). We aimed primarily to elucidate the effectiveness of NWT in improving UE motor and functional impaired abilities in children with CP, compared to conventional therapy or no intervention. The secondary aim was to assess if NWT is more effective when used alone or combined with conventional therapy. Methods: A systematic review with meta-analysis was conducted from a bibliographic search in PubMed, Scopus, PEDro, Web of Science, and CINHAL, ending in October 2021, in accordance with PRISMA guidelines. We included randomized controlled trials that compared NWT vs. conventional therapy or no intervention in terms of their impact on different UE impaired abilities (grip strength, tip grip strength, UE dissociated movements, functional capacity in daily living activities, gross and fine motor dexterity, and grasping ability) in children with CP. Effect size was calculated with standardized mean difference (SMD) and its 95% confidence interval (95% CI). Results: Nine studies (276 participants) were included. NWT is more effective than conventional therapy at improving grip strength (SMD = 0.5, 95% CI 0.08, 0.91), tip grip strength (SMD = 0.95, 95% CI 0.3, 1.61), and grasping ability (SMD = 0.72, 95% CI 0.14, 1.3). NWT is more effective than conventional therapy at improving functional capacity in daily living activities (SMD = 0.83, 95% CI 0.07, 1.56). For fine manual dexterity, NWT was better than no intervention (SMD = 3.12, 95% CI 1.5, 4.7). Conclusions: Our results indicate that NWT is effective at improving various UE impaired motor skills in children with CP.</t>
  </si>
  <si>
    <t>[Montoro-Cardenas, Desiree; Cortes-Perez, Irene; del Rocio Ibancos-Losada, Maria; Zagalaz-Anula, Noelia; Obrero-Gaitan, Esteban; Catalina Osuna-Perez, Maria] Univ Jaen, Fac Hlth Sci, Dept Hlth Sci, Campus Las Lagunillas S-N, Jaen 23071, Spain</t>
  </si>
  <si>
    <t>Universidad de Jaen</t>
  </si>
  <si>
    <t>Obrero-Gaitán, E (corresponding author), Univ Jaen, Fac Hlth Sci, Dept Hlth Sci, Campus Las Lagunillas S-N, Jaen 23071, Spain.</t>
  </si>
  <si>
    <t>Zagalaz-Anula, Noelia/AAE-9027-2021; Pérez, María/L-7770-2014; Obrero-Gaitán, Esteban/HPF-9474-2023</t>
  </si>
  <si>
    <t>Obrero-Gaitan, Esteban/0000-0002-8430-5500; Osuna-Perez, Maria Catalina/0000-0003-1293-2983; Montoro-Cardenas, Desiree/0000-0002-5922-1313; Ibancos Losada, Maria del Rocio/0000-0001-6233-1786; ZAGALAZ-ANULA, NOELIA/0000-0002-7105-9865</t>
  </si>
  <si>
    <t>10.3390/ijerph191912343</t>
  </si>
  <si>
    <t>5G2NE</t>
  </si>
  <si>
    <t>WOS:000866840000001</t>
  </si>
  <si>
    <t>Nistor-Cseppento, CD; Gherle, A; Negrut, N; Bungau, SG; Sabau, AM; Radu, AF; Bungau, AF; Tit, DM; Uivaraseanu, B; Ghitea, TC; Uivarosan, D</t>
  </si>
  <si>
    <t>Nistor-Cseppento, Carmen Delia; Gherle, Anamaria; Negrut, Nicoleta; Bungau, Simona Gabriela; Sabau, Anca Maria; Radu, Andrei-Flavius; Bungau, Alexa Florina; Tit, Delia Mirela; Uivaraseanu, Bogdan; Ghitea, Timea Claudia; Uivarosan, Diana</t>
  </si>
  <si>
    <t>The Outcomes of Robotic Rehabilitation Assisted Devices Following Spinal Cord Injury and the Prevention of Secondary Associated Complications</t>
  </si>
  <si>
    <t>spinal cord injuries; associated complications; robotic devices; neuro-motor rehabilitation; recovery</t>
  </si>
  <si>
    <t>NONINVASIVE BRAIN-STIMULATION; QUALITY-OF-LIFE; UPPER-LIMB; CARDIOVASCULAR FUNCTION; VIRTUAL-REALITY; BONE-DENSITY; GAIT; INDIVIDUALS; PEOPLE; EXOSKELETON</t>
  </si>
  <si>
    <t>Spinal cord injuries (SCIs) have major consequences on the patient's health and life. Voluntary muscle paralysis caused by spinal cord damage affects the patient's independence. Following SCI, an irreversible motor and sensory deficit occurs (spasticity, muscle paralysis, atrophy, pain, gait disorders, pain). This pathology has implications on the whole organism: on the osteoarticular, muscular, cardiovascular, respiratory, gastrointestinal, genito-urinary, skin, metabolic disorders, and neuro-psychic systems. The rehabilitation process for a subject having SCIs can be considered complex, since the pathophysiological mechanism and biochemical modifications occurring at the level of spinal cord are not yet fully elucidated. This review aims at evaluating the impact of robotic-assisted rehabilitation in subjects who have suffered SCI, both in terms of regaining mobility as a major dysfunction in patients with SCI, but also in terms of improving overall fitness and cardiovascular function, respiratory function, as well as the gastrointestinal system, bone density and finally the psychosocial issues, based on multiple clinical trials, and pilot studies. The researched literature in the topic revealed that in order to increase the chances of neuro-motor recovery and to obtain satisfactory results, the combination of robotic therapy, a complex recovery treatment and specific medication is one of the best decisions. Furthermore, the use of these exoskeletons facilitates better/greater autonomy for patients, as well as optimal social integration.</t>
  </si>
  <si>
    <t>[Nistor-Cseppento, Carmen Delia; Negrut, Nicoleta] Univ Oradea, Fac Med &amp; Pharm, Dept Psycho Neurosci &amp; Recovery, Oradea 410073, Romania; [Gherle, Anamaria] President Medctr Baile Felix, Baile Felix 417500, Romania; [Bungau, Simona Gabriela; Radu, Andrei-Flavius; Bungau, Alexa Florina; Tit, Delia Mirela; Uivaraseanu, Bogdan] Univ Oradea, Doctoral Sch Biol &amp; Biomed Sci, Oradea 410087, Romania; [Bungau, Simona Gabriela; Tit, Delia Mirela; Ghitea, Timea Claudia] Univ Oradea, Fac Med &amp; Pharm, Dept Pharm, Oradea 410028, Romania; [Sabau, Anca Maria] Univ Oradea, Fac Geog Tourism &amp; Sport, Dept Phys Educ Sport &amp; Phys Therapy, Oradea 410087, Romania; [Radu, Andrei-Flavius; Uivarosan, Diana] Univ Oradea, Fac Med &amp; Pharm, Dept Preclin Disciplines, Oradea 410073, Romania</t>
  </si>
  <si>
    <t>University of Oradea; University of Oradea; University of Oradea; University of Oradea; University of Oradea</t>
  </si>
  <si>
    <t>Bungau, SG; Bungau, AF (corresponding author), Univ Oradea, Doctoral Sch Biol &amp; Biomed Sci, Oradea 410087, Romania.;Bungau, SG (corresponding author), Univ Oradea, Fac Med &amp; Pharm, Dept Pharm, Oradea 410028, Romania.</t>
  </si>
  <si>
    <t>sbungau@uoradea.ro; pradaalexaflorina@gmail.com</t>
  </si>
  <si>
    <t>Uivarosan, Diana/AAT-6035-2020; Nistor-Cseppento, Carmen/AAC-2634-2022; Tit, Delia/AAT-5032-2020; Gherle, Anamaria/KIB-6693-2024; Bungau, Simona Gabriela/C-1831-2015; Radu, Andrei-Flavius/AAD-3129-2022; Bungau, Alexa/AGY-4752-2022; Uivaraseanu, Bogdan/AAD-5077-2022; Negrut, Nicoleta/AAW-4135-2020; Ghitea, Timea Claudia/AAJ-4273-2021; Sabau, Anca-Maria/AGN-3334-2022</t>
  </si>
  <si>
    <t>Ghitea, Timea Claudia/0000-0001-8981-1958; RADU, ANDREI-FLAVIUS/0000-0002-7625-8177; Nistor Cseppento, Delia Carmen/0000-0002-6485-7180; Sabau, Anca-Maria/0000-0002-0624-4714; NEGRUT, NICOLETA/0000-0002-0380-3381; Bungau, Alexa/0000-0002-7300-3646; Tit, Delia Mirela/0000-0002-0296-6592</t>
  </si>
  <si>
    <t>University of Oradea, Oradea, Romania; Romanian Ministry of Research, Innovation, and Digitization [29 PFE]</t>
  </si>
  <si>
    <t>University of Oradea, Oradea, Romania; Romanian Ministry of Research, Innovation, and Digitization(Ministry of Research, Innovation and Digitization - Romania)</t>
  </si>
  <si>
    <t>The APC was funded by the University of Oradea, Oradea, Romania, and the research was funded by the Romanian Ministry of Research, Innovation, and Digitization through Program 1Development of the National Research and Development System, Subprogram 1.2-Institutional Performance-Projects for funding the excellence in RDI, Contract No. 29 PFE/30.12.2021 with the University of Oradea, Oradea, Romania..</t>
  </si>
  <si>
    <t>10.3390/medicina58101447</t>
  </si>
  <si>
    <t>5P6HC</t>
  </si>
  <si>
    <t>WOS:000873249100001</t>
  </si>
  <si>
    <t>Pinheiro, C; Figueiredo, J; Cerqueira, J; Santos, CP</t>
  </si>
  <si>
    <t>Pinheiro, Cristiana; Figueiredo, Joana; Cerqueira, Joao; Santos, Cristina P.</t>
  </si>
  <si>
    <t>Robotic Biofeedback for Post-Stroke Gait Rehabilitation: A Scoping Review</t>
  </si>
  <si>
    <t>biofeedback mode; biofeedback parameter; human sensing; motor recovery; robotics rehabilitation; sensorimotor augmentation; stroke</t>
  </si>
  <si>
    <t>VISUAL FEEDBACK; STROKE PATIENTS; IMPROVES; PERFORMANCE; SYMMETRY; THERAPY; BALANCE; WALKING; GAMES</t>
  </si>
  <si>
    <t>This review aims to recommend directions for future research on robotic biofeedback towards prompt post-stroke gait rehabilitation by investigating the technical and clinical specifications of biofeedback systems (BSs), including the complementary use with assistive devices and/or physiotherapist-oriented cues. A literature search was conducted from January 2019 to September 2022 on Cochrane, Embase, PubMed, PEDro, Scopus, and Web of Science databases. Data regarding technical (sensors, biofeedback parameters, actuators, control strategies, assistive devices, physiotherapist-oriented cues) and clinical (participants' characteristics, protocols, outcome measures, BSs' effects) specifications of BSs were extracted from the relevant studies. A total of 31 studies were reviewed, which included 660 stroke survivors. Most studies reported visual biofeedback driven according to the comparison between real-time kinetic or spatiotemporal data from wearable sensors and a threshold. Most studies achieved statistically significant improvements on sensor-based and clinical outcomes between at least two evaluation time points. Future research should study the effectiveness of using multiple wearable sensors and actuators to provide personalized biofeedback to users with multiple sensorimotor deficits. There is space to explore BSs complementing different assistive devices and physiotherapist-oriented cues according to their needs. There is a lack of randomized-controlled studies to explore post-stroke stage, mental and sensory effects of BSs.</t>
  </si>
  <si>
    <t>[Pinheiro, Cristiana; Figueiredo, Joana; Santos, Cristina P.] Univ Minho, Ctr MicroElectroMech Syst CMEMS, P-4800058 Guimaraes, Portugal; [Pinheiro, Cristiana; Figueiredo, Joana; Santos, Cristina P.] Univ Minho, LABBELS Associate Lab, P-4800058 Guimaraes, Portugal; [Cerqueira, Joao] Univ Minho, Life &amp; Hlth Sci Res Inst ICVS, P-4710057 Braga, Portugal; [Cerqueira, Joao; Santos, Cristina P.] Hosp Braga, Clin Acad Ctr 2CA Braga, P-4710243 Braga, Portugal</t>
  </si>
  <si>
    <t>Universidade do Minho; Universidade do Minho; Universidade do Minho; Hospital de Braga</t>
  </si>
  <si>
    <t>Santos, CP (corresponding author), Univ Minho, Ctr MicroElectroMech Syst CMEMS, P-4800058 Guimaraes, Portugal.;Santos, CP (corresponding author), Univ Minho, LABBELS Associate Lab, P-4800058 Guimaraes, Portugal.;Santos, CP (corresponding author), Hosp Braga, Clin Acad Ctr 2CA Braga, P-4710243 Braga, Portugal.</t>
  </si>
  <si>
    <t>cristina@dei.uminho.pt</t>
  </si>
  <si>
    <t>Cerqueira, Joao/AAF-4149-2020; Figueiredo, Joana/AAG-9582-2019; Pinheiro, Cristiana/IQT-1312-2023; Cerqueira, Joao/B-4579-2008; Santos, Cristina/L-8716-2014</t>
  </si>
  <si>
    <t>Cerqueira, Joao/0000-0003-3155-2775; Santos, Cristina/0000-0003-0023-7203; Pinheiro, Cristiana/0000-0002-7499-4162; Figueiredo, Joana/0000-0001-9547-3051</t>
  </si>
  <si>
    <t>FEDER Funds through the COMPETE 2020-Programa Operacional Competitividade e Internacionalizacao (POCI); P2020 with the Reference Project SmartOs Grant [POCI-01-0247-FEDER-039868]; FCT [UIDB/04436/2020, UIDP/04436/2020, 2020.05709.BD, 2020.03393.CEECIND]</t>
  </si>
  <si>
    <t>FEDER Funds through the COMPETE 2020-Programa Operacional Competitividade e Internacionalizacao (POCI)(European Union (EU)); P2020 with the Reference Project SmartOs Grant; FCT(Fundacao para a Ciencia e a Tecnologia (FCT))</t>
  </si>
  <si>
    <t>This work has been supported in part by the FEDER Funds through the COMPETE 2020-Programa Operacional Competitividade e Internacionalizacao (POCI) and P2020 with the Reference Project SmartOs Grant POCI-01-0247-FEDER-039868, and by FCT national funds, under the national support to R&amp;D units grant, through the reference project UIDB/04436/2020 and UIDP/04436/2020, under scholarship reference 2020.05709.BD, and under Stimulus of Scientific Employment with the grant 2020.03393.CEECIND.</t>
  </si>
  <si>
    <t>10.3390/s22197197</t>
  </si>
  <si>
    <t>5G8UB</t>
  </si>
  <si>
    <t>WOS:000867265900001</t>
  </si>
  <si>
    <t>Stockbridge, MD; Bunker, LD; Hillis, AE</t>
  </si>
  <si>
    <t>Stockbridge, Melissa D.; Bunker, Lisa D.; Hillis, Argye E.</t>
  </si>
  <si>
    <t>Reversing the Ruin: Rehabilitation, Recovery, and Restoration After Stroke</t>
  </si>
  <si>
    <t>Stroke; Rehabilitation; Physiatry; Aphasia; Technology</t>
  </si>
  <si>
    <t>DIRECT-CURRENT STIMULATION; TRANSCRANIAL MAGNETIC STIMULATION; ACQUIRED BRAIN-INJURY; POSTSTROKE APHASIA; DOUBLE-BLIND; HEMISPATIAL NEGLECT; TREATMENT INTENSITY; SPATIAL NEGLECT; MOTOR RECOVERY; OPEN-LABEL</t>
  </si>
  <si>
    <t>Purpose of Review Stroke is a common cause of disability in aging adults. A given individual's needs after stroke vary as a function of the stroke extent and location. The purpose of this review was to discuss recent clinical investigations addressing rehabilitation of an array of overlapping functional domains. Recent Findings Research is ongoing in the domains of movement, cognition, attention, speech, language, swallowing, and mental health. To best assist patients' recovery, innovative research has sought to develop and evaluate behavioral approaches, identify and refine synergistic approaches that augment the response to behavioral therapy, and integrate technology where appropriate, particularly to introduce and titrate real-world complexity and improve the overall experience of therapy. Recent and ongoing trials have increasingly adopted a multidisciplinary nature - augmenting refined behavioral therapy approaches with methods for increasing their potency, such as pharmaceutical or electrical interventions. The integration of virtual reality, robotics, and other technological advancements has generated immense excitement, but has not resulted in consistent improvements over more universally accessible, lower technology therapy.</t>
  </si>
  <si>
    <t>[Stockbridge, Melissa D.; Bunker, Lisa D.; Hillis, Argye E.] Johns Hopkins Univ, Sch Med, Dept Neurol, 600 North Wolfe St,Phipps 4,Suite 446, Baltimore, MD 21287 USA</t>
  </si>
  <si>
    <t>Johns Hopkins University</t>
  </si>
  <si>
    <t>Stockbridge, MD (corresponding author), Johns Hopkins Univ, Sch Med, Dept Neurol, 600 North Wolfe St,Phipps 4,Suite 446, Baltimore, MD 21287 USA.</t>
  </si>
  <si>
    <t>md.stockbridge@jhmi.edu</t>
  </si>
  <si>
    <t>Stockbridge, Melissa/AAP-7382-2020; Bunker, Lisa/KHE-4795-2024</t>
  </si>
  <si>
    <t>Stockbridge, Melissa/0000-0001-9069-1236; Bunker, Lisa/0000-0001-9637-3204</t>
  </si>
  <si>
    <t>National Institutes of Health/National Institute on Deafness and Other Communication Disorders (NIH/NIDCD) [P50 DC014664, R01 DC05375, R01 DC015466]; National Institute on Deafness and Other Communication Disorders [R01DC005375, R01DC015466] Funding Source: NIH RePORTER</t>
  </si>
  <si>
    <t>National Institutes of Health/National Institute on Deafness and Other Communication Disorders (NIH/NIDCD)(United States Department of Health &amp; Human ServicesNational Institutes of Health (NIH) - USANIH National Institute on Deafness &amp; Other Communication Disorders (NIDCD)); National Institute on Deafness and Other Communication Disorders(United States Department of Health &amp; Human ServicesNational Institutes of Health (NIH) - USANIH National Institute on Deafness &amp; Other Communication Disorders (NIDCD))</t>
  </si>
  <si>
    <t>This work is supported by National Institutes of Health/National Institute on Deafness and Other Communication Disorders (NIH/NIDCD): P50 DC014664, R01 DC05375, and R01 DC015466.</t>
  </si>
  <si>
    <t>10.1007/s11910-022-01231-5</t>
  </si>
  <si>
    <t>5X6DE</t>
  </si>
  <si>
    <t>WOS:000862525500002</t>
  </si>
  <si>
    <t>Behboodi, A; Lee, WA; Hinchberger, VS; Damiano, DL</t>
  </si>
  <si>
    <t>Behboodi, Ahad; Lee, Walker A.; Hinchberger, Victoria S.; Damiano, Diane L.</t>
  </si>
  <si>
    <t>Determining optimal mobile neurofeedback methods for motor neurorehabilitation in children and adults with non-progressive neurological disorders: a scoping review</t>
  </si>
  <si>
    <t>Brain computer interface; BCI; Rehabilitation; Stroke; Motor training; Brain state-dependent stimulation; Cerebral palsy; Neuroplasticity</t>
  </si>
  <si>
    <t>BRAIN-COMPUTER-INTERFACE; NEUROMUSCULAR ELECTRICAL-STIMULATION; CHRONIC STROKE PATIENTS; CEREBRAL-PALSY; BCI; RECOVERY; REHABILITATION; NEUROPLASTICITY; PERFORMANCE; EFFICACY</t>
  </si>
  <si>
    <t>Background Brain-computer interfaces (BCI), initially designed to bypass the peripheral motor system to externally control movement using brain signals, are additionally being utilized for motor rehabilitation in stroke and other neurological disorders. Also called neurofeedback training, multiple approaches have been developed to link motor-related cortical signals to assistive robotic or electrical stimulation devices during active motor training with variable, but mostly positive, functional outcomes reported. Our specific research question for this scoping review was: for persons with non-progressive neurological injuries who have the potential to improve voluntary motor control, which mobile BCI-based neurofeedback methods demonstrate or are associated with improved motor outcomes for Neurorehabilitation applications? Methods We searched PubMed, Web of Science, and Scopus databases with all steps from study selection to data extraction performed independently by at least 2 individuals. Search terms included: brain machine or computer interfaces, neurofeedback and motor; however, only studies requiring a motor attempt, versus motor imagery, were retained. Data extraction included participant characteristics, study design details and motor outcomes. Results From 5109 papers, 139 full texts were reviewed with 23 unique studies identified. All utilized EEG and, except for one, were on the stroke population. The most commonly reported functional outcomes were the Fugl-Meyer Assessment (FMA; n = 13) and the Action Research Arm Test (ARAT; n = 6) which were then utilized to assess effectiveness, evaluate design features, and correlate with training doses. Statistically and functionally significant pre-to post training changes were seen in FMA, but not ARAT. Results did not differ between robotic and electrical stimulation feedback paradigms. Notably, FMA outcomes were positively correlated with training dose. Conclusion This review on BCI-based neurofeedback training confirms previous findings of effectiveness in improving motor outcomes with some evidence of enhanced neuroplasticity in adults with stroke. Associative learning paradigms have emerged more recently which may be particularly feasible and effective methods for Neurorehabilitation. More clinical trials in pediatric and adult neurorehabilitation to refine methods and doses and to compare to other evidence-based training strategies are warranted.</t>
  </si>
  <si>
    <t>[Behboodi, Ahad; Lee, Walker A.; Hinchberger, Victoria S.; Damiano, Diane L.] NIH, Rehabil Med Dept, Bldg 10, Bethesda, MD 20892 USA</t>
  </si>
  <si>
    <t>National Institutes of Health (NIH) - USA</t>
  </si>
  <si>
    <t>Damiano, DL (corresponding author), NIH, Rehabil Med Dept, Bldg 10, Bethesda, MD 20892 USA.</t>
  </si>
  <si>
    <t>damianod@cc.nih.gov</t>
  </si>
  <si>
    <t>Behboodi, Ahad/ABI-2423-2020; Damiano, Diane/B-3338-2010</t>
  </si>
  <si>
    <t>Behboodi, Ahad/0000-0003-4193-4769</t>
  </si>
  <si>
    <t>National Institutes of Health (NIH); Intramural Research Program of the NIH Clinical Center [13-CC-0110]</t>
  </si>
  <si>
    <t>National Institutes of Health (NIH)(United States Department of Health &amp; Human ServicesNational Institutes of Health (NIH) - USA); Intramural Research Program of the NIH Clinical Center(United States Department of Health &amp; Human ServicesNational Institutes of Health (NIH) - USA)</t>
  </si>
  <si>
    <t>Open Access funding provided by the National Institutes of Health (NIH). This has been funded in part by the Intramural Research Program of the NIH Clinical Center (Protocol #13-CC-0110).</t>
  </si>
  <si>
    <t>SEP 28</t>
  </si>
  <si>
    <t>10.1186/s12984-022-01081-9</t>
  </si>
  <si>
    <t>4Y4AC</t>
  </si>
  <si>
    <t>WOS:000861468700001</t>
  </si>
  <si>
    <t>Robledo-Castro, C; Castillo-Ossa, LF; Corchado, JM</t>
  </si>
  <si>
    <t>Robledo-Castro, Carolina; Castillo-Ossa, Luis F.; Corchado, Juan M.</t>
  </si>
  <si>
    <t>Artificial Cognitive Systems Applied in Executive Function Stimulation and Rehabilitation Programs: A Systematic Review</t>
  </si>
  <si>
    <t>ARABIAN JOURNAL FOR SCIENCE AND ENGINEERING</t>
  </si>
  <si>
    <t>Computrized cognitive training; Artificial cognitive systems; Executive functions; Systematic review</t>
  </si>
  <si>
    <t>RANDOMIZED CONTROLLED-TRIAL; SUBSTANCE USE DISORDER; CHILDREN AGES 8-14; WORKING-MEMORY; OLDER-ADULTS; REMEDIATION THERAPY; CHILDHOOD-CANCER; HIGH-RISK; ATTENTION; GAME</t>
  </si>
  <si>
    <t>This article presents a systematic review of studies on cognitive training programs based on artificial cognitive systems and digital technologies and their effect on executive functions. The aim has been to identify which populations have been studied, the characteristics of the implemented programs, the types of implemented cognitive systems and digital technologies, the evaluated executive functions, and the key findings of these studies. The review has been carried out following the PRISMA protocol; five databases have been selected from which 1889 records were extracted. The articles were filtered following established criteria, to give a final selection of 264 articles that have been used for the purposes of this study in the analysis phase. The findings showed that the most studied populations were school-age children and the elderly. The most studied executive functions were working memory and attentional processes, followed by inhibitory control and processing speed. Many programs were commercial, customizable, gamified, and based on classic tasks. Some more recent initiatives have begun to incorporate user-machine interfaces, robotics, and virtual reality, although studies on their effects remain scarce. The studies recognize multiple benefits of computerized neuropsychological stimulation and rehabilitation programs for executive functions in different age groups, but there is a lack of studies in specific population sectors and with more rigorous research designs.</t>
  </si>
  <si>
    <t>[Robledo-Castro, Carolina] Univ Tolima, Curriculo Univ &amp; Soc Res Grp, Calle 42 1-02, Ibague 730006299, Colombia; [Robledo-Castro, Carolina; Castillo-Ossa, Luis F.] Univ Autonoma Manizales, Antigua Estn Ferrocarril, Ingn Software Res Grp, Manizales 170001, Colombia; [Castillo-Ossa, Luis F.] Univ Caldas, Inteligencia Artificial Res Grp, Calle 65 26-10, Manizales 170002, Colombia; [Castillo-Ossa, Luis F.] Univ Nacl Colombia, Dept Ingn Ind, Campus La Nubia, Manizales 170001, Colombia; [Corchado, Juan M.] Univ Salamanca, BISITE Res Grp, Calle Espejo S-N, Salamanca 37007, Spain; [Corchado, Juan M.] IoT Digital Innovat Hub, Air Inst, Salamanca 37188, Spain; [Corchado, Juan M.] Osaka Inst Technol, Dept Elect Informat &amp; Commun, Osaka 5358585, Japan</t>
  </si>
  <si>
    <t>Universidad del Tolima; Universidad Autonoma de Manizales; Universidad de Caldas; Universidad Nacional de Colombia; University of Salamanca; Osaka Institute of Technology</t>
  </si>
  <si>
    <t>Robledo-Castro, C (corresponding author), Univ Tolima, Curriculo Univ &amp; Soc Res Grp, Calle 42 1-02, Ibague 730006299, Colombia.;Robledo-Castro, C (corresponding author), Univ Autonoma Manizales, Antigua Estn Ferrocarril, Ingn Software Res Grp, Manizales 170001, Colombia.</t>
  </si>
  <si>
    <t>crobledoc@ut.edu.co; luis.castillo@ucaldas.edu.co; corchado@usal.es</t>
  </si>
  <si>
    <t>Pachon, Luis/HGE-5999-2022; Corchado, Juan/D-3229-2013</t>
  </si>
  <si>
    <t>Robledo-Castro, Carolina/0000-0002-8494-5305</t>
  </si>
  <si>
    <t>Artificial Cognitive Systems of the Cognitive Sciences Doctorate Program at Universidad Autonoma de Manizales</t>
  </si>
  <si>
    <t>The article shows a systematic review made between June 2020 and June 2021 as part of the doctoral work ascribed to the research line on Artificial Cognitive Systems of the Cognitive Sciences Doctorate Program at Universidad Autonoma de Manizales.</t>
  </si>
  <si>
    <t>2193-567X</t>
  </si>
  <si>
    <t>2191-4281</t>
  </si>
  <si>
    <t>ARAB J SCI ENG</t>
  </si>
  <si>
    <t>Arab. J. Sci. Eng.</t>
  </si>
  <si>
    <t>10.1007/s13369-022-07292-5</t>
  </si>
  <si>
    <t>SEP 2022</t>
  </si>
  <si>
    <t>F9BP0</t>
  </si>
  <si>
    <t>WOS:000861164600002</t>
  </si>
  <si>
    <t>Chini, G; Fiori, L; Tatarelli, A; Varrecchia, T; Draicchio, F; Ranavolo, A</t>
  </si>
  <si>
    <t>Chini, Giorgia; Fiori, Lorenzo; Tatarelli, Antonella; Varrecchia, Tiwana; Draicchio, Francesco; Ranavolo, Alberto</t>
  </si>
  <si>
    <t>Indexes for motor performance assessment in job integration/reintegration of people with neuromuscular disorders: A systematic review</t>
  </si>
  <si>
    <t>indexes; job reintegration; neurological disorders; monitoring; performance; biomechanics; ergonomics</t>
  </si>
  <si>
    <t>QUALITY-OF-LIFE; SPINAL-CORD-INJURY; MULTIPLE-SCLEROSIS; MUSCULOSKELETAL DISORDERS; WORK; DISABILITY; ATAXIA; TRUNK; PAIN; ACCOMMODATION</t>
  </si>
  <si>
    <t>Individuals of working age affected by neuromuscular disorders frequently experience issues with their capacity to get employment, difficulty at work, and premature work interruption. Anyway, individuals with a disability could be able to return to work, thanks to targeted rehabilitation as well as ergonomic and training interventions. Biomechanical and physiological indexes are important for evaluating motor and muscle performance and determining the success of job integration initiatives. Therefore, it is necessary to determinate which indexes from the literature are the most appropriate to evaluate the effectiveness and efficiency of the return-to-work programs. To identify current and future valuable indexes, this study uses a systematic literature review methodology for selecting articles published from 2011 to March 30, 2021 from Scopus, Web of Science, and PubMed and for checking the eligibility and the potential bias risks. The most used indexes for motor performance assessment were identified, categorized, and analyzed. This review revealed a great potential for kinetic, kinematic, surface electromyography, postural, and other biomechanical and physiological indexes to be used for job integration/reintegration. Indeed, wearable miniaturized sensors, kinematic, kinetic, and sEMG-based indexes can be used to control collaborative robots, classify residual motor functions, and assess pre-post-rehabilitation and ergonomic therapies.</t>
  </si>
  <si>
    <t>[Chini, Giorgia; Fiori, Lorenzo; Tatarelli, Antonella; Varrecchia, Tiwana; Draicchio, Francesco; Ranavolo, Alberto] Ist Nazl Assicuraz Infortuni Lavoro INAIL, Dept Occupat &amp; Environm Med, Epidemiol &amp; Hyg, Rome, Italy; [Fiori, Lorenzo] Sapienza Univ Rome, Dept Physiol &amp; Pharmacol, Rome, Italy; [Fiori, Lorenzo] Sapienza Univ Rome, PhD Program Behav Neurosci, Rome, Italy; [Tatarelli, Antonella] Sapienza Univ Rome, Dept Human Neurosci, Rome, Italy</t>
  </si>
  <si>
    <t>Sapienza University Rome; Sapienza University Rome; Sapienza University Rome</t>
  </si>
  <si>
    <t>Chini, G (corresponding author), Ist Nazl Assicuraz Infortuni Lavoro INAIL, Dept Occupat &amp; Environm Med, Epidemiol &amp; Hyg, Rome, Italy.</t>
  </si>
  <si>
    <t>g.chini@inail.it</t>
  </si>
  <si>
    <t>Ranavolo, Alberto/AAC-7576-2022; Francesco, Draicchio/AAC-7681-2022; VARRECCHIA, TIWANA/AAC-7561-2022; Chini, Giorgia/AAC-7572-2022</t>
  </si>
  <si>
    <t>TATARELLI, ANTONELLA/0000-0002-1315-1743</t>
  </si>
  <si>
    <t>European Union [871237]</t>
  </si>
  <si>
    <t>The research presented in this article was carried out as part of the SOPHIA Project, which has received funding from the European Union's Horizon 2020 Research and Innovation Program under Grant Agreement No. 871237.</t>
  </si>
  <si>
    <t>SEP 8</t>
  </si>
  <si>
    <t>10.3389/fneur.2022.968818</t>
  </si>
  <si>
    <t>4W7JW</t>
  </si>
  <si>
    <t>WOS:000860335500001</t>
  </si>
  <si>
    <t>Chockalingam, M; Vasanthan, LT; Balasubramanian, S; Sriram, V</t>
  </si>
  <si>
    <t>Chockalingam, Manigandan; Vasanthan, Lenny Thinagaran; Balasubramanian, Sivakumar; Sriram, Vimal</t>
  </si>
  <si>
    <t>Experiences of patients who had a stroke and rehabilitation professionals with upper limb rehabilitation robots: a qualitative systematic review protocol</t>
  </si>
  <si>
    <t>Stroke; REHABILITATION MEDICINE; QUALITATIVE RESEARCH</t>
  </si>
  <si>
    <t>ADOPTION</t>
  </si>
  <si>
    <t>Introduction Emerging evidence suggests that robotic devices for upper limb rehabilitation after a stroke may improve upper limb function. For robotic upper limb rehabilitation in stroke to be successful, patients' experiences and those of the rehabilitation professionals must be considered. Therefore, this review aims to synthesise the available evidence on experiences of patients after a stroke with rehabilitation robots for upper limb rehabilitation and the experiences of rehabilitation professionals with rehabilitation robots for upper limb stroke rehabilitation. Methods and analysis Database search will include MEDLINE (Ovid), EMBASE (Elsevier), Cochrane CENTRAL, PsycINFO, Scopus, Web of Science, IEEE and CINAHL (EBSCOhost). Grey literature from Open Grey, PsyArXiv, bioRxiv, medRxiv and Google Scholar will also be searched. Qualitative studies or results from mixed-method studies that include adult patients after a stroke who use upper limb rehabilitation robots, either supervised by rehabilitation professionals or by patients themselves, at any stage of their rehabilitation and/or stroke professionals who use upper limb rehabilitation robots will be included. Robotic upper limb rehabilitation provided by students, healthcare assistants, technicians, non-professional caregivers, family caregivers, volunteer caregivers or other informal caregivers will be excluded. Articles published in English will be considered regardless of date of publication. Studies will be screened and critically appraised for methodological quality by two independent reviewers. A standardised tool from JBI System for the Unified Management, Assessment and Review of Information for data extraction, the meta-aggregation approach for data synthesis and the ConQual approach for confidence evaluation will be followed. Ethics and dissemination As this systematic review is based on previously published research, no informed consent or ethical approval is required. It is anticipated that this systematic review will highlight the experiences of patients after a stroke and perceived facilitators and barriers for rehabilitation professionals on this topic, which will be disseminated through peer-reviewed publications and national and international conferences. PROSPERO registration number CRD42022321402.</t>
  </si>
  <si>
    <t>[Chockalingam, Manigandan] Natl Univ Ireland Galway, Occupat Therapy, Galway, Ireland; [Vasanthan, Lenny Thinagaran] Christian Med Coll Vellore, Physiotherapy Phys Med &amp; Rehabil, Vellore, Tamil Nadu, India; [Balasubramanian, Sivakumar] Christian Med Coll Vellore, Bioengn, Vellore, Tamil Nadu, India; [Sriram, Vimal] Univ Hosp Bristol &amp; Weston NHS Fdn Trust, Allied Hlth Profess, Bristol, Avon, England</t>
  </si>
  <si>
    <t>Ollscoil na Gaillimhe-University of Galway; Christian Medical College &amp; Hospital (CMCH) Vellore; Christian Medical College &amp; Hospital (CMCH) Vellore</t>
  </si>
  <si>
    <t>Vasanthan, LT (corresponding author), Christian Med Coll Vellore, Physiotherapy Phys Med &amp; Rehabil, Vellore, Tamil Nadu, India.</t>
  </si>
  <si>
    <t>lennyv@cmcvellore.ac.in</t>
  </si>
  <si>
    <t>Sriram, Vimal/AAK-9422-2020; Vasanthan, Lenny/V-4536-2019; Balasubramanian, Sivakumar/AEC-5073-2022; Chockalingam, Manigandan/AGK-4306-2022; Chockalingam, Manigandan/H-8479-2014</t>
  </si>
  <si>
    <t>Sriram, Vimal/0000-0003-2139-8591; Chockalingam, Manigandan/0000-0002-4235-6895</t>
  </si>
  <si>
    <t>e065177</t>
  </si>
  <si>
    <t>10.1136/bmjopen-2022-065177</t>
  </si>
  <si>
    <t>4W5UL</t>
  </si>
  <si>
    <t>WOS:000860227200037</t>
  </si>
  <si>
    <t>Garcia-Gonzalez, A; Fuentes-Aguilar, RQ; Salgado, I; Chairez, I</t>
  </si>
  <si>
    <t>Garcia-Gonzalez, Alejandro; Fuentes-Aguilar, Rita Q.; Salgado, Ivan; Chairez, Isaac</t>
  </si>
  <si>
    <t>A review on the application of autonomous and intelligent robotic devices in medical rehabilitation</t>
  </si>
  <si>
    <t>Therapeutic robots; Rehabilitation medicine; Automatic control; Artificial intelligence; Biosignal processing</t>
  </si>
  <si>
    <t>LOWER-LIMB ORTHOSES; ARTIFICIAL-INTELLIGENCE; ASSISTED REHABILITATION; VIRTUAL-REALITY; DESIGN; HAND; TECHNOLOGIES; TRENDS; ADAPTATION; FRAMEWORK</t>
  </si>
  <si>
    <t>Robot-assisted rehabilitation is an exciting field which aims to incorporate relevant developments in robotics related to rehabilitation with the intention of defining new methodologies for intervening problems related to muscular, neuromuscular, and osseous diseases. In this study, a systematic and comprehensive literature analysis is conducted to identify the contribution of artificial intelligence applied on robotic devices for motor rehabilitation, highlighting its relation with the rehabilitation cycle, and clarifying the prospective research directions in the development of more autonomous rehabilitation procedures. Considering this main goal, a summarized definition of general rehabilitation techniques is established. Then, such definition is particularized for technological-aided rehabilitating medical treatments implementing artificial intelligence methods, identifying the sections included within the process and the associated interaction degrees. This generic definition is analyzed using the current literature in muscle-skeletal treatment robotics as reference framework. This analysis considers the components and sections included in rehabilitation sequence. This review also describes a more in-depth description of the principal categories for classifying therapeutic robotic devices, including descriptions of the main past and present outcomes for each class of medical robotics for rehabilitation. The existing challenges and open options to develop more efficient autonomous (with the application of diverse artificial intelligence approaches) rehabilitating procedures are discoursed. Besides, taking into account this comprehensive review, a sequence of technical requires which must be taken into consideration when designing, developing and implementing autonomous robotic devices aimed to contribute to rehabilitation medical systems are deliberated. A brief description of the application of artificial intelligence and autonomous medical rehabilitation treatment is analyzed in terms of the exciting technical challenges and the ethical compromises that such a treatment option implies.</t>
  </si>
  <si>
    <t>[Garcia-Gonzalez, Alejandro] Tecnol Monterrey, Escuela Med &amp; Ciencias Salud, Zapopan, Jalisco, Mexico; [Fuentes-Aguilar, Rita Q.; Chairez, Isaac] Tecnol Monterrey, Escuela Ingn &amp; Ciencias, Zapopan, Jalisco, Mexico; [Salgado, Ivan] Inst Politecn Nacl, CIDETEC, Gustavo A Madero, Mexico; [Chairez, Isaac] Inst Politecn Nacl, UPIBI, Gustavo A Madero, Mexico</t>
  </si>
  <si>
    <t>Tecnologico de Monterrey; Tecnologico de Monterrey; Instituto Politecnico Nacional - Mexico; Instituto Politecnico Nacional - Mexico</t>
  </si>
  <si>
    <t>Chairez, I (corresponding author), Tecnol Monterrey, Escuela Ingn &amp; Ciencias, Zapopan, Jalisco, Mexico.;Chairez, I (corresponding author), Inst Politecn Nacl, UPIBI, Gustavo A Madero, Mexico.</t>
  </si>
  <si>
    <t>jchairezo@ipn.mx</t>
  </si>
  <si>
    <t>de Jesús Salgado Ramos, Iván/R-4696-2018; Poznyak, Alexander/U-1729-2019; FUENTES, RITA/AAA-2473-2021</t>
  </si>
  <si>
    <t>Garcia-Gonzalez, Alejandro/0000-0002-7250-4641; Chairez, Isaac/0000-0002-7157-2052</t>
  </si>
  <si>
    <t>National Polytechnic Institute via the Internal Call for Scientific and Research development [SIP 20190756]</t>
  </si>
  <si>
    <t>National Polytechnic Institute via the Internal Call for Scientific and Research development</t>
  </si>
  <si>
    <t>Isaac Chairez thanks the economical support provided by the National Polytechnic Institute via the Internal Call for Scientific and Research development with the Grant Number SIP 20190756.</t>
  </si>
  <si>
    <t>10.1007/s40430-022-03692-8</t>
  </si>
  <si>
    <t>3R1MO</t>
  </si>
  <si>
    <t>WOS:000838683600005</t>
  </si>
  <si>
    <t>Slucock, T</t>
  </si>
  <si>
    <t>Slucock, T.</t>
  </si>
  <si>
    <t>A Systematic Review of Low-Cost Actuator Implementations for Lower-Limb Exoskeletons: a Technical and Financial Perspective</t>
  </si>
  <si>
    <t>Actuator; Assistive Devices; Cost; Lower Limb Exoskeleton; Systematic Review; Wearable Robots</t>
  </si>
  <si>
    <t>ANKLE EXOSKELETON; ORTHOTIC DEVICE; DESIGN; ORTHOSIS; ENERGY; ROBOT; MUSCLE; DRIVEN</t>
  </si>
  <si>
    <t>A common issue with many commercial rehabilitative exoskeletons and orthoses are that they can be prohibitively expensive for an average individual to afford without additional financial support. Due to this a user may have limited to the usage of such devices within set rehabilitation sessions as opposed to a continual usage. The purpose of this review is therefore to find which actuator implementations would be most suitable for a simplistic, low-cost powered orthoses capable of assisting those with pathologic gait disorders by collating literature from Web of Science, Scopus, and Grey Literature. In this systematic review paper 127 papers were selected from these databases via the PRISMA guidelines, with the financial costs of 25 actuators discovered with 11 distinct actuator groups identified. The review paper will consider a variety of actuator implementations used in existing lower-limb exoskeletons that are specifically designed for the purpose of rehabilitating or aiding those with conditions inhibiting natural movement abilities, such as electric motors, hydraulics, pneumatics, cable-driven actuators, and compliant actuators. Key attributes such as technical simplicity, financial cost, power efficiency, size limitations, accuracy, and reliability are compared for all actuator groups. Statistical findings show that rotary electric motors (which are the most common actuator type within collated literature) and compliant actuators (such as elastic and springs) would be the most suitable actuators for a low-cost implementation. From these results, a possible actuator design will be proposed making use of both rotary electric motors and compliant actuators.</t>
  </si>
  <si>
    <t>[Slucock, T.] Univ Kent, Sch Engn &amp; Digital Arts, Giles Lane, Canterbury CT2 7NT, Kent, England</t>
  </si>
  <si>
    <t>University of Kent</t>
  </si>
  <si>
    <t>Slucock, T (corresponding author), Univ Kent, Sch Engn &amp; Digital Arts, Giles Lane, Canterbury CT2 7NT, Kent, England.</t>
  </si>
  <si>
    <t>tms40@kent.ac.uk</t>
  </si>
  <si>
    <t>EPSRC [2467848, EP/G038171/1] Funding Source: UKRI</t>
  </si>
  <si>
    <t>10.1007/s10846-022-01695-0</t>
  </si>
  <si>
    <t>3U8NZ</t>
  </si>
  <si>
    <t>WOS:000841222800001</t>
  </si>
  <si>
    <t>Zhang, ZK; Shao, ZF; You, Z; Tang, XQ; Zi, B; Yang, GL; Gosselin, C; Caro, S</t>
  </si>
  <si>
    <t>Zhang, Zhaokun; Shao, Zhufeng; You, Zheng; Tang, Xiaoqiang; Zi, Bin; Yang, Guilin; Gosselin, Clement; Caro, Stephane</t>
  </si>
  <si>
    <t>State-of-the-art on theories and applications of cable-driven parallel robots</t>
  </si>
  <si>
    <t>cable-driven parallel robot; kinematics; optimization; dynamics; control</t>
  </si>
  <si>
    <t>TENSION DISTRIBUTION ALGORITHM; WRENCH-FEASIBLE WORKSPACE; VIBRATION CONTROL; CLOSURE WORKSPACE; OPTIMAL-DESIGN; POSITIONING MECHANISM; INVERSE KINEMATICS; TRACKING CONTROL; DYNAMIC-ANALYSIS; POLYMER CABLE</t>
  </si>
  <si>
    <t>Cable-driven parallel robot (CDPR) is a type of high-performance robot that integrates cable-driven kinematic chains and parallel mechanism theory. It inherits the high dynamics and heavy load capacities of the parallel mechanism and significantly improves the workspace, cost and energy efficiency simultaneously. As a result, CDPRs have had irreplaceable roles in industrial and technological fields, such as astronomy, aerospace, logistics, simulators, and rehabilitation. CDPRs follow the cutting-edge trend of rigid-flexible fusion, reflect advanced lightweight design concepts, and have become a frontier topic in robotics research. This paper summarizes the kernel theories and developments of CDPRs, covering configuration design, cable-force distribution, workspace and stiffness, performance evaluation, optimization, and motion control. Kinematic modeling, workspace analysis, and cable-force solution are illustrated. Stiffness and dynamic modeling methods are discussed. To further promote the development, researchers should strengthen the investigation in configuration innovation, rapid calculation of workspace, performance evaluation, stiffness control, and rigid-flexible coupling dynamics. In addition, engineering problems such as cable materials, reliability design, and a unified control framework require attention.</t>
  </si>
  <si>
    <t>[Zhang, Zhaokun; Shao, Zhufeng; Tang, Xiaoqiang] Tsinghua Univ, Dept Mech Engn, State Key Lab Tribol, Beijing 100084, Peoples R China; [Zhang, Zhaokun; Shao, Zhufeng; Tang, Xiaoqiang] Tsinghua Univ, Beijing Key Lab Precis Ultraprecis Mfg Equipment, Beijing 100084, Peoples R China; [Zhang, Zhaokun] Univ Michigan, Dept Mech Engn, Ann Arbor, MI 48109 USA; [You, Zheng] Tsinghua Univ, Dept Precis Instrument, Beijing 100084, Peoples R China; [Zi, Bin] Hefei Univ Technol, Sch Mech Engn, Hefei 230009, Peoples R China; [Yang, Guilin] Chinese Acad Sci, Ningbo Inst Ind Technol, Ningbo 315201, Peoples R China; [Gosselin, Clement] Univ Laval, Dept Mech Engn, Quebec City, PQ G1V 0A6, Canada; [Caro, Stephane] Natl Ctr Sci Res, Lab Digital Sci Nantes, F-44321 Nantes, France</t>
  </si>
  <si>
    <t>Tsinghua University; Tsinghua University; University of Michigan System; University of Michigan; Tsinghua University; Hefei University of Technology; Chinese Academy of Sciences; Laval University</t>
  </si>
  <si>
    <t>Shao, ZF (corresponding author), Tsinghua Univ, Dept Mech Engn, State Key Lab Tribol, Beijing 100084, Peoples R China.;Shao, ZF (corresponding author), Tsinghua Univ, Beijing Key Lab Precis Ultraprecis Mfg Equipment, Beijing 100084, Peoples R China.</t>
  </si>
  <si>
    <t>shaozf@mail.tsinghua.edu.cn</t>
  </si>
  <si>
    <t>Shao, Zhufeng/AGM-2216-2022; Yang, Guilin/JMB-5558-2023</t>
  </si>
  <si>
    <t>Gosselin, Clement/0000-0001-7422-4515</t>
  </si>
  <si>
    <t>National Natural Science Foundation of China [52105025, U19A20101]</t>
  </si>
  <si>
    <t>This work was supported in part by the National Natural Science Foundation of China (Grant Nos. 52105025 and U19A20101). The authors would like to thank the National Institute of Standards and Technology, JASO Industrial Cranes, Max Planck Institute for Biological Cybernetics, Institute for Fluid Dynamics and Ship Theory at the Hamburg University of Technology, and ONERA for providing and giving the permission to use some of the figures in the paper. The authors would also like to thank the editors and reviewers for their pertinent comments and suggestions.</t>
  </si>
  <si>
    <t>10.1007/s11465-022-0693-3</t>
  </si>
  <si>
    <t>4S9WB</t>
  </si>
  <si>
    <t>WOS:000857780400002</t>
  </si>
  <si>
    <t>Moulaei, K; Sheikhtaheri, A; Nezhad, MS; Haghdoost, A; Gheysari, M; Bahaadinbeigy, K</t>
  </si>
  <si>
    <t>Moulaei, Khadijeh; Sheikhtaheri, Abbas; Nezhad, Mansour Shahabi; Haghdoost, AliAkbar; Gheysari, Mohammad; Bahaadinbeigy, Kambiz</t>
  </si>
  <si>
    <t>Telerehabilitation for upper limb disabilities: a scoping review on functions, outcomes, and evaluation methods</t>
  </si>
  <si>
    <t>Telerehabilitation; Rehabilitation; Upper limb; Disabilities; Telemedicine; Digital health</t>
  </si>
  <si>
    <t>QUALITY-OF-LIFE; IN-HOME TELEREHABILITATION; OBSTRUCTIVE PULMONARY-DISEASE; HEALTH-CARE-UTILIZATION; SPINAL-CORD-INJURY; VIRTUAL-REALITY; CARDIAC REHABILITATION; UPPER EXTREMITY; CHRONIC STROKE; PATIENT-SATISFACTION</t>
  </si>
  <si>
    <t>Background Upper limb (UL) disabilities have attracted worldwide attention due to the high economic costs of health care and the negative effects on the quality of life of patients with these disabilities. Telerehabilitation technologies are one of the most important ways to reduce rehabilitation costs and increase the quality of life of patients. Therefore, the aim of this study was to investigate the role of telerehabilitation in improving the health status of patients with upper limb disabilities. Methods This scoping review was conducted by searching the Web of Science, PubMed, and Scopus until July 30, 2021. We used a data extraction form with 18 fields to extract data from primary studies. The selection of articles and data extraction was made by four researchers using a data collection form based on inclusion and exclusion criteria. Disagreements were resolved through consultation with the fifth and sixth researchers.Inclusion criteria were studies published in English, studies on upper limb disability, and telerehabilitation based on any technology (synchronous telerehabilitation, asynchronous, or both). Exclusion criteria were articles that did not focus on telerehabilitation and upper limb disabilities. Also, books, book chapters, letters to the editor, and conference abstracts were also removed. Results A total of 458 articles were retrieved, and after removing irrelevant and duplicate articles, 29 articles were finally included in this review. Most telerehabilitation was performed for patients with stroke (65%). Among the 15 different services provided with telerehabilitation technologies, Evaluation of exercises and also a musculoskeletal function of patients by the therapist,Recording of patients' rehabilitation exercises and sending them to the therapist and Prescribing new rehabilitation exercises by the therapist were the most widely used services, respectively. Virtual reality technologies, smart wearables, and robots were used to provide telerehabilitation services. Among the 13 types of evaluation used for telerehabilitation systems, Evaluation and measurement of upper limb function was the most used evaluation in the studies. Improvement in musculoskeletal functions, Increasing patients' interest and motivation to perform rehabilitation exercises, and Increasing adherence to rehabilitation exercises and greater participation in treatment processes were the most important outcomes, respectively. Conclusion Our findings indicate that telerehabilitation provides individuals with equitable access to rehabilitation services, improves musculoskeletal function, and empowers individuals by providing a variety of rehabilitation capabilities.</t>
  </si>
  <si>
    <t>[Moulaei, Khadijeh; Bahaadinbeigy, Kambiz] Kerman Univ Med Sci, Med Informat Res Ctr, Inst Futures Studies Hlth, Kerman, Iran; [Sheikhtaheri, Abbas] Iran Univ Med Sci, Sch Hlth Management &amp; Informat Sci, Dept Hlth Informat Management, Tehran, Iran; [Nezhad, Mansour Shahabi] Kerman Univ Med Sci, Fac Allied Med, Dept Phys Therapy, Kerman, Iran; [Haghdoost, AliAkbar] Kerman Univ Med Sci, HIV STI Surveillance Res Ctr, Kerman, Iran; [Haghdoost, AliAkbar] Kerman Univ Med Sci, WHO Collaborating Ctr HIV Surveillance, Inst Futures Studies Hlth, Kerman, Iran; [Gheysari, Mohammad] Univ Tehran, Fac Management, Business Adm Management Digital Transformat, Tehran, Iran</t>
  </si>
  <si>
    <t>Kerman University of Medical Sciences; Iran University of Medical Sciences; Kerman University of Medical Sciences; Kerman University of Medical Sciences; World Health Organization; Kerman University of Medical Sciences; University of Tehran</t>
  </si>
  <si>
    <t>Bahaadinbeigy, K (corresponding author), Kerman Univ Med Sci, Med Informat Res Ctr, Inst Futures Studies Hlth, Kerman, Iran.</t>
  </si>
  <si>
    <t>kambizb321@gmail.com</t>
  </si>
  <si>
    <t>Bahaadinbeigy, Kambiz/K-7365-2019; Haghdoost, Ali/C-2823-2009; Moulaei, Khadijeh/ACI-5103-2022; Sheikhtaheri, Abbas/M-6433-2018</t>
  </si>
  <si>
    <t>This study was supported by Medical Informatics Research Center of Kerman University of Medical Sciences (Code: 99001139). The funder had no roles in study design, data gathering and analysis.</t>
  </si>
  <si>
    <t>AUG 23</t>
  </si>
  <si>
    <t>10.1186/s13690-022-00952-w</t>
  </si>
  <si>
    <t>4C7XW</t>
  </si>
  <si>
    <t>WOS:000846662100002</t>
  </si>
  <si>
    <t>Charters, E; Pelham, C; Novakovic, D; Madill, C; Clark, J</t>
  </si>
  <si>
    <t>Charters, Emma; Pelham, Claire; Novakovic, Daniel; Madill, Cate; Clark, Jonathan</t>
  </si>
  <si>
    <t>Velopharyngeal incompetence following transoral robotic surgery for oropharyngeal carcinoma: A scoping review</t>
  </si>
  <si>
    <t>INTERNATIONAL JOURNAL OF SPEECH-LANGUAGE PATHOLOGY</t>
  </si>
  <si>
    <t>oropharyngeal carcinoma (OPC); transoral robotic surgery (TORS); Velopharyngeal Insufficiency (VPI); speech; swallow</t>
  </si>
  <si>
    <t>FUNCTIONAL OUTCOMES; NECK-CANCER; RECONSTRUCTION; HEAD; INSUFFICIENCY</t>
  </si>
  <si>
    <t>Purpose: Following transoral robotic surgery (TORS) for oropharyngeal carcinoma (OPC), velopharyngeal incompetence (VPI) is a known consequence that may contribute to swallowing and speech disorders. As the incidence of OPC increases affecting a younger demographic, a better understanding of VPI is required to support speech and swallowing rehabilitation. Method: A scoping review was conducted using Arskey &amp; O'Malley's framework. Studies were identified from five databases between 2007 and 2020. The methodological quality was measured with the RevMan Risk of Bias Tool by two independent evaluators. Result: A total of seven studies met the inclusion criterion. There was a combined total of 306 participants, their average age was 59.2 years. A high risk of bias and degree of heterogeneity across all seven cohort studies was observed. Validated and instrumental evaluations of VPI were present in two papers, with the majority only reporting the presence or absence of VPI. The incidence of VPI reported in each study ranged from 0 to 53%, (median 3.5%). Conclusion: There are few high-quality studies and considerable heterogeneity in the terminology, inclusion criteria and measurement of VPI. Instrumentation, to date, has been rarely used but is necessary for a normed and validated approach to VPI. Based on this review, there is considerable need for larger studies which instrumentally and longitudinally assess VPI as a consequence of TORS, in order to guide patient education and management prior to, and following their surgery.</t>
  </si>
  <si>
    <t>[Charters, Emma; Pelham, Claire] Chris OBrien Lifehouse, Dept Speech Pathol, Sydney, NSW, Australia; [Novakovic, Daniel; Clark, Jonathan] Univ Sydney, Fac Med &amp; Hlth Sci, Sydney Med Sch, Sydney, NSW, Australia; [Madill, Cate] Univ Sydney, Fac Med &amp; Hlth, Sydney, NSW, Australia; [Clark, Jonathan] Chris OBrien Lifehouse, Dept Head &amp; Neck Surg, Sydney Head &amp; Neck Canc Inst, Sydney, NSW, Australia; [Clark, Jonathan] Sydney Local Hlth Dist, Royal Prince Alfred Inst Acad Surg, Sydney, NSW, Australia</t>
  </si>
  <si>
    <t>Chris O'Brien Lifehouse; University of Sydney; University of Sydney; Chris O'Brien Lifehouse; Sydney Local Health District</t>
  </si>
  <si>
    <t>Charters, E (corresponding author), Chris OBrien Lifehouse, Level 7,119 Missenden Rd, Sydney, NSW 2050, Australia.</t>
  </si>
  <si>
    <t>Emma.Charters@lh.org.au</t>
  </si>
  <si>
    <t>Clark, Jonathan/AEU-0815-2022; charters, emma/AGH-6992-2022; Madill, Catherine/J-6156-2017</t>
  </si>
  <si>
    <t>Charters, Emma/0000-0001-8246-210X; Madill, Catherine/0000-0001-8114-1427; Novakovic, Daniel/0000-0003-3839-1353; Clark, Jonathan/0000-0003-1209-772X</t>
  </si>
  <si>
    <t>1754-9507</t>
  </si>
  <si>
    <t>1754-9515</t>
  </si>
  <si>
    <t>INT J SPEECH-LANG PA</t>
  </si>
  <si>
    <t>Int. J. Speech-Lang. Pathol.</t>
  </si>
  <si>
    <t>JUL 4</t>
  </si>
  <si>
    <t>10.1080/17549507.2022.2104927</t>
  </si>
  <si>
    <t>Audiology &amp; Speech-Language Pathology; Linguistics; Rehabilitation</t>
  </si>
  <si>
    <t>O8VK9</t>
  </si>
  <si>
    <t>WOS:000842547100001</t>
  </si>
  <si>
    <t>Bardi, E; Gandolla, M; Braghin, F; Resta, F; Pedrocchi, ALG; Ambrosini, E</t>
  </si>
  <si>
    <t>Bardi, Elena; Gandolla, Marta; Braghin, Francesco; Resta, Ferruccio; Pedrocchi, Alessandra L. G.; Ambrosini, Emilia</t>
  </si>
  <si>
    <t>Upper limb soft robotic wearable devices: a systematic review</t>
  </si>
  <si>
    <t>Assistive technology; Exoskeletons; Exosuits; Rehabilitation robotics; Soft robotics; Upper limb</t>
  </si>
  <si>
    <t>EXOSUIT; EXOSKELETON; DESIGN; SUIT; REHABILITATION; GENERATION; MOVEMENTS; ACTUATOR; MUSCLES; FORCE</t>
  </si>
  <si>
    <t>Introduction Soft robotic wearable devices, referred to as exosuits, can be a valid alternative to rigid exoskeletons when it comes to daily upper limb support. Indeed, their inherent flexibility improves comfort, usability, and portability while not constraining the user's natural degrees of freedom. This review is meant to guide the reader in understanding the current approaches across all design and production steps that might be exploited when developing an upper limb robotic exosuit. Methods The literature research regarding such devices was conducted in PubMed, Scopus, and Web of Science. The investigated features are the intended scenario, type of actuation, supported degrees of freedom, low-level control, high-level control with a focus on intention detection, technology readiness level, and type of experiments conducted to evaluate the device. Results A total of 105 articles were collected, describing 69 different devices. Devices were grouped according to their actuation type. More than 80% of devices are meant either for rehabilitation, assistance, or both. The most exploited actuation types are pneumatic (52%) and DC motors with cable transmission (29%). Most devices actuate 1 (56%) or 2 (28%) degrees of freedom, and the most targeted joints are the elbow and the shoulder. Intention detection strategies are implemented in 33% of the suits and include the use of switches and buttons, IMUs, stretch and bending sensors, EMG and EEG measurements. Most devices (75%) score a technology readiness level of 4 or 5. Conclusion Although few devices can be considered ready to reach the market, exosuits show very high potential for the assistance of daily activities. Clinical trials exploiting shared evaluation metrics are needed to assess the effectiveness of upper limb exosuits on target users.</t>
  </si>
  <si>
    <t>[Bardi, Elena; Gandolla, Marta; Braghin, Francesco; Resta, Ferruccio] Politecn Milan, Dept Mech Engn, Milan, Italy; [Pedrocchi, Alessandra L. G.; Ambrosini, Emilia] Politecn Milan, Dept Elect Informat &amp; Bioengn, Milan, Italy</t>
  </si>
  <si>
    <t>Polytechnic University of Milan; Polytechnic University of Milan</t>
  </si>
  <si>
    <t>Bardi, E (corresponding author), Politecn Milan, Dept Mech Engn, Milan, Italy.</t>
  </si>
  <si>
    <t>elena.bardi@polimi.it</t>
  </si>
  <si>
    <t>Gandolla, Marta/AAL-8862-2020; Pedrocchi, Alessandra/AAF-2655-2019; Ambrosini, Emilia/R-1371-2016</t>
  </si>
  <si>
    <t>Ambrosini, Emilia/0000-0002-6527-0779</t>
  </si>
  <si>
    <t>AUG 10</t>
  </si>
  <si>
    <t>10.1186/s12984-022-01065-9</t>
  </si>
  <si>
    <t>3R0VN</t>
  </si>
  <si>
    <t>WOS:000838638500001</t>
  </si>
  <si>
    <t>Xu, PP; Xia, D; Li, JC; Zhou, JM; Xie, LH</t>
  </si>
  <si>
    <t>Xu, Pengpeng; Xia, Dan; Li, Juncheng; Zhou, Jiaming; Xie, Longhan</t>
  </si>
  <si>
    <t>Execution and perception of upper limb exoskeleton for stroke patients: a systematic review</t>
  </si>
  <si>
    <t>Stroke; Upper limb exoskeleton; Rehabilitation; Execution; Perception</t>
  </si>
  <si>
    <t>PARETIC UPPER-LIMB; OF-THE-ART; ROBOTIC EXOSKELETON; MACHINE INTERFACE; ELBOW EXOSKELETON; POWERED ORTHOSIS; UPPER EXTREMITY; DESIGN; REHABILITATION; DRIVEN</t>
  </si>
  <si>
    <t>Due to the lack of therapists and the demand for objective rehabilitation training indicators, the upper limb rehabilitation exoskeleton (ULR-EXO) has attracted more and more concentration. Execution and perception are the two most important technologies of ULR-EXO. A unified analysis of their essential anatomical characteristics and rehabilitation training needs will help to understand the future development trend of the ULR-EXO. According to the anatomical and kinematic features of the upper limb, combined with human-robot compatibility, this paper introduces the structural design of the ULR-EXO, the classification of execution, and the existing problems, summarizes the status quo of perceptual information, and classifies signal sources according to the signals generated by stroke patients in human-robot interaction. This paper also briefly summarizes the control methods of the ULR-EXO in different rehabilitation stages. Finally, based on the two stages of hospital treatment and family rehabilitation, the design requirements of the ULR-EXO and the selection of sensors based on different mechanism forms are discussed, which provides some reference values for researchers in this field.</t>
  </si>
  <si>
    <t>[Xu, Pengpeng; Li, Juncheng; Xie, Longhan] South China Univ Technol, Shien Ming Wu Sch Intelligent Engn, Guangzhou 510640, Peoples R China; [Xia, Dan] South China Univ Technol, Sch Mech &amp; Automot Engn, Guangzhou 510640, Peoples R China; [Zhou, Jiaming] Maoming Peoples Hosp, Dept Rehabil Med, Maoming 525000, Peoples R China; [Xie, Longhan] South China Univ Technol, Zhongshan Inst Modern Ind Technol, Zhongshan 528400, Peoples R China</t>
  </si>
  <si>
    <t>South China University of Technology; South China University of Technology; South China University of Technology</t>
  </si>
  <si>
    <t>Xie, LH (corresponding author), South China Univ Technol, Shien Ming Wu Sch Intelligent Engn, Guangzhou 510640, Peoples R China.;Xie, LH (corresponding author), South China Univ Technol, Zhongshan Inst Modern Ind Technol, Zhongshan 528400, Peoples R China.</t>
  </si>
  <si>
    <t>melhxie@scut.edu.cn</t>
  </si>
  <si>
    <t>xu, pengpeng/AAE-6567-2022; zhou, jiaming/AFW-4131-2022</t>
  </si>
  <si>
    <t>National Natural Science Foundation of China [52075177]; National Key Research and Development Program of China [2021YFB3301400]; Research Foundation of Guangdong Province [2019A050505001, 2018KZDXM002]; Guangzhou Research Foundation [202002030324, 201903010028]; Zhongshan Research Foundation [2020B2020, 2021B2022]</t>
  </si>
  <si>
    <t>National Natural Science Foundation of China(National Natural Science Foundation of China (NSFC)); National Key Research and Development Program of China(National Key Research &amp; Development Program of China); Research Foundation of Guangdong Province; Guangzhou Research Foundation; Zhongshan Research Foundation</t>
  </si>
  <si>
    <t>This work was supported in part by the National Natural Science Foundation of China (Grant No. 52075177), the National Key Research and Development Program of China (Grant Nos. 2021YFB3301400), Research Foundation of Guangdong Province (Grant Nos. 2019A050505001 and 2018KZDXM002), Guangzhou Research Foundation (Grant Nos. 202002030324 and 201903010028), Zhongshan Research Foundation (Grant Nos.2020B2020 and 2021B2022).</t>
  </si>
  <si>
    <t>10.1007/s11370-022-00435-5</t>
  </si>
  <si>
    <t>4Z8FP</t>
  </si>
  <si>
    <t>WOS:000837913000001</t>
  </si>
  <si>
    <t>Xie, YL; Yang, YX; Jiang, H; Duan, XY; Gu, LJ; Qing, W; Zhang, B; Wang, YX</t>
  </si>
  <si>
    <t>Xie, Yu-lei; Yang, Yu-xuan; Jiang, Hong; Duan, Xing-Yu; Gu, Li-jing; Qing, Wu; Zhang, Bo; Wang, Yin-xu</t>
  </si>
  <si>
    <t>Brain-machine interface-based training for improving upper extremity function after stroke: A meta-analysis of randomized controlled trials</t>
  </si>
  <si>
    <t>upper limb dysfunction; stroke; meta-analysis; systematic review; brain-machine interface</t>
  </si>
  <si>
    <t>COMPUTER-INTERFACE; MOTOR RECOVERY; REHABILITATION; COMMUNICATION; GUIDELINES; THERAPY</t>
  </si>
  <si>
    <t>Background: Upper extremity dysfunction after stroke is an urgent clinical problem that greatly affects patients' daily life and reduces their quality of life. As an emerging rehabilitation method, brain-machine interface (BMI)-based training can extract brain signals and provide feedback to form a closed-loop rehabilitation, which is currently being studied for functional restoration after stroke. However, there is no reliable medical evidence to support the effect of BMI-based training on upper extremity function after stroke. This review aimed to evaluate the efficacy and safety of BMI-based training for improving upper extremity function after stroke, as well as potential differences in efficacy of different external devices. Methods: English-language literature published before April 1, 2022, was searched in five electronic databases using search terms including brain-computer/machine interface , stroke  and upper extremity.  The identified articles were screened, data were extracted, and the methodological quality of the included trials was assessed. Meta-analysis was performed using RevMan 5.4.1 software. The GRADE method was used to assess the quality of the evidence. Results: A total of 17 studies with 410 post-stroke patients were included. Meta-analysis showed that BMI-based training significantly improved upper extremity motor function [standardized mean difference (SMD) = 0.62; 95% confidence interval (CI) (0.34, 0.90); I-2 = 38%; p &lt; 0.0001; n = 385; random-effects model; moderate-quality evidence]. Subgroup meta-analysis indicated that BMI-based training significantly improves upper extremity motor function in both chronic [SMD = 0.68; 95% CI (0.32, 1.03), I-2 = 46%; p = 0.0002, random-effects model] and subacute [SMD = 1.11; 95%CI (0.22, 1.99); I-2 = 76%; p = 0.01; random-effects model] stroke patients compared with control interventions, and using functional electrical stimulation (FES) [SMD = 1.11; 95% CI (0.67, 1.54); I-2 = 11%; p &lt; 0.00001; random-effects model]or visual feedback [SMD = 0.66; 95% CI (0.2, 1.12); I-2 = 4%; p = 0.005; random-effects model;] as the feedback devices in BMI training was more effective than using robot. In addition, BMI-based training was more effective in improving patients' activities of daily living (ADL) than control interventions [SMD = 1.12; 95% CI (0.65, 1.60); I-2 = 0%; p &lt; 0.00001; n = 80; random-effects model]. There was no statistical difference in the dropout rate and adverse effects between the BMI-based training group and the control group. Conclusion: BMI-based training improved upper limb motor function and ADL in post-stroke patients. BMI combined with FES or visual feedback may be a better combination for functional recovery than robot. BMI-based trainings are well-tolerated and associated with mild adverse effects.</t>
  </si>
  <si>
    <t>[Xie, Yu-lei; Duan, Xing-Yu; Gu, Li-jing; Qing, Wu; Wang, Yin-xu] North Sichuan Med Coll, Dept Rehabil Med, Affiliated Hosp, Nanchong, Peoples R China; [Xie, Yu-lei] Capital Med Univ, Dept Rehabil Med, Beijing, Peoples R China; [Yang, Yu-xuan; Zhang, Bo] North Sichuan Med Coll, Nanchong Cent Hosp, Dept Rehabil Med, Clin Hosp 2, Nanchong, Peoples R China; [Jiang, Hong] Nanchong Cent Hosp, Xichong Cty Peoples Hosp, Dept Rehabil Med, Nanchong, Peoples R China</t>
  </si>
  <si>
    <t>North Sichuan Medical University; Capital Medical University; North Sichuan Medical University; North Sichuan Medical University</t>
  </si>
  <si>
    <t>Wang, YX (corresponding author), North Sichuan Med Coll, Dept Rehabil Med, Affiliated Hosp, Nanchong, Peoples R China.;Zhang, B (corresponding author), North Sichuan Med Coll, Nanchong Cent Hosp, Dept Rehabil Med, Clin Hosp 2, Nanchong, Peoples R China.</t>
  </si>
  <si>
    <t>79915726@qq.com; 34089681@qq.com</t>
  </si>
  <si>
    <t>Yang, Yuxuan/ABD-5147-2021; Zhang, Bo/HLD-7438-2023; Xia, Dehong/AAC-5673-2022; yulei, xie/AAC-7031-2022</t>
  </si>
  <si>
    <t>yulei, xie/0000-0003-1161-5804</t>
  </si>
  <si>
    <t>Research and Development Project of Affiliated Hospital of North Sichuan Medical College; [2021ZD014]</t>
  </si>
  <si>
    <t>Research and Development Project of Affiliated Hospital of North Sichuan Medical College;</t>
  </si>
  <si>
    <t>Funding This work was supported by Research and Development Project of Affiliated Hospital of North Sichuan Medical College (2021ZD014).</t>
  </si>
  <si>
    <t>AUG 3</t>
  </si>
  <si>
    <t>10.3389/fnins.2022.949575</t>
  </si>
  <si>
    <t>3U8JF</t>
  </si>
  <si>
    <t>WOS:000841210300001</t>
  </si>
  <si>
    <t>Gu, YX; Xu, YJ; Shen, YL; Huang, HY; Liu, TY; Jin, L; Ren, H; Wang, JW</t>
  </si>
  <si>
    <t>Gu, Yuexing; Xu, Yuanjing; Shen, Yuling; Huang, Hanyu; Liu, Tongyou; Jin, Lei; Ren, Hang; Wang, Jinwu</t>
  </si>
  <si>
    <t>A Review of Hand Function Rehabilitation Systems Based on Hand Motion Recognition Devices and Artificial Intelligence</t>
  </si>
  <si>
    <t>hand function rehabilitation; hand rehabilitation robot; computer vision technology; wearable devices; sensors; artificial intelligence</t>
  </si>
  <si>
    <t>RECOVERY; EXOSKELETON</t>
  </si>
  <si>
    <t>The incidence of stroke and the burden on health care and society are expected to increase significantly in the coming years, due to the increasing aging of the population. Various sensory, motor, cognitive and psychological disorders may remain in the patient after survival from a stroke. In hemiplegic patients with movement disorders, the impairment of upper limb function, especially hand function, dramatically limits the ability of patients to perform activities of daily living (ADL). Therefore, one of the essential goals of post-stroke rehabilitation is to restore hand function. The recovery of motor function is achieved chiefly through compensatory strategies, such as hand rehabilitation robots, which have been available since the end of the last century. This paper reviews the current research status of hand function rehabilitation devices based on various types of hand motion recognition technologies and analyzes their advantages and disadvantages, reviews the application of artificial intelligence in hand rehabilitation robots, and summarizes the current research limitations and discusses future research directions.</t>
  </si>
  <si>
    <t>[Gu, Yuexing; Xu, Yuanjing; Shen, Yuling; Liu, Tongyou; Wang, Jinwu] Shanghai Jiao Tong Univ, Sch Biomed Engn, Shanghai 200030, Peoples R China; [Shen, Yuling; Wang, Jinwu] Shanghai Jiao Tong Univ, Sch Med, Peoples Hosp 9, Dept Orthopaed Surg,Shanghai Key Lab Orthopaed Im, Shanghai 200011, Peoples R China; [Huang, Hanyu] Xian Jiaotong Liverpool Univ, Coll Sci, Suzhou 215028, Peoples R China; [Jin, Lei] Shanghai Jiao Tong Univ, Peoples Hosp 9, Sch Med, Dept Rehabil Med, Shanghai 200011, Peoples R China; [Ren, Hang] Univ Shanghai Sci &amp; Technol, Sch Hlth Sci &amp; Engn, Shanghai 200093, Peoples R China</t>
  </si>
  <si>
    <t>Shanghai Jiao Tong University; Shanghai Jiao Tong University; Xi'an Jiaotong-Liverpool University; Shanghai Jiao Tong University; University of Shanghai for Science &amp; Technology</t>
  </si>
  <si>
    <t>Wang, JW (corresponding author), Shanghai Jiao Tong Univ, Sch Biomed Engn, Shanghai 200030, Peoples R China.;Wang, JW (corresponding author), Shanghai Jiao Tong Univ, Sch Med, Peoples Hosp 9, Dept Orthopaed Surg,Shanghai Key Lab Orthopaed Im, Shanghai 200011, Peoples R China.</t>
  </si>
  <si>
    <t>wangjw-team@shsmu.edu.cn</t>
  </si>
  <si>
    <t>Wang, Jinwu/AAG-4431-2021</t>
  </si>
  <si>
    <t>Shen, Yuling/0000-0003-1955-1323</t>
  </si>
  <si>
    <t>National Key R&amp;D Program of China [2020YFC2008700]; Project of Shanghai Science and Technology Commission [19441917500/19441908700]</t>
  </si>
  <si>
    <t>National Key R&amp;D Program of China; Project of Shanghai Science and Technology Commission</t>
  </si>
  <si>
    <t>This research was funded by the National Key R&amp;D Program of China (2020YFC2008700) and the Project of Shanghai Science and Technology Commission (19441917500/19441908700).</t>
  </si>
  <si>
    <t>10.3390/brainsci12081079</t>
  </si>
  <si>
    <t>4B9DF</t>
  </si>
  <si>
    <t>WOS:000846067600001</t>
  </si>
  <si>
    <t>Tiboni, M; Amici, C</t>
  </si>
  <si>
    <t>Tiboni, Monica; Amici, Cinzia</t>
  </si>
  <si>
    <t>Soft Gloves: A Review on Recent Developments in Actuation, Sensing, Control and Applications</t>
  </si>
  <si>
    <t>robotic soft glove; rehabilitation; assistance; haptic; actuation</t>
  </si>
  <si>
    <t>ROBOTIC REHABILITATION SYSTEM; HAND REHABILITATION; EXOSKELETON GLOVE; LEARNING CONTROL; PNEUMATIC GLOVE; WEARABLE-ROBOT; DESIGN; DRIVEN; THERAPY; STROKE</t>
  </si>
  <si>
    <t>Interest in soft gloves, both robotic and haptic, has enormously grown over the past decade, due to their inherent compliance, which makes them particularly suitable for direct interaction with the human hand. Robotic soft gloves have been developed for hand rehabilitation, for ADLs assistance, or sometimes for both. Haptic soft gloves may be applied in virtual reality (VR) applications or to give sensory feedback in combination with prostheses or to control robots. This paper presents an updated review of the state of the art of soft gloves, with a particular focus on actuation, sensing, and control, combined with a detailed analysis of the devices according to their application field. The review is organized on two levels: a prospective review allows the highlighting of the main trends in soft gloves development and applications, and an analytical review performs an in-depth analysis of the technical solutions developed and implemented in the revised scientific research. Additional minor evaluations integrate the analysis, such as a synthetic investigation of the main results in the clinical studies and trials referred in literature which involve soft gloves.</t>
  </si>
  <si>
    <t>[Tiboni, Monica; Amici, Cinzia] Univ Brescia, Dept Mech &amp; Ind Engn, Via Branze 38, I-25123 Brescia, Italy</t>
  </si>
  <si>
    <t>University of Brescia</t>
  </si>
  <si>
    <t>Amici, C (corresponding author), Univ Brescia, Dept Mech &amp; Ind Engn, Via Branze 38, I-25123 Brescia, Italy.</t>
  </si>
  <si>
    <t>cinzia.amici@unibs.it</t>
  </si>
  <si>
    <t>Amici, Cinzia/L-8287-2017</t>
  </si>
  <si>
    <t>Amici, Cinzia/0000-0001-7426-6029; Tiboni, Monica/0000-0002-9491-6663</t>
  </si>
  <si>
    <t>10.3390/act11080232</t>
  </si>
  <si>
    <t>4C3TC</t>
  </si>
  <si>
    <t>WOS:000846379300001</t>
  </si>
  <si>
    <t>Bazan, R; Fonseca, BHD; Miranda, JMD; Nunes, HRD; Bazan, SGZ; Luvizutto, GJ</t>
  </si>
  <si>
    <t>Bazan, Rodrigo; de Souza Fonseca, Bruno Henrique; de Aquino Miranda, Jessica Mariana; de Carvalho Nunes, Helio Rubens; Zanati Bazan, Silmeia Garcia; Luvizutto, Gustavo Jose</t>
  </si>
  <si>
    <t>Effect of Robot-Assisted Training on Unilateral Spatial Neglect After Stroke: Systematic Review and Meta-Analysis of Randomized Controlled Trials</t>
  </si>
  <si>
    <t>stroke; unilateral spatial neglect; robot-assisted therapy; limb activation</t>
  </si>
  <si>
    <t>PSYCHOMETRIC PROPERTIES; HEMISPATIAL NEGLECT; HOSPITAL ANXIETY; LIMB MOVEMENTS; RATING-SCALE; QUALITY; SIGN; REHABILITATION; HEMINEGLECT; VALIDATION</t>
  </si>
  <si>
    <t>Background Several studies have shown that robotic devices can effectively improve motor function in stroke patients through limb activation. However, the effects of robot-assisted therapy on perceptual deficits after stroke is unclear. Objective This review aimed to evaluate the effectiveness of robotic limb activation in patients with unilateral spatial neglect (USN) after stroke. Methods In this systematic review, a literature search was performed using MEDLINE, EMBASE, CENTRAL, CINAHL, and LILACS databases without language restrictions. Randomized controlled trials (RCTs) and quasi-RCTs of robot-assisted therapy for USN after stroke were selected. Two reviewers independently assessed the risk of bias and certainty of the evidence of the included studies. Results A total of 630 studies were identified, including five studies for qualitative synthesis and four meta-analyses. The results of RCTs comparing robotic limb activation with a control group suggested an improvement in the degree of USN measured by the line bisection test (standardized mean difference [SMD], -0.64; 95% confidence interval [CI], -1.13 to -0.15; P = .01). There were no differences between the groups in the motor-free visual perception test 3rd edition (SMD, 0.27; 95% CI, -0.25-0.79; P = .31), star cancellation test (SMD, 0.26; 95% CI, -0.42-0.94; P = .54), Albert's test (SMD, -0.67; 95% CI, -2.01-0.66; P = .32), and Catherine Bergego Scale (SMD, -0.81; 95% CI, -2.07-0.45; P = .21). Conclusion The study demonstrated that limb activation through robotic therapy can improve midline perception. However, there was no impact on tasks assessing visual scanning, functionality, or activities of daily living.</t>
  </si>
  <si>
    <t>[Bazan, Rodrigo] Botucatu Med Sch UNESP, Dept Neurol Psychol &amp; Psychiat, Botucatu, SP, Brazil; [de Souza Fonseca, Bruno Henrique; de Aquino Miranda, Jessica Mariana; Luvizutto, Gustavo Jose] Univ Fed Triangulo Mineiro, Dept Appl Phys Therapy, Rua Vigario Carlos 100,Sala 410-4 Andar, BR-38025350 Uberaba, MG, Brazil; [de Carvalho Nunes, Helio Rubens] Botucatu Med Sch UNESP, Dept Publ Hlth, Botucatu, SP, Brazil; [Zanati Bazan, Silmeia Garcia] Botucatu Med Sch UNESP, Dept Internal Med, Botucatu, SP, Brazil</t>
  </si>
  <si>
    <t>Universidade Federal do Triangulo Mineiro</t>
  </si>
  <si>
    <t>Luvizutto, GJ (corresponding author), Univ Fed Triangulo Mineiro, Dept Appl Phys Therapy, Rua Vigario Carlos 100,Sala 410-4 Andar, BR-38025350 Uberaba, MG, Brazil.</t>
  </si>
  <si>
    <t>gluvizutto@gmail.com</t>
  </si>
  <si>
    <t>Zanati-Bazan, Silmeia/F-3177-2012; Bazan, Rodrigo/D-4185-2012; de Carvalho Nunes, Hélio/K-6229-2016; Luvizutto, Gustavo/F-3709-2019</t>
  </si>
  <si>
    <t>Luvizutto, Gustavo/0000-0002-6914-7225; Nunes, Helio Rubens de Carvalho/0000-0002-7806-1386</t>
  </si>
  <si>
    <t>10.1177/15459683221110894</t>
  </si>
  <si>
    <t>JUL 2022</t>
  </si>
  <si>
    <t>3R1YZ</t>
  </si>
  <si>
    <t>WOS:000830139600001</t>
  </si>
  <si>
    <t>Zhang, LP; Jia, GW; Ma, JX; Wang, SR; Cheng, L</t>
  </si>
  <si>
    <t>Zhang, Liping; Jia, Gongwei; Ma, Jingxi; Wang, Sanrong; Cheng, Li</t>
  </si>
  <si>
    <t>Short and long-term effects of robot-assisted therapy on upper limb motor function and activity of daily living in patients post-stroke: a meta-analysis of randomized controlled trials</t>
  </si>
  <si>
    <t>Stroke; Rehabilitation; Robot-assisted therapy; Upper limb; Meta-analysis</t>
  </si>
  <si>
    <t>CHRONIC STROKE SURVIVORS; REHABILITATION; ARM; RECOVERY; BURDEN</t>
  </si>
  <si>
    <t>Objective To investigate the effect of robot-assisted therapy (RAT) on upper limb motor control and activity function in poststroke patients compared with that of non-robotic therapy. Methods We searched PubMed, EMBASE, Cochrane Library, Google Scholar and Scopus. Randomized controlled trials published from 2010 to nowadays comparing the effect of RAT and control treatment on upper limb function of poststroke patients aged 18 or older were included. Researchers extracted all relevant data from the included studies, assessed the heterogeneity with inconsistency statistics (I-2 statistics), evaluated the risk of bias of individual studies and performed data analysis. Result Forty-six studies were included. Meta-analysis showed that the outcome of the Fugl-Meyer Upper Extremity assessment (FM-UE) (SMD = 0.20, P = 0.001) and activity function post intervention was significantly higher (SMD = 0.32, P &lt; 0.001) in the RAT group than in the control group. Differences in outcomes of the FM-UE and activity function between the RAT group and control group were observed at the end of treatment and were not found at the follow-up. Additionally, the outcomes of the FM-UE (SMD = 0.15, P = 0.005) and activity function (SMD = 0.32, P = 0.002) were significantly different between the RAT and control groups only with a total training time of more than 15 h. Moreover, the differences in outcomes of FM-UE and activity post intervention were not significant when the arm robots were applied to patients with severe impairments (FM-UE: SMD = 0.14, P = 0.08; activity: SMD = 0.21, P = 0.06) or when patients were provided with patient-passive training (FM-UE: SMD = - 0.09, P = 0.85; activity: SMD = 0.70, P = 0.16). Conclusion RAT has the significant immediate benefits for motor control and activity function of hemiparetic upper limb in patients after stroke compared with controls, but there is no evidence to support its long-term additional benefits. The superiority of RAT in improving motor control and activity function is limited by the amount of training time and the patients' active participation.</t>
  </si>
  <si>
    <t>[Zhang, Liping; Jia, Gongwei; Wang, Sanrong] Chongqing Med Univ, Dept Rehabil, Affiliated Hosp 2, 76 Linjiang Rd, Chongqing 400010, Peoples R China; [Ma, Jingxi] Univ Chinese Acad Sci, Chongqing Gen Hosp, Dept Neurol, Chongqing 400013, Peoples R China; [Ma, Jingxi] Chongqing Key Lab Neurodegenerat Dis, Chongqing 400013, Peoples R China; [Cheng, Li] Chongqing Med Univ, Dept Hlth Management, Affiliated Hosp 2, 76 Linjiang Rd, Chongqing 400010, Peoples R China</t>
  </si>
  <si>
    <t>Chongqing Medical University; Chinese Academy of Sciences; University of Chinese Academy of Sciences, CAS; Chongqing Medical University</t>
  </si>
  <si>
    <t>Cheng, L (corresponding author), Chongqing Med Univ, Dept Hlth Management, Affiliated Hosp 2, 76 Linjiang Rd, Chongqing 400010, Peoples R China.</t>
  </si>
  <si>
    <t>chengli@hospital.cqmu.edu.cn</t>
  </si>
  <si>
    <t>Natural Science Foundation Project of Chongqing [cstc2019jcyj-msxmX0026]; Medical Scientific Research Projects Foundation of Chongqing [2018MSXM043]; National Natural Science Foundation of China [81900079]; Natural Science Foundation of Chongqing [cstc2020jcyj-msxmX0238]; Chongqing medical scientific research project (Joint project of Chongqing Health Commission and Science and Technology Bureau) [2020MSXM036]</t>
  </si>
  <si>
    <t>Natural Science Foundation Project of Chongqing(Natural Science Foundation of Chongqing); Medical Scientific Research Projects Foundation of Chongqing; National Natural Science Foundation of China(National Natural Science Foundation of China (NSFC)); Natural Science Foundation of Chongqing(Natural Science Foundation of Chongqing); Chongqing medical scientific research project (Joint project of Chongqing Health Commission and Science and Technology Bureau)</t>
  </si>
  <si>
    <t>The author disclosed receipt of the following financial support for the research, authorship, and/or publication of this article: This work was supported by the Natural Science Foundation Project of Chongqing (Grant Number cstc2019jcyj-msxmX0026); the Medical Scientific Research Projects Foundation of Chongqing (Grant Number 2018MSXM043); the National Natural Science Foundation of China (Grant Number 81900079); Natural Science Foundation of Chongqing (Grant Number cstc2020jcyj-msxmX0238); Chongqing medical scientific research project (Joint project of Chongqing Health Commission and Science and Technology Bureau) (Grant Number 2020MSXM036).</t>
  </si>
  <si>
    <t>10.1186/s12984-022-01058-8</t>
  </si>
  <si>
    <t>3C4OA</t>
  </si>
  <si>
    <t>WOS:000828602800002</t>
  </si>
  <si>
    <t>Boccuni, L; Marinelli, L; Trompetto, C; Pascual-Leone, A; Munoz, JMT</t>
  </si>
  <si>
    <t>Boccuni, Leonardo; Marinelli, Lucio; Trompetto, Carlo; Pascual-Leone, Alvaro; Tormos Munoz, Jose Maria</t>
  </si>
  <si>
    <t>Time to reconcile research findings and clinical practice on upper limb neurorehabilitation</t>
  </si>
  <si>
    <t>stroke; neurorehabilitation; upper limb; motor learning; personalized medicine</t>
  </si>
  <si>
    <t>INDUCED MOVEMENT THERAPY; THETA BURST STIMULATION; CONSTRAINT-INDUCED THERAPY; ROBOT-ASSISTED THERAPY; STROKE REHABILITATION; ELECTRICAL-STIMULATION; POSTSTROKE REHABILITATION; SOMATOSENSORY STIMULATION; BRAIN-STIMULATION; NERVE-STIMULATION</t>
  </si>
  <si>
    <t>The problemIn the field of upper limb neurorehabilitation, the translation from research findings to clinical practice remains troublesome. Patients are not receiving treatments based on the best available evidence. There are certainly multiple reasons to account for this issue, including the power of habit over innovation, subjective beliefs over objective results. We need to take a step forward, by looking at most important results from randomized controlled trials, and then identify key active ingredients that determined the success of interventions. On the other hand, we need to recognize those specific categories of patients having the greatest benefit from each intervention, and why. The aim is to reach the ability to design a neurorehabilitation program based on motor learning principles with established clinical efficacy and tailored for specific patient's needs. Proposed solutionsThe objective of the present manuscript is to facilitate the translation of research findings to clinical practice. Starting from a literature review of selected neurorehabilitation approaches, for each intervention the following elements were highlighted: definition of active ingredients; identification of underlying motor learning principles and neural mechanisms of recovery; inferences from research findings; and recommendations for clinical practice. Furthermore, we included a dedicated chapter on the importance of a comprehensive assessment (objective impairments and patient's perspective) to design personalized and effective neurorehabilitation interventions. ConclusionsIt's time to reconcile research findings with clinical practice. Evidence from literature is consistently showing that neurological patients improve upper limb function, when core strategies based on motor learning principles are applied. To this end, practical take-home messages in the concluding section are provided, focusing on the importance of graded task practice, high number of repetitions, interventions tailored to patient's goals and expectations, solutions to increase and distribute therapy beyond the formal patient-therapist session, and how to integrate different interventions to maximize upper limb motor outcomes. We hope that this manuscript will serve as starting point to fill the gap between theory and practice in upper limb neurorehabilitation, and as a practical tool to leverage the positive impact of clinicians on patients' recovery.</t>
  </si>
  <si>
    <t>[Boccuni, Leonardo; Pascual-Leone, Alvaro; Tormos Munoz, Jose Maria] UAB, Inst Univ Neurorehabil, Inst Guttmann, Badalona, Spain; [Boccuni, Leonardo; Tormos Munoz, Jose Maria] Univ Autonoma Barcelona, Bellaterra, Spain; [Boccuni, Leonardo; Tormos Munoz, Jose Maria] Fundacio Inst Invest Ciencies Salut Germans Trias, Badalona, Spain; [Marinelli, Lucio; Trompetto, Carlo] Univ Genoa, Dept Neurosci Rehabil Ophthalmol Genet Maternal &amp;, Genoa, Italy; [Marinelli, Lucio] IRCCS Osped Policlin San Martino, Dept Neurosci, Div Clin Neurophysiol, Genoa, Italy; [Trompetto, Carlo] IRCCS Osped Policlin San Martino, Dept Neurosci, Div Neurorehabil, Genoa, Italy; [Pascual-Leone, Alvaro] Hebrew SeniorLife, Sidney Wolk Ctr Memory Hlth, Hinda &amp; Arthur Marcus Inst Aging Res &amp; Deanna, Boston, MA USA; [Pascual-Leone, Alvaro] Hebrew SeniorLife, Deanna &amp; Sidney Wolk Ctr Memory Hlth, Boston, MA USA; [Pascual-Leone, Alvaro] Harvard Med Sch, Dept Neurol, Boston, MA USA</t>
  </si>
  <si>
    <t>Autonomous University of Barcelona; Autonomous University of Barcelona; Fundacio Institut d'Investigacio en Ciencies de la Salut Germans Trias i Pujol (IGTP); University of Genoa; University of Genoa; IRCCS AOU San Martino IST; University of Genoa; IRCCS AOU San Martino IST; Harvard University; Harvard University Medical Affiliates; Hebrew SeniorLife; Harvard University; Harvard University Medical Affiliates; Hebrew SeniorLife; Harvard University; Harvard Medical School</t>
  </si>
  <si>
    <t>Boccuni, L (corresponding author), UAB, Inst Univ Neurorehabil, Inst Guttmann, Badalona, Spain.;Boccuni, L (corresponding author), Univ Autonoma Barcelona, Bellaterra, Spain.;Boccuni, L (corresponding author), Fundacio Inst Invest Ciencies Salut Germans Trias, Badalona, Spain.</t>
  </si>
  <si>
    <t>lboccuni@guttmann.com</t>
  </si>
  <si>
    <t>Pascual-Leone, Alvaro/AAC-5101-2019; Boccuni, Leonardo/MBV-9786-2025; Trompetto, Carlo/AAC-3550-2022; Marinelli, Lucio/K-3141-2012</t>
  </si>
  <si>
    <t>Trompetto, Carlo/0000-0003-3419-0669; Boccuni, Leonardo/0000-0001-7385-5219; Marinelli, Lucio/0000-0003-0620-7654</t>
  </si>
  <si>
    <t>Programa Joan Ribas Araquistain de Investigacion, Innovacion Terapeutica en Prehabilitacion, Rehabilitacion, Abordaje integral de las secuelas de Tumores cerebrales from Fundacio Joan Ribas Araquistain [2020.330]; Assaig controlat aleatori de l'efecte potenciador de l'estimulacio transcranial de soroll aleatori (tRNS) en la rehabilitacio cognitiva dels pacients amb lesio cerebral traumatica from Fundacio La Marato De TV3 Convocatoria d'ajuts projectes de recerca en [2020.330]; BBHI, Barcelona Brain Health Initiative from Fundacio Bancaria La Caixa; [201735.10]</t>
  </si>
  <si>
    <t>Programa Joan Ribas Araquistain de Investigacion, Innovacion Terapeutica en Prehabilitacion, Rehabilitacion, Abordaje integral de las secuelas de Tumores cerebrales from Fundacio Joan Ribas Araquistain; Assaig controlat aleatori de l'efecte potenciador de l'estimulacio transcranial de soroll aleatori (tRNS) en la rehabilitacio cognitiva dels pacients amb lesio cerebral traumatica from Fundacio La Marato De TV3 Convocatoria d'ajuts projectes de recerca en; BBHI, Barcelona Brain Health Initiative from Fundacio Bancaria La Caixa;</t>
  </si>
  <si>
    <t>The authors affiliated to Institut Guttmann disclosed receipt of the following financial supports for the research, authorship, and publication of this article: Programa Joan Ribas Araquistain de Investigacion, Innovacion Terapeutica en Prehabilitacion, Rehabilitacion, Abordaje integral de las secuelas de Tumores cerebrales from Fundacio Joan Ribas Araquistain (Reference Project 2020.330), Assaig controlat aleatori de l'efecte potenciador de l'estimulacio transcranial de soroll aleatori (tRNS) en la rehabilitacio cognitiva dels pacients amb lesio cerebral traumatica from Fundacio La Marato De TV3 Convocatoria d'ajuts projectes de recerca en Ictus i Lesions Medullars i Cerebrals traumatiques 2017 (reference project 201735.10), BBHI, Barcelona Brain Health Initiative from Fundacio Bancaria La Caixa.</t>
  </si>
  <si>
    <t>JUL 19</t>
  </si>
  <si>
    <t>10.3389/fneur.2022.939748</t>
  </si>
  <si>
    <t>3N8AO</t>
  </si>
  <si>
    <t>WOS:000836367500001</t>
  </si>
  <si>
    <t>Mane, R; Wu, ZZ; Wang, D</t>
  </si>
  <si>
    <t>Mane, Ravikiran; Wu, Zhenzhou; Wang, David</t>
  </si>
  <si>
    <t>Poststroke motor, cognitive and speech rehabilitation with brain-computer interface: a perspective review</t>
  </si>
  <si>
    <t>stroke Rehabilitation; brain</t>
  </si>
  <si>
    <t>FUNCTIONAL ELECTRICAL-STIMULATION; STROKE; RECOVERY; BCI; COMMUNICATION; EFFICACY; SYSTEM; STATE; ROBOT; LIMB</t>
  </si>
  <si>
    <t>Brain-computer interface (BCI) technology translates brain activity into meaningful commands to establish a direct connection between the brain and the external world. Neuroscientific research in the past two decades has indicated a tremendous potential of BCI systems for the rehabilitation of patients suffering from poststroke impairments. By promoting the neuronal recovery of the damaged brain networks, BCI systems have achieved promising results for the recovery of poststroke motor, cognitive, and language impairments. Also, several assistive BCI systems that provide alternative means of communication and control to severely paralysed patients have been proposed to enhance patients' quality of life. In this article, we present a perspective review of the recent advances and challenges in the BCI systems used in the poststroke rehabilitation of motor, cognitive, and communication impairments.</t>
  </si>
  <si>
    <t>[Mane, Ravikiran; Wu, Zhenzhou] BioMind, Singapore, Singapore; [Wang, David] Barrow Neurol Inst, Dept Neurol, Neurovasc Div, Phoenix, AZ 85013 USA</t>
  </si>
  <si>
    <t>Barrow Neurological Institute</t>
  </si>
  <si>
    <t>Wu, ZZ (corresponding author), BioMind, Singapore, Singapore.</t>
  </si>
  <si>
    <t>joe.wu@biomind.ai</t>
  </si>
  <si>
    <t>WU, ZHEN/GRN-7688-2022; Mane, Ravikiran/AAY-3482-2020</t>
  </si>
  <si>
    <t>Wang, David/0000-0003-2277-4608; Mane, Ravikiran/0000-0001-6701-187X</t>
  </si>
  <si>
    <t>10.1136/svn-2022-001506</t>
  </si>
  <si>
    <t>7O9NW</t>
  </si>
  <si>
    <t>WOS:000828202200001</t>
  </si>
  <si>
    <t>Tapia, GR; Doumas, I; Lejeune, T; Previnaire, JG</t>
  </si>
  <si>
    <t>Rodriguez Tapia, Gonzalo; Doumas, Ioannis; Lejeune, Thierry; Previnaire, Jean-Gabriel</t>
  </si>
  <si>
    <t>Wearable powered exoskeletons for gait training in tetraplegia: a systematic review on feasibility, safety and potential health benefits</t>
  </si>
  <si>
    <t>ACTA NEUROLOGICA BELGICA</t>
  </si>
  <si>
    <t>Spinal cord injury; Tetraplegia; Gait rehabilitation; Wearable powered exoskeleton</t>
  </si>
  <si>
    <t>SPINAL-CORD-INJURY; VOLUNTARY DRIVEN EXOSKELETON; BONE-MINERAL DENSITY; ROBOTIC EXOSKELETON; ASSISTED WALKING; RISK-FACTORS; REHABILITATION; INDIVIDUALS; OSTEOPOROSIS; PERFORMANCE</t>
  </si>
  <si>
    <t>Background Recent developments in wearable powered exoskeletons (WPE) allow gait training (GT) for patients after spinal cord injury (SCI). Two recent meta-analyses on GT using WPE showed promising results for paraplegic patients (PP). To this date, there is no review focusing on tetraplegic patients (TP). Objectives The main objective of this review was to assess feasibility and safety of GT using WPE in patients after tetraplegia. Method This systematic review was performed according to PRISMA-S guidelines. Two independent reviewers searched several databases for studies on GT using WPE for TP. Primary outcomes concerned the number, type and severity of reported adverse events (AE). Secondary outcomes examined potential additional health benefits (AHB). Results Forty-one studies (6 randomized trials, 24 cohorts and 11 cases series) were selected, including 166 TP, 26 with complete lesions (AIS A) and 71 with level of injury above C6. Minor AE were reported in 17 TP, concerning cutaneous, cardiovascular or musculoskeletal systems. Occurrence of AE is significantly higher in a PP population compared to TP (p value = 0.001). Only one major AE concerned a TP. Studies of low level of evidence suggest that GT using WPE could lead to improvements in walking parameters, cardiovascular efficiency and to a reduction of spasticity. Discussion and conclusion GT using WPE is a feasible and safe intervention for TP. To minimize occurrence of AE, a good patient selection and preparation is proposed. Future clinical trials should be performed to confirm current trends in terms of efficacy and potential AHB.</t>
  </si>
  <si>
    <t>[Rodriguez Tapia, Gonzalo; Doumas, Ioannis; Lejeune, Thierry] Catholic Univ Louvain, Inst Rech Expt &amp; Clin, Neuro Musculo Skeletal Lab NMSK, Secteur Sci Sante, Ave Mounier 53, B-1200 Brussels, Belgium; [Doumas, Ioannis; Lejeune, Thierry] Clin Univ St Luc, Serv Med Phys &amp; Readaptat, Ave Hippocrate 10, B-1200 Brussels, Belgium; [Previnaire, Jean-Gabriel] Fdn Hopale, Ctr Jacques Calve, 72 Esplanade Parmentier, F-62600 Berck Sur Mer, France</t>
  </si>
  <si>
    <t>Universite Catholique Louvain; Universite Catholique Louvain; Cliniques Universitaires Saint-Luc</t>
  </si>
  <si>
    <t>Lejeune, T (corresponding author), Catholic Univ Louvain, Inst Rech Expt &amp; Clin, Neuro Musculo Skeletal Lab NMSK, Secteur Sci Sante, Ave Mounier 53, B-1200 Brussels, Belgium.;Lejeune, T (corresponding author), Clin Univ St Luc, Serv Med Phys &amp; Readaptat, Ave Hippocrate 10, B-1200 Brussels, Belgium.</t>
  </si>
  <si>
    <t>thierry.lejeune@uclouvain.be</t>
  </si>
  <si>
    <t>Lejeune, Thierry/0000-0001-5741-7753</t>
  </si>
  <si>
    <t>FNRS [F 5/4/130/5-CSD/CHU]</t>
  </si>
  <si>
    <t>FNRS(Fonds de la Recherche Scientifique - FNRS)</t>
  </si>
  <si>
    <t>FNRS Grant (F 5/4/130/5-CSD/CHU).</t>
  </si>
  <si>
    <t>0300-9009</t>
  </si>
  <si>
    <t>2240-2993</t>
  </si>
  <si>
    <t>ACTA NEUROL BELG</t>
  </si>
  <si>
    <t>Acta Neurol. Belg.</t>
  </si>
  <si>
    <t>10.1007/s13760-022-02011-1</t>
  </si>
  <si>
    <t>4U5PV</t>
  </si>
  <si>
    <t>WOS:000826273600001</t>
  </si>
  <si>
    <t>Binshalan, T; Nair, KPS; McNeill, A</t>
  </si>
  <si>
    <t>Binshalan, Tarub; Nair, Krishnan Padmakumari Sivaraman; McNeill, Alisdair</t>
  </si>
  <si>
    <t>The Effectiveness of Physiotherapy Interventions for Mobility in Severe Multiple Sclerosis: A Systematic Review and Meta-Analysis</t>
  </si>
  <si>
    <t>MULTIPLE SCLEROSIS INTERNATIONAL</t>
  </si>
  <si>
    <t>FUNCTIONAL ELECTRICAL-STIMULATION; QUALITY-OF-LIFE; WALKING SPEED; GAIT; BALANCE; INDIVIDUALS; EXERCISE; PROGRAM; PEOPLE; REHABILITATION</t>
  </si>
  <si>
    <t>Background. People with Multiple Sclerosis (pwMS) prioritise gait as the most valuable function to be affected by MS. Physiotherapy plays a key role in managing gait impairment in MS. There is little evidence on the effectiveness of physiotherapy for severe MS. Objective. To undertake a systematic review and meta-analysis of the literature to identify evidence for the effectiveness of physiotherapy for gait impairment in severe MS. Methods. The available literature was systematically searched, using a predetermined protocol, to identify research studies investigating a physiotherapy intervention for mobility in people with severe MS (EDSS &amp; GE;6.0). Data on mobility related endpoints was extracted. Meta-analysis was performed where a given mobility end point was reported in at least 3 studies. Results. 37 relevant papers were identified, which included 788 pwMS. Seven mobility-related endpoints were meta-analysed. Robot-Assisted Gait Training (RAGT) was found to improve performance on the 6-minute walk test, 10-metre walk test, fatigue severity scale, and Berg Balance Scale. Neither body weight supported training nor conventional walking training significantly improved any mobility-related outcomes. Conclusion. Physiotherapy interventions are feasible for mobility in severe MS. There is some evidence for the effectiveness of RAGT.</t>
  </si>
  <si>
    <t>[Binshalan, Tarub; Nair, Krishnan Padmakumari Sivaraman; McNeill, Alisdair] Univ Sheffield, Dept Neurosci, 385a Glossop Rd, Sheffield S10 2HQ, England; [Binshalan, Tarub] Shaqra Univ, Coll Appl Med Sci, Shaqraa, Saudi Arabia</t>
  </si>
  <si>
    <t>University of Sheffield; Shaqra University</t>
  </si>
  <si>
    <t>McNeill, A (corresponding author), Univ Sheffield, Dept Neurosci, 385a Glossop Rd, Sheffield S10 2HQ, England.</t>
  </si>
  <si>
    <t>tbinshalan1@sheffield.ac.uk; siva.nair@nhs.net; a.mcneill@sheffield.ac.uk</t>
  </si>
  <si>
    <t>Nair, Krishnan/ABT-1416-2022</t>
  </si>
  <si>
    <t>Nair, Krishnan/0000-0002-4004-2315; Binshalan, Tarub/0009-0000-5797-332X; mcneill, alisdair/0000-0001-5702-3631</t>
  </si>
  <si>
    <t>University of Sheffield; Saudi Arabian government PhD studentship</t>
  </si>
  <si>
    <t>Dr McNeill is funded by the University of Sheffield. Tarub Binshalan receives a Saudi Arabian government PhD studentship.</t>
  </si>
  <si>
    <t>2090-2654</t>
  </si>
  <si>
    <t>2090-2662</t>
  </si>
  <si>
    <t>MULT SCLER INT</t>
  </si>
  <si>
    <t>Mult. Scler. Int.</t>
  </si>
  <si>
    <t>JUL 11</t>
  </si>
  <si>
    <t>10.1155/2022/2357785</t>
  </si>
  <si>
    <t>3H5CI</t>
  </si>
  <si>
    <t>hybrid, Green Accepted</t>
  </si>
  <si>
    <t>WOS:000832053300001</t>
  </si>
  <si>
    <t>Zuccon, G; Lenzo, B; Bottin, M; Rosati, G</t>
  </si>
  <si>
    <t>Zuccon, Giacomo; Lenzo, Basilio; Bottin, Matteo; Rosati, Giulio</t>
  </si>
  <si>
    <t>Rehabilitation robotics after stroke: a bibliometric literature review</t>
  </si>
  <si>
    <t>Neurorehabilitation; rehabilitation robotics; stroke; medical devices; upper and lower limb; bibliometric study</t>
  </si>
  <si>
    <t>OF-THE-ART; SEVERELY AFFECTED ARM; UPPER-LIMB; ASSISTED THERAPY; GAIT REHABILITATION; FUTURE-DIRECTIONS; MOTOR RECOVERY; RECENT TRENDS; CHALLENGES; DEVICES</t>
  </si>
  <si>
    <t>Introduction Stroke is the leading cause of long-term disability in developed countries. Due to population aging, the number of people requiring rehabilitation after stroke is going to rise in the coming decades. Robot-mediated neurorehabilitation has the potential to improve clinical outcomes of rehabilitation treatments. A statistical analysis of the literature aims to focus on the main trend of this topic. Areas covered A bibliometric survey on post-stroke robotic rehabilitation was performed through a database collection of scientific publications in the field of rehabilitation robotics. By covering the last 20 years, 17,429 sources were collected. Relevant patterns and statistics concerning the main research areas were analyzed. Leading journals and conferences which publish and disseminate knowledge in the field were identified. A detailed nomenclature study was carried out. The time trends of the research field were captured. Opinions and predictions of future trends that are expected to shape the near future of the field were discussed. Expert opinion Data analysis reveals the continuous expansion of the research field over the last two decades, which is expected to rise considerably in near future. More attention will be paid to the lower limbs rehabilitation and disease/design specific applications in early-stage patients.</t>
  </si>
  <si>
    <t>[Zuccon, Giacomo; Lenzo, Basilio; Bottin, Matteo; Rosati, Giulio] Univ Padua, Dept Ind Engn, Via Venezia 1, I-35131 Padua, Italy</t>
  </si>
  <si>
    <t>University of Padua</t>
  </si>
  <si>
    <t>Zuccon, G (corresponding author), Univ Padua, Dept Ind Engn, Via Venezia 1, I-35131 Padua, Italy.</t>
  </si>
  <si>
    <t>giacomo.zuccon@phd.unipd.it</t>
  </si>
  <si>
    <t>Bottin, Matteo/AAB-1935-2021; Rosati, Giulio/A-8873-2010; Lenzo, Basilio/I-5508-2017</t>
  </si>
  <si>
    <t>Zuccon, Giacomo/0000-0003-2349-9580; Rosati, Giulio/0000-0002-5150-9486; Lenzo, Basilio/0000-0002-8520-7953</t>
  </si>
  <si>
    <t>10.1080/17434440.2022.2096438</t>
  </si>
  <si>
    <t>3C8SL</t>
  </si>
  <si>
    <t>WOS:000827013400001</t>
  </si>
  <si>
    <t>Kabir, R; Sunny, MSH; Ahmed, HU; Rahman, MH</t>
  </si>
  <si>
    <t>Kabir, Ryan; Sunny, Md Samiul Haque; Ahmed, Helal Uddin; Rahman, Mohammad Habibur</t>
  </si>
  <si>
    <t>Hand Rehabilitation Devices: A Comprehensive Systematic Review</t>
  </si>
  <si>
    <t>hand rehabilitation; rehabilitation therapy; actuation mechanism; control system</t>
  </si>
  <si>
    <t>UPPER-LIMB; EXOSKELETON ROBOT; VIRTUAL-REALITY; STROKE PATIENTS; MOTOR RECOVERY; POSTSTROKE SPASTICITY; THERAPY; MOTION; GLOVE; PLASTICITY</t>
  </si>
  <si>
    <t>A cerebrovascular accident, or a stroke, can cause significant neurological damage, inflicting the patient with loss of motor function in their hands. Standard rehabilitation therapy for the hand increases demands on clinics, creating an avenue for powered hand rehabilitation devices. Hand rehabilitation devices (HRDs) are devices designed to provide the hand with passive, active, and active-assisted rehabilitation therapy; however, HRDs do not have any standards in terms of development or design. Although the categorization of an injury's severity can guide a patient into seeking proper assistance, rehabilitation devices do not have a set standard to provide a solution from the beginning to the end stages of recovery. In this paper, HRDs are defined and compared by their mechanical designs, actuation mechanisms, control systems, and therapeutic strategies. Furthermore, devices with conducted clinical trials are used to determine the future development of HRDs. After evaluating the abilities of 35 devices, it is inferred that standard characteristics for HRDs should include an exoskeleton design, the incorporation of challenge-based and coaching therapeutic strategies, and the implementation of surface electromyogram signals (sEMG) based control.</t>
  </si>
  <si>
    <t>[Kabir, Ryan; Ahmed, Helal Uddin; Rahman, Mohammad Habibur] Univ Wisconsin, Dept Mech Engn, BioRobot Lab, Milwaukee, WI 53211 USA; [Sunny, Md Samiul Haque; Rahman, Mohammad Habibur] Univ Wisconsin, Dept Comp Sci, BioRobot Lab, Milwaukee, WI 53211 USA</t>
  </si>
  <si>
    <t>University of Wisconsin System; University of Wisconsin Milwaukee; University of Wisconsin System; University of Wisconsin Milwaukee</t>
  </si>
  <si>
    <t>Kabir, R (corresponding author), Univ Wisconsin, Dept Mech Engn, BioRobot Lab, Milwaukee, WI 53211 USA.</t>
  </si>
  <si>
    <t>kabirr@uwm.edu; msunny@uwm.edu; helal.uddin@tmtgbd.com; rahmanmh@uwm.edu</t>
  </si>
  <si>
    <t>Rahman, Mohammad/AAB-3187-2019; Sunny, Md Samiul Haque/HZM-5501-2023</t>
  </si>
  <si>
    <t>Sunny, Md Samiul Haque/0000-0002-6584-1877; Kabir, Ryan/0000-0001-5962-9733; Rahman, Mohammad H/0000-0002-6370-8757</t>
  </si>
  <si>
    <t>10.3390/mi13071033</t>
  </si>
  <si>
    <t>3J4ME</t>
  </si>
  <si>
    <t>WOS:000833369900001</t>
  </si>
  <si>
    <t>Kourtesis, P; Argelaguet, F; Vizcay, S; Marchal, M; Pacchierotti, C</t>
  </si>
  <si>
    <t>Kourtesis, Panagiotis; Argelaguet, Ferran; Vizcay, Sebastian; Marchal, Maud; Pacchierotti, Claudio</t>
  </si>
  <si>
    <t>Electrotactile Feedback Applications for Hand and Arm Interactions: A Systematic Review, Meta-Analysis, and Future Directions</t>
  </si>
  <si>
    <t>IEEE TRANSACTIONS ON HAPTICS</t>
  </si>
  <si>
    <t>Skin; Electrodes; Haptic interfaces; Calibration; Costs; Systematics; Epidermis; Electrotactile feedback; prosthetics; haptic rendering; haptic displays; teleoperation; human-computer interaction; virtual reality; perception; human performance</t>
  </si>
  <si>
    <t>ELECTRICAL-STIMULATION; SENSORY SUBSTITUTION; HAPTIC FEEDBACK; DISCRIMINATION; FINGERTIP; SKIN; FREQUENCY; SENSATION; SUBTRACTION; DEFORMATION</t>
  </si>
  <si>
    <t>Haptic feedback is critical in a broad range of human-machine/computer-interaction applications. However, the high cost and low portability/wearability of haptic devices remain unresolved issues, severely limiting the adoption of this otherwise promising technology. Electrotactile interfaces have the advantage of being more portable and wearable due to their reduced actuators' size, as well as their lower power consumption and manufacturing cost. The applications of electrotactile feedback have been explored in human-computer interaction and human-machine-interaction for facilitating hand-based interactions in applications, such as prosthetics, virtual reality, robotic teleoperation, surface haptics, portable devices, and rehabilitation. This article presents a technological overview of electrotactile feedback, as well a systematic review and meta-analysis of its applications for hand-based interactions. We discuss the different electrotactile systems according to the type of application. We also discuss over a quantitative congregation of the findings, to offer a high-level overview into the state-of-art and suggest future directions. Electrotactile feedback systems showed increased portability/wearability, and they were successful in rendering and/or augmenting most tactile sensations, eliciting perceptual processes, and improving performance in many scenarios. However, knowledge gaps (e.g., embodiment), technical (e.g., recurrent calibration, electrodes' durability) and methodological (e.g., sample size) drawbacks were detected, which should be addressed in future studies.</t>
  </si>
  <si>
    <t>[Kourtesis, Panagiotis; Argelaguet, Ferran; Vizcay, Sebastian] Univ Rennes, INRIA, IRISA, CNRS, F-35042 Rennes, France; [Marchal, Maud] Univ Rennes, INSA, INRIA, IRISA,CNRS, F-35042 Rennes, France; [Pacchierotti, Claudio] Univ Rennes, CNRS, IRISA, Inria Rennes, F-35042 Rennes, France</t>
  </si>
  <si>
    <t>Inria; Centre National de la Recherche Scientifique (CNRS); Universite de Rennes; Inria; Universite de Rennes; Centre National de la Recherche Scientifique (CNRS); Universite de Rennes; Centre National de la Recherche Scientifique (CNRS)</t>
  </si>
  <si>
    <t>Kourtesis, P (corresponding author), Univ Rennes, INRIA, IRISA, CNRS, F-35042 Rennes, France.</t>
  </si>
  <si>
    <t>panagiotis.kourtesis@inria.fr; ferran.argelaguet@inria.fr; sebastian.vizcay@inria.fr; maud.marchal@irisa.fr; claudio.pacchierotti@irisa.fr</t>
  </si>
  <si>
    <t>Pacchierotti, Claudio/G-7304-2011; Kourtesis, Panagiotis/ABA-9356-2020</t>
  </si>
  <si>
    <t>Pacchierotti, Claudio/0000-0002-8006-9168; Marchal, Maud/0000-0002-6080-7178; Kourtesis, Panagiotis/0000-0002-2914-1064; Vizcay, Sebastian/0000-0002-1837-5607</t>
  </si>
  <si>
    <t>European Union [856718]</t>
  </si>
  <si>
    <t>This work was supported by the European Union's Horizon 2020 Research and Innovation Program under Grant Agreement 856718 (TACTILITY). This article was recommended for publication by Associate Editor Prof. Jinah Park. and Editor-in-Chief Prof. Domenico Prattichizzo, upon evaluation of the reviewers' comments.</t>
  </si>
  <si>
    <t>IEEE COMPUTER SOC</t>
  </si>
  <si>
    <t>LOS ALAMITOS</t>
  </si>
  <si>
    <t>10662 LOS VAQUEROS CIRCLE, PO BOX 3014, LOS ALAMITOS, CA 90720-1314 USA</t>
  </si>
  <si>
    <t>1939-1412</t>
  </si>
  <si>
    <t>2329-4051</t>
  </si>
  <si>
    <t>IEEE T HAPTICS</t>
  </si>
  <si>
    <t>IEEE Trans. Haptics</t>
  </si>
  <si>
    <t>10.1109/TOH.2022.3189866</t>
  </si>
  <si>
    <t>Computer Science, Cybernetics</t>
  </si>
  <si>
    <t>4Y3LT</t>
  </si>
  <si>
    <t>WOS:000861430500003</t>
  </si>
  <si>
    <t>Li, YN; Sena, A; Wang, ZW; Xing, XY; Babic, J; van Asseldonk, E; Burdet, E</t>
  </si>
  <si>
    <t>Li, Yanan; Sena, Aran; Wang, Ziwei; Xing, Xueyan; Babic, Jan; van Asseldonk, Edwin; Burdet, Etienne</t>
  </si>
  <si>
    <t>A review on interaction control for contact robots through intent detection</t>
  </si>
  <si>
    <t>control; estimations; adaptations; interactive; robot; human; learning</t>
  </si>
  <si>
    <t>VARIABLE IMPEDANCE CONTROL; END-POINT STIFFNESS; GAME-THEORY; MOVEMENT; ARM; STROKE; TELEOPERATION; MANIPULATION; STABILITY; HUMANS</t>
  </si>
  <si>
    <t>Interaction control presents opportunities for contact robots physically interacting with their human user, such as assistance targeted to each human user, communication of goals to enable effective teamwork, and task-directed motion resistance in physical training and rehabilitation contexts. Here we review the burgeoning field of interaction control in the control theory and machine learning communities, by analysing the exchange of haptic information between the robot and its human user, and how they share the task effort. We first review the estimation and learning methods to predict the human user intent with the large uncertainty, variability and noise and limited observation of human motion. Based on this motion intent core, typical interaction control strategies are described using a homotopy of shared control parameters. Recent methods of haptic communication and game theory are then presented to consider the co-adaptation of human and robot control and yield versatile interactive control as observed between humans. Finally, the limitations of the presented state of the art are discussed and directions for future research are outlined.</t>
  </si>
  <si>
    <t>[Li, Yanan; Xing, Xueyan] Univ Sussex, Dept Engn &amp; Design, Brighton BN1 9RH, E Sussex, England; [Sena, Aran; Wang, Ziwei; Burdet, Etienne] Imperial Coll Sci Technol &amp; Med, Dept Bioengn, London W12 0BZ, England; [Babic, Jan] Jozef Stefan Inst, Dept Automat Biocybernet &amp; Robot, Lab Neuromech &amp; Biorobot, Ljubljana, Slovenia; [Babic, Jan] Univ Ljubljana, Fac Elect Engn, Ljubljana, Slovenia; [van Asseldonk, Edwin] Univ Twente, Fac Engn Technol, NL-7500 AE Enschede, Netherlands</t>
  </si>
  <si>
    <t>University of Sussex; Imperial College London; Slovenian Academy of Sciences &amp; Arts (SASA); Jozef Stefan Institute; University of Ljubljana; University of Twente</t>
  </si>
  <si>
    <t>Burdet, E (corresponding author), Imperial Coll Sci Technol &amp; Med, Dept Bioengn, London W12 0BZ, England.</t>
  </si>
  <si>
    <t>e.burdet@imperial.ac.uk</t>
  </si>
  <si>
    <t>Li, Yanan/ABE-1354-2021; wang, ziwei/HQY-9921-2023; Xing, Xueyan/JMQ-3169-2023</t>
  </si>
  <si>
    <t>Wang, Ziwei/0000-0003-4588-8501</t>
  </si>
  <si>
    <t>UK EPSRC Grant [EP/T006951/1, EP/R026092/1]; EC H2020 COST ACTION [TD16116]; EC H2020 [ICT 871803 CONBOTS]; FETOPEN [829186]; ICT [871767]; Slovenian Research Agency [P2-0076]</t>
  </si>
  <si>
    <t>UK EPSRC Grant(UK Research &amp; Innovation (UKRI)Engineering &amp; Physical Sciences Research Council (EPSRC)); EC H2020 COST ACTION; EC H2020(Horizon 2020); FETOPEN; ICT; Slovenian Research Agency(Slovenian Research Agency - Slovenia)</t>
  </si>
  <si>
    <t>The work was supported in part by the UK EPSRC Grant Nos. EP/T006951/1 and EP/R026092/1; the EC H2020 COST ACTION TD16116, EC H2020 ICT 871803 CONBOTS, FETOPEN 829186 PH-CODING and ICT 871767 REHYB programme grants; and the Slovenian Research Agency P2-0076.</t>
  </si>
  <si>
    <t>10.1088/2516-1091/ac8193</t>
  </si>
  <si>
    <t>3P9DO</t>
  </si>
  <si>
    <t>Green Accepted, Green Published, hybrid</t>
  </si>
  <si>
    <t>WOS:000837834500001</t>
  </si>
  <si>
    <t>Melillo, A; Chirico, A; De Pietro, G; Gallo, L; Caggianese, G; Barone, D; De Laurentiis, M; Giordano, A</t>
  </si>
  <si>
    <t>Melillo, Antonio; Chirico, Andrea; De Pietro, Giuseppe; Gallo, Luigi; Caggianese, Giuseppe; Barone, Daniela; De Laurentiis, Michelino; Giordano, Antonio</t>
  </si>
  <si>
    <t>Virtual Reality Rehabilitation Systems for Cancer Survivors: A Narrative Review of the Literature</t>
  </si>
  <si>
    <t>virtual; reality; cancer; rehabilitation; disability; robotics; lymphedema; pain; fatigue; telemedicine</t>
  </si>
  <si>
    <t>BREAST-CANCER; EXERCISE INTERVENTION; CHRONIC STROKE; OLDER-ADULTS; BALANCE; FATIGUE; PAIN; FEASIBILITY; ADHERENCE; COMPONENT</t>
  </si>
  <si>
    <t>Simple Summary To the best of our knowledge, this is the first review aiming to assess the impact of VR on the rehabilitation care of cancer survivors. We conducted a general review of the current evidence on the efficacy of virtual reality rehabilitation (VRR) systems on cancer-related impairments as retrieved through a systematic search of the main research databases. VRR systems may improve adherence to rehabilitation training programs and be better tailored to cancer patients' needs, but more data is needed. Rehabilitation plays a crucial role in cancer care, as the functioning of cancer survivors is frequently compromised by impairments that can result from the disease itself but also from the long-term sequelae of the treatment. Nevertheless, the current literature shows that only a minority of patients receive physical and/or cognitive rehabilitation. This lack of rehabilitative care is a consequence of many factors, one of which includes the transportation issues linked to disability that limit the patient's access to rehabilitation facilities. The recent COVID-19 pandemic has further shown the benefits of improving telemedicine and home-based rehabilitative interventions to facilitate the delivery of rehabilitation programs when attendance at healthcare facilities is an obstacle. In recent years, researchers have been investigating the benefits of the application of virtual reality to rehabilitation. Virtual reality is shown to improve adherence and training intensity through gamification, allow the replication of real-life scenarios, and stimulate patients in a multimodal manner. In our present work, we offer an overview of the present literature on virtual reality-implemented cancer rehabilitation. The existence of wide margins for technological development allows us to expect further improvements, but more randomized controlled trials are needed to confirm the hypothesis that VRR may improve adherence rates and facilitate telerehabilitation.</t>
  </si>
  <si>
    <t>[Melillo, Antonio] Luigi Vanvitelli Univ Campania, Dept Mental &amp; Phys Hlth &amp; Prevent Med, I-80129 Naples, Italy; [Melillo, Antonio; Giordano, Antonio] Temple Univ, Coll Sci &amp; Technol, Ctr Biotechnol, Sbarro Inst Canc Res &amp; Mol Med,Dept Biol, Philadelphia, PA 19122 USA; [Chirico, Andrea] Sapienza Univ Rome, Dept Social &amp; Dev Psychol, I-00185 Rome, Italy; [De Pietro, Giuseppe; Gallo, Luigi; Caggianese, Giuseppe] Natl Res Council Italy ICAR CNR, Inst High Performance Comp &amp; Networking, I-80131 Naples, Italy; [Barone, Daniela] Ist Nazl Tumori IRCCS Fdn G Pascale, Cell Biol &amp; Biotherapy Unit, I-80131 Naples, Italy; [De Laurentiis, Michelino] Fdn G Pascale, IRCCS, Ist Nazl Tumori, Dept Breast &amp; Thorac Oncol, I-80131 Naples, Italy</t>
  </si>
  <si>
    <t>Universita della Campania Vanvitelli; Pennsylvania Commonwealth System of Higher Education (PCSHE); Temple University; Sapienza University Rome; Consiglio Nazionale delle Ricerche (CNR); Istituto di Calcolo e Reti ad Alte Prestazioni (ICAR-CNR); IRCCS Fondazione Pascale; Fondazione IRCCS Istituto Nazionale Tumori Milan; IRCCS Fondazione Pascale</t>
  </si>
  <si>
    <t>De Laurentiis, M (corresponding author), Fdn G Pascale, IRCCS, Ist Nazl Tumori, Dept Breast &amp; Thorac Oncol, I-80131 Naples, Italy.</t>
  </si>
  <si>
    <t>antonio.melillo2@studenti.unicampania.it; andrea.chirico@uniroma1.it; giuseppe.depietro@icar.cnr.it; luigi.gallo@icar.cnr.it; giuseppe.caggianese@icar.cnr.it; d.barone@istitutotumori.na.it; m.delaurentiis@istitutotumori.na.it; giordano@temple.edu</t>
  </si>
  <si>
    <t>Melillo, Antonio/JJD-2316-2023; De Laurentiis, Michelino/AAC-6321-2022; De Pietro, Giuseppe/AAZ-1151-2020; Barone, Daniela/N-1024-2015; DE LAURENTIIS, Michelino/K-4934-2018; Caggianese, Giuseppe/A-5007-2019; Giordano, Antonio/F-1927-2010; Gallo, Luigi/A-2924-2012</t>
  </si>
  <si>
    <t>de pietro, giuseppe/0000-0002-4675-5957; Barone, Daniela/0000-0002-5543-7686; DE LAURENTIIS, Michelino/0000-0001-9009-1572; Caggianese, Giuseppe/0000-0001-6607-6591; Giordano, Antonio/0000-0002-5959-016X; Gallo, Luigi/0000-0002-1281-404X; Chirico, Andrea/0000-0001-9955-1926</t>
  </si>
  <si>
    <t>10.3390/cancers14133163</t>
  </si>
  <si>
    <t>2W2ID</t>
  </si>
  <si>
    <t>WOS:000824353100001</t>
  </si>
  <si>
    <t>Sharkawy, AN; Koustoumpardis, PN</t>
  </si>
  <si>
    <t>Sharkawy, Abdel-Nasser; Koustoumpardis, Panagiotis N.</t>
  </si>
  <si>
    <t>Human-Robot Interaction: A Review and Analysis on Variable Admittance Control, Safety, and Perspectives</t>
  </si>
  <si>
    <t>human-robot interaction; robot control; variable admittance control; robot safety; safety methods; review</t>
  </si>
  <si>
    <t>COLLISION DETECTION; IMPEDANCE CONTROL; CONTACT; REHABILITATION; CHILDREN; AUTISM; ARM</t>
  </si>
  <si>
    <t>Human-robot interaction (HRI) is a broad research topic, which is defined as understanding, designing, developing, and evaluating the robotic system to be used with or by humans. This paper presents a survey on the control, safety, and perspectives for HRI systems. The first part of this paper reviews the variable admittance (VA) control for human-robot co-manipulation tasks, where the virtual damping, inertia, or both are adjusted. An overview of the published research for the VA control approaches, their methods, the accomplished collaborative co-manipulation tasks and applications, and the criteria for evaluating them are presented and compared. Then, the performance of various VA controllers is compared and investigated. In the second part, the safety of HRI systems is discussed. The various methods for detection of human-robot collisions (model-based and data-based) are investigated and compared. Furthermore, the criteria, the main aspects, and the requirements for the determination of the collision and their thresholds are discussed. The performance measure and the effectiveness of each method are analyzed and compared. The third and final part of the paper discusses the perspectives, necessity, influences, and expectations of the HRI for future robotic systems.</t>
  </si>
  <si>
    <t>[Sharkawy, Abdel-Nasser] South Valley Univ, Fac Engn, Mech Engn Dept, Mechatron Engn, Qena 83523, Egypt; [Koustoumpardis, Panagiotis N.] Univ Patras, Dept Mech Engn &amp; Aeronaut, Robot Grp, Patras 26504, Greece</t>
  </si>
  <si>
    <t>Egyptian Knowledge Bank (EKB); South Valley University Egypt; University of Patras</t>
  </si>
  <si>
    <t>Sharkawy, AN (corresponding author), South Valley Univ, Fac Engn, Mech Engn Dept, Mechatron Engn, Qena 83523, Egypt.</t>
  </si>
  <si>
    <t>eng.abdelnassersharkawy@gmail.com; koust@upatras.gr</t>
  </si>
  <si>
    <t>Koustoumpardis, Panagiotis/ABH-9038-2022; Sharkawy, Abdel-Nasser/AAP-1972-2020</t>
  </si>
  <si>
    <t>Koustoumpardis, Panagiotis/0000-0002-3051-7321; Sharkawy, Abdel-Nasser/0000-0001-9733-221X</t>
  </si>
  <si>
    <t>10.3390/machines10070591</t>
  </si>
  <si>
    <t>3G8DJ</t>
  </si>
  <si>
    <t>WOS:000831578300001</t>
  </si>
  <si>
    <t>Cardoso, LRL; Bochkezanian, V; Forner-Cordero, A; Melendez-Calderon, A; Bo, APL</t>
  </si>
  <si>
    <t>Cardoso, Lucas R. L.; Bochkezanian, Vanesa; Forner-Cordero, Arturo; Melendez-Calderon, Alejandro; Bo, Antonio P. L.</t>
  </si>
  <si>
    <t>Soft robotics and functional electrical stimulation advances for restoring hand function in people with SCI: a narrative review, clinical guidelines and future directions</t>
  </si>
  <si>
    <t>Functional electrical stimulation; Soft robotics; Hands; Fingers; Spinal cord injury; Tetraplegia; Rehabilitation; Therapy; Assistive devices</t>
  </si>
  <si>
    <t>SPINAL-CORD-INJURY; UPPER EXTREMITY FUNCTION; UPPER-LIMB; RESTORATIVE THERAPIES; TETRAPLEGIC HAND; WEARABLE-ROBOT; REHABILITATION; GRASP; INDIVIDUALS; PLASTICITY</t>
  </si>
  <si>
    <t>Background Recovery of hand function is crucial for the independence of people with spinal cord injury (SCI). Wearable devices based on soft robotics (SR) or functional electrical stimulation (FES) have been employed to assist the recovery of hand function both during activities of daily living (ADLs) and during therapy. However, the implementation of these wearable devices has not been compiled in a review focusing on the functional outcomes they can activate/elicit/stimulate/potentiate. This narrative review aims at providing a guide both for engineers to help in the development of new technologies and for clinicians to serve as clinical guidelines based on the available technology in order to assist and/or recover hand function in people with SCI. Methods A literature search was performed in Scopus, Pubmed and IEEE Xplore for articles involving SR devices or FES systems designed for hand therapy or assistance, published since 2010. Only studies that reported functional outcomes from individuals with SCI were selected. The final collections of both groups (SR and FES) were analysed based on the technical aspects and reported functional outcomes. Results A total of 37 out of 1101 articles were selected, 12 regarding SR and 25 involving FES devices. Most studies were limited to research prototypes, designed either for assistance or therapy. From an engineering perspective, technological improvements for home-based use such as portability, donning/doffing and the time spent with calibration were identified. From the clinician point of view, the most suitable technical features (e.g., user intent detection) and assessment tools should be determined according to the particular patient condition. A wide range of functional assessment tests were adopted, moreover, most studies used non-standardized tests. Conclusion SR and FES wearable devices are promising technologies to support hand function recovery in subjects with SCI. Technical improvements in aspects such as the user intent detection, portability or calibration as well as consistent assessment of functional outcomes were the main identified limitations. These limitations seem to be be preventing the translation into clinical practice of these technological devices created in the laboratory.</t>
  </si>
  <si>
    <t>[Cardoso, Lucas R. L.; Melendez-Calderon, Alejandro; Bo, Antonio P. L.] Univ Queensland, Sch Informat Technol &amp; Elect Engn, Biomed Engn, Brisbane, Qld, Australia; [Bochkezanian, Vanesa] Cent Queensland Univ, Sch Hlth Med &amp; Appl Sci, Coll Hlth Sci, North Rockhampton, Australia; [Forner-Cordero, Arturo] Univ Sao Paulo, Escola Politecn, Biomechatron Lab, Sao Paulo, Brazil; [Melendez-Calderon, Alejandro] Univ Queensland, Sch Hlth &amp; Rehabil Sci, Brisbane, Qld, Australia; [Melendez-Calderon, Alejandro] Royal Brisbane &amp; Womens Hosp, Jamieson Trauma Inst, Metro North Hosp &amp; Hlth Serv, Brisbane, Qld, Australia</t>
  </si>
  <si>
    <t>University of Queensland; Central Queensland University; Universidade de Sao Paulo; University of Queensland; Royal Brisbane &amp; Women's Hospital</t>
  </si>
  <si>
    <t>Cardoso, LRL (corresponding author), Univ Queensland, Sch Informat Technol &amp; Elect Engn, Biomed Engn, Brisbane, Qld, Australia.</t>
  </si>
  <si>
    <t>lrl.cardoso@uqconnect.edu.au</t>
  </si>
  <si>
    <t>Bo, Antonio/L-4167-2017; Cardoso, Lucas/GQB-1613-2022; Bochkezanian, Vanesa/Q-1806-2017; Forner-Cordero, Arturo/G-5054-2013</t>
  </si>
  <si>
    <t>Melendez-Calderon, Alejandro/0000-0002-7922-1345; Bochkezanian, Vanesa/0000-0002-8637-6759; Forner-Cordero, Arturo/0000-0002-0352-1640; Cardoso, Lucas/0000-0001-9723-1582</t>
  </si>
  <si>
    <t>10.1186/s12984-022-01043-1</t>
  </si>
  <si>
    <t>2P0CJ</t>
  </si>
  <si>
    <t>WOS:000819418300002</t>
  </si>
  <si>
    <t>Marcos-Pablos, S; García-Peñalvo, FJ</t>
  </si>
  <si>
    <t>Marcos-Pablos, Samuel; Garcia-Penalvo, Francisco Jose</t>
  </si>
  <si>
    <t>More than surgical tools: a systematic review of robots as didactic tools for the education of professionals in health sciences</t>
  </si>
  <si>
    <t>ADVANCES IN HEALTH SCIENCES EDUCATION</t>
  </si>
  <si>
    <t>Robotics; Health sciences; Education; Training; Systematic review</t>
  </si>
  <si>
    <t>DRUG-DELIVERY; SIMULATION; GUIDELINES; FRAMEWORK; ACCURACY; REALITY; SURGERY; IMPACT; JOINT</t>
  </si>
  <si>
    <t>Within the field of robots in medical education, most of the work done during the last years has focused on surgeon training in robotic surgery, practicing surgery procedures through simulators. Apart from surgical education, robots have also been widely employed in assistive and rehabilitation procedures, where education has traditionally focused in the patient. Therefore, there has been extensive review bibliography in the field of medical robotics focused on surgical and rehabilitation and assistive robots, but there is a lack of survey papers that explore the potential of robotics in the education of healthcare students and professionals beyond their training in the use of the robotic system. The scope of the current review are works in which robots are used as didactic tools for the education of professionals in health sciences, investigating the enablers and barriers that affect the use of robots as learning facilitators. Systematic literature searches were conducted in WOS and Scopus, yielding a total of 3812 candidate papers. After removing duplicates, inclusion criteria were defined and applied, resulting in 171 papers. An in-depth quality assessment was then performed leading to 26 papers for qualitative synthesis. Results show that robots in health sciences education are still developed with a roboticist mindset, without clearly incorporating aspects of the teaching/learning process. However, they have proven potential to be used in health sciences as they allow to parameterize procedures, autonomously guide learners to achieve greater engagement, or enable collective learning including patients and instructors in the loop. Although there exist documented added-value benefits, further research and efforts needs to be done to foster the inclusion of robots as didactic tools in the curricula of health sciences professionals. On the one hand, by analyzing how robotic technology should be developed to become more flexible and usable to support both teaching and learning processes in health sciences education, as final users are not necessarily well-versed in how to use it. On the other, there continues to be a need to develop effective and standard robotic enhanced learning evaluation tools, as well good quality studies that describe effective evaluation of robotic enhanced education for professionals in health sciences. As happens with other technologies when applied to the health sciences field, studies often fail to provide sufficient detail to support transferability or direct future robotic health care education programs.</t>
  </si>
  <si>
    <t>[Marcos-Pablos, Samuel; Garcia-Penalvo, Francisco Jose] Univ Salamanca, IUCE, GRIAL Res Grp, Paseo Canalejas 169, Salamanca 37008, Spain</t>
  </si>
  <si>
    <t>University of Salamanca</t>
  </si>
  <si>
    <t>Marcos-Pablos, S (corresponding author), Univ Salamanca, IUCE, GRIAL Res Grp, Paseo Canalejas 169, Salamanca 37008, Spain.</t>
  </si>
  <si>
    <t>samuelmp@usal.es; fgarcia@usal.es</t>
  </si>
  <si>
    <t>Pablos, Samuel/AAB-4601-2019; GARCIA-PENALVO, Francisco Jose/D-5445-2013; Marcos - Pablos, Samuel/A-7326-2019</t>
  </si>
  <si>
    <t>GARCIA-PENALVO, Francisco Jose/0000-0001-9987-5584; Marcos - Pablos, Samuel/0000-0003-3546-2822</t>
  </si>
  <si>
    <t>Spanish Government Ministry of Science and Innovation through the AVisSA project [PID2020-118345RB-I00]; University of Salamanca [PIC2-2021-12, ID2021/191]</t>
  </si>
  <si>
    <t>Spanish Government Ministry of Science and Innovation through the AVisSA project; University of Salamanca</t>
  </si>
  <si>
    <t>This research was partially funded by the Spanish Government Ministry of Science and Innovation through the AVisSA project grant number (PID2020-118345RB-I00), and the University of Salamanca project grant numbers (PIC2-2021-12) and (ID2021/191).</t>
  </si>
  <si>
    <t>1382-4996</t>
  </si>
  <si>
    <t>1573-1677</t>
  </si>
  <si>
    <t>ADV HEALTH SCI EDUC</t>
  </si>
  <si>
    <t>Adv. Health Sci. Educ.</t>
  </si>
  <si>
    <t>10.1007/s10459-022-10118-6</t>
  </si>
  <si>
    <t>Education &amp; Educational Research; Education, Scientific Disciplines; Health Care Sciences &amp; Services</t>
  </si>
  <si>
    <t>Education &amp; Educational Research; Health Care Sciences &amp; Services</t>
  </si>
  <si>
    <t>5Q5MX</t>
  </si>
  <si>
    <t>WOS:000819295000001</t>
  </si>
  <si>
    <t>Aliprandi, M; Pan, Y; Mosley, C; Gough, S</t>
  </si>
  <si>
    <t>Aliprandi, Martina; Pan, Yvonne; Mosley, Chiara; Gough, Suzanne</t>
  </si>
  <si>
    <t>What is the cost of including virtual reality in neurological rehabilitation? A scoping review</t>
  </si>
  <si>
    <t>Virtual reality; neurological rehabilitation; cost</t>
  </si>
  <si>
    <t>ROBOT-ASSISTED THERAPY; UPPER-LIMB IMPAIRMENT; STROKE; BALANCE</t>
  </si>
  <si>
    <t>Background: Virtual reality therapy in neurorehabilitation has demonstrated to be an effective, innovative method in increasing patient outcomes by increasing task repetition, interest, and self-efficacy. Despite this, virtual reality is not commonly used in neurorehabilitation centres or hospitals for conditions such as stroke. Objectives: The primary aim of this scoping review is to synthesise existing literature exploring the costs associated with including virtual reality into neurorehabilitation. The second aim is to explore the barriers and challenges that impede its adoption in neurorehabilitation. Methods: A literature search was conducted yielding a total of 5,647 articles. Eight studies were eligible to be included in the review. Results: Findings indicate that virtual reality may be a cost saving adjunct because it decreases the need for therapist time and decreases transportation costs. In addition, findings suggest that commercial virtual reality devices such as the Nintendo Wii may not be designed optimally for neurorehabilitation and virtual reality may not be suitable for patients with significant cognitive and communication deficits. Conclusions: Future research should aim to diversify in neurological patient populations, increase the range of economic evaluations, and explore barriers for virtual reality in neurorehabilitation to assist organisations and practitioners in enhancing treatment and ultimately health outcomes.</t>
  </si>
  <si>
    <t>[Aliprandi, Martina; Pan, Yvonne; Gough, Suzanne] Bond Univ, Fac Hlth Sci &amp; Med, Robina, Qld, Australia; [Mosley, Chiara] Manchester Metropolitan Univ, Fac Hlth Psychol &amp; Social Care, Manchester, Lancs, England</t>
  </si>
  <si>
    <t>Bond University; Manchester Metropolitan University</t>
  </si>
  <si>
    <t>Gough, S (corresponding author), Bond Univ, Fac Hlth Sci &amp; Med, Bond Inst Hlth &amp; Sport, 2 Promethean Way, Robina, Qld 4226, Australia.</t>
  </si>
  <si>
    <t>sgough@bond.eu.au</t>
  </si>
  <si>
    <t>; Gough, Suzanne/Q-8267-2019</t>
  </si>
  <si>
    <t>Pan, Yvonne/0000-0003-4296-7706; Mosley, Chiara/0000-0002-9844-1300; Gough, Suzanne/0000-0002-1320-3558; Aliprandi, Martina/0000-0001-5537-8711</t>
  </si>
  <si>
    <t>SEP 3</t>
  </si>
  <si>
    <t>10.1080/10833196.2022.2094102</t>
  </si>
  <si>
    <t>7B9FQ</t>
  </si>
  <si>
    <t>WOS:000821043500001</t>
  </si>
  <si>
    <t>Hornby, TG</t>
  </si>
  <si>
    <t>George Hornby, T.</t>
  </si>
  <si>
    <t>Rethinking the tools in the toolbox</t>
  </si>
  <si>
    <t>Robotic-assisted gait training; Locomotion; Rehabilitation</t>
  </si>
  <si>
    <t>WEIGHT-SUPPORTED TREADMILL; SPINAL-CORD-INJURY; SUBACUTE STROKE PATIENTS; BODY-WEIGHT; MUSCLE-ACTIVITY; METABOLIC COSTS; WALKING SPEED; ENERGY-COST; GAIT; INDIVIDUALS</t>
  </si>
  <si>
    <t>The commentary by Dr. Labruyere on the article by Kuo et al. (J Neuroeng Rehabil. 2021; 18:174) posits that randomized trials evaluating the comparative efficacy of robotic devices for patients with neurological injury may not be needed. The primary argument is that researchers and clinicians do not know how to optimize training parameters to maximize the benefits of this therapy, and studies vary in how they deliver robotic-assisted training. While I concur with the suggestion that additional trials using robotic devices as therapeutic tools are not warranted, an alternative hypothesis is that future studies will yield similar equivocal results regardless of the training parameters used. Attempts are made to detail arguments supporting this premise, including the notion that the original rationale for providing robotic-assisted walking training, particularly with exoskeletal devices, was flawed and that the design of some of the more commonly used devices places inherent limitations on the ability to maximize neuromuscular demands during training. While these devices arrived nearly 20 years ago amid substantial enthusiasm, we have since learned valuable lessons from robotic-assisted and other rehabilitation studies on some of the critical parameters that influence neuromuscular and cardiovascular activity during locomotor training, and different strategies are now needed to optimize rehabilitation outcomes.</t>
  </si>
  <si>
    <t>[George Hornby, T.] Indiana Univ Sch Med, Dept Phys Med &amp; Rehabil, 4141 Shore Dr, Indianapolis, IN 46254 USA; [George Hornby, T.] Rehabil Hosp Indiana, Indianapolis, IN USA; [George Hornby, T.] Northwestern Univ, Feinberg Sch Med, Dept Phys Med, Chicago, IL 60611 USA; [George Hornby, T.] Northwestern Univ, Feinberg Sch Med, Dept Rehabil, Chicago, IL 60611 USA</t>
  </si>
  <si>
    <t>Indiana University System; Indiana University Bloomington; Northwestern University; Feinberg School of Medicine; Northwestern University; Feinberg School of Medicine</t>
  </si>
  <si>
    <t>Hornby, TG (corresponding author), Indiana Univ Sch Med, Dept Phys Med &amp; Rehabil, 4141 Shore Dr, Indianapolis, IN 46254 USA.</t>
  </si>
  <si>
    <t>tghornby@iu.edu</t>
  </si>
  <si>
    <t>Hornby, Thomas/AAS-1131-2020</t>
  </si>
  <si>
    <t>NIDILRR [H133P130013, NIH/NINDS-1R01NS118009, DOD-W81XWH-18-1-0796]</t>
  </si>
  <si>
    <t>NIDILRR(United States Department of Health &amp; Human Services)</t>
  </si>
  <si>
    <t>TGH is funded by NIDILRR H133P130013, NIH/NINDS-1R01NS118009, and DOD-W81XWH-18-1-0796.</t>
  </si>
  <si>
    <t>JUN 20</t>
  </si>
  <si>
    <t>10.1186/s12984-022-01041-3</t>
  </si>
  <si>
    <t>2G7PF</t>
  </si>
  <si>
    <t>WOS:000813781300001</t>
  </si>
  <si>
    <t>Liu, MG; Ushiba, J</t>
  </si>
  <si>
    <t>Liu, Meigen; Ushiba, Junichi</t>
  </si>
  <si>
    <t>Brain-machine Interface (BMI)-based Neurorehabilitation for Post-stroke Upper Limb Paralysis</t>
  </si>
  <si>
    <t>KEIO JOURNAL OF MEDICINE</t>
  </si>
  <si>
    <t>electroencephalography; neurofeedback; mental practice; hand function; neuroplasticity</t>
  </si>
  <si>
    <t>Because recovery from upper limb paralysis after stroke is challenging, compensatory approaches have been the main focus of upper limb rehabilitation. However, based on fundamental and clinical research indicating that the brain has a far greater potential for plastic change than previously thought, functional restorative approaches have become increasingly common. Among such interventions, constraint-induced movement therapy, task-specific training, robotic therapy, neuromuscular electrical stimulation (NMES), mental practice, mirror therapy, and bilateral arm training are recommended in recently published stroke guidelines. For severe upper limb paralysis, however, no effective therapy has yet been established. Against this background, there is growing interest in applying brain-machine interface (BMI) technologies to upper limb rehabilitation. Increasing numbers of randomized controlled trials have demonstrated the effectiveness of BMI neurorehabilitation, and several meta-analyses have shown medium to large effect sizes with BMI therapy. Subgroup analyses indicate higher intervention effects in the subacute group than the chronic group, when using movement attempts as the BMI-training trigger task rather than using motor imagery, and using NMES as the external device compared with using other devices. The Keio BMI team has developed an electroencephalography-based neurorehabilitation system and has published clinical and basic studies demonstrating its effectiveness and neurophysiological mechanisms. For its wider clinical application, the positioning of BMI therapy in upper limb rehabilitation needs to be clarified, BMI needs to be commercialized as an easy-to-use and cost-effective medical device, and training systems for rehabilitation professionals need to be developed. A technological breakthrough enabling selective modulation of neural circuits is also needed. (DOI: 10.2302/ kjm.2022-0002-OA; Keio J Med 71 (4) : 82-92, December 2022)</t>
  </si>
  <si>
    <t>[Liu, Meigen] Keio Univ, Sch Med, Dept Rehabil Med, Tokyo, Japan; [Ushiba, Junichi] Keio Univ, Fac Sci &amp; Technol, Dept Biosci &amp; Informat, Yokohama, Japan</t>
  </si>
  <si>
    <t>Keio University; Keio University</t>
  </si>
  <si>
    <t>Liu, MG (corresponding author), 3131-6 Kurohama, Hasuda City, Saitama 3490101, Japan.</t>
  </si>
  <si>
    <t>meigenliukeio@mac.com</t>
  </si>
  <si>
    <t>Ushiba, Junichi/C-8890-2014</t>
  </si>
  <si>
    <t>KEIO JOURNAL MEDICINE</t>
  </si>
  <si>
    <t>35 SHINANOMACHI, SHINJUKU-KU, TOKYO, 160-8582, JAPAN</t>
  </si>
  <si>
    <t>0022-9717</t>
  </si>
  <si>
    <t>1880-1293</t>
  </si>
  <si>
    <t>KEIO J MED</t>
  </si>
  <si>
    <t>Keio J. Med.</t>
  </si>
  <si>
    <t>10.2302/kjm.2022-0002-OA</t>
  </si>
  <si>
    <t>2UD0F</t>
  </si>
  <si>
    <t>WOS:000813255600001</t>
  </si>
  <si>
    <t>Wang, XY; Fu, Y; Ye, B; Babineau, J; Ding, Y; Mihailidis, A</t>
  </si>
  <si>
    <t>Wang, Xiaoyi; Fu, Yan; Ye, Bing; Babineau, Jessica; Ding, Yong; Mihailidis, Alex</t>
  </si>
  <si>
    <t>Technology-Based Compensation Assessment and Detection of Upper Extremity Activities of Stroke Survivors: Systematic Review</t>
  </si>
  <si>
    <t>stroke; upper extremity rehabilitation; UE rehabilitation; compensation; assessment; technology; sensor; artificial intelligence; AI</t>
  </si>
  <si>
    <t>REDUCING TRUNK COMPENSATION; MIME ROBOTIC SYSTEM; MOVEMENT PATTERNS; POSTSTROKE; REHABILITATION; PERFORMANCE; IMPAIRMENT; FEEDBACK; ACCELEROMETRY; HEMIPARESIS</t>
  </si>
  <si>
    <t>Background: Upper extremity (UE) impairment affects up to 80% of stroke survivors and accounts for most of the rehabilitation after discharge from the hospital release. Compensation, commonly used by stroke survivors during UE rehabilitation, is applied to adapt to the loss of motor function and may impede the rehabilitation process in the long term and lead to new orthopedic problems. Intensive monitoring of compensatory movements is critical for improving the functional outcomes during rehabilitation. Objective: This review analyzes how technology-based methods have been applied to assess and detect compensation during stroke UE rehabilitation. Methods: We conducted a wide database search. All studies were independently screened by 2 reviewers (XW and YF), with a third reviewer (BY) involved in resolving discrepancies. The final included studies were rated according to their level of clinical evidence based on their correlation with clinical scales (with the same tasks or the same evaluation criteria). One reviewer (XW) extracted data on publication, demographic information, compensation types, sensors used for compensation assessment, compensation measurements, and statistical or artificial intelligence methods. Accuracy was checked by another reviewer (YF). Four research questions were presented. For each question, the data were synthesized and tabulated, and a descriptive summary of the findings was provided. The data were synthesized and tabulated based on each research question. Results: A total of 72 studies were included in this review. In all, 2 types of compensation were identified: disuse of the affected upper limb and awkward use of the affected upper limb to adjust for limited strength, mobility, and motor control. Various models and quantitative measurements have been proposed to characterize compensation. Body-worn technology (25/72, 35% studies) was the most used sensor technology to assess compensation, followed by marker-based motion capture system (24/72, 33% studies) and marker-free vision sensor technology (16/72, 22% studies). Most studies (56/72, 78% studies) used statistical methods for compensation assessment, whereas heterogeneous machine learning algorithms (15/72, 21% studies) were also applied for automatic detection of compensatory movements and postures. Conclusions: This systematic review provides insights for future research on technology-based compensation assessment and detection in stroke UE rehabilitation. Technology-based compensation assessment and detection have the capacity to augment rehabilitation independent of the constant care of therapists. The drawbacks of each sensor in compensation assessment and detection are discussed, and future research could focus on methods to overcome these disadvantages. It is advised that open data together with multilabel classification algorithms or deep learning algorithms could benefit from automatic real time compensation detection. It is also recommended that technology-based compensation predictions be explored.</t>
  </si>
  <si>
    <t>[Wang, Xiaoyi; Fu, Yan] Huazhong Univ Sci &amp; Technol, Sch Mech Sci &amp; Engn, Room 519,East 8th Bldg, Wuhan, Peoples R China; [Ye, Bing; Mihailidis, Alex] Univ Hlth Network, KITE Toronto Rehabil Inst, Toronto, ON, Canada; [Ye, Bing; Mihailidis, Alex] Univ Toronto, Dept Occupat Sci &amp; Occupat Therapy, Toronto, ON, Canada; [Babineau, Jessica] Univ Hlth Network, Lib &amp; Informat Serv, Toronto, ON, Canada; [Ding, Yong] Hubei Prov Hosp Tradit Chinese Med, Dept Rehabil Med, Wuhan, Peoples R China</t>
  </si>
  <si>
    <t>Huazhong University of Science &amp; Technology; University of Toronto; University Health Network Toronto; Toronto Rehabilitation Institute; University of Toronto; University of Toronto; University Health Network Toronto</t>
  </si>
  <si>
    <t>Fu, Y (corresponding author), Huazhong Univ Sci &amp; Technol, Sch Mech Sci &amp; Engn, Room 519,East 8th Bldg, Wuhan, Peoples R China.</t>
  </si>
  <si>
    <t>laura_fy@mail.hust.edu.cn</t>
  </si>
  <si>
    <t>Wang, Xiaoyi/ABD-6144-2021; Babineau, Jessica/H-5449-2015</t>
  </si>
  <si>
    <t>Ye, Bing/0000-0002-7029-2948; Babineau, Jessica/0000-0002-4770-0579; Mihailidis, Alex/0000-0003-2233-0919; Fu, Yan/0000-0003-1864-2071</t>
  </si>
  <si>
    <t>National Natural Science Foundation of China [71771098]</t>
  </si>
  <si>
    <t>This study was supported by the National Natural Science Foundation of China (71771098). This work was performed with close collaboration among researchers affiliated with the University of Toronto and Huazhong University of Science and Technology Collaborative Center for Robotics and Eldercare. The authors also thank the rehabilitation professionals in the Hubei Provincial Hospital of Traditional Chinese Medicine.</t>
  </si>
  <si>
    <t>e34307</t>
  </si>
  <si>
    <t>10.2196/34307</t>
  </si>
  <si>
    <t>5Z6CF</t>
  </si>
  <si>
    <t>WOS:000880058100001</t>
  </si>
  <si>
    <t>Campagnini, S; Liuzzi, P; Mannini, A; Riener, R; Carrozza, MC</t>
  </si>
  <si>
    <t>Campagnini, Silvia; Liuzzi, Piergiuseppe; Mannini, Andrea; Riener, Robert; Carrozza, Maria Chiara</t>
  </si>
  <si>
    <t>Effects of control strategies on gait in robot-assisted post-stroke lower limb rehabilitation: a systematic review</t>
  </si>
  <si>
    <t>Robot-assisted rehabilitation; Control Law; Stroke; Neurorehabilitation; Lower limb; Gait Determinants</t>
  </si>
  <si>
    <t>STROKE; RECOVERY; EXOSKELETON; ORTHOSIS; DEVICE</t>
  </si>
  <si>
    <t>Background: Stroke related motor function deficits affect patients' likelihood of returning to professional activities, limit their participation in society and functionality in daily living. Hence, robot-aided gait rehabilitation needs to be fruitful and effective from a motor learning perspective. For this reason, optimal human-robot interaction strategies are necessary to foster neuroplastic shaping during therapy. Therefore, we performed a systematic search on the effects of different control algorithms on quantitative objective gait parameters of post-acute stroke patients. Methods: We conducted a systematic search on four electronic databases using the Population Intervention Comparison and Outcome format. The heterogeneity of performance assessment, study designs and patients' numerosity prevented the possibility to conduct a rigorous meta-analysis, thus, the results were presented through narrative synthesis. Results: A total of 31 studies (out of 1036) met the inclusion criteria, without applying any temporal constraints. No controller preference with respect to gait parameters improvements was found. However, preferred solutions were encountered in the implementation of force control strategies mostly on rigid devices in therapeutic scenarios. Conversely, soft devices, which were all position-controlled, were found to be more commonly used in assistive scenarios. The effect of different controllers on gait could not be evaluated since conspicuous heterogeneity was found for both performance metrics and study designs. Conclusions: Overall, due to the impossibility of performing a meta-analysis, this systematic review calls for an outcome standardisation in the evaluation of robot-aided gait rehabilitation. This could allow for the comparison of adaptive and human-dependent controllers with conventional ones, identifying the most suitable control strategies for specific pathologic gait patterns. This latter aspect could bolster individualized and personalized choices of control strategies during the therapeutic or assistive path.</t>
  </si>
  <si>
    <t>[Campagnini, Silvia; Liuzzi, Piergiuseppe; Mannini, Andrea] IRCCS Fdn Don Carlo Gnocchi ONLUS, Via Scandicci 269, I-50143 Florence, FI, Italy; [Campagnini, Silvia; Liuzzi, Piergiuseppe; Carrozza, Maria Chiara] Scuola Super Sant Anna, Ist BioRobot, Via Rinaldo Piaggio 34, I-56025 Pontedera, PI, Italy; [Riener, Robert] Swiss Fed Inst Technol, Ramistr 101, CH-8092 Zurich, Switzerland; [Riener, Robert] Balgrist Univ Hosp, Forchstr 340, CH-8008 Zurich, Switzerland</t>
  </si>
  <si>
    <t>Scuola Superiore Sant'Anna; Swiss Federal Institutes of Technology Domain; ETH Zurich; University of Zurich</t>
  </si>
  <si>
    <t>Liuzzi, P (corresponding author), IRCCS Fdn Don Carlo Gnocchi ONLUS, Via Scandicci 269, I-50143 Florence, FI, Italy.;Liuzzi, P (corresponding author), Scuola Super Sant Anna, Ist BioRobot, Via Rinaldo Piaggio 34, I-56025 Pontedera, PI, Italy.</t>
  </si>
  <si>
    <t>pliuzzi@dongnocchi.it</t>
  </si>
  <si>
    <t>Riener, Robert/B-9868-2016; Liuzzi, Piergiuseppe/AAD-2038-2022; Mannini, Andrea/AAU-9901-2020; Oddo, Calogero/B-7798-2009; campagnini, silvia/GQZ-1106-2022</t>
  </si>
  <si>
    <t>Liuzzi, Piergiuseppe/0000-0002-6067-474X; Riener, Robert/0000-0002-1726-2950</t>
  </si>
  <si>
    <t>Italian neuroscience and neurorehabilitation research hospitals network (Rete IRCCS delle Neuroscienze e della Neuroriabilitazione); Italian Ministry of Health</t>
  </si>
  <si>
    <t>Italian neuroscience and neurorehabilitation research hospitals network (Rete IRCCS delle Neuroscienze e della Neuroriabilitazione); Italian Ministry of Health(Ministry of Health, Italy)</t>
  </si>
  <si>
    <t>The study was supported by the Italian neuroscience and neurorehabilitation research hospitals network (Rete IRCCS delle Neuroscienze e della Neuroriabilitazione) which funded the study jointly with the Ricerca corrente RC2020-2021 program and the 5 x mille funds AF2018: Data Science in Rehabilitation Medicine AF2019: Study and development of biomedical data science and machine learning methods to support the appropriateness and the decisionmaking process in rehabilitation medicine by the Italian Ministry of Health.</t>
  </si>
  <si>
    <t>10.1186/s12984-022-01031-5</t>
  </si>
  <si>
    <t>1V0KB</t>
  </si>
  <si>
    <t>WOS:000805788700004</t>
  </si>
  <si>
    <t>Lee, JW; Kwon, K; Yeo, WH</t>
  </si>
  <si>
    <t>Lee, Jinwoo; Kwon, Kangkyu; Yeo, Woon-Hong</t>
  </si>
  <si>
    <t>Recent advances in wearable exoskeletons for human strength augmentation</t>
  </si>
  <si>
    <t>FLEXIBLE AND PRINTED ELECTRONICS</t>
  </si>
  <si>
    <t>wearable exoskeletons; sensors; actuators; deep learning; strength augmentation</t>
  </si>
  <si>
    <t>SHOULDER-ELBOW EXOSKELETON; SOFT-INFLATABLE EXOSUIT; SIT-TO-STAND; ANKLE EXOSKELETON; ROBOTIC GLOVE; EEG SIGNALS; HAND REHABILITATION; MACHINE INTERFACES; LIMB EXOSKELETON; DESIGN</t>
  </si>
  <si>
    <t>The decline in muscular strength and control due to age or stroke-related side-effect has afflicted many individuals with neuromotor disorders because it affects essential motor functions to perform everyday activities and restrains their functional independence. In this regard, a myriad of wearable exoskeletons and functional components have been developed to deliver mechanical force for assisting the movements of different human body parts. However, many of the reported wearable exoskeletons suffer from several critical drawbacks that limit functional usage and practicality despite the significant technological advance of general wearable exoskeletons. Here, this review offers a comprehensive summary of the recent advances of wearable exoskeletons and their constituting functional components. In addition, we discuss the essential challenges that need to be tackled to enhance the functional practicality of the next-generation wearable exoskeletons in assisting the strength and control of individuals with neuromotor disorders.</t>
  </si>
  <si>
    <t>[Lee, Jinwoo; Yeo, Woon-Hong] Georgia Inst Technol, George W Woodruff Sch Mech Engn, Coll Engn, Atlanta, GA 30332 USA; [Lee, Jinwoo; Kwon, Kangkyu; Yeo, Woon-Hong] Georgia Inst Technol, IEN Ctr Human Centr Interfaces &amp; Engn, Inst Elect &amp; Nanotechnol, Atlanta, GA 30332 USA; [Kwon, Kangkyu] Georgia Inst Technol, Sch Elect &amp; Comp Engn, Atlanta, GA 30332 USA; [Yeo, Woon-Hong] Georgia Inst Technol, Wallace H Coulter Dept Biomed Engn, Parker H Petit Inst Bioengn &amp; Biosci, Neural Engn Ctr,Inst Mat,Inst Robot &amp; Intelligent, Atlanta, GA 30332 USA</t>
  </si>
  <si>
    <t>University System of Georgia; Georgia Institute of Technology; University System of Georgia; Georgia Institute of Technology; University System of Georgia; Georgia Institute of Technology; University System of Georgia; Georgia Institute of Technology</t>
  </si>
  <si>
    <t>Yeo, WH (corresponding author), Georgia Inst Technol, George W Woodruff Sch Mech Engn, Coll Engn, Atlanta, GA 30332 USA.;Yeo, WH (corresponding author), Georgia Inst Technol, IEN Ctr Human Centr Interfaces &amp; Engn, Inst Elect &amp; Nanotechnol, Atlanta, GA 30332 USA.;Yeo, WH (corresponding author), Georgia Inst Technol, Wallace H Coulter Dept Biomed Engn, Parker H Petit Inst Bioengn &amp; Biosci, Neural Engn Ctr,Inst Mat,Inst Robot &amp; Intelligent, Atlanta, GA 30332 USA.</t>
  </si>
  <si>
    <t>whyeo@gatech.edu</t>
  </si>
  <si>
    <t>Lee, Jin/A-8031-2013; Yeo, Woon-Hong/G-6430-2011</t>
  </si>
  <si>
    <t>Yeo, Woon-Hong/0000-0002-5526-3882</t>
  </si>
  <si>
    <t>SEMI-FlexTech; IEN Center for Human-Centric Interfaces and Engineering at Georgia Tech; Army Research Laboratory [W911NF-19-2-0345]</t>
  </si>
  <si>
    <t>SEMI-FlexTech; IEN Center for Human-Centric Interfaces and Engineering at Georgia Tech; Army Research Laboratory(United States Department of DefenseUS Army Research Laboratory (ARL))</t>
  </si>
  <si>
    <t>J L and K K contributed equally to this work. W-H Y acknowledges the support from the SEMI-FlexTech and the IEN Center for Human-Centric Interfaces and Engineering at Georgia Tech. This material is based on research sponsored by Army Research Laboratory under Agreement Number W911NF-19-2-0345. The U.S. Government is authorized to reproduce and distribute reprints for Government purposes notwithstanding any copyright notation thereon. The views and conclusions contained herein are those of the authors and should not be interpreted as necessarily representing the official policies or endorsements, either expressed or implied, of Army Research Laboratory (ARL) or the U.S. Government.</t>
  </si>
  <si>
    <t>2058-8585</t>
  </si>
  <si>
    <t>FLEX PRINT ELECTRON</t>
  </si>
  <si>
    <t>Flex. Print. Electron.</t>
  </si>
  <si>
    <t>10.1088/2058-8585/ac6a96</t>
  </si>
  <si>
    <t>Engineering, Electrical &amp; Electronic; Materials Science, Multidisciplinary; Physics, Applied</t>
  </si>
  <si>
    <t>Engineering; Materials Science; Physics</t>
  </si>
  <si>
    <t>1D0KF</t>
  </si>
  <si>
    <t>WOS:000793498500001</t>
  </si>
  <si>
    <t>Lorusso, M; Tramontano, M; Casciello, M; Pece, A; Smania, N; Morone, G; Tamburella, F</t>
  </si>
  <si>
    <t>Lorusso, Matteo; Tramontano, Marco; Casciello, Matteo; Pece, Andrea; Smania, Nicola; Morone, Giovanni; Tamburella, Federica</t>
  </si>
  <si>
    <t>Efficacy of Overground Robotic Gait Training on Balance in Stroke Survivors: A Systematic Review and Meta-Analysis</t>
  </si>
  <si>
    <t>stroke; balance function; overground exoskeleton; overground robot-assisted gait training</t>
  </si>
  <si>
    <t>SUBACUTE STROKE; SINGLE-BLIND; REHABILITATION; WALKING; FEASIBILITY; INDIVIDUALS; EXOSKELETON; AMBULATION; MOBILITY; TRIAL</t>
  </si>
  <si>
    <t>Strokes often lead to a deficit in motor control that contributes to a reduced balance function. Impairments in the balance function severely limit the activities of daily living (ADL) in stroke survivors. The present systematic review and meta-analysis primarily aims to explore the efficacy of overground robot-assisted gait training (o-RAGT) on balance recovery in individuals with stroke. In addition, the efficacy on ADL is also investigated. This systematic review identified nine articles investigating the effects of o-RAGT on balance, four of which also assessed ADL. The results of the meta-analysis suggest that o-RAGT does not increase balance and ADL outcomes more than conventional therapy in individuals after stroke. The data should not be overestimated due to the low number of studies included in the meta-analysis and the wide confidence intervals. Subgroup analyses to investigate the influence of participant's characteristics and training dosage were not performed due to lack of data availability. Further well-designed randomized controlled trials are needed to investigate the efficacy of o-RAGT on balance in individuals with stroke.</t>
  </si>
  <si>
    <t>[Lorusso, Matteo; Tramontano, Marco; Casciello, Matteo; Tamburella, Federica] Santa Lucia Fdn, Via Ardeatina 306, I-00179 Rome, Italy; [Tramontano, Marco] Univ Rome Foro Italico, Dept Movement Human &amp; Hlth Sci, I-00185 Rome, Italy; [Pece, Andrea] Osped Israelitico Roma, Via Fulda 14, I-00148 Rome, Italy; [Morone, Giovanni] Univ Hosp Verona, Neurorehabil Unit, I-37124 Verona, Italy; [Morone, Giovanni] Univ LAquila, Dept Life Hlth &amp; Environm Sci, I-67100 Laquila, Italy</t>
  </si>
  <si>
    <t>IRCCS Santa Lucia; Foro Italico University of Rome; University of Verona; Azienda Ospedaliera Universitaria Integrata Verona; University of L'Aquila</t>
  </si>
  <si>
    <t>Tramontano, M (corresponding author), Santa Lucia Fdn, Via Ardeatina 306, I-00179 Rome, Italy.;Tramontano, M (corresponding author), Univ Rome Foro Italico, Dept Movement Human &amp; Hlth Sci, I-00185 Rome, Italy.</t>
  </si>
  <si>
    <t>m.lorusso@hsantalucia.it; m.tramontano@hsantalucia.it; matteo1990casciello@gmail.com; andrea.pece1973@gmail.com; nicola.smania@univr.it; giovanni.morone@univaq.it; f.tamburella@hsantalucia.it</t>
  </si>
  <si>
    <t>Tamburella, Federica/J-9917-2016; Morone, Giovanni/AAN-2666-2020; TRAMONTANO, MARCO/K-4373-2018; Morone, Giovanni/A-9561-2013</t>
  </si>
  <si>
    <t>pece, Andrea/0000-0002-0457-4840; TRAMONTANO, MARCO/0000-0001-6034-0638; Morone, Giovanni/0000-0003-3602-4197; Lorusso, Matteo/0000-0001-7920-4484; smania, nicola/0000-0001-7630-1887</t>
  </si>
  <si>
    <t>Italian Ministry of Health (Ricerca Corrente)</t>
  </si>
  <si>
    <t>Italian Ministry of Health (Ricerca Corrente)(Ministry of Health, Italy)</t>
  </si>
  <si>
    <t>The study was partially supported by the Italian Ministry of Health (Ricerca Corrente).</t>
  </si>
  <si>
    <t>10.3390/brainsci12060713</t>
  </si>
  <si>
    <t>2M2VY</t>
  </si>
  <si>
    <t>WOS:000817564900001</t>
  </si>
  <si>
    <t>Pana, CF; Radulescu, VM; Patrascu-Pana, DM; Petcu, FL; Resceanu, IC; Cismaru, SI; Trasculescu, A; Bîzdoaca, N</t>
  </si>
  <si>
    <t>Pana, Cristina Floriana; Radulescu, Virginia Maria; Patrascu-Pana, Daniela Maria; Petcu (Besnea), Florina Luminita; Resceanu, Ionut Cristian; Cismaru, Stefan Irinel; Trasculescu, Andrei; Bizdoaca, Nicu</t>
  </si>
  <si>
    <t>The Impact of COVID on Lower-Limb Exoskeleton Robotic System Patents-A Review</t>
  </si>
  <si>
    <t>exoskeleton; lower limb; rehabilitation robotics</t>
  </si>
  <si>
    <t>REHABILITATION; STRATEGIES</t>
  </si>
  <si>
    <t>In recent decades, the field of physical rehabilitation, with the help of robotic systems that aid the population of any age with locomotor difficulties, has been evolving rapidly. Several robotic exoskeleton systems of the lower limbs have been proposed in the patent literature and some are even commercially available. Given the above, we are asking ourselves at the end of the COVID-19 pandemic: how much has this pandemic affected both the publication of patents and the application of new ones? How has new patents' publication volume or application in robotic exoskeleton systems changed? We hypothesize that this pandemic has caused a reduction in the volume of new applications and possibly publications. We compare pandemic analysis and the last decade's analysis to answer these questions. In this study, we used a set of statistical tests to see if there were any statistically significant changes. Our results show that the pandemic had at least one effect on applying for new patents based on the information analyzed from the three databases examined.</t>
  </si>
  <si>
    <t>[Pana, Cristina Floriana; Radulescu, Virginia Maria; Patrascu-Pana, Daniela Maria; Petcu (Besnea), Florina Luminita; Resceanu, Ionut Cristian; Cismaru, Stefan Irinel; Trasculescu, Andrei; Bizdoaca, Nicu] Univ Craiova, Fac Automat Comp &amp; Elect, Blvd Decebal 107, RO-200440 Craiova, Romania</t>
  </si>
  <si>
    <t>University of Craiova</t>
  </si>
  <si>
    <t>Radulescu, VM; Petcu, FL (corresponding author), Univ Craiova, Fac Automat Comp &amp; Elect, Blvd Decebal 107, RO-200440 Craiova, Romania.</t>
  </si>
  <si>
    <t>cristina.pana@edu.ucv.ro; virginia.radulescu@edu.ucv.ro; daniela.pana@edu.ucv.ro; florina.petcu@edu.ucv.ro; ionut.resceanu@edu.ucv.ro; stefan.cismaru@edu.ucv.ro; andrei.trasculescu@edu.ucv.ro; nicu.bizdoaca@edu.ucv.ro</t>
  </si>
  <si>
    <t>Cismaru, Stefan-Irinel/AFJ-1278-2022; Resceanu, Ionut/S-4728-2019; Trasculescu, Andrei/ADG-7915-2022; Pătrașcu-Pană, Daniela/AAE-5485-2021; Nicu, Bizdoaca/JPE-6737-2023; Petcu, Florina/AAP-4707-2021; Bizdoaca, Nicu George/F-6496-2016; Radulescu, Virginia Maria/HKE-1154-2023; Pana, Cristina Floriana/AAB-5024-2020</t>
  </si>
  <si>
    <t>Bizdoaca, Nicu George/0000-0002-5377-5745; Radulescu, Virginia Maria/0000-0001-9028-7583; Petcu, Florina/0000-0002-2546-1458; Patrascu Pana, Daniela-Maria/0000-0002-1053-9515; Resceanu, Ionut Cristian/0000-0003-1907-1127; Cismaru, Stefan-Irinel/0000-0002-8397-1552; Pana, Cristina Floriana/0000-0001-9577-1892</t>
  </si>
  <si>
    <t>European Social Fund within the Sectorial Operational Program Human Capital [POCU380/6/13/123990]; National Council for the Financing of Higher Education [CNFIS-FDI-2022-0468]; POC-Competitiveness Operational Program</t>
  </si>
  <si>
    <t>European Social Fund within the Sectorial Operational Program Human Capital; National Council for the Financing of Higher Education; POC-Competitiveness Operational Program</t>
  </si>
  <si>
    <t>This research was funded by European Social Fund within the Sectorial Operational Program Human Capital 2014-2020, grant number POCU380/6/13/123990, National Council for the Financing of Higher Education, grant number CNFIS-FDI-2022-0468 and POC-Competitiveness Operational Program.</t>
  </si>
  <si>
    <t>10.3390/app12115393</t>
  </si>
  <si>
    <t>1Z1XK</t>
  </si>
  <si>
    <t>WOS:000808625500001</t>
  </si>
  <si>
    <t>Shi, D; Wang, LD; Zhang, YQ; Zhang, WX; Xiao, H; Ding, XL</t>
  </si>
  <si>
    <t>Shi, Di; Wang, Liduan; Zhang, Yanqiu; Zhang, Wuxiang; Xiao, Hang; Ding, Xilun</t>
  </si>
  <si>
    <t>Review of human-robot coordination control for rehabilitation based on motor function evaluation</t>
  </si>
  <si>
    <t>human-robot coupling; lower limb rehabilitation; exoskeleton robot; motor assessment; dynamical model; perception</t>
  </si>
  <si>
    <t>SPINAL-CORD-INJURY; STROKE PATIENTS; KNEE-JOINT; GAIT; EXOSKELETON; WALKING; PERFORMANCE; DESIGN; SYSTEM; STRATEGIES</t>
  </si>
  <si>
    <t>As a wearable and intelligent system, a lower limb exoskeleton rehabilitation robot can provide auxiliary rehabilitation training for patients with lower limb walking impairment/loss and address the existing problem of insufficient medical resources. One of the main elements of such a human-robot coupling system is a control system to ensure human-robot coordination. This review aims to summarise the development of human-robot coordination control and the associated research achievements and provide insight into the research challenges in promoting innovative design in such control systems. The patients' functional disorders and clinical rehabilitation needs regarding lower limbs are analysed in detail, forming the basis for the human-robot coordination of lower limb rehabilitation robots. Then, human-robot coordination is discussed in terms of three aspects: modelling, perception and control. Based on the reviewed research, the demand for robotic rehabilitation, modelling for human-robot coupling systems with new structures and assessment methods with different etiologies based on multi-mode sensors are discussed in detail, suggesting development directions of human-robot coordination and providing a reference for relevant research.</t>
  </si>
  <si>
    <t>[Shi, Di; Zhang, Wuxiang; Xiao, Hang; Ding, Xilun] Beihang Univ, Sch Mech Engn &amp; Automat, Beijing 100191, Peoples R China; [Wang, Liduan; Zhang, Yanqiu] Weifang Med Univ, Sch Rehabil Med, Weifang 261053, Peoples R China; [Zhang, Wuxiang; Ding, Xilun] Beihang Univ, Beijing Adv Innovat Ctr Biomed Engn, Beijing 100191, Peoples R China</t>
  </si>
  <si>
    <t>Beihang University; Shandong Second Medical University; Beihang University</t>
  </si>
  <si>
    <t>Zhang, WX (corresponding author), Beihang Univ, Sch Mech Engn &amp; Automat, Beijing 100191, Peoples R China.;Zhang, WX (corresponding author), Beihang Univ, Beijing Adv Innovat Ctr Biomed Engn, Beijing 100191, Peoples R China.</t>
  </si>
  <si>
    <t>Wang, Liduan/HJI-8514-2023</t>
  </si>
  <si>
    <t>Xiao, Hang/0000-0002-0300-3288</t>
  </si>
  <si>
    <t>National Natural Science Foundation of China [91848104, 91748201, 52105004]</t>
  </si>
  <si>
    <t>This paper was funded by the National Natural Science Foundation of China (Grant Nos. 91848104, 91748201, and 52105004). The authors thank Yushuang Duan and Hongqian Zhang for their contributions to this study.</t>
  </si>
  <si>
    <t>10.1007/s11465-022-0684-4</t>
  </si>
  <si>
    <t>3R0RQ</t>
  </si>
  <si>
    <t>WOS:000838628300001</t>
  </si>
  <si>
    <t>Tang, XY; Wang, XP; Ji, XM; Zhou, YW; Yang, J; Wei, YC; Zhang, WJ</t>
  </si>
  <si>
    <t>Tang, Xinyao; Wang, Xupeng; Ji, Xiaomin; Zhou, Yawen; Yang, Jie; Wei, Yuchen; Zhang, Wenjie</t>
  </si>
  <si>
    <t>A Wearable Lower Limb Exoskeleton: Reducing the Energy Cost of Human Movement</t>
  </si>
  <si>
    <t>lower limb exoskeleton; wearable device; assisted movement; metabolic cost</t>
  </si>
  <si>
    <t>LOWER-EXTREMITY-EXOSKELETON; PASSIVE KNEE EXOSKELETON; METABOLIC COST; LEG EXOSKELETON; DESIGN; WALKING; ORTHOSIS; ACTUATOR; ROBOT; REHABILITATION</t>
  </si>
  <si>
    <t>Human body enhancement is an interesting branch of robotics. It focuses on wearable robots in order to improve the performance of human body, reduce energy consumption and delay fatigue, as well as increase body speed. Robot-assisted equipment, such as wearable exoskeletons, are wearable robot systems that integrate human intelligence and robot power. After careful design and adaptation, the human body has energy-saving sports, but it is an arduous task for the exoskeleton to achieve considerable reduction in metabolic rate. Therefore, it is necessary to understand the biomechanics of human sports, the body, and its weaknesses. In this study, a lower limb exoskeleton was classified according to the power source, and the working principle, design idea, wearing mode, material and performance of different types of lower limb exoskeletons were compared and analyzed. The study shows that the unpowered exoskeleton robot has inherent advantages in endurance, mass, volume, and cost, which is a new development direction of robot exoskeletons. This paper not only summarizes the existing research but also points out its shortcomings through the comparative analysis of different lower limb wearable exoskeletons. Furthermore, improvement measures suitable for practical application have been provided.</t>
  </si>
  <si>
    <t>[Tang, Xinyao; Wang, Xupeng; Ji, Xiaomin] Xian Univ Technol, Sch Mech &amp; Precis Instrument Engn, Xian 710048, Peoples R China; [Tang, Xinyao; Wang, Xupeng; Ji, Xiaomin; Zhou, Yawen; Yang, Jie; Wei, Yuchen; Zhang, Wenjie] Xian Univ Technol, Res Ctr Civil Mil Integrat &amp; Protect Equipment De, Xian 710054, Peoples R China</t>
  </si>
  <si>
    <t>Xi'an University of Technology; Xi'an University of Technology</t>
  </si>
  <si>
    <t>Wang, XP (corresponding author), Xian Univ Technol, Sch Mech &amp; Precis Instrument Engn, Xian 710048, Peoples R China.;Wang, XP (corresponding author), Xian Univ Technol, Res Ctr Civil Mil Integrat &amp; Protect Equipment De, Xian 710054, Peoples R China.</t>
  </si>
  <si>
    <t>tan_xiaoyao@outlook.com; wangxupeng@xaut.edu.cn; jixm@xaut.edu.cn; 2200620004@stu.xaut.edu.cn; 2200621043@stu.xaut.edu.cn; 2200621047@stu.xaut.edu.cn; 2200621044@stu.xaut.edu.cn</t>
  </si>
  <si>
    <t>Zhang, Wenjie/O-5336-2014; Zhou, Chunyan/H-1529-2016; wei, yuchen/HTS-5800-2023; ji, xm/KYQ-7196-2024; tang, xinyao/IXX-1669-2023</t>
  </si>
  <si>
    <t>Ministry of Education Youth Fund [21XJC760003]; Outstanding Talents Support Program [106-451420001]; Common Technology and Field Fund for Equipment Pre-research [106-418321001]</t>
  </si>
  <si>
    <t>Ministry of Education Youth Fund; Outstanding Talents Support Program; Common Technology and Field Fund for Equipment Pre-research</t>
  </si>
  <si>
    <t>This work was supported by the Ministry of Education Youth Fund (grant number 21XJC760003), the Outstanding Talents Support Program (grant number 106-451420001), and the Common Technology and Field Fund for Equipment Pre-research (grant number 106-418321001). The authors would like to express their appreciation to these agencies.</t>
  </si>
  <si>
    <t>10.3390/mi13060900</t>
  </si>
  <si>
    <t>2N2SG</t>
  </si>
  <si>
    <t>WOS:000818234900001</t>
  </si>
  <si>
    <t>Lora-Millan, JS; Moreno, JC; Rocon, E</t>
  </si>
  <si>
    <t>Lora-Millan, Julio S.; Moreno, Juan C.; Rocon, E.</t>
  </si>
  <si>
    <t>Coordination Between Partial Robotic Exoskeletons and Human Gait: A Comprehensive Review on Control Strategies</t>
  </si>
  <si>
    <t>unilateral robotic exoskeleton; single-joint powered orthosis; gait assistance; coordination strategies; state-of-the-art</t>
  </si>
  <si>
    <t>ANKLE-FOOT ORTHOSIS; KNEE EXOSKELETON; STROKE SURVIVORS; HIP EXOSKELETONS; MUSCLE-ACTIVITY; LEG MOVEMENT; SOFT EXOSUIT; C-ALEX; LIMB; ASSISTANCE</t>
  </si>
  <si>
    <t>Lower-limb robotic exoskeletons have become powerful tools to assist or rehabilitate the gait of subjects with impaired walking, even when they are designed to act only partially over the locomotor system, as in the case of unilateral or single-joint exoskeletons. These partial exoskeletons require a proper method to synchronize their assistive actions and ensure correct inter-joint coordination with the user's gait. This review analyzes the state of the art of control strategies to coordinate the assistance provided by these partial devices with the actual gait of the wearers. We have analyzed and classified the different approaches independently of the hardware implementation, describing their basis and principles. We have also reviewed the experimental validations of these devices for impaired and unimpaired walking subjects to provide the reader with a clear view of their technology readiness level. Eventually, the current state of the art and necessary future steps in the field are summarized and discussed.</t>
  </si>
  <si>
    <t>[Lora-Millan, Julio S.; Rocon, E.] Univ Politecn Madrid UPM, Consejo Super Invest Cient CSIC, Ctr Automation &amp; Robot, Madrid, Spain; [Lora-Millan, Julio S.] Univ Rey Juan Carlos, Elect Technol Dept, Madrid, Spain; [Moreno, Juan C.] Cajal Inst Neurobiol, Spanish Natl Res Council CSIC, Neural Rehabil Grp, Madrid, Spain</t>
  </si>
  <si>
    <t>Consejo Superior de Investigaciones Cientificas (CSIC); Universidad Politecnica de Madrid; Universidad Rey Juan Carlos; Consejo Superior de Investigaciones Cientificas (CSIC)</t>
  </si>
  <si>
    <t>Rocon, E (corresponding author), Univ Politecn Madrid UPM, Consejo Super Invest Cient CSIC, Ctr Automation &amp; Robot, Madrid, Spain.</t>
  </si>
  <si>
    <t>e.rocon@csic.es</t>
  </si>
  <si>
    <t>; Rocon, Eduardo/F-4866-2011</t>
  </si>
  <si>
    <t>Lora Millan, Julio Salvador/0000-0001-5968-5786; Rocon, Eduardo/0000-0001-9618-2176</t>
  </si>
  <si>
    <t>Spanish Ministry of Science and Innovation [PID 2019-105110RB-C31]; Ministry of Universities of the Government of Spain [FPU16/01313]; ERDF A way of making Europe; [RTI 2018-097290-B-C32]; [MCIN/AEI/10.13039/501100011033]</t>
  </si>
  <si>
    <t>Spanish Ministry of Science and Innovation(Spanish Government); Ministry of Universities of the Government of Spain; ERDF A way of making Europe; ;</t>
  </si>
  <si>
    <t>This research was funded by the Spanish Ministry of Science and Innovation, project Discover2Walk (PID 2019-105110RB-C31). JL-M received a Training Program for Academic Staff fellowship (FPU16/01313) from the Ministry of Universities of the Government of Spain. JM was supported by grant RTI 2018-097290-B-C32 funded by MCIN/AEI/10.13039/501100011033 and by ERDF A way of making Europe.</t>
  </si>
  <si>
    <t>10.3389/fbioe.2022.842294</t>
  </si>
  <si>
    <t>1Y1PW</t>
  </si>
  <si>
    <t>WOS:000807917000001</t>
  </si>
  <si>
    <t>Teng, R; Ding, YC; See, KC</t>
  </si>
  <si>
    <t>Teng, Rachel; Ding, Yichen; See, Kay Choong</t>
  </si>
  <si>
    <t>Use of Robots in Critical Care: Systematic Review</t>
  </si>
  <si>
    <t>COVID-19; intensive care; high dependency; telepresence; intubation</t>
  </si>
  <si>
    <t>REMOTE PRESENCE TECHNOLOGY; HEALTH-CARE; TELEPRESENCE; TELEMEDICINE; TRANSPORTATION; FEASIBILITY; IMPACT; COST; UNIT</t>
  </si>
  <si>
    <t>Background: The recent focus on the critical setting, especially with the COVID-19 pandemic, has highlighted the need for minimizing contact-based care and increasing robotic use. Robotics is a rising field in the context of health care, and we sought to evaluate the use of robots in critical care settings. Objective: Although robotic presence is prevalent in the surgical setting, its role in critical care has not been well established. We aimed to examine the uses and limitations of robots for patients who are critically ill. Methods: This systematic review was performed according to the PRISMA (Preferred Reporting Items for Systematic Reviews and Meta-Analyses) guidelines. MEDLINE, Embase, IEEE Xplore, and ACM Library were searched from their inception to December 23, 2021. Included studies involved patients requiring critical care, both in intensive care units or high-dependency units, or settings that required critical care procedures (eg, intubation and cardiopulmonary resuscitation). Randomized trials and observational studies were included. Results: A total of 33 studies were included. The greatest application of robots in the intensive care unit was in the field of telepresence, whereby robots proved advantageous in providing a reduced response time, earlier intervention, and lower mortality rates. Challenges of telepresence included regulatory and financial barriers. In therapy and stroke rehabilitation, robots achieved superior clinical outcomes safely. Robotic use in patient evaluation and assessment was mainly through ultrasound evaluation, obtaining satisfactory to superior results with the added benefits of remote assessment, time savings, and increased efficiency. Robots in drug dispensing and delivery increased efficiency and generated cost savings. All the robots had technological limitations and hidden costs. Conclusions: Overall, our results show that robotic use in critical care settings is a beneficial, effective, and well-received intervention that delivers significant benefits to patients, staff, and hospitals. Looking ahead, it is necessary to form strong ethical and legislative frameworks and overcome various regulatory and financial barriers.</t>
  </si>
  <si>
    <t>[Teng, Rachel; Ding, Yichen] Natl Univ Singapore, Yong Loo Lin Sch Med, 10 Med Dr, Singapore 117597, Singapore; [See, Kay Choong] Natl Univ Singapore Hosp, Dept Med, Div Resp &amp; Crit Care Med, Singapore, Singapore</t>
  </si>
  <si>
    <t>National University of Singapore; National University of Singapore</t>
  </si>
  <si>
    <t>Ding, YC (corresponding author), Natl Univ Singapore, Yong Loo Lin Sch Med, 10 Med Dr, Singapore 117597, Singapore.</t>
  </si>
  <si>
    <t>yichending@u.nus.edu</t>
  </si>
  <si>
    <t>See, Kay Choong/0000-0003-2528-7282; Ding, Yichen/0000-0002-7152-1132; Teng, Rachel/0000-0003-3237-6451</t>
  </si>
  <si>
    <t>MAY 16</t>
  </si>
  <si>
    <t>e33380</t>
  </si>
  <si>
    <t>10.2196/33380</t>
  </si>
  <si>
    <t>1N3WP</t>
  </si>
  <si>
    <t>WOS:000800589800001</t>
  </si>
  <si>
    <t>Mannella, K; Cudlip, AC; Holmes, MWR</t>
  </si>
  <si>
    <t>Mannella, Kailynn; Cudlip, Alan C.; Holmes, Michael W. R.</t>
  </si>
  <si>
    <t>Adaptations in Muscular Strength for Individuals With Multiple Sclerosis Following Robotic Rehabilitation: A Scoping Review</t>
  </si>
  <si>
    <t>multiple sclerosis; rehabilitation; robotics; neurorehabilitation; strength</t>
  </si>
  <si>
    <t>EXERCISE; MOBILITY; PEOPLE; ANKLE</t>
  </si>
  <si>
    <t>Muscular weakness and loss of motor function are common symptoms of multiple sclerosis. Robotic rehabilitation can improve sensorimotor function and motor control in this population. However, many studies using robotics for rehabilitation have overlooked changes in muscular strength, despite research demonstrating its utility in combating functional impairments. The purpose of this scoping review was to critically examine changes in muscular strength following robotic rehabilitation interventions for individuals with multiple sclerosis. A literature search of five databases was conducted and search terms included a combination of three primary terms: robotic rehabilitation/training, muscular strength, and multiple sclerosis. Thirty one articles were found, and following inclusion criteria, 5 remained for further investigation. Although muscular strength was not the primary targeted outcome of the training for any of the included articles, increases in muscular strength were present in most of the studies suggesting that robotic therapy with a resistive load can be an effective alternative to resistance training for increasing muscular strength. Outcome measures of isometric knee-extensor force (kg) (right: p &lt; 0.05, left: p &lt; 0.05), isometric knee flexion and extension torque (Nm) (p &lt; 0.05), ankle dorsiflexion and plantarflexion torque (Nm) (all p &lt; 0.05) and handgrip force (kg) (p &lt; 0.05) all improved following a robotic training intervention. These adaptations occurred with sustained low resistive loads of hand grip or during gait training. This scoping review concludes that, despite a lack of studies focusing on strength, there is evidence robotics is a useful modality to improve muscular strength in combination with motor control and neuromotor improvements. A call for more studies to document changes in strength during robotic rehabilitation protocols is warranted.</t>
  </si>
  <si>
    <t>[Mannella, Kailynn; Cudlip, Alan C.; Holmes, Michael W. R.] Brock Univ, Dept Kinesiol, St Catharines, ON, Canada</t>
  </si>
  <si>
    <t>Brock University</t>
  </si>
  <si>
    <t>Holmes, MWR (corresponding author), Brock Univ, Dept Kinesiol, St Catharines, ON, Canada.</t>
  </si>
  <si>
    <t>michael.holmes@brocku.ca</t>
  </si>
  <si>
    <t>MAY 6</t>
  </si>
  <si>
    <t>10.3389/fresc.2022.882614</t>
  </si>
  <si>
    <t>J0MM9</t>
  </si>
  <si>
    <t>WOS:001006633900001</t>
  </si>
  <si>
    <t>Bressi, F; Cinnera, AM; Morone, G; Campagnola, B; Cricenti, L; Santacaterina, F; Miccinilli, S; Zollo, L; Paolucci, S; Di Lazzaro, V; Sterzi, S; Bravi, M</t>
  </si>
  <si>
    <t>Bressi, Federica; Cinnera, Alex Martino; Morone, Giovanni; Campagnola, Benedetta; Cricenti, Laura; Santacaterina, Fabio; Miccinilli, Sandra; Zollo, Loredana; Paolucci, Stefano; Di Lazzaro, Vincenzo; Sterzi, Silvia; Bravi, Marco</t>
  </si>
  <si>
    <t>Combining Robot-Assisted Gait Training and Non-Invasive Brain Stimulation in Chronic Stroke Patients: A Systematic Review</t>
  </si>
  <si>
    <t>robotics; transcranial direct current stimulation; chronic stroke; robot-assisted; exoskeleton; transcranial magnetic stimulation; TMS; NIBS</t>
  </si>
  <si>
    <t>DOUBLE-BLIND; TDCS; PILOT; TSDCS</t>
  </si>
  <si>
    <t>Gait impairment is one of the most common disorders of patients with chronic stroke, which hugely affects the ability to carry out the activities of daily living and the quality of life. Recently, traditional rehabilitation techniques have been associated with non-invasive brain stimulation (NIBS) techniques, which enhance brain plasticity, with the aim of promoting recovery in patients with chronic stroke. NIBS effectiveness in improving gait parameters in patients with chronic stroke has been in several studies evaluated. Robotic devices are emerging as promising tools for the treatment of stroke-related disabilities by performing repetitive, intensive, and task-specific treatments and have been proved to be effective for the enhancement of motor recovery in patients with chronic stroke. To date, several studies have examined the combination of NIBS with robotic-assisted gait training, but the effectiveness of this approach is not yet well established. The main purpose of this systematic review is to clarify whether the combination of NIBS and robot-assisted gait training may improve walking function in patients with chronic stroke. Our systematic review was conducted according to the preferred reporting items for systematic reviews and meta-analyses (PRISMA) guidelines. Studies eligible for review were identified through PubMed/MEDLINE, Embase, Scopus, and PEDro from inception to March 15, 2021, and the outcomes considered were gait assessments. Seven studies were included in the qualitative analysis of this systematic review, with a total population of 186 patients with chronic stroke. All studies specified technical characteristics of robotic devices and NIBS used, with high heterogeneity of protocols. Methodological studies have shown a significantly greater improvement in walking capacity recorded with 6MWT. Finally, research studies have highlighted a positive effect on walking recovery by combination of robot-assisted gait training with non-invasive brain stimulation. Furthermore, future studies should identify the best characteristics of the combined therapeutic protocols.</t>
  </si>
  <si>
    <t>[Bressi, Federica; Campagnola, Benedetta; Cricenti, Laura; Santacaterina, Fabio; Miccinilli, Sandra; Sterzi, Silvia; Bravi, Marco] Campus Biomed Univ Rome, Phys Med &amp; Rehabil Unit, Rome, Italy; [Cinnera, Alex Martino; Morone, Giovanni; Paolucci, Stefano] Ist Ricovero Curaa Carattere Sci IRCCS, St Lucia Fdn, Rome, Italy; [Zollo, Loredana] Campus Biomed Univ Rome, Unit Adv Robot &amp; Human Centred Technol, Rome, Italy; [Di Lazzaro, Vincenzo] Campus Biomed Univ Rome, Dept Med, Unity Neurol Neurophysiol, Rome, Italy</t>
  </si>
  <si>
    <t>University Campus Bio-Medico - Rome Italy; University Campus Bio-Medico - Rome Italy; University Campus Bio-Medico - Rome Italy</t>
  </si>
  <si>
    <t>Bressi, F (corresponding author), Campus Biomed Univ Rome, Phys Med &amp; Rehabil Unit, Rome, Italy.</t>
  </si>
  <si>
    <t>f.bressi@policlinicocampus.it</t>
  </si>
  <si>
    <t>Morone, Giovanni/AAN-2666-2020; Campagnola, Benedetta/ABG-2410-2021; Bravi, Marco/GQH-0840-2022; Martino Cinnera, Alex/K-4259-2018; Zollo, Loredana/AAB-9645-2020; Sterzi, Silvia/AAJ-3940-2020; MIccinilli, Sandra/AAC-3628-2022; Santacaterina, Fabio/AFK-0797-2022; Morone, Giovanni/A-9561-2013</t>
  </si>
  <si>
    <t>Bravi, Marco/0000-0002-3396-4100; Cricenti, Laura/0000-0002-1757-1753; Campagnola, Benedetta/0000-0002-7536-8382; Santacaterina, Fabio/0000-0002-6142-3096; Morone, Giovanni/0000-0003-3602-4197</t>
  </si>
  <si>
    <t>10.3389/fneur.2022.795788</t>
  </si>
  <si>
    <t>1I3ZM</t>
  </si>
  <si>
    <t>WOS:000797170100001</t>
  </si>
  <si>
    <t>Han, Y; Liu, CH; Zhang, B; Zhang, N; Wang, SY; Han, MM; Ferreira, JP; Liu, T; Zhang, XF</t>
  </si>
  <si>
    <t>Han, Yi; Liu, Chenhao; Zhang, Bin; Zhang, Ning; Wang, Shuoyu; Han, Meimei; Ferreira, Joao P.; Liu, Tao; Zhang, Xiufeng</t>
  </si>
  <si>
    <t>Measurement, Evaluation, and Control of Active Intelligent Gait Training Systems-Analysis of the Current State of the Art</t>
  </si>
  <si>
    <t>ELECTRONICS</t>
  </si>
  <si>
    <t>rehabilitation and assistance system; lower limbs; intention recognition; gait training; gait evaluation; human-machine interaction control strategy</t>
  </si>
  <si>
    <t>PARKINSONS-DISEASE; ANKLE EXOSKELETON; ROBOT; ALGORITHM; DESIGN; MODEL; FORCE</t>
  </si>
  <si>
    <t>Gait recognition and rehabilitation has been a research hotspot in recent years due to its importance to medical care and elderly care. Active intelligent rehabilitation and assistance systems for lower limbs integrates mechanical design, sensing technology, intelligent control, and robotics technology, and is one of the effective ways to resolve the above problems. In this review, crucial technologies and typical prototypes of active intelligent rehabilitation and assistance systems for gait training are introduced. The limitations, challenges, and future directions in terms of gait measurement and intention recognition, gait rehabilitation evaluation, and gait training control strategies are discussed. To address the core problems of the sensing, evaluation and control technology of the active intelligent gait training systems, the possible future research directions are proposed. Firstly, different sensing methods need to be proposed for the decoding of human movement intention. Secondly, the human walking ability evaluation models will be developed by integrating the clinical knowledge and lower limb movement data. Lastly, the personalized gait training strategy for collaborative control of human-machine systems needs to be implemented in the clinical applications.</t>
  </si>
  <si>
    <t>[Han, Yi; Liu, Chenhao; Zhang, Bin; Liu, Tao] Zhejiang Univ, Sch Mech Engn, State Key Lab Fluid Power &amp; Mechatron Syst, Hangzhou 310027, Peoples R China; [Han, Yi; Wang, Shuoyu] Kochi Univ Technol, Dept Intelligent Mech Syst Engn, 185 Miyanokuchi,Tosayamada Cho, Kami 7828502, Japan; [Zhang, Ning; Zhang, Xiufeng] Natl Res Ctr Rehabil Tech Aids, Key Lab Rehabil Tech Aids Technol &amp; Syst, Minist Civil Affairs, Beijing 100176, Peoples R China; [Han, Meimei] Zhejiang Fuzhi Sci &amp; Technol Innovat Co Ltd, Hangzhou 310027, Peoples R China; [Ferreira, Joao P.] Inst Super Engn Coimbra, P-3030199 Coimbra, Portugal</t>
  </si>
  <si>
    <t>Zhejiang University; Kochi University Technology; Universidade de Coimbra</t>
  </si>
  <si>
    <t>Zhang, XF (corresponding author), Natl Res Ctr Rehabil Tech Aids, Key Lab Rehabil Tech Aids Technol &amp; Syst, Minist Civil Affairs, Beijing 100176, Peoples R China.</t>
  </si>
  <si>
    <t>258012g@gs.kochi-tech.ac.jp; 12125056@zju.edu.cn; zjuzhangbin@zju.edu.cn; zhangning@nrcrta.cn; wang.shuoyu@kochi-tech.ac.jp; mmhan@zju.edu.cn; ferreira@mail.isec.pt; liutao@zju.edu.cn; zhangxiufeng@nrcrta.cn</t>
  </si>
  <si>
    <t>Ferreira, João/L-5034-2019; 张, 秀峰/GZL-5919-2022; Ferreira, Joao Paulo/E-3816-2016</t>
  </si>
  <si>
    <t>Liu, Tao/0000-0002-2797-0264; Ferreira, Joao Paulo/0000-0003-0143-9421; Liu, Chenhao/0000-0003-3325-0076</t>
  </si>
  <si>
    <t>National Natural Science Foundation of China [52175033, U21A20120, U1913601]; Zhejiang Provincial Natural Science Foundation of China [LZ20E050002]; Open Fund of the State Key Laboratory of Fluid Power and Mechatronic Systems [GZKF-202101]; DongGuan Innovative Research Team Program [2020607202006]</t>
  </si>
  <si>
    <t>National Natural Science Foundation of China(National Natural Science Foundation of China (NSFC)); Zhejiang Provincial Natural Science Foundation of China(Natural Science Foundation of Zhejiang Province); Open Fund of the State Key Laboratory of Fluid Power and Mechatronic Systems; DongGuan Innovative Research Team Program</t>
  </si>
  <si>
    <t>This work was supported in part by the National Natural Science Foundation of China under Grant 52175033, U21A20120 and U1913601; the Zhejiang Provincial Natural Science Foundation of China under Grant No. LZ20E050002; Open Fund of the State Key Laboratory of Fluid Power and Mechatronic Systems: GZKF-202101; DongGuan Innovative Research Team Program (2020607202006).</t>
  </si>
  <si>
    <t>2079-9292</t>
  </si>
  <si>
    <t>ELECTRONICS-SWITZ</t>
  </si>
  <si>
    <t>Electronics</t>
  </si>
  <si>
    <t>10.3390/electronics11101633</t>
  </si>
  <si>
    <t>Computer Science, Information Systems; Engineering, Electrical &amp; Electronic; Physics, Applied</t>
  </si>
  <si>
    <t>Computer Science; Engineering; Physics</t>
  </si>
  <si>
    <t>1O5LE</t>
  </si>
  <si>
    <t>WOS:000801372800001</t>
  </si>
  <si>
    <t>Hazelton, C; McGill, K; Campbell, P; Todhunter-Brown, A; Thomson, K; Nicolson, DJ; Cheyne, JD; Chung, CR; Dorris, L; Gillespie, DC; Hunter, SM; Brady, MC</t>
  </si>
  <si>
    <t>Hazelton, Christine; McGill, Kris; Campbell, Pauline; Todhunter-Brown, Alex; Thomson, Katie; Nicolson, Donald J.; Cheyne, Joshua D.; Chung, Charlie; Dorris, Liam; Gillespie, David C.; Hunter, Susan M.; Brady, Marian C.</t>
  </si>
  <si>
    <t>Perceptual Disorders After Stroke: A Scoping Review of Interventions</t>
  </si>
  <si>
    <t>STROKE</t>
  </si>
  <si>
    <t>auditory perception; perceptual disorder; review; somatosensory disorders; stroke; touch perception; visual perception</t>
  </si>
  <si>
    <t>REHABILITATION; IMPAIRMENTS; GUIDELINE; RECOVERY</t>
  </si>
  <si>
    <t>Perceptual disorders relating to hearing, smell, somatosensation, taste, touch, and vision commonly impair stroke survivors' ability to interpret sensory information, impacting on their ability to interact with the world. We aimed to identify and summarize the existing evidence for perceptual disorder interventions poststroke and identify evidence gaps. We searched 13 electronic databases including MEDLINE and Embase and Grey literature and performed citation tracking. Two authors independently applied a priori-defined selection criteria; studies involving stroke survivors with perceptual impairments and interventions addressing those impairments were included. We extracted data on study design, population, perceptual disorders, interventions, and outcomes. Data were tabulated and synthesized narratively. Stroke survivors, carers, and clinicians were involved in agreeing definitions and organizing and interpreting data. From 91869 records, 80 studies were identified (888 adults and 5 children); participant numbers were small (median, 3.5; range, 1-80), with a broad range of stroke types and time points. Primarily focused on vision (34/80, 42.5%) and somatosensation (28/80; 35.0%), included studies were often case reports (36/80; 45.0%) or randomized controlled trials (22/80; 27.5%). Rehabilitation approaches (78/93; 83.9%), primarily aimed to restore function, and were delivered by clinicians (30/78; 38.5%) or technology (28/78; 35.9%; including robotic interventions for somatosensory disorders). Pharmacological (6/93; 6.5%) and noninvasive brain stimulation (7/93; 7.5%) approaches were also evident. Intervention delivery was poorly reported, but most were delivered in hospital settings (56/93; 60.2%). Study outcomes failed to assess the transfer of training to daily life. Interventions for stroke-related perceptual disorders are underresearched, particularly for pediatric populations. Evidence gaps include interventions for disorders of hearing, taste, touch, and smell perception. Future studies must involve key stakeholders and report this fully. Optimization of intervention design, evaluation, and reporting is required, to support the development of effective, acceptable, and implementable interventions.</t>
  </si>
  <si>
    <t>[Hazelton, Christine; McGill, Kris; Campbell, Pauline; Todhunter-Brown, Alex; Thomson, Katie; Brady, Marian C.] Glasgow Caledonian Univ, Nursing Midwifery &amp; Allied Hlth Profess Res Unit, Glasgow, Lanark, Scotland; [Cheyne, Joshua D.] Univ Edinburgh, Cochrane Stroke Grp, Edinburgh, Midlothian, Scotland; [Chung, Charlie] Queen Margaret Hosp, Natl Hlth Serv NHS, Dunfermline, Fife, Scotland; [Dorris, Liam] Royal Hosp Children, NHS Greater Glasgow &amp; Clyde, Paediat Neurosci, Glasgow, Lanark, Scotland; [Gillespie, David C.] Royal Infirm Edinburgh NHS Trust, Dept Clin Neurosci, NHS Lothian, Edinburgh, Midlothian, Scotland; [Hunter, Susan M.] Keele Univ, Sch Allied Hlth Profess, Keele, Staffs, England</t>
  </si>
  <si>
    <t>Glasgow Caledonian University; University of Edinburgh; University of Edinburgh; Royal Infirmary of Edinburgh; Keele University</t>
  </si>
  <si>
    <t>Hazelton, C (corresponding author), Glasgow Caledonian Univ, A600 Govan Mbeki Bldg,Cowcaddens Rd, Glasgow G4 0BA, Lanark, Scotland.</t>
  </si>
  <si>
    <t>christine.hazelton@gcu.ac.uk; kris.mcgill@outlook.com; pauline.campbell@gcu.ac.uk; alex.todhunterbrown@gcu.ac.uk; katie.thomson@gcu.ac.uk; donald.nicolson2@nhs.scot; Joshua.Cheyne@ed.ac.uk; Charlie.chung@nhs.scot; liamdorris@gmail.com; david.gillespie@nhslothian.scot.nhs.uk; s.m.hunter@keele.ac.uk; m.brady@gcu.ac.uk</t>
  </si>
  <si>
    <t>Thomson, Katie/AAR-1083-2021; Dorris, Liam/AAK-2273-2021; Brady, marian/AHB-3737-2022; Todhunter-Brown, Alex/KHU-9170-2024</t>
  </si>
  <si>
    <t>Nicolson, Donald/0000-0003-4190-6434; Dorris, Liam/0000-0002-9502-3154; Gillespie, David/0000-0003-1325-9727; Thomson, Katie/0000-0002-2558-2559; Hazelton, Christine/0000-0002-9554-4750; Brady, Marian/0000-0002-4589-7021; Todhunter-Brown, Alex/0000-0003-4941-7985; McGill, Kris/0000-0002-0307-1440; Cheyne, Joshua/0009-0000-2264-9140</t>
  </si>
  <si>
    <t>National Institute for Health Research (NIHR) [NIHR 128829]; Stroke Association (TSA), UK [SA L-NC 20\100003]; Chief Scientist Office (CSO), Health and Social Care Directorates, United Kingdom; NIHR Health Technology Assessment [NIHR 128829]</t>
  </si>
  <si>
    <t>National Institute for Health Research (NIHR)(National Institutes of Health Research (NIHR)); Stroke Association (TSA), UK; Chief Scientist Office (CSO), Health and Social Care Directorates, United Kingdom(Chief Scientist Office - Scotland); NIHR Health Technology Assessment</t>
  </si>
  <si>
    <t>This project is funded by the National Institute for Health Research (NIHR; NIHR Health Technology Assessment [NIHR 128829]) and will be published in full in the NIHR Journals Library. Further information is available at https://fundingawards.nihr.ac.uk/award/NIHR128829.This report presents independent research commissioned by the NIHR. Dr Hazelton is funded by the Stroke Association (TSA), UK (SA L-NC 20\100003); NMAHP RU and Dr Brady is funded by the Chief Scientist Office (CSO), Health and Social Care Directorates, United Kingdom. The views and opinions expressed by authors in this publication are those of the authors and do not necessarily reflect those of the National Health Service (NHS), the NIHR, Medical Research Council, Clinical Commissioning Facility, NIHR Evaluation, Trials and Studies Coordinating Centre (NETSCC), TSA, CSO, the NIHR Health Technology Assessment (NIHR 128829) program or the Department of Health, United Kingdom.</t>
  </si>
  <si>
    <t>0039-2499</t>
  </si>
  <si>
    <t>1524-4628</t>
  </si>
  <si>
    <t>Stroke</t>
  </si>
  <si>
    <t>10.1161/STROKEAHA.121.035671</t>
  </si>
  <si>
    <t>Clinical Neurology; Peripheral Vascular Disease</t>
  </si>
  <si>
    <t>Neurosciences &amp; Neurology; Cardiovascular System &amp; Cardiology</t>
  </si>
  <si>
    <t>0S8CB</t>
  </si>
  <si>
    <t>WOS:000786496400049</t>
  </si>
  <si>
    <t>Kasukawa, Y; Shimada, Y; Kudo, D; Saito, K; Kimura, R; Chida, S; Hatakeyama, K; Miyakoshi, N</t>
  </si>
  <si>
    <t>Kasukawa, Yuji; Shimada, Yoichi; Kudo, Daisuke; Saito, Kimio; Kimura, Ryota; Chida, Satoaki; Hatakeyama, Kazutoshi; Miyakoshi, Naohisa</t>
  </si>
  <si>
    <t>Advanced Equipment Development and Clinical Application in Neurorehabilitation for Spinal Cord Injury: Historical Perspectives and Future Directions</t>
  </si>
  <si>
    <t>spinal cord injury; neural plasticity; functional electrical stimulation; rowing; cycling; rehabilitation robot</t>
  </si>
  <si>
    <t>FUNCTIONAL ELECTRICAL-STIMULATION; ROWING EXERCISE; REHABILITATION; RECOVERY; RESTORATION; INDIVIDUALS; TETRAPLEGIA; THERAPY; WALKING; SYSTEM</t>
  </si>
  <si>
    <t>Partial to complete paralysis following spinal cord injury (SCI) causes deterioration in health and has severe effects on the ability to perform activities of daily living. Following the discovery of neural plasticity, neurorehabilitation therapies have emerged that aim to reconstruct the motor circuit of the damaged spinal cord. Functional electrical stimulation (FES) has been incorporated into devices that reconstruct purposeful motions in the upper and lower limbs, the most recent of which do not require percutaneous electrode placement surgery and thus enable early rehabilitation after injury. FES-based devices have shown promising results for improving upper limb movement, including gripping and finger function, and for lower limb function such as the ability to stand and walk. FES has also been employed in hybrid cycling and rowing to increase total body fitness. Training using rehabilitation robots is advantageous in terms of consistency of quality and quantity of movements and is particularly applicable to walking training. Initiation of motor reconstruction at the early stage following SCI is likely to advance rapidly in the future, with the combined use of technologies such as regenerative medicine, brain machine interfaces, and rehabilitation robots with FES showing great promise.</t>
  </si>
  <si>
    <t>[Kasukawa, Yuji; Kudo, Daisuke; Saito, Kimio; Kimura, Ryota; Miyakoshi, Naohisa] Akita Univ, Dept Orthoped Surg, Grad Sch Med, 1-1-1 Hondo, Akita 0108543, Japan; [Shimada, Yoichi] Akita Prefectural Dev &amp; Disabil Org, Independent Adm Inst, 1-1-2 Minamigaoka, Akita 0101409, Japan; [Chida, Satoaki; Hatakeyama, Kazutoshi] Akita Univ Gen Hosp, Div Rehabil Med, 1-1-1 Hondo, Akita 0108543, Japan</t>
  </si>
  <si>
    <t>Akita University</t>
  </si>
  <si>
    <t>Kasukawa, Y (corresponding author), Akita Univ, Dept Orthoped Surg, Grad Sch Med, 1-1-1 Hondo, Akita 0108543, Japan.</t>
  </si>
  <si>
    <t>kasukawa@doc.med.akita-u.ac.jp; yshimada@med.akita-u.ac.jp; dkudo@doc.med.akita-u.ac.jp; kimio@doc.med.akita-u.ac.jp; rkimura@med.akita-u.ac.jp; satoaki@hos.akita-u.ac.jp; hata@hos.akita-u.ac.jp; miyakosh@doc.med.akita-u.ac.jp</t>
  </si>
  <si>
    <t>Kimura, Ryota/KYR-7401-2024</t>
  </si>
  <si>
    <t>Kimura, Ryota/0000-0002-4855-3283; Miyakoshi, Naohisa/0000-0001-5175-3350</t>
  </si>
  <si>
    <t>JSPS KAKENHI [09671466, 12557122, 18K10668]; Grants-in-Aid for Scientific Research [09671466, 12557122, 18K10668] Funding Source: KAKEN</t>
  </si>
  <si>
    <t>JSPS KAKENHI(Ministry of Education, Culture, Sports, Science and Technology, Japan (MEXT)Japan Society for the Promotion of ScienceGrants-in-Aid for Scientific Research (KAKENHI)); Grants-in-Aid for Scientific Research(Ministry of Education, Culture, Sports, Science and Technology, Japan (MEXT)Japan Society for the Promotion of ScienceGrants-in-Aid for Scientific Research (KAKENHI))</t>
  </si>
  <si>
    <t>This research was funded by JSPS KAKENHI, grant numbers 09671466, 12557122, and 18K10668.</t>
  </si>
  <si>
    <t>10.3390/app12094532</t>
  </si>
  <si>
    <t>1E6OL</t>
  </si>
  <si>
    <t>WOS:000794605300001</t>
  </si>
  <si>
    <t>Liu, C; Lu, JX; Yang, HB; Guo, K</t>
  </si>
  <si>
    <t>Liu, Chang; Lu, Jingxin; Yang, Hongbo; Guo, Kai</t>
  </si>
  <si>
    <t>Current State of Robotics in Hand Rehabilitation after Stroke: A Systematic Review</t>
  </si>
  <si>
    <t>rehabilitation medicine; rehabilitation engineering; hand rehabilitation robots</t>
  </si>
  <si>
    <t>LEARNING CONTROL; WEARABLE-ROBOT; EXOSKELETON; BRAIN; GLOVE; EMG; DESIGN; MOVEMENTS; MACHINE; ONLINE</t>
  </si>
  <si>
    <t>Among the methods of hand function rehabilitation after stroke, robot-assisted rehabilitation is widely used, and the use of hand rehabilitation robots can provide functional training of the hand or assist the paralyzed hand with activities of daily living. However, patients with hand disorders consistently report that the needs of some users are not being met. The purpose of this review is to understand the reasons why these user needs are not being adequately addressed, to explore research on hand rehabilitation robots, to review their current state of research in recent years, and to summarize future trends in the hope that it will be useful to researchers in this research area. This review summarizes the techniques in this paper in a systematic way. We first provide a comprehensive review of research institutions, commercial products, and literature. Thus, the state of the art and deficiencies of functional hand rehabilitation robots are sought and guide the development of subsequent hand rehabilitation robots. This review focuses specifically on the actuation and control of hand functional rehabilitation robots, as user needs are primarily focused on actuation and control strategies. We also review hand detection technologies and compare them with patient needs. The results show that the trends in recent years are more inclined to pursue new lightweight materials to improve hand adaptability, investigating intelligent control methods for human-robot interaction in hand functional rehabilitation robots to improve control robustness and accuracy, and VR virtual task positioning to improve the effectiveness of active rehabilitation training.</t>
  </si>
  <si>
    <t>[Liu, Chang; Lu, Jingxin; Yang, Hongbo] Changchun Univ Sci &amp; Technol, Coll Mech &amp; Elect Engn, Changchun 130022, Peoples R China; [Liu, Chang; Lu, Jingxin; Yang, Hongbo; Guo, Kai] Chinese Acad Sci, Suzhou Inst Biomed Engn &amp; Technol, Suzhou 215163, Peoples R China; [Yang, Hongbo; Guo, Kai] Univ Sci &amp; Technol China, Sch Biomed Engn Suzhou, Div Life Sci &amp; Med, Hefei 230026, Peoples R China</t>
  </si>
  <si>
    <t>Changchun University of Science &amp; Technology; Chinese Academy of Sciences; Suzhou Institute of Biomedical Engineering &amp; Technology, CAS; Chinese Academy of Sciences; University of Science &amp; Technology of China, CAS</t>
  </si>
  <si>
    <t>Yang, HB (corresponding author), Changchun Univ Sci &amp; Technol, Coll Mech &amp; Elect Engn, Changchun 130022, Peoples R China.;Yang, HB; Guo, K (corresponding author), Chinese Acad Sci, Suzhou Inst Biomed Engn &amp; Technol, Suzhou 215163, Peoples R China.;Yang, HB; Guo, K (corresponding author), Univ Sci &amp; Technol China, Sch Biomed Engn Suzhou, Div Life Sci &amp; Med, Hefei 230026, Peoples R China.</t>
  </si>
  <si>
    <t>2020100592@mails.cust.edu.cn; 2020100469@mails.cust.edu.cn; yanghb@sibet.ac.cn; guok@sibet.ac.cn</t>
  </si>
  <si>
    <t>Guo, Kai/GXG-4150-2022; Liu, Chang/KGL-6678-2024</t>
  </si>
  <si>
    <t>This research was supported in part by the Key Research and Development Program of Jiangsu Province (BE2021012-1), and the International Partnership Program of the Chinese Academy of Science (Grant no.154232KYSB20200016).</t>
  </si>
  <si>
    <t>10.3390/app12094540</t>
  </si>
  <si>
    <t>1L4CV</t>
  </si>
  <si>
    <t>WOS:000799239000001</t>
  </si>
  <si>
    <t>Teasell, R; McIntyre, A; Viana, R; Bateman, EA; Murie-Fernandez, M; Janzen, S; Saikaley, M</t>
  </si>
  <si>
    <t>Teasell, Robert; McIntyre, Amanda; Viana, Ricardo; Bateman, Emma A.; Murie-Fernandez, Manuel; Janzen, Shannon; Saikaley, Marcus</t>
  </si>
  <si>
    <t>Developing a framework for utilizing adjunct rehabilitation therapies in motor recovery of upper extremity post stroke</t>
  </si>
  <si>
    <t>Stroke; rehabilitation; upper extremity; therapeutics; adjunct therapy</t>
  </si>
  <si>
    <t>AUGMENTED EXERCISE THERAPY; ISCHEMIC-STROKE; OUTCOMES; IMPACT; TRIAL; RECOMMENDATIONS; GUIDELINES; ADMISSION</t>
  </si>
  <si>
    <t>Introduction: Standardization of first principles has transformed stroke rehabilitation in developed countries and helped guide the appropriate allocation of resources to ensure better outcomes for patients. There have been challenges in incorporating new evidence into stroke rehabilitation practices. The sheer number of RCTs can be daunting to the average clinician, made worse by the lack of a framework for their application. Objectives: To develop a framework for the introduction of adjunct practices for the motor recovery of the upper extremity post stroke into clinical practice. Methodology: A literature search following PRISMA guidelines revealed 1,307 RCTs involving rehabilitation interventions for the hemiparetic upper extremity post stroke. Results: Therapies were divided into three categories of therapies: (1) Basic Conventional Therapy Approaches (&lt;15% of interventions), (2) Adjunct Therapies Designed to Enhance Conventional Therapies (&gt;85% of interventions), and (3) Treatment to Manage Complications (similar to 9% of interventions). Adjunct Therapies, despite having a spectacular evidence base, are often not employed clinically. To encourage their clinical use, we have developed a framework that divides adjunct therapies into two categories: (1) Treatments that Stimulate the Brain (i.e. rTMS, mental practice, and virtual reality) and (2) Treatments that Peripherally Facilitate the Hemiparetic Upper Extremity (i.e. robotics, EMG Biofeedback, and Constraint-induced Movement Therapy). Conclusion: To allow stroke rehabilitation to continue to improve upper extremity recovery and outcomes, we propose a new intuitive framework that is based on a strong evidence base to guide clinicians and improve stroke rehabilitation.</t>
  </si>
  <si>
    <t>[Teasell, Robert; McIntyre, Amanda; Viana, Ricardo; Bateman, Emma A.; Janzen, Shannon; Saikaley, Marcus] Parkwood Inst, Lawson Hlth Res Inst, Parkwood Inst Res, London, ON, Canada; [Teasell, Robert; Viana, Ricardo; Bateman, Emma A.] St Josephs Hlth Care London, Parkwood Inst, London, ON, Canada; [Teasell, Robert; Viana, Ricardo; Bateman, Emma A.] Univ Western Ontario, Schulich Sch Med &amp; Dent, Dept Phys Med &amp; Rehabil, London, ON, Canada; [Murie-Fernandez, Manuel] Hosp Ciudad Telde, Neurorehabil Unit, Las Palmas Gran Canaria, Telde, Spain</t>
  </si>
  <si>
    <t>Western University (University of Western Ontario); University Western Ontario Hospital; Western University (University of Western Ontario); University Western Ontario Hospital; Western University (University of Western Ontario)</t>
  </si>
  <si>
    <t>Teasell, R (corresponding author), Parkwood Inst, Parkwood Inst Res, 550 Wellington Rd, London, ON N6C 0A7, Canada.</t>
  </si>
  <si>
    <t>robert.teasell@sjhc.london.on.ca</t>
  </si>
  <si>
    <t>Viana, Ricardo/P-6465-2019</t>
  </si>
  <si>
    <t>Bateman, E. Ali/0000-0002-5069-3058</t>
  </si>
  <si>
    <t>Heart and Stroke Foundation: Canadian Partnership for Stroke Recovery</t>
  </si>
  <si>
    <t>This work was supported by the Heart and Stroke Foundation: Canadian Partnership for Stroke Recovery.</t>
  </si>
  <si>
    <t>10.1080/10749357.2022.2070364</t>
  </si>
  <si>
    <t>MAY 2022</t>
  </si>
  <si>
    <t>F2GI0</t>
  </si>
  <si>
    <t>WOS:000788827200001</t>
  </si>
  <si>
    <t>Nair, VS; Nachimuthu, R</t>
  </si>
  <si>
    <t>Nair, Viswajith S.; Nachimuthu, Radhika</t>
  </si>
  <si>
    <t>The role of NiTi shape memory alloys in quality of life improvement through medical advancements: A comprehensive review</t>
  </si>
  <si>
    <t>Shape memory alloys; biomaterials; nitinol; shape memory effect; superelasticity; medical devices; rehabilitation devices; robotic prosthetic devices</t>
  </si>
  <si>
    <t>3-DIMENSIONAL CONSTITUTIVE MODEL; VIVO BIOCOMPATIBILITY EVALUATION; TITANIUM ROTARY INSTRUMENTS; CYCLIC FATIGUE RESISTANCE; FUNCTIONAL FATIGUE; PHENOMENOLOGICAL DESCRIPTION; PHASE-TRANSFORMATION; TI; BEHAVIOR; DESIGN</t>
  </si>
  <si>
    <t>The significance of advanced smart materials in recent technological research and advancement is apparent from its extensive use in present day devices and instruments. Of the various smart materials in use today, the fascinating category of shape memory alloys (SMAs) is equipped with the ability to return to a previously memorized shape under certain thermomechanical or magnetic stimuli. The unique property of shape memory effect and superelasticity displayed by these materials along with good biocompatibility and corrosion resistance make them ideal for biomedical applications. The various applications of SMAs in surgical instruments, surgical implants, and assistive and rehabilitative devices have significant effect on the day to day life of people in the present age. Majority of these biomedical devices belong to the orthodontic, orthopedic, or surgical fields. Other remarkable applications of SMAs such as in the production of prostheses and orthoses designed through the biomimetic approach are also highly influential in improving the quality of life. The present paper provides an overview of the various properties of shape memory alloys and their applications in the biomedical field over the years, that have had a significant impact on the realm of medical science.</t>
  </si>
  <si>
    <t>[Nair, Viswajith S.; Nachimuthu, Radhika] Amrita Vishwa Vidyapeetham, Amrita Sch Engn, Dept Mech Engn, Amrita NagarPO, Coimbatore 641112, Tamil Nadu, India</t>
  </si>
  <si>
    <t>Amrita Vishwa Vidyapeetham; Amrita Vishwa Vidyapeetham Coimbatore</t>
  </si>
  <si>
    <t>Nachimuthu, R (corresponding author), Amrita Vishwa Vidyapeetham, Amrita Sch Engn, Dept Mech Engn, Amrita NagarPO, Coimbatore 641112, Tamil Nadu, India.</t>
  </si>
  <si>
    <t>n_radhika1@cb.amrita.edu</t>
  </si>
  <si>
    <t>Nair, Viswajith/IZT-3871-2023</t>
  </si>
  <si>
    <t>N, Radhika/0000-0001-5138-2318; Nair, Viswajith/0000-0002-0316-4022</t>
  </si>
  <si>
    <t>10.1177/09544119221093460</t>
  </si>
  <si>
    <t>3A0XQ</t>
  </si>
  <si>
    <t>WOS:000789249400001</t>
  </si>
  <si>
    <t>van Dellen, F; Labruyère, R</t>
  </si>
  <si>
    <t>van Dellen, Florian; Labruyere, Rob</t>
  </si>
  <si>
    <t>Settings matter: a scoping review on parameters in robot-assisted gait therapy identifies the importance of reporting standards</t>
  </si>
  <si>
    <t>Lokomat; Neurological rehabilitation; Gait speed; Body weight support; Robotic guidance; Public Reporting of Healthcare Data</t>
  </si>
  <si>
    <t>SPINAL-CORD-INJURY; SUBACUTE STROKE PATIENTS; TRAINING IMPROVES GAIT; PARTIAL-BODY WEIGHT; SUPPORTED TREADMILL; MULTIPLE-SCLEROSIS; BRAIN-STIMULATION; HEMIPARETIC PATIENTS; PARKINSONS-DISEASE; CEREBRAL-PALSY</t>
  </si>
  <si>
    <t>Background Lokomat therapy for gait rehabilitation has become increasingly popular. Most evidence suggests that Lokomat therapy is equally effective as but not superior to standard therapy approaches. One reason might be that the Lokomat parameters to personalize therapy, such as gait speed, body weight support and Guidance Force, are not optimally used. However, there is little evidence available about the influence of Lokomat parameters on the effectiveness of the therapy. Nevertheless, an appropriate reporting of the applied therapy parameters is key to the successful clinical transfer of study results. The aim of this scoping review was therefore to evaluate how the currently available clinical studies report Lokomat parameter settings and map the current literature on Lokomat therapy parameters. Methods and results A systematic literature search was performed in three databases: Pubmed, Scopus and Embase. All primary research articles performing therapy with the Lokomat in neurologic populations in English or German were included. The quality of reporting of all clinical studies was assessed with a framework developed for this particular purpose. We identified 208 studies investigating Lokomat therapy in patients with neurologic diseases. The reporting quality was generally poor. Less than a third of the studies indicate which parameter settings have been applied. The usability of the reporting for a clinical transfer of promising results is therefore limited. Conclusion Although the currently available evidence on Lokomat parameters suggests that therapy parameters might have an influence on the effectiveness, there is currently not enough evidence available to provide detailed recommendations. Nevertheless, clinicians should pay close attention to the reported therapy parameters when translating research findings to their own clinical practice. To this end, we propose that the quality of reporting should be improved and we provide a reporting framework for authors as a quality control before submitting a Lokomat-related article.</t>
  </si>
  <si>
    <t>[van Dellen, Florian] Swiss Fed Inst Technol, Dept Hlth Sci &amp; Technol, Sensory Motor Syst Lab, Tannenstr 1, CH-8092 Zurich, Switzerland; [van Dellen, Florian; Labruyere, Rob] Univ Childrens Hosp Zurich, Swiss Childrens Rehab, Muhlebergstr 104, CH-8910 Affoltern, Switzerland; [van Dellen, Florian; Labruyere, Rob] Univ Zurich, Univ Childrens Hosp Zurich, Childrens Res Ctr, Steinwiesstr 75, CH-8032 Zurich, Switzerland</t>
  </si>
  <si>
    <t>Swiss Federal Institutes of Technology Domain; ETH Zurich; University Children's Hospital Zurich; University Children's Hospital Zurich; University of Zurich</t>
  </si>
  <si>
    <t>van Dellen, F (corresponding author), Swiss Fed Inst Technol, Dept Hlth Sci &amp; Technol, Sensory Motor Syst Lab, Tannenstr 1, CH-8092 Zurich, Switzerland.</t>
  </si>
  <si>
    <t>floriava@ethz.ch</t>
  </si>
  <si>
    <t>Labruyère, Rob/A-7265-2012</t>
  </si>
  <si>
    <t>van Dellen, Florian/0000-0002-8423-8379</t>
  </si>
  <si>
    <t>Swiss Federal Institute of Technology Zurich; Stiftung Cerebral; Walter Muggli Fund of the ACCENTUS Foundation; J&amp;K Wonderland Foundation</t>
  </si>
  <si>
    <t>Swiss Federal Institute of Technology Zurich(ETH Zurich); Stiftung Cerebral; Walter Muggli Fund of the ACCENTUS Foundation; J&amp;K Wonderland Foundation</t>
  </si>
  <si>
    <t>Open access funding provided by Swiss Federal Institute of Technology Zurich. This review was supported by the Stiftung Cerebral, the Walter Muggli Fund of the ACCENTUS Foundation and the J&amp;K Wonderland Foundation. The funders did not have any role in the design of the study, the data analysis and writing the manuscript.</t>
  </si>
  <si>
    <t>10.1186/s12984-022-01017-3</t>
  </si>
  <si>
    <t>0R6QW</t>
  </si>
  <si>
    <t>WOS:000785717800001</t>
  </si>
  <si>
    <t>Qu, H; Zeng, FX; Tang, YB; Shi, B; Wang, ZJ; Chen, XK; Wang, J</t>
  </si>
  <si>
    <t>Qu, Hao; Zeng, Feixiang; Tang, Yongbin; Shi, Bin; Wang, Zhijun; Chen, Xiaokai; Wang, Jing</t>
  </si>
  <si>
    <t>The clinical effects of brain-computer interface with robot on upper-limb function for post-stroke rehabilitation: a meta-analysis and systematic review</t>
  </si>
  <si>
    <t>Brain-computer interfaces; robot; stroke; upper-limb motor function; motor imagery; neural plasticity</t>
  </si>
  <si>
    <t>FUGL-MEYER ASSESSMENT; RESEARCH ARM TEST; MOTOR RECOVERY; UPPER-EXTREMITY; STROKE REHABILITATION; MACHINE INTERFACE; ASSISTED THERAPY; EXOSKELETON; BCI; CONNECTIVITY</t>
  </si>
  <si>
    <t>Purpose Many recent clinical studies have suggested that the combination of brain-computer interfaces (BCIs) can induce neurological recovery and improvement in motor function. In this review, we performed a systematic review and meta-analysis to evaluate the clinical effects of BCI-robot systems. Methods The articles published from January 2010 to December 2020 have been searched by using the databases (EMBASE, PubMed, CINAHL, EBSCO, Web of Science and manual search). The single-group studies were qualitatively described, and only the controlled-trial studies were included for the meta-analysis. The mean difference (MD) of Fugl-Meyer Assessment (FMA) scores were pooled and the random-effects model method was used to perform the meta-analysis. The PRISMA criteria were followed in current review. Results A total of 897 records were identified, eight single-group studies and 11 controlled-trial studies were included in our review. The systematic analysis indicated that the BCI-robot systems had a significant improvement on motor function recovery. The meta-analysis showed there were no statistic differences between BCI-robot groups and robot groups, neither in the immediate effects nor long-term effects (p &gt; 0.05). Conclusion The use of BCI-robot systems has significant improvement on the motor function recovery of hemiparetic upper-limb, and there is a sustaining effect. The meta-analysis showed no statistical difference between the experimental group (BCI-robot) and the control group (robot). However, there are a few shortcomings in the experimental design of existing studies, more clinical trials need to be conducted, and the experimental design needs to be more rigorous.</t>
  </si>
  <si>
    <t>[Qu, Hao; Tang, Yongbin; Shi, Bin; Wang, Jing] Xi An Jiao Tong Univ, Sch Mech Engn, Inst Robot &amp; Intelligent Syst, Xian, Peoples R China; [Zeng, Feixiang; Chen, Xiaokai] HuiZhou Third Peoples Hosp, Dept Rehabil Med, Huizhou, Peoples R China; [Wang, Zhijun] FoShan Fifth Peoples Hosp, Dept Rehabil Med, Foshan, Guangdong, Peoples R China</t>
  </si>
  <si>
    <t>Xi'an Jiaotong University</t>
  </si>
  <si>
    <t>Wang, J (corresponding author), Xi An Jiao Tong Univ, Sch Mech Engn, Inst Robot &amp; Intelligent Syst, Xian, Peoples R China.;Chen, XK (corresponding author), HuiZhou Third Peoples Hosp, Dept Rehabil Med, Huizhou, Peoples R China.</t>
  </si>
  <si>
    <t>hzcxk1968@163.com; wangpele@gmail.com</t>
  </si>
  <si>
    <t>Yongbin, Tang/AAI-6348-2020; Shi, Bin/B-3461-2019</t>
  </si>
  <si>
    <t>Qu, Hao/0000-0002-2571-1939</t>
  </si>
  <si>
    <t>10.1080/17483107.2022.2060354</t>
  </si>
  <si>
    <t>DY6X5</t>
  </si>
  <si>
    <t>WOS:000784482900001</t>
  </si>
  <si>
    <t>Zhang, LJ; Lin, FB; Sun, L; Chen, CM</t>
  </si>
  <si>
    <t>Zhang, Lingjie; Lin, Fabin; Sun, Lei; Chen, Chunmei</t>
  </si>
  <si>
    <t>Comparison of Efficacy of Lokomat and Wearable Exoskeleton-Assisted Gait Training in People With Spinal Cord Injury: A Systematic Review and Network Meta-Analysis</t>
  </si>
  <si>
    <t>EAW; Lokomat; spinal cord injuries; locomotor; network meta-analysis</t>
  </si>
  <si>
    <t>ROBOTIC EXOSKELETON; BODY-COMPOSITION; WALKING; PILOT; REHABILITATION; INDIVIDUALS; SPEED; PREVALENCE</t>
  </si>
  <si>
    <t>Objective: Lokomat and wearable exoskeleton-assisted walking (EAW) have not been directly compared previously. To conduct a network meta-analysis of randomized and non-randomized controlled trials to assess locomotor abilities achieved with two different types of robotic-assisted gait training (RAGT) program in persons with spinal cord injury (SCI). Methods: Three electronic databases, namely, PubMed, Embase, and the Cochrane Library, were systematically searched for randomized and non-randomized controlled trials published before August 2021, which assessed locomotor abilities after RAGT. Results: Of 319 studies identified for this review, 12 studies were eligible and included in our analysis. Studies from 2013 to 2021 were covered and contained 353 valid data points (N-353) on patients with SCI receiving wearable EWA and Lokomat training. In the case of wearable EAW, the 10-m walk test (10-MWT) distance and speed scores significantly increased [distance: 0.85 (95% CI = 0.35, 1.34); speed: -1.76 (95% CI = -2.79, -0.73)]. The 6-min walk test (6-MWT) distance [-1.39 (95% CI = -2.01, -0.77)] and the timed up and go (TUG) test significantly increased [(1.19 (95% CI = 0.74, 1.64)], but no significant difference was observed in the walking index for spinal cord injury (WISCI-II) [-0.33 (95% CI = -0.79, 0.13)]. Among the patients using Lokomat, the 10-MWT-distance score significantly increased [-0.08 (95% CI = -0.14, -0.03)] and a significant increase in the WISCI-II was found [1.77 (95% CI = 0.23, 3.31)]. The result of network meta-analysis showed that the probability of wearable EAW to rank first and that of Lokomat to rank second was 89 and 47%, respectively, in the 10-MWT speed score, while that of Lokomat to rank first and wearable EAW to rank second was 73 and 63% in the WISCI-II scores. Conclusion: Lokomat and wearable EAW had effects on the performance of locomotion abilities, namely, distance, speed, and function. Wearable EAW might lead to better outcomes in walking speed compared with that in the case of Lokomat.</t>
  </si>
  <si>
    <t>sunlei0417@fjmu.edu.cn; 1731012948@qq.com</t>
  </si>
  <si>
    <t>Lin, Fabin/AEN-9380-2022</t>
  </si>
  <si>
    <t>10.3389/fneur.2022.772660</t>
  </si>
  <si>
    <t>1Z4WT</t>
  </si>
  <si>
    <t>WOS:000808827600001</t>
  </si>
  <si>
    <t>Aliseichik, AP; Gribkov, DA; Efimov, AR; Orlov, IA; Pavlovsky, VE; Podoprosvetov, A; Khaidukova, I</t>
  </si>
  <si>
    <t>Aliseichik, A. P.; Gribkov, D. A.; Efimov, A. R.; Orlov, I. A.; Pavlovsky, V. E.; Podoprosvetov, A., V; Khaidukova, I., V</t>
  </si>
  <si>
    <t>Artificial Muscles (Review Article)</t>
  </si>
  <si>
    <t>JOURNAL OF COMPUTER AND SYSTEMS SCIENCES INTERNATIONAL</t>
  </si>
  <si>
    <t>OF-THE-ART; EXOSKELETON ROBOTS; HAND EXOSKELETON; REHABILITATION; COMPLIANT; ORTHOSES; DESIGN</t>
  </si>
  <si>
    <t>The current state of the art in systems and actuators for controlling soft exoskeletons is reviewed. The most important prototypes of flexible actuators are studied. Applications of these drives in medicine and industry are considered. The classification and recommendations for the construction of such devices based on the analysis of the effectiveness of the existing models by third-party research groups are given.</t>
  </si>
  <si>
    <t>[Aliseichik, A. P.; Gribkov, D. A.; Orlov, I. A.; Pavlovsky, V. E.; Podoprosvetov, A., V; Khaidukova, I., V] Russian Acad Sci, Keldysh Inst Appl Math, Moscow 125047, Russia; [Efimov, A. R.] PAO Sberbank, Moscow 117997, Russia</t>
  </si>
  <si>
    <t>Russian Academy of Sciences; Keldysh Institute of Applied Mathematics</t>
  </si>
  <si>
    <t>Orlov, IA (corresponding author), Russian Acad Sci, Keldysh Inst Appl Math, Moscow 125047, Russia.</t>
  </si>
  <si>
    <t>i.orlov@keldysh.ru</t>
  </si>
  <si>
    <t>Orlov, Igor/B-6703-2015; Aliseychik, Anton/T-5290-2017; Yefimov, Albert/AAF-7166-2020; Pavlovsky, Vladimir/AAO-4941-2020</t>
  </si>
  <si>
    <t>Russian Science Foundation [18-71-10112]; Russian Science Foundation [18-71-10112] Funding Source: Russian Science Foundation</t>
  </si>
  <si>
    <t>Russian Science Foundation(Russian Science Foundation (RSF)); Russian Science Foundation(Russian Science Foundation (RSF))</t>
  </si>
  <si>
    <t>The work was supported by the Russian Science Foundation, project no. 18-71-10112.</t>
  </si>
  <si>
    <t>PLEIADES PUBLISHING INC</t>
  </si>
  <si>
    <t>PLEIADES HOUSE, 7 W 54 ST, NEW YORK, NY, UNITED STATES</t>
  </si>
  <si>
    <t>1064-2307</t>
  </si>
  <si>
    <t>1555-6530</t>
  </si>
  <si>
    <t>J COMPUT SYS SC INT+</t>
  </si>
  <si>
    <t>J. Comput. Syst. Sci. Int.</t>
  </si>
  <si>
    <t>10.1134/S1064230722010026</t>
  </si>
  <si>
    <t>Computer Science, Artificial Intelligence; Computer Science, Cybernetics; Computer Science, Theory &amp; Methods</t>
  </si>
  <si>
    <t>0O9GY</t>
  </si>
  <si>
    <t>WOS:000783832700012</t>
  </si>
  <si>
    <t>Bin Sawad, A; Narayan, B; Alnefaie, A; Maqbool, A; Mckie, I; Smith, J; Yuksel, B; Puthal, D; Prasad, M; Kocaballi, AB</t>
  </si>
  <si>
    <t>Bin Sawad, Abdullah; Narayan, Bhuva; Alnefaie, Ahlam; Maqbool, Ashwaq; Mckie, Indra; Smith, Jemma; Yuksel, Berkan; Puthal, Deepak; Prasad, Mukesh; Kocaballi, A. Baki</t>
  </si>
  <si>
    <t>A Systematic Review on Healthcare Artificial Intelligent Conversational Agents for Chronic Conditions</t>
  </si>
  <si>
    <t>conversational agents; dialogue systems; relational agents; chatbot</t>
  </si>
  <si>
    <t>ASSISTANTS</t>
  </si>
  <si>
    <t>This paper reviews different types of conversational agents used in health care for chronic conditions, examining their underlying communication technology, evaluation measures, and AI methods. A systematic search was performed in February 2021 on PubMed Medline, EMBASE, PsycINFO, CINAHL, Web of Science, and ACM Digital Library. Studies were included if they focused on consumers, caregivers, or healthcare professionals in the prevention, treatment, or rehabilitation of chronic diseases, involved conversational agents, and tested the system with human users. The search retrieved 1087 articles. Twenty-six studies met the inclusion criteria. Out of 26 conversational agents (CAs), 16 were chatbots, seven were embodied conversational agents (ECA), one was a conversational agent in a robot, and another was a relational agent. One agent was not specified. Based on this review, the overall acceptance of CAs by users for the self-management of their chronic conditions is promising. Users' feedback shows helpfulness, satisfaction, and ease of use in more than half of included studies. Although many users in the studies appear to feel more comfortable with CAs, there is still a lack of reliable and comparable evidence to determine the efficacy of AI-enabled CAs for chronic health conditions due to the insufficient reporting of technical implementation details.</t>
  </si>
  <si>
    <t>[Bin Sawad, Abdullah; Alnefaie, Ahlam; Yuksel, Berkan; Prasad, Mukesh; Kocaballi, A. Baki] Univ Technol Sydney, Fac Engn &amp; IT, Sch Comp Sci, Sydney, NSW 2007, Australia; [Narayan, Bhuva; Mckie, Indra] Univ Technol Sydney, Fac Arts &amp; Social Sci, Sch Commun, Sydney, NSW 2007, Australia; [Maqbool, Ashwaq] Univ Sydney, Fac Med &amp; Hlth, Sch Publ Hlth, Sydney, NSW 2007, Australia; [Smith, Jemma] Univ Technol Sydney, Fac Engn &amp; IT, Sch Biomed Engn, Sydney, NSW 2007, Australia; [Puthal, Deepak] Khalifa Univ, Dept Elect Engn &amp; Comp Sci, POB 127788, Abu Dhabi, U Arab Emirates</t>
  </si>
  <si>
    <t>University of Technology Sydney; University of Technology Sydney; University of Sydney; University of Technology Sydney; Khalifa University of Science &amp; Technology</t>
  </si>
  <si>
    <t>Puthal, D (corresponding author), Khalifa Univ, Dept Elect Engn &amp; Comp Sci, POB 127788, Abu Dhabi, U Arab Emirates.</t>
  </si>
  <si>
    <t>abdullahhatima.binsawad-1@student.uts.edu.au; bhuva.narayan@uts.edu.au; ahlam.alnefaie@student.uts.edu.au; amaq6135@uni.syndey.edu.au; indra.mckie@uts.edu.au; jemma.smith@student.uts.edu.au; berkan.yuksel@student.uts.edu.au; deepak.puthal@ieee.org; mukesh.prasad@uts.edu.au; baki.kocaballi@uts.edu.au</t>
  </si>
  <si>
    <t>Kocaballi, Baki/R-3136-2019; Puthal, Deepak/V-6529-2019; Narayan, Bhuva/M-4044-2015; Puthal, Deepak/P-8667-2017</t>
  </si>
  <si>
    <t>Narayan, Bhuva/0000-0001-8852-5589; Alnefaie, Ahlam/0000-0002-1172-902X; Prasad, Mukesh/0000-0002-7745-9667; Bin Sawad, Abdullah/0000-0002-0200-617X; Puthal, Deepak/0000-0002-8332-278X; Yuksel, Berkan/0000-0001-8412-0306</t>
  </si>
  <si>
    <t>10.3390/s22072625</t>
  </si>
  <si>
    <t>0L2OL</t>
  </si>
  <si>
    <t>WOS:000781319200001</t>
  </si>
  <si>
    <t>Everard, G; Declerck, L; Detrembleur, C; Leonard, S; Bower, G; Dehem, S; Lejeune, T</t>
  </si>
  <si>
    <t>Everard, Gauthier; Declerck, Louise; Detrembleur, Christine; Leonard, Sophie; Bower, Glenn; Dehem, Stephanie; Lejeune, Thierry</t>
  </si>
  <si>
    <t>New technologies promoting active upper limb rehabilitation after stroke: an overview and network meta-analysis</t>
  </si>
  <si>
    <t>Stroke; Robotics; Virtual reality; Telerehabilitation</t>
  </si>
  <si>
    <t>ROBOT-ASSISTED THERAPY; VIRTUAL-REALITY; UPPER EXTREMITY; RECOVERY; CARE; ARM; CHALLENGES; PROGRAM; COST; HOME</t>
  </si>
  <si>
    <t>INTRODUCTION: The primary aim of this work was to summarize and compare the effects of active rehabilitation assisted by new technologies (virtual reality [VR], robot-assisted therapy [RATrat] and telerehabilitation [TR)) on upper limb motor function and everyday living activity during the subacute and chronic phases of stroke. The secondary aims were to compare the effects of these technologies according to the intervention design (in addition to or in substitution of conventional therapy), the duration of active rehabilitation and the severity of patients' motor impairments. EVIDENCE ACQUISITION : Several databases, namely PubMed, Scopus, Embase and Cochrane Library, were searched. Studies were included if they were meta-analyses with a moderate to high level of confidence (assessed with AMSTAR-2) that compared the effects of a new technology promoting active rehabilitation to that of a conventional therapy program among patients with stroke. Network meta-analyses were conducted to compare the effects of the new technologies. EVIDENCE SYNTHESIS: Eighteen different meta-analyses were selected and fifteen included in the quantitative analysis. In total these 15 meta-analyses were based on 189 different randomized controlled trials. VR (SMD &gt;= 0.25; P&lt;0.05), RAT (SMD &gt;= 0.29; P &lt;= 0.29) and TR (SMD &gt;=-0.08; P &lt;= 0.64) were found to be at least as effective as conventional therapy. During the subacute phase, RAT's greatest effect was observed for patients with severe-moderate impairments whereas VR and TR 's greatest effects were observed for patients with mild impairments. During the chronic phase, the highest effects were observed for patients with mild impairments, for all studies technologies. Network meta-analyses showed that VR and RAT were both significantly superior to TR in improving motor function during the chronic phase but revealed no significant difference between VR, rat and TR effectiveness on both motor function (during the subacute phase) and activity (during both chronic and subacute phase). CONCLUSIONS : This overview provides low-to-moderate evidence that rehabilitation assisted with technologies are at least as effective as conventional therapy for patients with stroke. While VR and RAT seem to be more efficient during the subacute phase, all technologies seem to be as efficient as one another in the chronic phase.</t>
  </si>
  <si>
    <t>Catholic Univ Louvain, Sect Hlth Sci, Neuro Musculo Skeletal Lab NMSK, Brussels, Belgium; [Dehem, Stephanie; Lejeune, Thierry] St Luc Clin Univ, Serv Phys Med &amp; Rehab, Brussels, Belgium</t>
  </si>
  <si>
    <t>Universite Catholique Louvain</t>
  </si>
  <si>
    <t>Lejeune, T (corresponding author), St Luc Clin Univ, Serv Phys Med &amp; Rehab, Ave Hippocrate 10, B-1200 Brussels, Belgium.</t>
  </si>
  <si>
    <t>Everard, Gauthier/HTR-4223-2023</t>
  </si>
  <si>
    <t>Dehem, Stephanie/0000-0002-5487-2344; Everard, Gauthier/0000-0001-5029-5693</t>
  </si>
  <si>
    <t>Region Wallonne; SPW-Economic-Emploi-Recherche; Win2Wai Program [1810108]</t>
  </si>
  <si>
    <t>Region Wallonne; SPW-Economic-Emploi-Recherche; Win2Wai Program</t>
  </si>
  <si>
    <t>We would like to thank the Region Wallonne, the SPW-Economic-Emploi-Recherche and the Win2Wai Program (convention no 1810108) for their support.</t>
  </si>
  <si>
    <t>10.23736/S1973-9087.22.07404-4</t>
  </si>
  <si>
    <t>6P1GW</t>
  </si>
  <si>
    <t>WOS:000890683600004</t>
  </si>
  <si>
    <t>Payedimarri, AB; Ratti, M; Rescinito, R; Vanhaecht, K; Panella, M</t>
  </si>
  <si>
    <t>Payedimarri, Anil Babu; Ratti, Matteo; Rescinito, Riccardo; Vanhaecht, Kris; Panella, Massimiliano</t>
  </si>
  <si>
    <t>Effectiveness of Platform-Based Robot-Assisted Rehabilitation for Musculoskeletal or Neurologic Injuries: A Systematic Review</t>
  </si>
  <si>
    <t>robot-assisted training; neurorehabilitation; orthopedic rehabilitation; clinical effectiveness; platform-based robotic rehabilitation; Parkinson's disease; stroke; spinal cord injuries</t>
  </si>
  <si>
    <t>During the last ten years the use of robotic-assisted rehabilitation has increased significantly. Compared with traditional care, robotic rehabilitation has several potential advantages. Platform-based robotic rehabilitation can help patients recover from musculoskeletal and neurological conditions. Evidence on how platform-based robotic technologies can positively impact on disability recovery is still lacking, and it is unclear which intervention is most effective in individual cases. This systematic review aims to evaluate the effectiveness of platform-based robotic rehabilitation for individuals with musculoskeletal or neurological injuries. Thirty-eight studies met the inclusion criteria and evaluated the efficacy of platform-based rehabilitation robots. Our findings showed that rehabilitation with platform-based robots produced some encouraging results. Among the platform-based robots studied, the VR-based Rutgers Ankle and the Hunova were found to be the most effective robots for the rehabilitation of patients with neurological conditions (stroke, spinal cord injury, Parkinson's disease) and various musculoskeletal ankle injuries. Our results were drawn mainly from studies with low-level evidence, and we think that our conclusions should be taken with caution to some extent and that further studies are needed to better evaluate the effectiveness of platform-based robotic rehabilitation devices.</t>
  </si>
  <si>
    <t>[Payedimarri, Anil Babu; Ratti, Matteo; Rescinito, Riccardo; Panella, Massimiliano] Univ Piemonte Orientale, Dept Translat Med DIMET, I-28100 Novara, Italy; [Vanhaecht, Kris] Katholieke Univ Leuven, Dept Publ Hlth &amp; Primary Care, Leuven Inst Healthcare Policy, B-3000 Leuven, Belgium; [Vanhaecht, Kris] Univ Leuven, Univ Hosp Leuven, Dept Qual Management, B-3000 Leuven, Belgium</t>
  </si>
  <si>
    <t>University of Eastern Piedmont Amedeo Avogadro; KU Leuven; KU Leuven; University Hospital Leuven</t>
  </si>
  <si>
    <t>Payedimarri, AB (corresponding author), Univ Piemonte Orientale, Dept Translat Med DIMET, I-28100 Novara, Italy.</t>
  </si>
  <si>
    <t>anil.payedimarri@uniupo.it; matteo.ratti@uniupo.it; 10033325@studenti.uniupo.it; kris.vanhaecht@kuleuven.be; massimiliano.panella@med.uniupo.it</t>
  </si>
  <si>
    <t>Payedimarri, Anil Babu/ITV-9581-2023; Panella, Massimiliano/AAE-8109-2021; Rescinito, Riccardo/HTQ-0924-2023; Vanhaecht, Kris/ACW-1273-2022; Ratti, Matteo/HHC-9622-2022</t>
  </si>
  <si>
    <t>PANELLA, Massimiliano/0000-0003-1880-7198; Payedimarri, Anil Babu/0000-0003-4298-1305; Ratti, Matteo/0000-0002-9273-9114; Rescinito, Riccardo/0000-0003-0117-3432</t>
  </si>
  <si>
    <t>10.3390/bioengineering9040129</t>
  </si>
  <si>
    <t>0R0ZB</t>
  </si>
  <si>
    <t>WOS:000785333500001</t>
  </si>
  <si>
    <t>Perez-de la Cruz, S</t>
  </si>
  <si>
    <t>Perez-de la Cruz, Sagrario</t>
  </si>
  <si>
    <t>Use of Robotic Devices for Gait Training in Patients Diagnosed with Multiple Sclerosis: Current State of the Art</t>
  </si>
  <si>
    <t>multiple sclerosis; robotic therapy; rehabilitation; gait; movement</t>
  </si>
  <si>
    <t>VIRTUAL-REALITY; EXERCISE; BALANCE; WALKING; STROKE; REHABILITATION; INDIVIDUALS; IMPAIRMENT; SYMPTOMS; EFFICACY</t>
  </si>
  <si>
    <t>Multiple sclerosis (MS) is a neurodegenerative disease that produces alterations in balance and gait in most patients. Robot-assisted gait training devices have been proposed as a complementary approach to conventional rehabilitation treatment as a means of improving these alterations. The aim of this study was to investigate the available scientific evidence on the benefits of the use of robotics in the physiotherapy treatment in people with MS. A systematic review of randomized controlled trials was performed. Studies from the last five years on walking in adults with MS were included. The PEDro scale was used to assess the methodological quality of the included studies, and the Jadad scale was used to assess the level of evidence and the degree of recommendation. Seventeen studies met the eligibility criteria. For the improvement of gait speed, robotic devices do not appear to be superior, compared to the rest of the interventions evaluated. The methodological quality of the studies was moderate-low. For this reason, robot-assisted gait training is considered just as effective as conventional rehabilitation training for improving gait in people with MS.</t>
  </si>
  <si>
    <t>[Perez-de la Cruz, Sagrario] Univ Almeria, Dept Nursing Phys Therapy &amp; Med, Carretera Sacramento S-N, Almeria 04120, Spain</t>
  </si>
  <si>
    <t>Universidad de Almeria</t>
  </si>
  <si>
    <t>Perez-de la Cruz, S (corresponding author), Univ Almeria, Dept Nursing Phys Therapy &amp; Med, Carretera Sacramento S-N, Almeria 04120, Spain.</t>
  </si>
  <si>
    <t>spd205@ual.es</t>
  </si>
  <si>
    <t>de la Cruz, Sagrario/AAX-9933-2020</t>
  </si>
  <si>
    <t>PEREZ-DE LA CRUZ, SAGRARIO/0000-0002-1684-1416</t>
  </si>
  <si>
    <t>10.3390/s22072580</t>
  </si>
  <si>
    <t>0L4DP</t>
  </si>
  <si>
    <t>WOS:000781426600001</t>
  </si>
  <si>
    <t>Yang, JT; He, Y; Shi, P; Yu, HL</t>
  </si>
  <si>
    <t>Yang, Jiantao; He, Yong; Shi, Ping; Yu, Hongliu</t>
  </si>
  <si>
    <t>A review on human intent understanding and compliance control strategies for lower limb exoskeletons</t>
  </si>
  <si>
    <t>PROCEEDINGS OF THE INSTITUTION OF MECHANICAL ENGINEERS PART I-JOURNAL OF SYSTEMS AND CONTROL ENGINEERING</t>
  </si>
  <si>
    <t>Lower limb exoskeleton; motion intent understanding; compliance control strategy</t>
  </si>
  <si>
    <t>LOWER-EXTREMITY EXOSKELETON; EMG-BASED CONTROL; ROBOTIC REHABILITATION; MUSCULOSKELETAL MODEL; SPARSE AUTOENCODER; IMPEDANCE CONTROL; WALKING SUPPORT; CONTROL-SYSTEM; CONTROL SCHEME; GAIT</t>
  </si>
  <si>
    <t>The exoskeleton has emerged as a promising technology to enhance humans' strength and boost users' efficiency. In order to provide congruent human-machine interaction for assisting the users, exoskeletons should have knowledge of human's planned action and accordingly command the robot by the designed controller. It means the ubiquitous aspect of exoskeletons lies on motion intent understanding and active compliance control. In the last decade, extensive research has been conducted on the two topics. However, no major breakthrough has been made. Thus, a systematic review and analysis on this very subject is of great significance in developing exoskeletons. Within this context, this review first surveys the history of lower limb exoskeletons to summarize the various technologies for realizing transparent human exoskeleton coordination. Then, an overview about motion intent understanding and compliance control strategies are presented in detail. Furthermore, the future trend and research directions are also outlined.</t>
  </si>
  <si>
    <t>[Yang, Jiantao; Shi, Ping; Yu, Hongliu] Univ Shanghai Sci &amp; Technol, Inst Rehabil Engn &amp; Technol, Shanghai, Peoples R China; [He, Yong] Chinese Acad Sci, Shenzhen Inst Adv Technol, Guangdong Prov Key Lab Robot &amp; Intelligent Syst, 1068 Xueyuan Ave, Shenzhen 518055, Peoples R China; [He, Yong] Univ Chinese Acad Sci, Shenzhen Coll Adv Technol, Shenzhen, Peoples R China</t>
  </si>
  <si>
    <t>University of Shanghai for Science &amp; Technology; Chinese Academy of Sciences; Shenzhen Institute of Advanced Technology, CAS; Chinese Academy of Sciences; University of Chinese Academy of Sciences, CAS</t>
  </si>
  <si>
    <t>He, Y (corresponding author), Chinese Acad Sci, Shenzhen Inst Adv Technol, Guangdong Prov Key Lab Robot &amp; Intelligent Syst, 1068 Xueyuan Ave, Shenzhen 518055, Peoples R China.</t>
  </si>
  <si>
    <t>yong.he@siat.ac.cn</t>
  </si>
  <si>
    <t>Yang, Jiantao/HJH-6976-2023; Yu, Hongliu/KIH-0320-2024</t>
  </si>
  <si>
    <t>National Key Research and Development Project [2019YFC1711800]; National Natural Science Foundation of China [62103280]</t>
  </si>
  <si>
    <t>National Key Research and Development Project(National Key Research &amp; Development Program of China); National Natural Science Foundation of China(National Natural Science Foundation of China (NSFC))</t>
  </si>
  <si>
    <t>The author(s) disclosed receipt of the following financial support for the research, authorship, and/or publication of this article: This work was supported in part by the National Key Research and Development Project (grant no. 2019YFC1711800), in part by the National Natural Science Foundation of China (grant no. 62103280).</t>
  </si>
  <si>
    <t>0959-6518</t>
  </si>
  <si>
    <t>2041-3041</t>
  </si>
  <si>
    <t>P I MECH ENG I-J SYS</t>
  </si>
  <si>
    <t>Proc. Inst. Mech. Eng. Part I-J Syst Control Eng.</t>
  </si>
  <si>
    <t>10.1177/09596518221085793</t>
  </si>
  <si>
    <t>1M4BP</t>
  </si>
  <si>
    <t>WOS:000776699600001</t>
  </si>
  <si>
    <t>Chen, W; Li, J; Zhu, SY; Zhang, XD; Men, YT; Wu, H</t>
  </si>
  <si>
    <t>Chen, Wei; Li, Jun; Zhu, Shanying; Zhang, Xiaodong; Men, Yutao; Wu, Hang</t>
  </si>
  <si>
    <t>Gait Recognition for Lower Limb Exoskeletons Based on Interactive Information Fusion</t>
  </si>
  <si>
    <t>APPLIED BIONICS AND BIOMECHANICS</t>
  </si>
  <si>
    <t>EVENT DETECTION; CLASSIFICATION METHOD; PATTERN-RECOGNITION; PHASE RECOGNITION; SENSOR; WALKING; MULTISENSOR; REHABILITATION; PERFORMANCE; NETWORK</t>
  </si>
  <si>
    <t>In recent decades, although the research on gait recognition of lower limb exoskeleton robot has been widely developed, there are still limitations in rehabilitation training and clinical practice. The emergence of interactive information fusion technology provides a new research idea for the solution of this problem, and it is also the development trend in the future. In order to better explore the issue, this paper summarizes gait recognition based on interactive information fusion of lower limb exoskeleton robots. This review introduces the current research status, methods, and directions for information acquisition, interaction, fusion, and gait recognition of exoskeleton robots. The content involves the research progress of information acquisition methods, sensor placements, target groups, lower limb sports biomechanics, interactive information fusion, and gait recognition model. Finally, the current challenges, possible solutions, and promising prospects are analysed and discussed, which provides a useful reference resource for the study of interactive information fusion and gait recognition of rehabilitation exoskeleton robots.</t>
  </si>
  <si>
    <t>[Chen, Wei; Li, Jun; Zhu, Shanying; Zhang, Xiaodong; Men, Yutao] Tianjin Univ Technol, Sch Mech Engn, Tianjin Key Lab Adv Mechatron Syst Design &amp; Intel, Tianjin 300384, Peoples R China; [Chen, Wei; Li, Jun; Zhu, Shanying; Zhang, Xiaodong; Men, Yutao] Tianjin Univ Technol, Natl Demonstrat Ctr Expt Mech &amp; Elect Engn Educ, Sch Mech Engn, Tianjin 300384, Peoples R China; [Wu, Hang] Acad Chinese PLA Mil Sci, Inst Med Support Technol, Acad Syst Engn, Tianjin 300161, Peoples R China</t>
  </si>
  <si>
    <t>Tianjin University of Technology; Tianjin University of Technology</t>
  </si>
  <si>
    <t>Chen, W (corresponding author), Tianjin Univ Technol, Sch Mech Engn, Tianjin Key Lab Adv Mechatron Syst Design &amp; Intel, Tianjin 300384, Peoples R China.;Chen, W (corresponding author), Tianjin Univ Technol, Natl Demonstrat Ctr Expt Mech &amp; Elect Engn Educ, Sch Mech Engn, Tianjin 300384, Peoples R China.;Wu, H (corresponding author), Acad Chinese PLA Mil Sci, Inst Med Support Technol, Acad Syst Engn, Tianjin 300161, Peoples R China.</t>
  </si>
  <si>
    <t>chenwynn@163.com; wuhang@163.com</t>
  </si>
  <si>
    <t>Zhu, Shanying/0000-0001-8847-4507; Men, Yu-tao/0000-0002-0447-273X; Chen, Wei/0000-0003-2205-3798</t>
  </si>
  <si>
    <t>Project in the Science &amp; Technology Pillar Program of Tianjin [19YFZCSF01150]; Tianjin Natural Science Foundation of China [18JCZDJC40300]</t>
  </si>
  <si>
    <t>Project in the Science &amp; Technology Pillar Program of Tianjin; Tianjin Natural Science Foundation of China</t>
  </si>
  <si>
    <t>The authors would like to thank Lipu Wei and Xuefei Liu for their valuable help in the discussion about lower limb exoskeletons. This work was supported by the Project in the Science &amp; Technology Pillar Program of Tianjin (grant number 19YFZCSF01150) and in part by the Tianjin Natural Science Foundation of China (grant number 18JCZDJC40300).</t>
  </si>
  <si>
    <t>1176-2322</t>
  </si>
  <si>
    <t>1754-2103</t>
  </si>
  <si>
    <t>APPL BIONICS BIOMECH</t>
  </si>
  <si>
    <t>Appl. Bionics Biomech.</t>
  </si>
  <si>
    <t>10.1155/2022/9933018</t>
  </si>
  <si>
    <t>1W2AE</t>
  </si>
  <si>
    <t>WOS:000806579600001</t>
  </si>
  <si>
    <t>Xiong, F; Liao, X; Xiao, J; Bai, X; Huang, JQ; Zhang, B; Li, F; Li, PF</t>
  </si>
  <si>
    <t>Xiong, Fei; Liao, Xin; Xiao, Jie; Bai, Xin; Huang, Jiaqi; Zhang, Bi; Li, Fang; Li, Pengfei</t>
  </si>
  <si>
    <t>Emerging Limb Rehabilitation Therapy After Post-stroke Motor Recovery</t>
  </si>
  <si>
    <t>FRONTIERS IN AGING NEUROSCIENCE</t>
  </si>
  <si>
    <t>stroke; rehabilitation; limb motor function; mirror therapy; robot-assist therapy; motor imagery; music therapy; visual reality</t>
  </si>
  <si>
    <t>ROBOT-ASSISTED THERAPY; OF-THE-ART; MIRROR THERAPY; STROKE PATIENTS; SUBACUTE STROKE; MENTAL PRACTICE; NINTENDO WII; MUSIC; IMAGERY; BALANCE</t>
  </si>
  <si>
    <t>Stroke, including hemorrhagic and ischemic stroke, refers to the blood supply disorder in the local brain tissue for various reasons (aneurysm, occlusion, etc.). It leads to regional brain circulation imbalance, neurological complications, limb motor dysfunction, aphasia, and depression. As the second-leading cause of death worldwide, stroke poses a significant threat to human life characterized by high mortality, disability, and recurrence. Therefore, the clinician has to care about the symptoms of stroke patients in the acute stage and formulate an effective postoperative rehabilitation plan to facilitate the recovery in patients. We summarize a novel application and update of the rehabilitation therapy in limb motor rehabilitation of stroke patients to provide a potential future stroke rehabilitation strategy.</t>
  </si>
  <si>
    <t>[Xiong, Fei] First Peoples Hosp Jiande, Dept Operat Room, Hangzhou, Peoples R China; [Liao, Xin; Xiao, Jie; Bai, Xin; Huang, Jiaqi; Zhang, Bi; Li, Fang; Li, Pengfei] First Peoples Hosp Jiande, Dept Orthoped, Hangzhou, Peoples R China</t>
  </si>
  <si>
    <t>Li, PF (corresponding author), First Peoples Hosp Jiande, Dept Orthoped, Hangzhou, Peoples R China.</t>
  </si>
  <si>
    <t>lipf303433629@yeah.net</t>
  </si>
  <si>
    <t>Li, Pengfei/AAW-5551-2020</t>
  </si>
  <si>
    <t>Hangzhou Medical and Health Science and Technology Project [B20200395]</t>
  </si>
  <si>
    <t>Hangzhou Medical and Health Science and Technology Project</t>
  </si>
  <si>
    <t>Funding This work was supported by the Hangzhou Medical and Health Science and Technology Project (Grant No. B20210533) to FX and the Hangzhou Medical and Health Science and Technology Project (Grant No. B20200395) to PL.</t>
  </si>
  <si>
    <t>1663-4365</t>
  </si>
  <si>
    <t>FRONT AGING NEUROSCI</t>
  </si>
  <si>
    <t>Front. Aging Neurosci.</t>
  </si>
  <si>
    <t>10.3389/fnagi.2022.863379</t>
  </si>
  <si>
    <t>Geriatrics &amp; Gerontology; Neurosciences</t>
  </si>
  <si>
    <t>Geriatrics &amp; Gerontology; Neurosciences &amp; Neurology</t>
  </si>
  <si>
    <t>0K5KB</t>
  </si>
  <si>
    <t>WOS:000780826200001</t>
  </si>
  <si>
    <t>Tamburella, F; Lorusso, M; Tramontano, M; Fadlun, S; Masciullo, M; Scivoletto, G</t>
  </si>
  <si>
    <t>Tamburella, Federica; Lorusso, Matteo; Tramontano, Marco; Fadlun, Silvia; Masciullo, Marcella; Scivoletto, Giorgio</t>
  </si>
  <si>
    <t>Overground robotic training effects on walking and secondary health conditions in individuals with spinal cord injury: systematic review</t>
  </si>
  <si>
    <t>Spinal cord injury; Exoskeleton; Robotic; Rehabilitation; Outcome measures</t>
  </si>
  <si>
    <t>QUALITY-OF-LIFE; EXOSKELETON-ASSISTED WALKING; BONE-MINERAL DENSITY; POWERED EXOSKELETON; METHODOLOGICAL QUALITY; INDEPENDENCE MEASURE; RATING-SCALE; REHABILITATION; RELIABILITY; PAIN</t>
  </si>
  <si>
    <t>Overground powered lower limb exoskeletons (EXOs) have proven to be valid devices in gait rehabilitation in individuals with spinal cord injury (SCI). Although several articles have reported the effects of EXOs in these individuals, the few reviews available focused on specific domains, mainly walking. The aim of this systematic review is to provide a general overview of the effects of commercial EXOs (i.e. not EXOs used in military and industry applications) for medical purposes in individuals with SCI. This systematic review was conducted following the PRISMA guidelines and it referred to MED-LINE, EMBASE, SCOPUS, Web of Science and Cochrane library databases. The studies included were Randomized Clinical Trials (RCTs) and non-RCT based on EXOs intervention on individuals with SCI. Out of 1296 studies screened, 41 met inclusion criteria. Among all the EXO studies, the Ekso device was the most discussed, followed by ReWalk, Indego, HAL and Rex devices. Since 14 different domains were considered, the outcome measures were heterogeneous. The most investigated domain was walking, followed by cardiorespiratory/metabolic responses, spasticity, balance, quality of life, human-robot interaction, robot data, bowel functionality, strength, daily living activity, neurophysiology, sensory function, bladder functionality and body composition/bone density domains. There were no reports of negative effects due to EXOs trainings and most of the significant positive effects were noted in the walking domain for Ekso, ReWalk, HAL and Indego devices. Ekso studies reported significant effects due to training in almost all domains, while this was not the case with the Rex device. Not a single study carried out on sensory functions or bladder functionality reached significance for any EXO. It is not possible to draw general conclusions about the effects of EXOs usage due to the lack of high-quality studies as addressed by the Downs and Black tool, the heterogeneity of the outcome measures, of the protocols and of the SCI epidemiological/neurological features. However, the strengths and weaknesses of EXOs are starting to be defined, even considering the different types of adverse events that EXO training brought about. EXO training showed to bring significant improvements over time, but whether its effectiveness is greater or less than conventional therapy or other treatments is still mostly unknown. High-quality RCTs are necessary to better define the pros and cons of the EXOs available today. Studies of this kind could help clinicians to better choose the appropriate training for individuals with SCI.</t>
  </si>
  <si>
    <t>[Tamburella, Federica; Lorusso, Matteo; Tramontano, Marco; Fadlun, Silvia; Masciullo, Marcella; Scivoletto, Giorgio] IRCCS Santa Lucia Fdn FSL, Via Ardeatina,306, I-00179 Rome, Italy</t>
  </si>
  <si>
    <t>Tamburella, F (corresponding author), IRCCS Santa Lucia Fdn FSL, Via Ardeatina,306, I-00179 Rome, Italy.</t>
  </si>
  <si>
    <t>f.tamburella@hsantalucia.it</t>
  </si>
  <si>
    <t>Tamburella, Federica/J-9917-2016; TRAMONTANO, MARCO/K-4373-2018</t>
  </si>
  <si>
    <t>Tamburella, Federica/0000-0001-9920-1010; TRAMONTANO, MARCO/0000-0001-6034-0638</t>
  </si>
  <si>
    <t>Financial support was provided by Italian Ministry of Health (Ricerca Corrente).</t>
  </si>
  <si>
    <t>MAR 15</t>
  </si>
  <si>
    <t>10.1186/s12984-022-01003-9</t>
  </si>
  <si>
    <t>ZT8ZE</t>
  </si>
  <si>
    <t>WOS:000769437700001</t>
  </si>
  <si>
    <t>Yip, CCH; Lam, CY; Cheung, KMC; Wong, YW; Koljonen, PA</t>
  </si>
  <si>
    <t>Yip, Christopher C. H.; Lam, Chor-Yin; Cheung, Kenneth M. C.; Wong, Yat Wa; Koljonen, Paul A.</t>
  </si>
  <si>
    <t>Knowledge Gaps in Biophysical Changes After Powered Robotic Exoskeleton Walking by Individuals With Spinal Cord Injury-A Scoping Review</t>
  </si>
  <si>
    <t>spinal cord injury; rehabilitation; exoskeleton; paraplegia; scoping review</t>
  </si>
  <si>
    <t>OVERGROUND BIONIC AMBULATION; BONE-MINERAL DENSITY; QUALITY-OF-LIFE; ASSISTED WALKING; PHYSICAL-ACTIVITIES; PERCEIVED EXERTION; BODY-COMPOSITION; MUSCLE ATROPHY; BOWEL FUNCTION; OXYGEN-UPTAKE</t>
  </si>
  <si>
    <t>In addition to helping individuals with spinal cord injury (SCI) regain the ability to ambulate, the rapidly evolving capabilities of robotic exoskeletons provide an array of secondary biophysical benefits which can reduce the complications resulting from prolonged immobilization. The proposed benefits of increased life-long over-ground walking capacity include improved upper body muscular fitness, improved circulatory response, improved bowel movement regularity, and reduced pain and spasticity. Beyond the positive changes related to physical and biological function, exoskeletons have been suggested to improve SCI individuals' quality of life (QOL) by allowing increased participation in day-to-day activities. Most of the currently available studies that have reported on the impact of exoskeletons on the QOL and prevention of secondary health complications on individuals with SCI, are of small scale and are heterogeneous in nature. Moreover, few meta-analyses and reviews have attempted to consolidate the dispersed data to reach more definitive conclusions of the effects of exoskeleton use. This scoping review seeks to provide an overview on the known effects of overground exoskeleton use, on the prevention of secondary health complications, changes to the QOL, and their effect on the independence of SCI individuals in the community settings. Moreover, the intent of the review is to identify gaps in the literature currently available, and to make recommendations on focus study areas and methods for future investigations.</t>
  </si>
  <si>
    <t>[Yip, Christopher C. H.] Univ Hong Kong, Li Ka Shing Fac Med, Pokfulam, Hong Kong, Peoples R China; [Lam, Chor-Yin; Cheung, Kenneth M. C.; Wong, Yat Wa; Koljonen, Paul A.] Univ Hong Kong, Li Ka Shing Fac Med, Dept Orthopaed &amp; Traumatol, Pokfulam, Hong Kong, Peoples R China; [Wong, Yat Wa; Koljonen, Paul A.] Hosp Author, Hong Kong West Cluster, Maclehose Med Rehabil Ctr, Dept Orthopaed &amp; Traumatol,Kowloon, Hong Kong, Peoples R China</t>
  </si>
  <si>
    <t>University of Hong Kong; University of Hong Kong</t>
  </si>
  <si>
    <t>Koljonen, PA (corresponding author), Univ Hong Kong, Li Ka Shing Fac Med, Dept Orthopaed &amp; Traumatol, Pokfulam, Hong Kong, Peoples R China.;Koljonen, PA (corresponding author), Hosp Author, Hong Kong West Cluster, Maclehose Med Rehabil Ctr, Dept Orthopaed &amp; Traumatol,Kowloon, Hong Kong, Peoples R China.</t>
  </si>
  <si>
    <t>drpaulak@ortho.hku.hk</t>
  </si>
  <si>
    <t>Lam, Chor/ABC-2851-2021</t>
  </si>
  <si>
    <t>Koljonen, Paul Aarne/0000-0002-9250-653X; Lam, Chor Yin/0000-0002-3809-751X</t>
  </si>
  <si>
    <t>10.3389/fneur.2022.792295</t>
  </si>
  <si>
    <t>0O9UM</t>
  </si>
  <si>
    <t>WOS:000783868900001</t>
  </si>
  <si>
    <t>Proulx, CE; Jean, ML; Higgins, J; Gagnon, DH; Dancause, N</t>
  </si>
  <si>
    <t>Proulx, Camille E.; Jean, Manouchka Louis T.; Higgins, Johanne; Gagnon, Dany H.; Dancause, Numa</t>
  </si>
  <si>
    <t>Somesthetic, Visual, and Auditory Feedback and Their Interactions Applied to Upper Limb Neurorehabilitation Technology: A Narrative Review to Facilitate Contextualization of Knowledge</t>
  </si>
  <si>
    <t>augmented feedback; neurorehabilitation; upper limb; virtual reality; robotics; plasticity; stroke; hand</t>
  </si>
  <si>
    <t>PRIMARY MOTOR CORTEX; CHRONIC STROKE PATIENTS; MIRROR THERAPY; VIRTUAL-REALITY; SOMATOSENSORY STIMULATION; MULTISENSORY INTEGRATION; HAND REPRESENTATION; EXTRINSIC FEEDBACK; PREMOTOR CORTEX; SPINAL-CORD</t>
  </si>
  <si>
    <t>Reduced hand dexterity is a common component of sensorimotor impairments for individuals after stroke. To improve hand function, innovative rehabilitation interventions are constantly developed and tested. In this context, technology-based interventions for hand rehabilitation have been emerging rapidly. This paper offers an overview of basic knowledge on post lesion plasticity and sensorimotor integration processes in the context of augmented feedback and new rehabilitation technologies, in particular virtual reality and soft robotic gloves. We also discuss some factors to consider related to the incorporation of augmented feedback in the development of technology-based interventions in rehabilitation. This includes factors related to feedback delivery parameter design, task complexity and heterogeneity of sensory deficits in individuals affected by a stroke. In spite of the current limitations in our understanding of the mechanisms involved when using new rehabilitation technologies, the multimodal augmented feedback approach appears promising and may provide meaningful ways to optimize recovery after stroke. Moving forward, we argue that comparative studies allowing stratification of the augmented feedback delivery parameters based upon different biomarkers, lesion characteristics or impairments should be advocated (e.g., injured hemisphere, lesion location, lesion volume, sensorimotor impairments). Ultimately, we envision that treatment design should combine augmented feedback of multiple modalities, carefully adapted to the specific condition of the individuals affected by a stroke and that evolves along with recovery. This would better align with the new trend in stroke rehabilitation which challenges the popular idea of the existence of an ultimate good-for-all intervention.</t>
  </si>
  <si>
    <t>[Proulx, Camille E.; Jean, Manouchka Louis T.; Higgins, Johanne; Gagnon, Dany H.] Univ Montreal, Fac Med, Sch Rehabil, Montreal, PQ, Canada; [Proulx, Camille E.; Higgins, Johanne; Gagnon, Dany H.] Ctr Interdisciplinary Res Rehabil Greater Montreal, Inst Univ Readaptat Deficience Phys Montreal, CIUSSS Ctr Sud de Ille de Montreal, Montreal, PQ, Canada; [Dancause, Numa] Univ Montreal, Fac Med, Dept Neurosci, Montreal, PQ, Canada; [Dancause, Numa] Univ Montreal, CIRCA, Montreal, PQ, Canada</t>
  </si>
  <si>
    <t>Universite de Montreal; Universite de Montreal; Universite de Montreal</t>
  </si>
  <si>
    <t>Proulx, CE (corresponding author), Univ Montreal, Fac Med, Sch Rehabil, Montreal, PQ, Canada.;Proulx, CE (corresponding author), Ctr Interdisciplinary Res Rehabil Greater Montreal, Inst Univ Readaptat Deficience Phys Montreal, CIUSSS Ctr Sud de Ille de Montreal, Montreal, PQ, Canada.</t>
  </si>
  <si>
    <t>camille.proulx.1@umontreal.ca</t>
  </si>
  <si>
    <t>Higgins, Johanne/AAF-3672-2019</t>
  </si>
  <si>
    <t>10.3389/fresc.2022.789479</t>
  </si>
  <si>
    <t>J0MX9</t>
  </si>
  <si>
    <t>WOS:001006644900001</t>
  </si>
  <si>
    <t>Su, H; Hou, X; Zhang, X; Qi, W; Cai, ST; Xiong, XM; Guo, J</t>
  </si>
  <si>
    <t>Su, Hang; Hou, Xu; Zhang, Xin; Qi, Wen; Cai, Shuting; Xiong, Xiaoming; Guo, Jing</t>
  </si>
  <si>
    <t>Pneumatic Soft Robots: Challenges and Benefits</t>
  </si>
  <si>
    <t>soft robotics; soft pneumatic actuators; soft components; control systems; prototyping</t>
  </si>
  <si>
    <t>ARTIFICIAL MUSCLE; POSITION CONTROL; NEURAL-NETWORKS; DESIGN; FABRICATION; ACTUATORS; REHABILITATION; DEFORMATION; KINEMATICS; ALGORITHM</t>
  </si>
  <si>
    <t>In the field of robotics, soft robots have been showing great potential in the areas of medical care, education, service, rescue, exploration, detection, and wearable devices due to their inherently high flexibility, good compliance, excellent adaptability, and natural and safe interactivity. Pneumatic soft robots occupy an essential position among soft robots because of their features such as lightweight, high efficiency, non-pollution, and environmental adaptability. Thanks to its mentioned benefits, increasing research interests have been attracted to the development of novel types of pneumatic soft robots in the last decades. This article aims to investigate the solutions to develop and research the pneumatic soft robot. This paper reviews the status and the main progress of the recent research on pneumatic soft robots. Furthermore, a discussion about the challenges and benefits of the recent advancement of the pneumatic soft robot is provided.</t>
  </si>
  <si>
    <t>[Su, Hang; Qi, Wen] Politecn Milan, Dept Elect Informat &amp; Bioengn, I-20133 Milan, Italy; [Su, Hang; Cai, Shuting; Xiong, Xiaoming; Guo, Jing] Guangdong Univ Technol, Sch Automat, Guangzhou 510006, Peoples R China; [Hou, Xu; Zhang, Xin] Soochow Univ, Sch Art, Suzhou 215006, Peoples R China</t>
  </si>
  <si>
    <t>Polytechnic University of Milan; Guangdong University of Technology; Soochow University - China</t>
  </si>
  <si>
    <t>Qi, W (corresponding author), Politecn Milan, Dept Elect Informat &amp; Bioengn, I-20133 Milan, Italy.</t>
  </si>
  <si>
    <t>hang.su@ieee.org; 20205205067@stu.suda.edu.cn; zx_xingxing@163.com; wen.qi@polimi.it; shutingcai@126.com; xmxiong@gdut.edu.cn; toguojing@gmail.com</t>
  </si>
  <si>
    <t>qi, wen/HCI-8605-2022; Hou, Xu/AAY-4921-2021; Su, Hang/Z-1713-2019</t>
  </si>
  <si>
    <t>QI, WEN/0000-0002-2091-3718</t>
  </si>
  <si>
    <t>10.3390/act11030092</t>
  </si>
  <si>
    <t>0C6OU</t>
  </si>
  <si>
    <t>WOS:000775431000001</t>
  </si>
  <si>
    <t>Heng, WZ; Solomon, S; Gao, W</t>
  </si>
  <si>
    <t>Heng, Wenzheng; Solomon, Samuel; Gao, Wei</t>
  </si>
  <si>
    <t>Flexible Electronics and Devices as Human-Machine Interfaces for Medical Robotics</t>
  </si>
  <si>
    <t>flexible electronics; human-machine interactions; machine learning; medical robotics; prosthetics; rehabilitation</t>
  </si>
  <si>
    <t>SPINAL-CORD; SENSORY FEEDBACK; HIGH-PERFORMANCE; STRAIN SENSORS; BATTERY-FREE; ON-SKIN; ELECTROCORTICOGRAPHIC CONTROL; STRETCHABLE CONDUCTORS; MULTIELECTRODE ARRAY; PROSTHETIC DEVICES</t>
  </si>
  <si>
    <t>Medical robots are invaluable players in non-pharmaceutical treatment of disabilities. Particularly, using prosthetic and rehabilitation devices with human-machine interfaces can greatly improve the quality of life for impaired patients. In recent years, flexible electronic interfaces and soft robotics have attracted tremendous attention in this field due to their high biocompatibility, functionality, conformability, and low-cost. Flexible human-machine interfaces on soft robotics will make a promising alternative to conventional rigid devices, which can potentially revolutionize the paradigm and future direction of medical robotics in terms of rehabilitation feedback and user experience. In this review, the fundamental components of the materials, structures, and mechanisms in flexible human-machine interfaces are summarized by recent and renowned applications in five primary areas: physical and chemical sensing, physiological recording, information processing and communication, soft robotic actuation, and feedback stimulation. This review further concludes by discussing the outlook and current challenges of these technologies as a human-machine interface in medical robotics.</t>
  </si>
  <si>
    <t>[Heng, Wenzheng; Solomon, Samuel; Gao, Wei] CALTECH, Andrew &amp; Peggy Cherng Dept Med Engn, Pasadena, CA 91125 USA</t>
  </si>
  <si>
    <t>Gao, W (corresponding author), CALTECH, Andrew &amp; Peggy Cherng Dept Med Engn, Pasadena, CA 91125 USA.</t>
  </si>
  <si>
    <t>Gao, Wei/A-1347-2011</t>
  </si>
  <si>
    <t>Gao, Wei/0000-0002-8503-4562</t>
  </si>
  <si>
    <t>National Institutes of Health [R01HL155815]; Office of Naval Research [N00014-21-1-2483, N00014-21-1-2845]; Translational Research Institute for Space Health through NASA [NNX16AO69A]; Tobacco-Related Disease Research Program [R01RG3746]; Carver Mead New Adventures Fund at California Institute of Technology</t>
  </si>
  <si>
    <t>National Institutes of Health(United States Department of Health &amp; Human ServicesNational Institutes of Health (NIH) - USA); Office of Naval Research(United States Department of DefenseUnited States NavyOffice of Naval Research); Translational Research Institute for Space Health through NASA; Tobacco-Related Disease Research Program(University of California System); Carver Mead New Adventures Fund at California Institute of Technology</t>
  </si>
  <si>
    <t>W.H. and S.S. contributed equally to this work. This project was supported by the National Institutes of Health grant R01HL155815, the Office of Naval Research grants N00014-21-1-2483 and N00014-21-1-2845, the Translational Research Institute for Space Health through NASA NNX16AO69A, the Tobacco-Related Disease Research Program grant R01RG3746, and the Carver Mead New Adventures Fund at California Institute of Technology.</t>
  </si>
  <si>
    <t>10.1002/adma.202107902</t>
  </si>
  <si>
    <t>0X3CI</t>
  </si>
  <si>
    <t>Green Accepted, Green Published</t>
  </si>
  <si>
    <t>WOS:000760886300001</t>
  </si>
  <si>
    <t>Chanda, A; Krisciunas, GP; Grillone, GA</t>
  </si>
  <si>
    <t>Chanda, Anindita; Krisciunas, Gintas P.; Grillone, Gregory A.</t>
  </si>
  <si>
    <t>Correlating muscle resection with functional swallow outcomes: An anatomic framework informed systematic review of the literature</t>
  </si>
  <si>
    <t>AMERICAN JOURNAL OF OTOLARYNGOLOGY</t>
  </si>
  <si>
    <t>Tumor resection; cancer; Pharyngeal swallow outcomes; Dysphagia</t>
  </si>
  <si>
    <t>TRANSORAL ROBOTIC SURGERY; NECK-CANCER; OROPHARYNGEAL CANCER; REDUCE DYSPHAGIA; CRICOPHARYNGEAL MYOTOMY; SURGICAL RESECTION; HEAD; LARYNGEAL; SPEECH; TONGUE</t>
  </si>
  <si>
    <t>Objective: To perform a systematic review of studies reporting swallow-associated outcomes in patients who received surgery for head and neck cancer (HNC), informed by an anatomic and physiologic framework of pharyngeal phase of swallowing (Pearson's dual-sling model). Methods: PUBMED and Google Scholar databases were searched for peer-reviewed papers published between 1990 and 2019 using relevant MeSH terms. Exclusion criteria were 1) discussions comparing reconstruction techniques, 2) case-report/series (n &lt; 10), 3) perspective articles, 4) papers comparing objective instrumental methods of swallowing evaluation, 5) animal/cadaver studies, 6) no instrumental or validated swallow assess-ment tools used, 7) papers that discuss/include radiotherapy treatment, 8) systematic reviews, 9) papers that discuss swallow training or rehabilitation methods. Two investigators reviewed papers meeting inclusion/ex-clusions criteria. Muscles resected, anatomic resection site, swallow outcomes, and patient treatment variables were collected. Results: A total of 115,020 peer-reviewed papers were identified. 74 papers were relevant to this review, 18 met inclusion and exclusion criteria, and none discussed surgical impact on the pharyngeal phase of swallowing using Pearson's dual-sling model. Most papers discussed the effect of tongue-base, supraglottic, or regional anatomic resection. Post-surgical resection Follow-up times ranged from 1 to 13 months. 67% of studies used objective instrumental swallow studies; 22% used patient reported outcome measures. Follow up time since surgical resection, time to feeding tube removal, feeding tube present/absent, aspiration severity were used to define dysphagia endpoints. Conclusions: To date, no surgical HNC studies have used the dual-sling mechanism to guide study design, and dysphagia assessment has been inconsistent. To counsel patients on the effects of surgery on pharyngeal phase of swallow function, specialists need physiologically grounded research that correlates muscles resected with consistent measures of swallow function.</t>
  </si>
  <si>
    <t>[Chanda, Anindita] Touro Coll Osteopath Med, 60 Prospect Ave, Middletown, NY 10940 USA; [Krisciunas, Gintas P.; Grillone, Gregory A.] Boston Univ, Sch Med, 72 E Concord St, Boston, MA 02118 USA</t>
  </si>
  <si>
    <t>Touro University; Boston University</t>
  </si>
  <si>
    <t>Chanda, A (corresponding author), Boston Univ, Sch Med, 72 E Concord St, Boston, MA 02118 USA.</t>
  </si>
  <si>
    <t>achanda@student.touro.edu; gintas@bu.edu; Gregory.Grillone@bmc.org</t>
  </si>
  <si>
    <t>Krisciunas, Gintas/AAU-6315-2021; Krisciunas, Gintas/F-5838-2012</t>
  </si>
  <si>
    <t>Krisciunas, Gintas/0000-0001-7083-4279; Chanda, Anindita/0000-0002-8543-7978</t>
  </si>
  <si>
    <t>0196-0709</t>
  </si>
  <si>
    <t>1532-818X</t>
  </si>
  <si>
    <t>AM J OTOLARYNG</t>
  </si>
  <si>
    <t>Am. J. Otolaryngol.</t>
  </si>
  <si>
    <t>10.1016/j.amjoto.2022.103386</t>
  </si>
  <si>
    <t>0W2NC</t>
  </si>
  <si>
    <t>WOS:000788869300006</t>
  </si>
  <si>
    <t>Selamat, SNS; Me, RC; Ainuddin, HA; Salim, MSF; Ramli, HR; Romli, MH</t>
  </si>
  <si>
    <t>Selamat, Siti Nur Suhaidah; Che Me, Rosalam; Ahmad Ainuddin, Husna; Salim, Mazatulfazura S. F.; Ramli, Hafiz Rashidi; Romli, Muhammad Hibatullah</t>
  </si>
  <si>
    <t>The Application of Technological Intervention for Stroke Rehabilitation in Southeast Asia: A Scoping Review With Stakeholders' Consultation</t>
  </si>
  <si>
    <t>technological intervention; rehabilitation; developing countries; low-middle income countries; developed countries; Southeast Asia; cerebrovascular accident</t>
  </si>
  <si>
    <t>TRANSCRANIAL MAGNETIC STIMULATION; BRAIN-COMPUTER INTERFACE; HOME-BASED REHABILITATION; UPPER-LIMB; VIRTUAL-REALITY; MOTOR IMAGERY; PILOT; POSTSTROKE; RECOVERY; PROGRAM</t>
  </si>
  <si>
    <t>Background:&amp; nbsp;The technological intervention is considered as an adjunct to the conventional therapies applied in the rehabilitation session. In most high-income countries, technology has been widely used in assisting stroke survivors to undergo their treatments. However, technology use is still lacking in Southeast Asia, especially in middle- and low-income countries. This scoping review identifies and summarizes the technologies and related gaps available in Southeast Asia pertaining to stroke rehabilitation.&amp; nbsp;Methods:&amp; nbsp;The JBI manual for evidence synthesis was used to conduct a scoping study. Until September 2021, an electronic search was performed using four databases (Medline, CINAHL, Scopus, ASEAN Citation Index). Only the studies that were carried out in Southeast Asia were chosen.&amp; nbsp;Results:&amp; nbsp;Forty-one articles were chosen in the final review from 6,873 articles found during the initial search. Most of the studies reported the implementation of technological intervention combined with conventional therapies in stroke rehabilitation. Advanced and simple technologies were found such as robotics, virtual reality, telerehabilitation, motion capture, assistive devices, and mobility training from Singapore, Thailand, Malaysia, and Indonesia. The majority of the studies show that technological interventions can enhance the recovery period of stroke survivors. The consultation session suggested that the technological interventions should facilitate the needs of the survivors, caregivers, and practitioners during the rehabilitation.&amp; nbsp;Conclusions:&amp; nbsp;The integration of technology into conventional therapies has shown a positive outcome and show significant improvement during stroke recovery. Future studies are recommended to investigate the potential of home-based technological intervention and lower extremities.</t>
  </si>
  <si>
    <t>[Selamat, Siti Nur Suhaidah; Che Me, Rosalam] Univ Putra Malaysia, Fac Design &amp; Architecture, Dept Ind Design, Seri Kembangan, Malaysia; [Che Me, Rosalam; Salim, Mazatulfazura S. F.; Romli, Muhammad Hibatullah] Univ Putra Malaysia, Malaysian Res Inst Ageing, Seri Kembangan, Malaysia; [Ahmad Ainuddin, Husna; Salim, Mazatulfazura S. F.; Romli, Muhammad Hibatullah] Univ Putra Malaysia, Dept Rehabil Med, Fac Med &amp; Hlth Sci, Seri Kembangan, Malaysia; [Ahmad Ainuddin, Husna] Univ Teknol MARA Selangor, Ctr Occupat Therapy Studies, Fac Hlth Sci, Shah Alam, Malaysia; [Salim, Mazatulfazura S. F.; Romli, Muhammad Hibatullah] Univ Putra Malaysia, Hosp Pengajar, Dept Rehabil Med, Seri Kembangan, Malaysia; [Ramli, Hafiz Rashidi] Univ Putra Malaysia, Dept Elect &amp; Elect Engn, Fac Engn, Seri Kembangan, Malaysia</t>
  </si>
  <si>
    <t>Universiti Putra Malaysia; Universiti Putra Malaysia; Universiti Putra Malaysia; Universiti Putra Malaysia; Universiti Putra Malaysia</t>
  </si>
  <si>
    <t>Me, RC (corresponding author), Univ Putra Malaysia, Fac Design &amp; Architecture, Dept Ind Design, Seri Kembangan, Malaysia.;Me, RC (corresponding author), Univ Putra Malaysia, Malaysian Res Inst Ageing, Seri Kembangan, Malaysia.</t>
  </si>
  <si>
    <t>rosalam@upm.edu.my</t>
  </si>
  <si>
    <t>Romli, Muhammad/R-3891-2018</t>
  </si>
  <si>
    <t>Che Me, Rosalam/0000-0001-9507-6056</t>
  </si>
  <si>
    <t>10.3389/fpubh.2021.783565</t>
  </si>
  <si>
    <t>ZH6EJ</t>
  </si>
  <si>
    <t>WOS:000761029400001</t>
  </si>
  <si>
    <t>Serrano-Lopez-Terradas, PA; Seco-Rubio, R</t>
  </si>
  <si>
    <t>Serrano-Lopez-Terradas, Pedro-Amalio; Seco-Rubio, Rafael</t>
  </si>
  <si>
    <t>Effectiveness of robotic therapy in the proximal and distal rehabilitation of the upper limb in patients after stroke using the Amadeo® and Armeo® devices: a systematic review of randomized clinical trials (Efectividad de la terapia robotica en la rehabilitacion proximal y distal del miembro superior en personas tras un ictus con los dispositivos Amadeo® y Armeo®: una revision sistematica de ensayos clinicos aleatorizados)</t>
  </si>
  <si>
    <t>STUDIES IN PSYCHOLOGY</t>
  </si>
  <si>
    <t>effectiveness; robotics; upper limb; rehabilitation; stroke</t>
  </si>
  <si>
    <t>RECOVERY; RELIABILITY; AGREEMENT; SUBACUTE; QUALITY; PEDRO</t>
  </si>
  <si>
    <t>Based on the evidence published in the literature, we evaluated the effectiveness of the Amadeo (R) and Armeo (R) robotic devices used to treat patients who suffered a resulting functional deficit of the upper limbs after stroke. A systematic search was carried out by two independent reviewers in Pubmed, Cochrane Library, EBSCO, Otseeker, SciTePress, PEDro and Google Scholar databases following the PRISMA standard. Discrepancies between the two were resolved by consensus. Of the 799 articles initially identified, 13 RCTs were included for review as they met the inclusion criteria and showed highest methodological quality through a qualitative analysis of the evidence level according to PEDro and van Tulder scales. Relevant findings related to motor, cognitive and functional variables were analysed and discussed on a total of 595 stroke patients in different stages, based on their exposure to these devices. Strong evidence was found supporting rehabilitation of motor function and spasticity, moderate evidence for improvement in cognitive processes, limited evidence in improving pain and neuroplasticity and no evidence of changes in ADL or participation percentages. Robotic rehabilitation of the upper limb is effective after stroke.</t>
  </si>
  <si>
    <t>[Serrano-Lopez-Terradas, Pedro-Amalio] Hosp Beata Maria Ana, Unidad Dano Cerebral, C Dr Esquerdo,83, Madrid 28007, Spain; [Serrano-Lopez-Terradas, Pedro-Amalio; Seco-Rubio, Rafael] Ctr Super Estudios Univ La Salle, Fac Ciencias Salud, Madrid, Spain; [Serrano-Lopez-Terradas, Pedro-Amalio] Ctr Super Estudios Univ La Salle, Occupat Thinks Res Grp, Madrid, Spain</t>
  </si>
  <si>
    <t>Serrano-Lopez-Terradas, PA (corresponding author), Hosp Beata Maria Ana, Unidad Dano Cerebral, C Dr Esquerdo,83, Madrid 28007, Spain.;Serrano-Lopez-Terradas, PA (corresponding author), Ctr Super Estudios Univ La Salle, C La Salle 10, Madrid 1028023, Spain.</t>
  </si>
  <si>
    <t>Pedrselo.hbma@hospitalarias.es</t>
  </si>
  <si>
    <t>López-Terradas, Pedro/AEA-9637-2022</t>
  </si>
  <si>
    <t>ROUTLEDGE JOURNALS, TAYLOR &amp; FRANCIS LTD</t>
  </si>
  <si>
    <t>2-4 PARK SQUARE, MILTON PARK, ABINGDON OX14 4RN, OXON, ENGLAND</t>
  </si>
  <si>
    <t>0210-9395</t>
  </si>
  <si>
    <t>1579-3699</t>
  </si>
  <si>
    <t>STUD PSYCHOL-MADRID</t>
  </si>
  <si>
    <t>Stud. Psychol.</t>
  </si>
  <si>
    <t>10.1080/02109395.2021.2009677</t>
  </si>
  <si>
    <t>0J0CK</t>
  </si>
  <si>
    <t>WOS:000753759200001</t>
  </si>
  <si>
    <t>Endo, Y; Akatsuka, J; Kuwahara, K; Takasaki, S; Takeda, H; Yanagi, M; Toyama, Y; Mikami, H; Hamasaki, T; Kondo, Y</t>
  </si>
  <si>
    <t>Endo, Yuki; Akatsuka, Jun; Kuwahara, Kosuke; Takasaki, Suisen; Takeda, Hayato; Yanagi, Masato; Toyama, Yuka; Mikami, Hikaru; Hamasaki, Tsutomu; Kondo, Yukihiro</t>
  </si>
  <si>
    <t>A Case of Well Leg Compartment Syndrome After Robot-assisted Laparoscopic Prostatectomy : With Review</t>
  </si>
  <si>
    <t>JOURNAL OF MEDICAL INVESTIGATION</t>
  </si>
  <si>
    <t>Robot-assisted Laparoscopic radical prostatectomy; well leg compartment syndrome; adverse event</t>
  </si>
  <si>
    <t>Robot-assisted laparoscopic prostatectomy (RALP) for prostate cancer was introduced in 2000 and rapidly gained popularity. The Da Vinci Surgical System (R) can ensure improved local control of cancer and fewer perioperative complications. However, RALP is performed in the steep-Trendelenburg position (a combination of lithotomy and head-down tilt position / Lloyd-Davies position) to obtain a good surgical view, and as a result, well leg compartment syndrome (WLCS) can become a serious complication of RALP. Here, we report a case of WLCS after RALP. A 75-year-old man underwent surgery for prostate cancer and immediately complained of pain and numbness after surgery. The pressure of the four leg compartments increased. Ultimately, we diagnosed the patient with WLCS in his right leg, and an emergency fasciotomy was performed. He completely recovered with no permanent disability and was discharged one month after rehabilitation. Although WLCS after RALP is a rare and severe complication, the patient recovered completely with early diagnosis and intervention. Measuring the compartment pressure is useful when the patient is drowsy immediately after recovery from anesthesia. Preventing WLCS requires identifying this condition as a potential complication of RALP and all urologic surgeries performed in the lithotomy position.</t>
  </si>
  <si>
    <t>[Endo, Yuki; Akatsuka, Jun; Takasaki, Suisen; Takeda, Hayato; Yanagi, Masato; Toyama, Yuka; Mikami, Hikaru; Hamasaki, Tsutomu; Kondo, Yukihiro] Nippon Med Sch, Dept Urol, 1-1-5 Sendagi,Bunkyo ku, Tokyo 1138603, Japan; [Kuwahara, Kosuke] Nippon Med Sch, Dept Plast Reconstruct &amp; Aesthet Surg, Tokyo, Japan</t>
  </si>
  <si>
    <t>Nippon Medical School; Nippon Medical School</t>
  </si>
  <si>
    <t>Endo, Y (corresponding author), Nippon Med Sch, Dept Urol, 1-1-5 Sendagi,Bunkyo ku, Tokyo 1138603, Japan.</t>
  </si>
  <si>
    <t>UNIV TOKUSHIMA SCH MEDICINE</t>
  </si>
  <si>
    <t>TOKUSHIMA</t>
  </si>
  <si>
    <t>3-18-15, KURAMOTO-CHO, TOKUSHIMA, 00000, JAPAN</t>
  </si>
  <si>
    <t>1343-1420</t>
  </si>
  <si>
    <t>1349-6867</t>
  </si>
  <si>
    <t>J MED INVESTIG</t>
  </si>
  <si>
    <t>J. Med. Investig.</t>
  </si>
  <si>
    <t>1-2</t>
  </si>
  <si>
    <t>2B9UO</t>
  </si>
  <si>
    <t>WOS:000810526400020</t>
  </si>
  <si>
    <t>Kohli, V; Tripathi, U; Chamola, V; Rout, BK; Kanhere, SS</t>
  </si>
  <si>
    <t>Kohli, Varun; Tripathi, Utkarsh; Chamola, Vinay; Rout, Bijay Kumar; Kanhere, Salil S.</t>
  </si>
  <si>
    <t>A review on Virtual Reality and Augmented Reality use-cases of Brain Computer Interface based applications for smart cities</t>
  </si>
  <si>
    <t>MICROPROCESSORS AND MICROSYSTEMS</t>
  </si>
  <si>
    <t>Brain Computer Interfaces; Extended Reality; Virtual Reality; Augmented Reality; Smart cities</t>
  </si>
  <si>
    <t>EEG-BASED BCI; MOTOR IMAGERY; SYSTEM; COMMUNICATION; ENVIRONMENTS; P300; CLASSIFICATION; POTENTIALS; NAVIGATION; ATTENTION</t>
  </si>
  <si>
    <t>Brain Computer Interfaces (BCIs) and Extended Reality (XR) have seen significant advances as independent disciplines over the past 50 years. XR has been developed as an umbrella domain, covering Virtual Reality (VR), Augmented Reality (AR) and Mixed Reality (MR), giving rise to human-machine interactions. This intersection sees diverse applications ranging from rehabilitation, navigation, entertainment, robotics and home control for smart cities. This review takes an in-depth look at BCI and XR technologies, and gives examples of how their combination produces promising results pertaining to the above stated applications. It presents a detailed discussion on the background of BCI, VR and AR technologies and further their individual applications. The review then discusses the works that use the conjunction of these technologies for various real life applications in smart cities. In addition, we also present the future scope of applications that use a combination of BCI and XR technologies.</t>
  </si>
  <si>
    <t>[Kohli, Varun; Tripathi, Utkarsh; Chamola, Vinay] BITS Pilani, Dept Elect &amp; Elect Engn, Pilani 333031, Rajasthan, India; [Kohli, Varun; Tripathi, Utkarsh; Chamola, Vinay] BITS Pilani, APPCAIR, Pilani 333031, Rajasthan, India; [Rout, Bijay Kumar] BITS Pilani, Dept Mech Engn, Pilani 333031, Rajasthan, India; [Kanhere, Salil S.] UNSW, Sch Comp Sci &amp; Engn, Sydney, ACT 2600, Australia</t>
  </si>
  <si>
    <t>Birla Institute of Technology &amp; Science Pilani (BITS Pilani); Birla Institute of Technology &amp; Science Pilani (BITS Pilani); Birla Institute of Technology &amp; Science Pilani (BITS Pilani); University of New South Wales Sydney</t>
  </si>
  <si>
    <t>Chamola, V (corresponding author), BITS Pilani, Dept Elect &amp; Elect Engn, Pilani 333031, Rajasthan, India.;Chamola, V (corresponding author), BITS Pilani, APPCAIR, Pilani 333031, Rajasthan, India.</t>
  </si>
  <si>
    <t>vinay.chamola@pilani.bits-pilani.ac.in</t>
  </si>
  <si>
    <t>Rout, Bijay Kumar/GPG-3849-2022; kanhere, salil/ABA-2025-2021</t>
  </si>
  <si>
    <t>Chamola, Vinay/0000-0002-6730-3060; Rout, B.K./0000-0002-5174-0020; Kohli, Varun/0000-0003-4497-909X; Kanhere, Salil/0000-0002-1835-3475</t>
  </si>
  <si>
    <t>BITS ACRG, India [PLN/AD/2018-19/6]</t>
  </si>
  <si>
    <t>BITS ACRG, India</t>
  </si>
  <si>
    <t>This work is supported by BITS ACRG, India funding under Project Grant File no. PLN/AD/2018-19/6 for the Project titled ``Brain Computer Interface Controlled Humanoid''.</t>
  </si>
  <si>
    <t>0141-9331</t>
  </si>
  <si>
    <t>1872-9436</t>
  </si>
  <si>
    <t>MICROPROCESS MICROSY</t>
  </si>
  <si>
    <t>Microprocess. Microsyst.</t>
  </si>
  <si>
    <t>10.1016/j.micpro.2021.104392</t>
  </si>
  <si>
    <t>Computer Science, Hardware &amp; Architecture; Computer Science, Theory &amp; Methods; Engineering, Electrical &amp; Electronic</t>
  </si>
  <si>
    <t>2P6KA</t>
  </si>
  <si>
    <t>WOS:000819846200005</t>
  </si>
  <si>
    <t>Tiboni, M; Borboni, A; Verite, F; Bregoli, C; Amici, C</t>
  </si>
  <si>
    <t>Tiboni, Monica; Borboni, Alberto; Verite, Fabien; Bregoli, Chiara; Amici, Cinzia</t>
  </si>
  <si>
    <t>Sensors and Actuation Technologies in Exoskeletons: A Review</t>
  </si>
  <si>
    <t>actuators; assistive devices; exoskeletons; rehabilitation; sensors</t>
  </si>
  <si>
    <t>LOWER-LIMB EXOSKELETON; SERIES ELASTIC ACTUATION; LOWER-EXTREMITY EXOSKELETON; PNEUMATIC MUSCLE ACTUATOR; HAND EXOSKELETON; FINGER EXOSKELETON; REHABILITATION ROBOT; POWERED EXOSKELETON; HIP EXOSKELETON; ARTIFICIAL MUSCLES</t>
  </si>
  <si>
    <t>Exoskeletons are robots that closely interact with humans and that are increasingly used for different purposes, such as rehabilitation, assistance in the activities of daily living (ADLs), performance augmentation or as haptic devices. In the last few decades, the research activity on these robots has grown exponentially, and sensors and actuation technologies are two fundamental research themes for their development. In this review, an in-depth study of the works related to exoskeletons and specifically to these two main aspects is carried out. A preliminary phase investigates the temporal distribution of scientific publications to capture the interest in studying and developing novel ideas, methods or solutions for exoskeleton design, actuation and sensors. The distribution of the works is also analyzed with respect to the device purpose, body part to which the device is dedicated, operation mode and design methods. Subsequently, actuation and sensing solutions for the exoskeletons described by the studies in literature are analyzed in detail, highlighting the main trends in their development and spread. The results are presented with a schematic approach, and cross analyses among taxonomies are also proposed to emphasize emerging peculiarities.</t>
  </si>
  <si>
    <t>[Tiboni, Monica; Borboni, Alberto; Amici, Cinzia] Univ Brescia, Dept Mech &amp; Ind Engn, Via Branze 38, I-25123 Brescia, Italy; [Verite, Fabien] Sorbonne Univ, ISIR Inst Intelligent Syst &amp; Robot, Agathe Grp, INSERM,CNRS,U 1150,UMR 7222, F-75005 Paris, France; [Bregoli, Chiara] Natl Res Council CNR, Inst Condensed Matter Chem &amp; Technol Energy ICMAT, Via Previati 1-E, I-23900 Lecce, Italy</t>
  </si>
  <si>
    <t>University of Brescia; Centre National de la Recherche Scientifique (CNRS); CNRS - Institute for Information Sciences &amp; Technologies (INS2I); Institut National de la Sante et de la Recherche Medicale (Inserm); Sorbonne Universite; Consiglio Nazionale delle Ricerche (CNR); Istituto di Chimica della Materia Condensata e di Tecnologie per l Energia (ICMATE-CNR)</t>
  </si>
  <si>
    <t>Borboni, A (corresponding author), Univ Brescia, Dept Mech &amp; Ind Engn, Via Branze 38, I-25123 Brescia, Italy.</t>
  </si>
  <si>
    <t>monica.tiboni@unibs.it; alberto.borboni@unibs.it; fabien.verite@sorbonne-universite.fr; chiara.bregoli@icmate.cnr.it; cinzia.amici@unibs.it</t>
  </si>
  <si>
    <t>Borboni, Alberto/H-3521-2019; Vérité, Fabien/JXY-3453-2024; Borboni, Alberto/E-4061-2012; Amici, Cinzia/L-8287-2017</t>
  </si>
  <si>
    <t>Tiboni, Monica/0000-0002-9491-6663; Borboni, Alberto/0000-0001-7069-1095; Amici, Cinzia/0000-0001-7426-6029; Verite, Fabien/0000-0002-3167-7773; Bregoli, Chiara/0000-0002-5033-0038</t>
  </si>
  <si>
    <t>10.3390/s22030884</t>
  </si>
  <si>
    <t>YZ3IW</t>
  </si>
  <si>
    <t>WOS:000755373900001</t>
  </si>
  <si>
    <t>Iosa, M; Verrelli, CM; Gentile, AE; Ruggieri, M; Polizzi, A</t>
  </si>
  <si>
    <t>Iosa, Marco; Verrelli, Cristiano Maria; Gentile, Amalia Egle; Ruggieri, Martino; Polizzi, Agata</t>
  </si>
  <si>
    <t>Gaming Technology for Pediatric Neurorehabilitation: A Systematic Review</t>
  </si>
  <si>
    <t>FRONTIERS IN PEDIATRICS</t>
  </si>
  <si>
    <t>children; adolescents; neurorehabilitation; videogames; virtual reality; exergaming</t>
  </si>
  <si>
    <t>VIRTUAL-REALITY REHABILITATION; CEREBRAL-PALSY; POSTURAL CONTROL; CHILDREN; GAME; THERAPY; BALANCE; PEOPLE; PLAY</t>
  </si>
  <si>
    <t>IntroductionThe emergence of gaming technologies, such as videogames and virtual reality, provides a wide variety of possibilities in intensively and enjoyably performing rehabilitation for children with neurological disorders. Solid evidence-based results are however required to promote the use of different gaming technologies in pediatric neurorehabilitation, while simultaneously exploring new related directions concerning neuro-monitoring and rehabilitation in familiar settings. Aim of the Study and MethodsIn order to analyze the state of the art regarding the available gaming technologies for pediatric neurorehabilitation, Scopus and Pubmed Databases have been searched by following: PRISMA statements, PICOs classification, and PEDro scoring. Results43 studies have been collected and classified as follows: 11 feasibility studies; six studies proposing home-system solutions; nine studies presenting gamified robotic devices; nine longitudinal intervention trials; and eight reviews. Most of them rely on feasibility or pilot trials characterized by small sample sizes and short durations; different methodologies, outcome assessments and terminologies are involved; the explored spectrum of neurological conditions turns out to be scanty, mainly including the most common and wider debilitating groups of conditions in pediatric neurology: cerebral palsy, brain injuries and autism. ConclusionEven though it highlights reduced possibilities of drawing evidence-based conclusions due to the above outlined biases, this systematic review raises awareness among pediatricians and other health professionals about gaming technologies. Such a review also points out a definite need of rigorous studies that clearly refer to the underlying neuroscientific principles.</t>
  </si>
  <si>
    <t>[Iosa, Marco] Sapienza Univ Rome, Dept Psychol, Rome, Italy; [Iosa, Marco] Santa Lucia Fdn, Sci Inst Res Hospitalizat &amp; Healthcare IRCCS, Rome, Italy; [Verrelli, Cristiano Maria] Univ Roma Tor Vergata, Elect Engn Dept, Rome, Italy; [Gentile, Amalia Egle] Ist Super San, Natl Ctr Rare Dis, Rome, Italy; [Ruggieri, Martino] Univ Catania, Unit Rare Dis Nervous Syst Childhood, Dept Clin &amp; Expt Med, Catania, Italy; [Polizzi, Agata] Univ Catania, Dept Educ Sci, Chair Pediat, Catania, Italy</t>
  </si>
  <si>
    <t>Sapienza University Rome; IRCCS Santa Lucia; University of Rome Tor Vergata; University of Catania; University of Catania</t>
  </si>
  <si>
    <t>Iosa, M (corresponding author), Sapienza Univ Rome, Dept Psychol, Rome, Italy.;Iosa, M (corresponding author), Santa Lucia Fdn, Sci Inst Res Hospitalizat &amp; Healthcare IRCCS, Rome, Italy.</t>
  </si>
  <si>
    <t>Verrelli, Cristiano/X-8077-2019; Iosa, Marco/AAC-1693-2022; Gentile, Amalia Egle/A-6652-2015</t>
  </si>
  <si>
    <t>University of Catania</t>
  </si>
  <si>
    <t>This study was supported by the University of Catania University Research Funds -Research Plan 2016/2018.</t>
  </si>
  <si>
    <t>2296-2360</t>
  </si>
  <si>
    <t>FRONT PEDIATR</t>
  </si>
  <si>
    <t>Front. Pediatr.</t>
  </si>
  <si>
    <t>JAN 28</t>
  </si>
  <si>
    <t>10.3389/fped.2022.775356</t>
  </si>
  <si>
    <t>ZH0BI</t>
  </si>
  <si>
    <t>WOS:000760614000001</t>
  </si>
  <si>
    <t>Xue, XL; Yang, XW; Tu, H; Liu, WN; Kong, DZ; Fan, ZH; Deng, ZY; Li, N</t>
  </si>
  <si>
    <t>Xue, Xiali; Yang, Xinwei; Tu, Huan; Liu, Wanna; Kong, Dezhi; Fan, Zhonghe; Deng, Zhongyi; Li, Ning</t>
  </si>
  <si>
    <t>The improvement of the lower limb exoskeletons on the gait of patients with spinal cord injury A protocol for systematic review and meta-analysis</t>
  </si>
  <si>
    <t>exoskeletons; gait; lower limb; meta-analysis; protocol; spinal cord injury</t>
  </si>
  <si>
    <t>Background: Spinal Cord Injury is a severely disabling disease. In the process of Spinal Cord Injury rehabilitation treatment, improving patients' walking ability, improving their self-care ability, and enhancing patients' self-esteem is an important aspect of their return to society, which can also reduce the cost of patients, so the rehabilitation of lower limbs is very important. The lower limb exoskeleton robot is a bionic robot designed according to the principles of robotics, mechanism, bionics, control theory, communication technology, and information processing technology, which can be worn on the lower limb of the human body and complete specific tasks under the user's control. The purpose of this study was to evaluate the effect of the lower limb exoskeleton on the improvement of gait function in patients with spinal cord injury. Methods: The following electronic databases will be searched from inception to January 2022: PubMed, the Cochrane Library, Embase, Scopus, EBSCO, Web of Science, China National Knowledge Infrastructure, WanFang Data, Weipu Electronics. In addition, reference lists of the included studies were manually searched to identify additional relevant studies. Randomized controlled trials were collected to examine the effect of lower limb exoskeletons on lower limb functional recovery in spinal cord injury patients. We will consider inclusion, select high-quality articles for data extraction and analysis, and summarize the intervention effect of lower limb exoskeletons on the upper limb function of spinal cord injury patients. Two reviewers will screen titles, abstracts, and full texts independently according to inclusion criteria; Data extraction and risk of bias assessment were performed in the included studies. We will use a hierarchy of recommended assessment, development, and assessment methods to assess the overall certainty of the evidence and report findings accordingly. Endnote X8 will be applied in selecting the study, Review Manager 5.3 will be applied in analyzing and synthesizing. Results: The results will provide evidence for judging whether lower limb exoskeletons are effective and safe in improving lower limb function in patients with spinal cord injury. Conclusion: Our study will provide reliable evidence for the effect of lower limb exoskeletons on the improvement of lower limb function in spinal cord injury patients. INPLASY registration number: INPLASY202180095.</t>
  </si>
  <si>
    <t>[Xue, Xiali; Tu, Huan; Liu, Wanna; Kong, Dezhi; Fan, Zhonghe; Deng, Zhongyi; Li, Ning] Chengdu Sport Univ, Inst Sports Med &amp; Hlth, 2 Tyuan Rd, Chengdu 610041, Sichuan, Peoples R China; [Yang, Xinwei] Chengdu Sport Univ, Sch Sports Med &amp; Hlth, Chengdu, Sichuan, Peoples R China</t>
  </si>
  <si>
    <t>Chengdu Sport University; Chengdu Sport University</t>
  </si>
  <si>
    <t>Li, N (corresponding author), Chengdu Sport Univ, Inst Sports Med &amp; Hlth, 2 Tyuan Rd, Chengdu 610041, Sichuan, Peoples R China.</t>
  </si>
  <si>
    <t>lining@cdsu.edu.cn</t>
  </si>
  <si>
    <t>LI, Ning/AGU-3177-2022; Xue, Xiali/KUF-2917-2024</t>
  </si>
  <si>
    <t>Key Laboratory of Sports Medicine of Sichuan Province, Institute of Sports Medicine and Health, Chengdu Sport University [2022-A001]</t>
  </si>
  <si>
    <t>This work is supported by the Key Laboratory of Sports Medicine of Sichuan Province, Institute of Sports Medicine and Health, Chengdu Sport University (Grant Number: 2022-A001).</t>
  </si>
  <si>
    <t>e28709</t>
  </si>
  <si>
    <t>10.1097/MD.0000000000028709</t>
  </si>
  <si>
    <t>YP0YM</t>
  </si>
  <si>
    <t>WOS:000748355900040</t>
  </si>
  <si>
    <t>Zhao, ML; Wang, GN; Wang, AM; Cheng, LJ; Lau, Y</t>
  </si>
  <si>
    <t>Zhao, Menglu; Wang, Guangning; Wang, Aimin; Cheng, Ling Jie; Lau, Ying</t>
  </si>
  <si>
    <t>Robot-assisted distal training improves upper limb dexterity and function after stroke: a systematic review and meta-regression</t>
  </si>
  <si>
    <t>Stroke; Robot-assisted distal training; Systematic review; Meta-analysis; Meta-regression</t>
  </si>
  <si>
    <t>OF-THE-ART; HAND REHABILITATION; EXOSKELETON ROBOTS; MOTOR RECOVERY; THERAPY; SUBACUTE; METAANALYSIS; STIMULATION; PERFORMANCE; TRIAL</t>
  </si>
  <si>
    <t>Introduction Stroke is one of the top 10 causes of death worldwide, and more than half of stroke patients face distal upper extremity dysfunction. Considering that robot-assisted training may be effective in improving distal upper extremity function, the review evaluated the effect of robot-assisted distal training on motor function, hand dexterity, and spasticity after stroke. Methods Eleven databases were systematically searched for randomised controlled trials (RCTs) from inception until Aug 28, 2021. Meta-analysis and meta-regression were performed to investigate the overall effect and source of heterogeneity, respectively. Results Twenty-two trials involving 758 participants were included in this systematic review. The overall effect of robot-assisted distal training on the motor function of the wrists and hands was significant improvement (MD = 3.92; 95% CI, 3.04-4.80; P &lt; 0.001). The robot-assisted training had a significantly beneficial effect on other motor functions (MD = 2.84; 95% CI, 1.54-4.14; P &lt; 0.001); dexterity (MD = 9.01; 95% CI, -12.07--5.95; P &lt; 0.001), spasticity, upper extremity strength (SMD = 0.42; 95% CI, 0.07-0.78; P = 0.02) and activities of daily living (SMD = 0.70; 95% CI, 0.29-1.23; P &lt; 0.001). A series of subgroup analyses showed preferable design and effective regime of training. Meta-regression indicated the statistically significant effect of the year of trial, country, and duration on the effectiveness of training. Conclusion Robot-assisted distal training has a significant effect on motor function, dexterity and spasticity of the upper extremity, compared to conventional therapy.</t>
  </si>
  <si>
    <t>[Zhao, Menglu] Qingdao Univ, Affiliated Hosp, Qingdao, Shandong, Peoples R China; [Wang, Guangning] Qingdao Municipal Hosp, Qingdao, Shandong, Peoples R China; [Wang, Aimin] Qingdao Univ, Sch Nursing, Qingdao, Shandong, Peoples R China; [Cheng, Ling Jie] Natl Univ Singapore, Saw Swee Hock Sch Publ Hlth, Hlth Syst &amp; Behav Sci Domain, Singapore, Singapore; [Lau, Ying] Natl Univ Singapore, Alice Lee Ctr Nursing Studies, Yong Loo Lin Sch Med, Level 2,Block MD11,10 Med Dr, Singapore 117597, Singapore</t>
  </si>
  <si>
    <t>Qingdao University; Qingdao Municipal Hospital; Qingdao University; National University of Singapore; National University of Singapore</t>
  </si>
  <si>
    <t>Lau, Y (corresponding author), Natl Univ Singapore, Alice Lee Ctr Nursing Studies, Yong Loo Lin Sch Med, Level 2,Block MD11,10 Med Dr, Singapore 117597, Singapore.</t>
  </si>
  <si>
    <t>zmyhl94@163.com; 13210098557@163.com; 2018026043@qdu.edu.cn; Sphclj@nus.edu.sg; nurly@nus.edu.sg</t>
  </si>
  <si>
    <t>Meng, lu/KCL-1594-2024; Wang, GN/AAD-7861-2021; Cheng, Ling Jie/N-6784-2019; YING, Cherry/HHS-2619-2022</t>
  </si>
  <si>
    <t>WANG, GUANGNING/0000-0001-7872-9393; LAU, Ying/0000-0002-8289-3441; Cheng, Ling Jie/0000-0002-5338-578X</t>
  </si>
  <si>
    <t>10.1007/s10072-022-05913-3</t>
  </si>
  <si>
    <t>JAN 2022</t>
  </si>
  <si>
    <t>ZE7FO</t>
  </si>
  <si>
    <t>WOS:000749124700001</t>
  </si>
  <si>
    <t>Newman, BA; Aronson, RM; Kitani, K; Admoni, H</t>
  </si>
  <si>
    <t>Newman, Benjamin A.; Aronson, Reuben M.; Kitani, Kris; Admoni, Henny</t>
  </si>
  <si>
    <t>Helping People Through Space and Time: Assistance as a Perspective on Human-Robot Interaction</t>
  </si>
  <si>
    <t>human robot interaction; assistive robotics; socially assistive robotics; physically assistive robotics; collaborative robotics; rehabilitative robotics</t>
  </si>
  <si>
    <t>VARIABLE ADMITTANCE CONTROL; ASSISTIVE ROBOTICS; COLLABORATION; CHILDREN; HRI; REHABILITATION; ADAPTATION; BEHAVIOR; MODEL; PERFORMANCE</t>
  </si>
  <si>
    <t>As assistive robotics has expanded to many task domains, comparing assistive strategies among the varieties of research becomes increasingly difficult. To begin to unify the disparate domains into a more general theory of assistance, we present a definition of assistance, a survey of existing work, and three key design axes that occur in many domains and benefit from the examination of assistance as a whole. We first define an assistance perspective that focuses on understanding a robot that is in control of its actions but subordinate to a user's goals. Next, we use this perspective to explore design axes that arise from the problem of assistance more generally and explore how these axes have comparable trade-offs across many domains. We investigate how the assistive robot handles other people in the interaction, how the robot design can operate in a variety of action spaces to enact similar goals, and how assistive robots can vary the timing of their actions relative to the user's behavior. While these axes are by no means comprehensive, we propose them as useful tools for unifying assistance research across domains and as examples of how taking a broader perspective on assistance enables more cross-domain theorizing about assistance.</t>
  </si>
  <si>
    <t>[Newman, Benjamin A.; Aronson, Reuben M.; Kitani, Kris; Admoni, Henny] Carnegie Mellon Univ, Inst Robot, Pittsburgh, PA 15213 USA</t>
  </si>
  <si>
    <t>Carnegie Mellon University</t>
  </si>
  <si>
    <t>Newman, BA (corresponding author), Carnegie Mellon Univ, Inst Robot, Pittsburgh, PA 15213 USA.</t>
  </si>
  <si>
    <t>newmanba@cmu.edu</t>
  </si>
  <si>
    <t>Aronson, Reuben/0000-0002-8615-3715; Admoni, Henny/0000-0003-1796-2196</t>
  </si>
  <si>
    <t>JAN 27</t>
  </si>
  <si>
    <t>10.3389/frobt.2021.720319</t>
  </si>
  <si>
    <t>YW5WV</t>
  </si>
  <si>
    <t>WOS:000753484600001</t>
  </si>
  <si>
    <t>Al-Rahmani, N; Mohan, DM; Awad, M; Wasti, SA; Hussain, I; Khalaf, K</t>
  </si>
  <si>
    <t>Al-Rahmani, Nour; Mohan, Dhanya Menoth; Awad, Mohammad, I; Wasti, Sabahat Asim; Hussain, Irfan; Khalaf, Kinda</t>
  </si>
  <si>
    <t>Lower-Limb Robotic Assistance Devices for Drop Foot: A Review</t>
  </si>
  <si>
    <t>Foot; Robots; Muscles; Training; Legged locomotion; Rehabilitation robotics; Performance evaluation; Drop foot syndrome; robotic device; drop foot rehabilitation; lower-limb robotic assistance; gait assistance; motor relearning</t>
  </si>
  <si>
    <t>ADAPTIVE-CONTROL; ANKLE; ORTHOSIS; GAIT; STROKE; POSTSTROKE; DESIGN; NEUROREHABILITATION; INDIVIDUALS; EXOSKELETON</t>
  </si>
  <si>
    <t>Drop foot is a pathological type of gait frequently exhibited by individuals suffering from stroke and other neurological conditions due to the weakness of the ankle dorsiflexor muscles. To avoid common negative compensations, such as foot-slap during the loading response and toe-drag during the swing phase of gait, various drop foot assistive robotic devices and technologies have emerged over the last couple of decades. This review summarizes the design, working principle, and application of robotic devices for drop foot assistance and rehabilitation in the last decade. The research findings describe the design aspects of 72 lower-limb robotic assistance devices for drop foot, including 21 studies that evaluated specific design aspects through experimental trials. All the designs reviewed here demonstrated the capability to successfully improve drop foot impairments in the sagittal plane. Some leveraged advanced functional features to achieve optimal performance without jeopardizing the user's natural range of motion, comfort, balance, or safety. However, there remain certain limitations when combining all these functional features into one robotic device. Overcoming these limitations should add great value to the future of advanced robotic devices for drop foot assistance and rehabilitation.</t>
  </si>
  <si>
    <t>[Al-Rahmani, Nour; Mohan, Dhanya Menoth; Awad, Mohammad, I; Hussain, Irfan; Khalaf, Kinda] Khalifa Univ Sci &amp; Technol, Healthcare Engn Innovat Ctr, Abu Dhabi, U Arab Emirates; [Al-Rahmani, Nour; Mohan, Dhanya Menoth; Awad, Mohammad, I; Khalaf, Kinda] Khalifa Univ Sci &amp; Technol, Dept Biomed Engn, Abu Dhabi, U Arab Emirates; [Awad, Mohammad, I; Hussain, Irfan; Khalaf, Kinda] Khalifa Univ Sci &amp; Technol, Khalifa Univ Ctr Autonomous Robot Syst KUCARS, United Arab Emirates, Abu Dhabi, U Arab Emirates; [Wasti, Sabahat Asim] Cleveland Clin Abu Dhabi, Neurol Inst, Abu Dhabi, U Arab Emirates; [Hussain, Irfan] Khalifa Univ Sci &amp; Technol, Dept Mech Engn, Abu Dhabi, U Arab Emirates</t>
  </si>
  <si>
    <t>Khalifa University of Science &amp; Technology; Khalifa University of Science &amp; Technology; Khalifa University of Science &amp; Technology; Cleveland Clinic Foundation; Khalifa University of Science &amp; Technology</t>
  </si>
  <si>
    <t>Awad, M; Khalaf, K (corresponding author), Khalifa Univ Sci &amp; Technol, Healthcare Engn Innovat Ctr, Abu Dhabi, U Arab Emirates.;Awad, M; Khalaf, K (corresponding author), Khalifa Univ Sci &amp; Technol, Dept Biomed Engn, Abu Dhabi, U Arab Emirates.;Awad, M; Khalaf, K (corresponding author), Khalifa Univ Sci &amp; Technol, Khalifa Univ Ctr Autonomous Robot Syst KUCARS, United Arab Emirates, Abu Dhabi, U Arab Emirates.</t>
  </si>
  <si>
    <t>kinda.khalaf@ku.ac.ae</t>
  </si>
  <si>
    <t>Al-Rahmani, Nour/HTR-2988-2023; Hussain, Irfan/GOK-2448-2022</t>
  </si>
  <si>
    <t>Awad, Mohammad/0000-0003-1576-5359; Al-Rahmani, Nour/0000-0002-0438-7447</t>
  </si>
  <si>
    <t>Khalifa University of Science and Technology [RC2-2018-022]</t>
  </si>
  <si>
    <t>Khalifa University of Science and Technology(Khalifa University of Science &amp; Technology)</t>
  </si>
  <si>
    <t>This work was supported by the Khalifa University of Science and Technology under Award RC2-2018-022 (HEIC).</t>
  </si>
  <si>
    <t>10.1109/ACCESS.2022.3174686</t>
  </si>
  <si>
    <t>1K2PK</t>
  </si>
  <si>
    <t>WOS:000798449200001</t>
  </si>
  <si>
    <t>Berrezueta-Guzman, J; Robles-Bykbaev, VE; Pau, I; Pesántez-Avilés, F; Martín-Ruiz, ML</t>
  </si>
  <si>
    <t>Berrezueta-Guzman, Jonnathan; Robles-Bykbaev, Vladimir Espartaco; Pau, Ivan; Pesantez-Aviles, Fernando; Martin-Ruiz, Maria-Luisa</t>
  </si>
  <si>
    <t>Robotic Technologies in ADHD Care: Literature Review</t>
  </si>
  <si>
    <t>Robots; Medical treatment; Humanoid robots; Dementia; Databases; Autism; Anxiety disorders; ADHD; ASD; NDD; robotic assistance; mobile robots; intelligent robots; humanoid robots; educational robots; rehabilitation robotics; human-robot interaction; artificial intelligence; augmented reality; brain-computer interface; Internet of Things</t>
  </si>
  <si>
    <t>ATTENTION-DEFICIT/HYPERACTIVITY DISORDER; VIRTUAL-REALITY; HOMEWORK ACTIVITIES; ASSISTED THERAPY; CHILDREN; AUTISM; DEMENTIA; PEOPLE; INTERVENTION; ADOLESCENTS</t>
  </si>
  <si>
    <t>Robotics has made it possible to change and improve many support processes for vulnerable people in different settings. In recent years, its use has been oriented toward supporting therapeutic interventions of neurodevelopmental disorders (NDD), including attention deficit hyperactivity disorder (ADHD). This review of the literature highlights how advances in robotics have evolved in different scenarios of ADHD treatment, its collaboration with other emerging technologies, its results, its limitations, and the research challenges for the future development of robotics in the field of supporting children with ADHD. The authors conducted a literature review based on the location of keywords 'robotics' and several NNDs such as 'ADHD', 'Autism Spectrum Disorder (ASD)', 'cerebral palsy', and 'dementia' in titles, abstracts, and introduction of scientific articles in the Scopus and Web of Science (WoS) database. The reviewed literature was classified according to the type of therapy supported by the robots, the type of robot and the associated technologies. From this analysis, we can solve the research question: Which types of robots have the potential for specific applications in ADHD treatment? Furthermore, this article shows that despite favorable technical results, robotic technologies that support ADHD therapies require significant improvements in terms of scalability, human-machine interaction, and treatment and processing of acquired information to be applied effectively in real-world therapies. The most significant research challenges are proposed to drive research efforts to develop new approaches to enable robotic assistants to participate in ADHD therapies.</t>
  </si>
  <si>
    <t>[Berrezueta-Guzman, Jonnathan; Pau, Ivan; Martin-Ruiz, Maria-Luisa] Univ Politecn Madrid, Dept Ingn Telemat &amp; Elect, Madrid 28031, Spain; [Berrezueta-Guzman, Jonnathan] Tech Univ Munich, D-80333 Munich, Germany; [Berrezueta-Guzman, Jonnathan] CEDIA, Cuenca 010203, Ecuador; [Robles-Bykbaev, Vladimir Espartaco; Pesantez-Aviles, Fernando] Univ Politecn Salesiana, GI IATa, UNESCO Chair Support Technol Educ Inclus, Cuenca 010102, Ecuador</t>
  </si>
  <si>
    <t>Universidad Politecnica de Madrid; Technical University of Munich; Universidad Politecnica Salesiana</t>
  </si>
  <si>
    <t>Robles-Bykbaev, VE (corresponding author), Univ Politecn Salesiana, GI IATa, UNESCO Chair Support Technol Educ Inclus, Cuenca 010102, Ecuador.</t>
  </si>
  <si>
    <t>vrobles@ups.edu.ec</t>
  </si>
  <si>
    <t>Ruiz, María/F-3782-2016; Berrezueta-Guzman, Jonnathan Santiago/AAG-1920-2021; Robles-Bykbaev, Vladimir/A-2963-2016; PAU DE LA CRUZ, IVAN/G-2374-2016</t>
  </si>
  <si>
    <t>Pesantez Aviles, Fernando/0000-0003-1799-0795; Robles-Bykbaev, Vladimir/0000-0002-7645-8793; Berrezueta-Guzman, Santiago/0000-0001-5559-2056; PAU DE LA CRUZ, IVAN/0000-0002-1183-4401</t>
  </si>
  <si>
    <t>UNESCO Chair on Support Technologies for Educational Inclusion, Universidad Politecnica Salesiana, Ecuador</t>
  </si>
  <si>
    <t>This work was supported financially by the UNESCO Chair on Support Technologies for Educational Inclusion, Universidad Politecnica Salesiana, Ecuador.</t>
  </si>
  <si>
    <t>10.1109/ACCESS.2021.3137082</t>
  </si>
  <si>
    <t>YC9BC</t>
  </si>
  <si>
    <t>WOS:000739978500001</t>
  </si>
  <si>
    <t>Bressi, F; Cricenti, L; Campagnola, B; Bravi, M; Miccinilli, S; Santacaterina, F; Sterzi, S; Straudi, S; Agostini, M; Paci, M; Casanova, E; Marino, D; La Rosa, G; Giansanti, D; Perrero, L; Battistini, A; Filoni, S; Sicari, M; Petrozzino, S; Solaro, CM; Gargano, S; Benanti, P; Boldrini, P; Bonaiuti, D; Castelli, E; Draicchio, F; Falabella, V; Galeri, S; Gimigliano, F; Grigioni, M; Mazzoleni, S; Mazzon, S; Molteni, F; Petrarca, M; Picelli, A; Posteraro, F; Senatore, M; Turchetti, G; Morone, G; Gallotti, M; Germanotta, M; Aprile, I</t>
  </si>
  <si>
    <t>Bressi, Federica; Cricenti, Laura; Campagnola, Benedetta; Bravi, Marco; Miccinilli, Sandra; Santacaterina, Fabio; Sterzi, Silvia; Straudi, Sofia; Agostini, Michela; Paci, Matteo; Casanova, Emanuela; Marino, Dario; La Rosa, Giuseppe; Giansanti, Daniele; Perrero, Luca; Battistini, Alberto; Filoni, Serena; Sicari, Monica; Petrozzino, Salvatore; Solaro, Claudio Marcello; Gargano, Stefano; Benanti, Paolo; Boldrini, Paolo; Bonaiuti, Donatella; Castelli, Enrico; Draicchio, Francesco; Falabella, Vincenzo; Galeri, Silvia; Gimigliano, Francesca; Grigioni, Mauro; Mazzoleni, Stefano; Mazzon, Stefano; Molteni, Franco; Petrarca, Maurizio; Picelli, Alessandro; Posteraro, Federico; Senatore, Michele; Turchetti, Giuseppe; Morone, Giovanni; Gallotti, Marco; Germanotta, Marco; Aprile, Irene</t>
  </si>
  <si>
    <t>Working Grp Upper Limb CICERONE It</t>
  </si>
  <si>
    <t>Effects of robotic upper limb treatment after stroke on cognitive patterns: A systematic review</t>
  </si>
  <si>
    <t>Stroke; rehabilitation; cognitive outcome; robotic; upper limb; robotic rehabilitation; systematic review</t>
  </si>
  <si>
    <t>SEVERELY AFFECTED ARM; ASSISTED THERAPY; UPPER EXTREMITY; MOTOR RECOVERY; FUNCTIONAL RECOVERY; HAND REHABILITATION; POSTSTROKE PATIENTS; RANDOMIZED-TRIAL; SUBACUTE; EFFICACY</t>
  </si>
  <si>
    <t>BACKGROUND: Robotic therapy (RT) has been internationally recognized for the motor rehabilitation of the upper limb. Although it seems that RT can stimulate and promote neuroplasticity, the effectiveness of robotics in restoring cognitive deficits has been considered only in a few recent studies. OBJECTIVE: To verify whether, in the current state of the literature, cognitive measures are used as inclusion or exclusion criteria and/or outcomes measures in robotic upper limb rehabilitation in stroke patients. METHODS: The systematic review was conducted according to PRISMA guidelines. Studies eligible were identified through PubMed/MEDLINE and Web of Science from inception to March 2021. RESULTS: Eighty-one studies were considered in this systematic review. Seventy-three studies have at least a cognitive inclusion or exclusion criteria, while only seven studies assessed cognitive outcomes. CONCLUSION: Despite the high presence of cognitive instruments used for inclusion/exclusion criteria their heterogeneity did not allow the identification of a guideline for the evaluation of patients in different stroke stages. Therefore, although the heterogeneity and the low percentage of studies that included cognitive outcomes, seemed that the latter were positively influenced by RT in post-stroke rehabilitation. Future larger RCTs are needed to outline which cognitive scales are most suitable and their cut-off, as well as what cognitive outcome measures to use in the various stages of post-stroke rehabilitation.</t>
  </si>
  <si>
    <t>[Bressi, Federica; Cricenti, Laura; Campagnola, Benedetta; Bravi, Marco; Miccinilli, Sandra; Santacaterina, Fabio; Sterzi, Silvia] Campus Biomed Univ Polyclin Fdn, Phys Med &amp; Rehabil Unit, Rome, Italy; [Straudi, Sofia] Ferrara Univ Hosp, Dept Neurosci &amp; Rehabil, Ferrara, Italy; [Agostini, Michela] San Camillo IRCCS, Venice, Italy; [Paci, Matteo] AUSL Unique Sanit Local Co Dist Cent Tuscany, Florence, Italy; [Casanova, Emanuela; Battistini, Alberto] IRCCS Ist Sci Neurol Bologna, Unita Operat Med Riabilitat &amp; Neuroriabilitaz SC, Bologna, Italy; [Marino, Dario] IRCCS Neurolysis Ctr Bonino Pulejo, Messina, Italy; [La Rosa, Giuseppe] CSR Consorzio Sicilian Riabilitaz, Catania, Italy; [Giansanti, Daniele; Grigioni, Mauro] Italian Natl Inst Hlth, Natl Ctr Innovat Technol Publ Hlth, Rome, Italy; [Perrero, Luca] Azienda Osped Nazl SS Antonio &amp; Biagio &amp; Cesare A, Neurorehabil Unit, Alessandria, Italy; [Filoni, Serena] Padre Pio Onlus Rehabil Ctr Fdn, San Giovanni Rotondo, Italy; [Sicari, Monica; Petrozzino, Salvatore] AOU Citta Salute &amp; Sci Torino, Turin, Italy; [Solaro, Claudio Marcello] CRRF Mons Luigi Novarese, Vercelli, Italy; [Gargano, Stefano] IRCCS Fdn Don Carlo Gnocchi, Turin, Italy; [Benanti, Paolo] Pontifical Gregorian Univ, Rome, Italy; [Boldrini, Paolo] Soc Italiana Med Fis &amp; Riabilitat SIMFER, Rome, Italy; [Bonaiuti, Donatella] Ist Geriatr Piero Redaelli, Milan, Italy; [Castelli, Enrico] IRCCS Bambino Gesu Childrens Hosp, Dept Paediat Neurorehabil, Rome, Italy; [Draicchio, Francesco] INAIL, Dept Occupat &amp; Environm Med, Epidemiol &amp; Hyg, Rome, Italy; [Falabella, Vincenzo] Italian Federat Persons Spinal Cord Injuries Faip, Rome, Italy; [Galeri, Silvia] IRCCS Fdn Don Carlo Gnocchi, Milan, Italy; [Gimigliano, Francesca] Univ Campania Luigi Vanvitelli, Dept Mental Phys Hlth &amp; Prevent Med, Naples, Italy; [Mazzoleni, Stefano] Politecn Bari, Dept Elect &amp; Informat Engn, Bari, Italy; [Mazzon, Stefano] AULSS6 Unique Sanit Local Co Euganea Padova Distr, Padua, Italy; [Molteni, Franco] Valduce Hosp, Villa Beretta Rehabil Ctr, Dept Rehabil Med, Lecce, Italy; [Petrarca, Maurizio] IRCCS Bambino Gesu Childrens Hosp, Movement Anal &amp; Robot Lab MARlab, Rome, Italy; [Picelli, Alessandro] Univ Verona, Dept Neurosci Biomed &amp; Movement Sci, Verona, Italy; [Posteraro, Federico] Versilia Hosp AUSL12, Dept Rehabil, Viareggio, Italy; [Senatore, Michele] Assoc Italiana Terapisti Occupazionali AITO, Rome, Italy; [Turchetti, Giuseppe] St Anna Sch Adv Studies, Management Inst, Pisa, Italy; [Morone, Giovanni] Univ Aquila, Laquila, Italy; [Gallotti, Marco; Germanotta, Marco; Aprile, Irene] IRCCS Fdn Don Carlo Gnocchi, Florence, Italy</t>
  </si>
  <si>
    <t>University of Ferrara; Arcispedale Sant'Anna; IRCCS Ospedale San Camillo; IRCCS Istituto delle Scienze Neurologiche di Bologna (ISNB); Istituto Superiore di Sanita (ISS); Azienda Ospedaliera SS Antonio Biagio Cesare Arrigo; A.O.U. Citta della Salute e della Scienza di Torino; IRCCS Bambino Gesu; Istituto Nazionale per l'Assicurazione Contro gli Infortuni sul Lavoro (INAIL); IRCCS Fondazione Don Carlo Gnocchi Onlus; Universita della Campania Vanvitelli; Politecnico di Bari; IRCCS Bambino Gesu; University of Verona; Scuola Superiore Sant'Anna; University of L'Aquila; IRCCS Fondazione Don Carlo Gnocchi Onlus</t>
  </si>
  <si>
    <t>Campagnola, B (corresponding author), Campus Biomed Univ Polyclin Fdn, Phys Med &amp; Rehabil Unit, Rome, Italy.</t>
  </si>
  <si>
    <t>b.campagnola@unicampus.it</t>
  </si>
  <si>
    <t>Sterzi, Silvia/AAJ-3940-2020; Germanotta, Marco/J-3893-2018; Picelli, Alessandro/K-5610-2016; Straudi, Sofia/AAI-6971-2021; Paci, matteo/C-5267-2015; Francesco, Draicchio/AAC-7681-2022; Marino, Dario/AAA-7195-2022; Morone, Giovanni/AAN-2666-2020; Petrarca, Maurizio/GWZ-3714-2022; Molteni, Franco/J-4455-2016; GIANSANTI, DANIELE/IWL-9175-2023; Gallotti, Marco/MBV-2212-2025; Casanova, Emanuela/AAD-3643-2022; Bravi, Marco/GQH-0840-2022; Solaro, Claudio/AAL-2402-2021; Turchetti, Giuseppe/K-5393-2018; MIccinilli, Sandra/AAC-3628-2022; Campagnola, Benedetta/ABG-2410-2021; Morone, Giovanni/A-9561-2013; Mazzoleni, Stefano/B-5875-2011; La Rosa, Giuseppe/ITU-7690-2023; Santacaterina, Fabio/AFK-0797-2022</t>
  </si>
  <si>
    <t>Morone, Giovanni/0000-0003-3602-4197; Mazzoleni, Stefano/0000-0002-9528-3239; La Rosa, Giuseppe/0000-0003-0287-1267; Campagnola, Benedetta/0000-0002-7536-8382; Giansanti, Daniele/0000-0002-8904-0847; Paci, Matteo/0000-0002-5180-8355; Santacaterina, Fabio/0000-0002-6142-3096; Bravi, Marco/0000-0002-3396-4100; Marino, Dario/0000-0002-4608-9843; Boetto, Valentina/0000-0003-2192-2736</t>
  </si>
  <si>
    <t>10.3233/NRE-220149</t>
  </si>
  <si>
    <t>7O9QZ</t>
  </si>
  <si>
    <t>WOS:000908350900002</t>
  </si>
  <si>
    <t>Carmignano, SM; Fundarò, C; Bonaiuti, D; Calabrò, RS; Cassio, A; Mazzoli, D; Bizzarini, E; Campanini, I; Cerulli, S; Chisari, C; Colombo, V; Dalise, S; Gazzotti, V; Mazzoleni, D; Mazzucchelli, M; Melegari, C; Merlo, A; Stampacchia, G; Boldrini, P; Mazzoleni, S; Posteraro, F; Benanti, P; Castelli, E; Draicchio, F; Falabella, V; Galeri, S; Gimigliano, F; Grigioni, M; Mazzon, S; Molteni, F; Morone, G; Petrarca, M; Picelli, A; Senatore, M; Turchetti, G; Andrenelli, E</t>
  </si>
  <si>
    <t>Carmignano, Simona Maria; Fundaro, Cira; Bonaiuti, Donatella; Calabro, Rocco Salvatore; Cassio, Anna; Mazzoli, Davide; Bizzarini, Emiliana; Campanini, Isabella; Cerulli, Simona; Chisari, Carmelo; Colombo, Valentina; Dalise, Stefania; Gazzotti, Valeria; Mazzoleni, Daniele; Mazzucchelli, Miryam; Melegari, Corrado; Merlo, Andrea; Stampacchia, Giulia; Boldrini, Paolo; Mazzoleni, Stefano; Posteraro, Federico; Benanti, Paolo; Castelli, Enrico; Draicchio, Francesco; Falabella, Vincenzo; Galeri, Silvia; Gimigliano, Francesca; Grigioni, Mauro; Mazzon, Stefano; Molteni, Franco; Morone, Giovanni; Petrarca, Maurizio; Picelli, Alessandro; Senatore, Michele; Turchetti, Giuseppe; Andrenelli, Elisa</t>
  </si>
  <si>
    <t>Robot-assisted gait training in patients with Parkinson's disease: Implications for clinical practice. A systematic review</t>
  </si>
  <si>
    <t>Parkinson's disease; rehabilitation; gait; medical device</t>
  </si>
  <si>
    <t>VIRTUAL-REALITY; TREADMILL; MOTOR; EXERCISE; BALANCE; NEUROPLASTICITY; REHABILITATION; SUPERIOR</t>
  </si>
  <si>
    <t>BACKGROUND: Gait impairments are common disabling symptoms of Parkinson's disease (PD). Among the approaches for gait rehabilitation, interest in robotic devices has grown in recent years. However, the effectiveness compared to other interventions, the optimum amount of training, the type of device, and which patients might benefit most remains unclear. OBJECTIVE: To conduct a systematic review about the effects on gait of robot-assisted gait training (RAGT) in PD patients and to provide advice for clinical practice. METHODS: A search was performed on PubMed, Scopus, PEDro, Cochrane library, Web of science, and guideline databases, following PRISMA guidelines. We included English articles if they used a robotic system with details about the intervention, the parameters, and the outcome measures. We evaluated the level and quality of evidence. RESULTS: We included twenty papers out of 230 results: two systematic reviews, 9 randomized controlled trials, 4 uncontrolled studies, and 5 descriptive reports. Nine studies used an exoskeleton device and the remainders end-effector robots, with large variability in terms of subjects' disease-related disability. CONCLUSIONS: RAGT showed benefits on gait and no adverse events were recorded. However, it does not seem superior to other interventions, except in patients with more severe symptoms and advanced disease.</t>
  </si>
  <si>
    <t>[Carmignano, Simona Maria] Ctr Terapeut Riabil CTR, Potenza, Italy; [Carmignano, Simona Maria] Univ Salerno, Salerno, Italy; [Fundaro, Cira] IRCCS Montescano, Neurophysiopatol Unit, Ist Clin Sci Maugeri, Pavia, Italy; [Bonaiuti, Donatella] Piero Redaelli Geriatr Inst, Milan, Italy; [Calabro, Rocco Salvatore] IRCCS Ctr Neurolesi Bonino Pulejo, Messina, Italy; [Cassio, Anna] AUSL Piacenza, Spinal Cord Unit, Osped Fiorenzuola dArda, Piacenza, Italy; [Cassio, Anna] AUSL Piacenza, Osped Fiorenzuola dArda, Intens Rehabil Med, Piacenza, Italy; [Mazzoli, Davide; Merlo, Andrea] Sol &amp; Salus Osped Privato Accreditato, Gait &amp; Mot Anal Lab, Rimini, Italy; [Bizzarini, Emiliana] Azienda Sanitaria Univ Friuli Cent ASU FC, Gervasutta Hosp, Dept Rehabil Med, Spinal Cord Unit, Udine, Italy; [Campanini, Isabella; Merlo, Andrea] San Sebastiano Hosp, Dept Neuromotor &amp; Rehabil, LAM Mot Anal Lab, AUSL IRCCS Reggio Emilia, Reggio Emilia, Italy; [Cerulli, Simona] Fdn Policlin Univ Agostino Gemelli IRCCS, Rome, Italy; [Chisari, Carmelo; Dalise, Stefania] Univ Pisa, Dept Translat Res &amp; New Technol Med &amp; Surg, Neurorehabil Sect, Pisa, Italy; [Colombo, Valentina] Montecatone Rehabil Inst, Imola, Italy; [Gazzotti, Valeria] Ist Nazl Assicuraz Infortuni Lavoro INAIL, Ctr Protesi Vigorso Budrio, Bologna, Italy; [Mazzoleni, Daniele; Mazzucchelli, Miryam] Univ Milano Bicocca, Sch Med &amp; Surg, Milan, Italy; [Melegari, Corrado] Elias Neuroriabilitaz, Parma, Italy; [Stampacchia, Giulia] Pisa Univ Hosp, Spinal Cord Unit, Pisa, Italy; [Boldrini, Paolo] Italian Soc Phys Med &amp; Rehabil SIMFER, Rome, Italy; [Mazzoleni, Stefano] Politecn Bari, Dept Elect &amp; Informat Engn, Bari, Italy; [Posteraro, Federico] Versilia Hosp AUSL12, Dept Rehabil, Viareggio, Italy; [Benanti, Paolo] Pontifical Gregorian Univ, Rome, Italy; [Castelli, Enrico] IRCCS Bambino Gesu Childrens Hosp, Dept Paediat Neurorehabil, Rome, Italy; [Draicchio, Francesco] INAIL, Dept Occupat &amp; Environm Med, Epidemiol &amp; Hyg, Rome, Italy; [Falabella, Vincenzo] Italian Federat Persons Spinal Cord Injuries FAIP, Rome, Italy; [Galeri, Silvia] IRCCS Fdn Don Carlo Gnocchi, Milan, Italy; [Gimigliano, Francesca] Univ Campania Luigi Vanvitelli, Dept Mental Phys Hlth &amp; Prevent Med, Naples, Italy; [Grigioni, Mauro] Italian Natl Inst Hlth, Natl Ctr Innovat Technol Publ Hlth, Rome, Italy; [Mazzon, Stefano] Camposampiero Hosp, Rehabil Unit, ULSS Local Hlth Author Euganea, Padua, Italy; [Molteni, Franco] Valduce Hosp, Villa Beretta Rehabil Ctr, Dept Rehabil Med, Lecce, Italy; [Morone, Giovanni] IRCCS Santa Lucia Fdn, Rome, Italy; [Petrarca, Maurizio] IRCCS Bambino Gesu Childrens Hosp, Movement Anal &amp; Robot Lab MARlab, Rome, Italy; [Picelli, Alessandro] Univ Verona, Dept Neurosci Biomed &amp; Movement Sci, Verona, Italy; [Senatore, Michele] Assoc Italiana Terapisti Occupazionali AITO, Rome, Italy; [Turchetti, Giuseppe] Scuola Super Sant Anna, Inst Management, Pisa, Italy; [Andrenelli, Elisa] Univ Politecn Marche, Dept Expt &amp; Clin Med, Ancona, Italy</t>
  </si>
  <si>
    <t>University of Salerno; Istituti Clinici Scientifici Maugeri IRCCS; IRCCS Bonino Pulejo; Ospedale di Piacenza; Ospedale di Piacenza; Catholic University of the Sacred Heart; IRCCS Policlinico Gemelli; University of Pisa; University of Milano-Bicocca; University of Pisa; Azienda Ospedaliero Universitaria Pisana; Politecnico di Bari; IRCCS Bambino Gesu; Istituto Nazionale per l'Assicurazione Contro gli Infortuni sul Lavoro (INAIL); IRCCS Fondazione Don Carlo Gnocchi Onlus; Universita della Campania Vanvitelli; Istituto Superiore di Sanita (ISS); ULSS 6 Euganea; Ospedale di Camposampiero; IRCCS Santa Lucia; IRCCS Bambino Gesu; University of Verona; Scuola Superiore Sant'Anna; Marche Polytechnic University</t>
  </si>
  <si>
    <t>Andrenelli, E (corresponding author), Univ Politecn Marche, Dept Expt &amp; Clin Med, Ancona, Italy.</t>
  </si>
  <si>
    <t>elisa.andrenelli@gmail.com</t>
  </si>
  <si>
    <t>Turchetti, Giuseppe/K-5393-2018; Dalise, Stefania/K-8940-2016; Picelli, Alessandro/K-5610-2016; Merlo, Andrea/M-4405-2019; Morone, Giovanni/AAN-2666-2020; Petrarca, Maurizio/GWZ-3714-2022; calabro, rocco/L-9570-2019; Francesco, Draicchio/AAC-7681-2022; carmignano, simona/AAA-2372-2020; Molteni, Franco/J-4455-2016; Campanini, Isabella/H-3600-2017; Mazzoleni, Stefano/B-5875-2011; Morone, Giovanni/A-9561-2013</t>
  </si>
  <si>
    <t>Campanini, Isabella/0000-0002-9286-6711; Mazzoleni, Stefano/0000-0002-9528-3239; Morone, Giovanni/0000-0003-3602-4197; Merlo, Andrea/0000-0002-5587-5686; ANDRENELLI, ELISA/0000-0001-7982-9871; Dalise, Stefania/0000-0002-1422-1539; Mazzoli, Davide/0009-0003-3494-0287</t>
  </si>
  <si>
    <t>10.3233/NRE-220026</t>
  </si>
  <si>
    <t>WOS:000908350900007</t>
  </si>
  <si>
    <t>Castelli, E; Beretta, E; De Tanti, A; Arduini, F; Biffi, E; Colazza, A; Di Pede, C; Guzzetta, A; Lucarini, L; Maghini, I; Mandalà, M; Nespoli, M; Pavarelli, C; Policastro, F; Polverelli, M; Rossi, A; Sgandurra, G; Boldrini, P; Bonaiuti, D; Mazzoleni, S; Posteraro, F; Benanti, P; Draicchio, F; Falabella, V; Galeri, S; Gimigliano, F; Grigioni, M; Mazzon, S; Molteni, F; Morone, G; Petrarca, M; Picelli, A; Senatore, M; Turchetti, G; Saviola, D</t>
  </si>
  <si>
    <t>Castelli, Enrico; Beretta, Elena; De Tanti, Antonio; Arduini, Francesca; Biffi, Emilia; Colazza, Alessandra; Di Pede, Chiara; Guzzetta, Andrea; Lucarini, Ludovica; Maghini, Irene; Mandala, Martina; Nespoli, Maurizio; Pavarelli, Claudia; Policastro, Francesca; Polverelli, Marco; Rossi, Andrea; Sgandurra, Giuseppina; Boldrini, Paolo; Bonaiuti, Donatella; Mazzoleni, Stefano; Posteraro, Federico; Benanti, Paolo; Draicchio, Francesco; Falabella, Vincenzo; Galeri, Silvia; Gimigliano, Francesca; Grigioni, Mauro; Mazzon, Stefano; Molteni, Franco; Morone, Giovanni; Petrarca, Maurizio; Picelli, Alessandro; Senatore, Michele; Turchetti, Giuseppe; Saviola, Donatella</t>
  </si>
  <si>
    <t>Robot-assisted rehabilitation for children with neurological disabilities: Results of the Italian consensus conference CICERONE</t>
  </si>
  <si>
    <t>Robots; rehabilitation; gait; upper limb; lower limb; children</t>
  </si>
  <si>
    <t>CEREBRAL-PALSY; TREADMILL THERAPY; BRAIN-INJURY; GAIT; IMPACT; RECOMMENDATIONS; IMPLEMENTATION; ENHANCEMENT; PERFORMANCE; PLASTICITY</t>
  </si>
  <si>
    <t>BACKGROUND: The use of robotic technologies in pediatric rehabilitation has seen a large increase, but with a lack of a comprehensive framework about their effectiveness. OBJECTIVE: An Italian Consensus Conference has been promoted to develop recommendations on these technologies: definitions and classification criteria of devices, indications and limits of their use in neurological diseases, theoretical models, ethical and legal implications. In this paper, we present the results for the pediatric age. METHODS: A systematic search on Cochrane Library, PEDro and PubMed was performed. Papers published up to March 1st, 2020, in English, were included and analyzed using the methodology of the Centre for Evidence-Based Medicine in Oxford, AMSTAR2 and PEDro scales for systematic reviews and RCT, respectively. RESULTS: Some positives aspects emerged in the area of gait: an increased number of children reaching the stance, an improvement in walking distance, speed and endurance. Critical aspects include the heterogeneity of the studied cases, measurements and training protocols. CONCLUSION: Many studies demonstrate the benefits of robotic training in developmental age. However, it is necessary to increase the number of trials to achieve greater homogeneity between protocols and to confirm the effectiveness of pediatric robotic rehabilitation.</t>
  </si>
  <si>
    <t>[Castelli, Enrico; Arduini, Francesca; Colazza, Alessandra] Bambino Gesu Pediat Hosp, Rome, Italy; [Beretta, Elena; Biffi, Emilia; Di Pede, Chiara] IRCCS Eugenio Medea, La Nostra Famiglia, Ponte Lambro, Italy; [De Tanti, Antonio; Saviola, Donatella] Cardinal Ferrari Ctr, Santo Stefano Rehabil, KOS CARE, Parma, Italy; [Guzzetta, Andrea; Sgandurra, Giuseppina] Univ Pisa, Dipartimento Med Clin &amp; Sperimentale, Pisa, Italy; [Guzzetta, Andrea; Sgandurra, Giuseppina] IRCCS Stella Maris, Dipartimento Neurosci Sviluppo, Pisa, Italy; [Lucarini, Ludovica] USL Umbria 2, Terni, Italy; [Maghini, Irene] Univ Padua, Dept Womens &amp; Childrens Hlth, Pediat Pain &amp; Palliat Care Serv, Padua, Italy; [Mandala, Martina] IRCCS Santa Maria Nascente Fdn Don C Gnocchi, Milan, Italy; [Nespoli, Maurizio] AORN Santobono Pausilipon, Naples, Italy; [Pavarelli, Claudia] Serv Neuropsichiatria Infanzia &amp; Adolescenza NPIA, Vignola, Italy; [Policastro, Francesca] Univ Trieste, Dipartimento Sci Med &amp; Chirurg, Trieste, Italy; [Polverelli, Marco] Azienda Osped Nazl SS Antonio &amp; Biagio &amp; Cesare A, Dipartimento Riabilitaz, Alessandria, Italy; [Rossi, Andrea] Osped Bambini Brescia, ASST Spedali Civili Brescia, Brescia, Italy; [Boldrini, Paolo; Bonaiuti, Donatella] SIMFER, Italian Soc Phys Med &amp; Rehabil, Rome, Italy; [Mazzoleni, Stefano] Politecn Bari, Dept Elect &amp; Informat Engn, Bari, Italy; [Posteraro, Federico] Versilia Hosp AUSL12, Dept Rehabil, Viareggio, Italy; [Benanti, Paolo] Pontifical Gregorian Univ, Rome, Italy; [Draicchio, Francesco] INAIL, Dept Occupat &amp; Environm Med, Epidemiol &amp; Hyg, Rome, Italy; [Falabella, Vincenzo] Italian Federat Persons Spinal Cord Injuries FAIP, Rome, Italy; [Galeri, Silvia] IRCCS Don Gnocchi Fdn Onlus, Milan, Italy; [Gimigliano, Francesca] Univ Campania Luigi Vanvitelli, Dept Mental Phys Hlth &amp; Prevent Med, Naples, Italy; [Grigioni, Mauro] Italian Natl Inst Hlth, Natl Ctr Innovat Technol Publ Hlth, Rome, Italy; [Mazzon, Stefano] Camposampietro Hosp, Rehabil Unit, ULSS Local Hlth Autor Euganea, Padua, Italy; [Molteni, Franco] Valduce Hosp, Villa Beretta Rehabil Ctr, Dept Rehabil Med, Lecce, Italy; [Morone, Giovanni] IRCCS Santa Lucia Fdn, Rome, Italy; [Petrarca, Maurizio] IRCCS Bambino Gesu Childrens Hosp, Movement Anal &amp; Robot Lab MARlab, Rome, Italy; [Picelli, Alessandro] Univ Verona, Dept Neurosci Biomed &amp; Movement Sci, Verona, Italy; [Senatore, Michele] Assoc Italiana Terapisti Occupazionali AITO, Rome, Italy; [Turchetti, Giuseppe] Scuola Super Sant Anna, Insitute Management, Pisa, Italy</t>
  </si>
  <si>
    <t>IRCCS Bambino Gesu; IRCCS Eugenio Medea; University of Pisa; IRCCS Fondazione Stella Maris; University of Padua; University of Trieste; Azienda Ospedaliera SS Antonio Biagio Cesare Arrigo; Hospital Spedali Civili Brescia; Politecnico di Bari; Istituto Nazionale per l'Assicurazione Contro gli Infortuni sul Lavoro (INAIL); Universita della Campania Vanvitelli; Istituto Superiore di Sanita (ISS); IRCCS Santa Lucia; IRCCS Bambino Gesu; University of Verona; Scuola Superiore Sant'Anna</t>
  </si>
  <si>
    <t>Saviola, D (corresponding author), Cardinal Ferrari Ctr, Santo Stefano Rehabil, KOS CARE, Parma, Italy.</t>
  </si>
  <si>
    <t>donatella.saviola@centrocardinalferrari.it</t>
  </si>
  <si>
    <t>Picelli, Alessandro/K-5610-2016; Turchetti, Giuseppe/K-5393-2018; Petrarca, Maurizio/GWZ-3714-2022; Policastro, Francesca/AAE-7223-2022; Sgandurra, Giuseppina/B-9961-2018; Borisova, Elena/HGD-8909-2022; Molteni, Franco/J-4455-2016; Biffi, Emilia/B-7982-2012; Di Pede, Chiara/AAB-8779-2019; Morone, Giovanni/AAN-2666-2020; Francesco, Draicchio/AAC-7681-2022; Mazzoleni, Stefano/B-5875-2011; Morone, Giovanni/A-9561-2013; Guzzetta, Andrea/F-1503-2010</t>
  </si>
  <si>
    <t>Mazzoleni, Stefano/0000-0002-9528-3239; Morone, Giovanni/0000-0003-3602-4197; Guzzetta, Andrea/0000-0003-3868-0059</t>
  </si>
  <si>
    <t>10.3233/NRE-220036</t>
  </si>
  <si>
    <t>WOS:000908350900008</t>
  </si>
  <si>
    <t>Chen, Q; Yang, Y; Jiang, TL; Wang, Z; Yang, JR; Yuan, SM</t>
  </si>
  <si>
    <t>Chen, Qiu; Yang, Yong; Jiang, Tianlin; Wang, Zhe; Yang, Junran; Yuan, Simin</t>
  </si>
  <si>
    <t>Modern Applications and Factors Influencing Quality of Life and Functional Outcomes in Patients with Bladder Cancer</t>
  </si>
  <si>
    <t>INDIAN JOURNAL OF PHARMACEUTICAL SCIENCES</t>
  </si>
  <si>
    <t>Quality of life; bladder cancer; radical cystectomy; bladder urothelial carcinoma</t>
  </si>
  <si>
    <t>ASSISTED RADICAL CYSTECTOMY; TRANSITIONAL CELL-CARCINOMA; NEOADJUVANT CHEMOTHERAPY; URINARY-DIVERSION; NEUROVASCULAR PRESERVATION; ORTHOTOPIC NEOBLADDER; UROTHELIAL CARCINOMA; EARLY RECOVERY; ILEAL CONDUIT; PHASE-II</t>
  </si>
  <si>
    <t>Here, we review quality of life and functional outcomes in bladder cancer patients after treatment and look for potential contributors. For the current scoring systems, we highlighted the specificity scales that are most commonly used in non-muscle invasive bladder cancer and muscle invasive bladder cancer. In addition, we go into the influence and bias of ileal conduit, robotic surgery, gender disparities, perioperative rehabilitation, bladder-preserving radiotherapy, pharmaceutical and immune chemotherapy, etc. on quality of life. Currently, although there are conflicts whether ileal conduit or orthotopic neobladder has a more positive impact on the prognosis of patients with bladder cancer, it is widely recognized that modern applications such as robotic surgery and pharmaceutical and immune chemotherapy improve the prognosis and quality of life of bladder cancer patients. Moreover, we discussed the differences in the adaptation of sex life quality between women and man after receiving various treatments. Surgical procedures that preserve organ integrity appear to improve patient's quality of sexual life. Through this review, clinicians will have a better understanding of how important modern applications can grasp to improve the quality of life of their patients, with the goal of restoring their patient's normal function and making it easier for them to re-join society.</t>
  </si>
  <si>
    <t>[Chen, Qiu; Jiang, Tianlin; Wang, Zhe; Yang, Junran] Yangzhou Univ, Coll Med, Inst Translat Med, Dept Anat, Yangzhou 225009, Jiangsu, Peoples R China; [Yang, Yong] Hubei Univ Med, Sinopharm Dongfeng Gen Hosp, Dept Colorectal &amp; Anal Surg, Shiyan 442008, Hubei, Peoples R China; [Yuan, Simin] Dalian Med Univ, Dept Gen Surg, Dalian 116044, Liaoning, Peoples R China; [Yuan, Simin] Subei Peoples Hosp Jiangsu Prov, Dept Breast &amp; Thyroid Surg, Yangzhou 225001, Jiangsu, Peoples R China</t>
  </si>
  <si>
    <t>Yangzhou University; Hubei University of Medicine; Dalian Medical University</t>
  </si>
  <si>
    <t>Chen, Q (corresponding author), Yangzhou Univ, Coll Med, Inst Translat Med, Dept Anat, Yangzhou 225009, Jiangsu, Peoples R China.</t>
  </si>
  <si>
    <t>182201602@yzu.edu.cn</t>
  </si>
  <si>
    <t>INDIAN PHARMACEUTICAL ASSOC</t>
  </si>
  <si>
    <t>KALINA, SANTA CRUZ EAST, MUMBAI, 00000, INDIA</t>
  </si>
  <si>
    <t>0250-474X</t>
  </si>
  <si>
    <t>1998-3743</t>
  </si>
  <si>
    <t>INDIAN J PHARM SCI</t>
  </si>
  <si>
    <t>Indian J. Pharm. Sci.</t>
  </si>
  <si>
    <t>10.36468/pharmaceutical-sciences.spl.534</t>
  </si>
  <si>
    <t>6W9CL</t>
  </si>
  <si>
    <t>WOS:000896023900010</t>
  </si>
  <si>
    <t>Cheng, IVY; Hamad, A; Sasegbon, A; Hamdy, S</t>
  </si>
  <si>
    <t>Cheng, Ivy; Hamad, Adeel; Sasegbon, Ayodele; Hamdy, Shaheen</t>
  </si>
  <si>
    <t>Advances in the Treatment of Dysphagia in Neurological Disorders: A Review of Current Evidence and Future Considerations</t>
  </si>
  <si>
    <t>NEUROPSYCHIATRIC DISEASE AND TREATMENT</t>
  </si>
  <si>
    <t>dysphagia; neuromodulation; pharmacology; rehabilitation; review; treatment</t>
  </si>
  <si>
    <t>NEUROMUSCULAR ELECTRICAL-STIMULATION; TRANSCRANIAL MAGNETIC STIMULATION; PHARYNGEAL MOTOR CORTEX; OROPHARYNGEAL DYSPHAGIA; POSTSTROKE DYSPHAGIA; CHIN TUCK; SWALLOWING REHABILITATION; RESISTANCE EXERCISE; SUBACUTE STROKE; SAFETY</t>
  </si>
  <si>
    <t>Dysphagia, which refers to difficult and/or disordered swallowing, is a common problem associated with various neurological diseases such as stroke, motor neuron diseases and neurodegenerative diseases. Traditionally, dysphagia treatments are either compensatory, which includes modifications of bolus texture or feeding posture, or rehabilitative, which includes behavioral exercises and sensory stimulation. Despite being widely adopted in clinical practice, recent views have challenged the clinical efficacy of these treatments due to the low level of evidence supported by mainly non-controlled studies. As such, with advancements in technology and scientific research methods, recent times have seen a surge in the development of novel dysphagia treatments and an increasing number of robust randomized controlled clinical trials. In this review, we will review the clinical evidence of several newly introduced treatments for dysphagia in the last two decades, including rehabilitative exercises, biofeedback, pharmacological treatments, neuromodulation treatments and soft robotics. Despite the recent improvements in the quality of evidence for the efficacy of dysphagia treatments, several critical issues, including heterogeneity in treatment regimens, long-term treatment effects, underlying mechanisms of some neuromodulation treatments, and the effects of these techniques in non-stroke dysphagia, remain to be addressed in future clinical trials.</t>
  </si>
  <si>
    <t>[Cheng, Ivy; Hamad, Adeel; Sasegbon, Ayodele; Hamdy, Shaheen] Univ Manchester, Fac Biol Med &amp; Hlth, Ctr Gastrointestinal Sci, Sch Med Sci,Div Diabet Endocrinol &amp; Gastroenterol, Manchester, Lancs, England; [Hamdy, Shaheen] Univ Manchester, Salford Royal Fdn Trust, Ctr Gastrointestinal Sci, Clin Sci Bldg, Eccles Old Rd, Salford M6 8HD, England</t>
  </si>
  <si>
    <t>University of Manchester; Salford Royal NHS Foundation Trust; University of Manchester</t>
  </si>
  <si>
    <t>Hamdy, S (corresponding author), Univ Manchester, Salford Royal Fdn Trust, Ctr Gastrointestinal Sci, Clin Sci Bldg, Eccles Old Rd, Salford M6 8HD, England.</t>
  </si>
  <si>
    <t>shaheen.hamdy@manchester.ac.uk</t>
  </si>
  <si>
    <t>Sasegbon, Ayodele/AAH-9388-2019; Hamdy, Shaheen/O-5039-2014</t>
  </si>
  <si>
    <t>Cheng, Ivy/0000-0001-5853-7976; Sasegbon, Ayodele/0000-0003-2050-0726; Hamdy, Shaheen/0000-0001-9640-7427</t>
  </si>
  <si>
    <t>MRC [MR/P006183/1] Funding Source: UKRI</t>
  </si>
  <si>
    <t>MRC(UK Research &amp; Innovation (UKRI)Medical Research Council UK (MRC))</t>
  </si>
  <si>
    <t>1178-2021</t>
  </si>
  <si>
    <t>NEUROPSYCH DIS TREAT</t>
  </si>
  <si>
    <t>Neuropsychiatr. Dis. Treat.</t>
  </si>
  <si>
    <t>10.2147/NDT.S371624</t>
  </si>
  <si>
    <t>5O4ET</t>
  </si>
  <si>
    <t>WOS:000872429400001</t>
  </si>
  <si>
    <t>Defi, IR; Iskandar, S; Charismawati, S; Turnip, A; Novita, D</t>
  </si>
  <si>
    <t>Defi, Irma Ruslina; Iskandar, Shelly; Charismawati, Septiana; Turnip, Arjon; Novita, Dessy</t>
  </si>
  <si>
    <t>Healthcare Workers' Point of View on Medical Robotics During COVID-19 Pandemic - A Scoping Review</t>
  </si>
  <si>
    <t>INTERNATIONAL JOURNAL OF GENERAL MEDICINE</t>
  </si>
  <si>
    <t>COVID-19; health worker; medical technology; need assessment; robotic</t>
  </si>
  <si>
    <t>TECHNOLOGY; ADOPTION; SYSTEM</t>
  </si>
  <si>
    <t>COVID-19 affected how healthcare workers interact with patients. Medical technology and robotics are developed in hospital settings to limit human contact. The aim of this review is to elucidate what kind of medical robotics is required for healthcare workers during COVID-19 pandemic. This review was obtained from electronic databases such as Google Scholar, PubMed, EBSCO, and Cochrane reviews were searched for articles using keywords such as healthcare professional OR health worker AND COVID-19 AND robot application OR robotics OR health technology AND needs assessment OR expectation OR perception published during 2020 to 2021. Inclusion criteria were full-text articles related to assessment of healthcare workers' need for medical robotics during COVID-19 pandemics. Exclusion criteria included abstracts, duplicate articles, blogs, news articles, promotional brochures, and conference proceedings. A total of 13,692 articles were identified through the search engines (PubMed 179, Cochrane Library 1300, EBSCO 13, Google Scholar 12,200). Five full-text articles fulfilled the inclusion criteria. Determining robotic functions is important to healthcare workers who will be user of such medical technology. This review divided robotic functions into medical, operational, movement, and social functions. Healthcare workers' demands for robotics were also influenced by the types of robots, such as examination robots, robot-based sample test and medicine production, surgery and rehabilitation robots, disinfection and cleaning robots, delivery and logistic robot, telemedicine, and telepresence robots. Medical robotics is required for healthcare workers during the COVID-19 pandemic. The highest demands for medical robotics functions include cardiac measurements and oxygen saturation monitoring (medical functions); examination record delivery, video and image play, and medical information delivery (operational functions); and the ability to recognize and avoid obstacles (movement functions). Disinfection and cleaning robots were the type of robots with the highest demand among healthcare workers.</t>
  </si>
  <si>
    <t>[Defi, Irma Ruslina; Charismawati, Septiana] Univ Padjadjaran, Hasan Sadikin Gen Hosp, Fac Med, Dept Phys Med &amp; Rehabil, Jl Pasteur 38, Bandung 40161, Jawa Barat, Indonesia; [Iskandar, Shelly] Univ Padjadjaran, Hasan Sadikin Gen Hosp, Fac Med, Dept Psychiat, Bandung, Jawa Barat, Indonesia; [Turnip, Arjon; Novita, Dessy] Univ Padjadjaran, Fac Math &amp; Nat Sci, Dept Elect Engn, Bandung, Jawa Barat, Indonesia</t>
  </si>
  <si>
    <t>Dr Hasan Sadikin General Hospital; Universitas Padjadjaran; Universitas Padjadjaran; Dr Hasan Sadikin General Hospital; Universitas Padjadjaran</t>
  </si>
  <si>
    <t>Defi, IR (corresponding author), Univ Padjadjaran, Hasan Sadikin Gen Hosp, Fac Med, Dept Phys Med &amp; Rehabil, Jl Pasteur 38, Bandung 40161, Jawa Barat, Indonesia.</t>
  </si>
  <si>
    <t>irma.ruslina@unpad.ac.id</t>
  </si>
  <si>
    <t>Defi, Irma/ADB-2780-2022; Turnip, Arjon/GSE-0576-2022</t>
  </si>
  <si>
    <t>Charismawati, Septiana/0000-0002-4818-2996; Defi, Irma Ruslina/0000-0003-3089-727X</t>
  </si>
  <si>
    <t>Universitas Padjadjaran, Indonesia [1959/UN6.3.1/PT.00/2021]</t>
  </si>
  <si>
    <t>Universitas Padjadjaran, Indonesia(Ministry of Research and Technology of the Republic of Indonesia (RISTEK))</t>
  </si>
  <si>
    <t>This article mainly funded by the Program Penelitian Kolaborasi Indonesia (PPKI) research program run by the Indonesian Ministry of Education, Culture, Research, and Technology and supported by Universitas Padjadjaran, Indonesia (grant number: 1959/UN6.3.1/PT.00/2021).</t>
  </si>
  <si>
    <t>1178-7074</t>
  </si>
  <si>
    <t>INT J GEN MED</t>
  </si>
  <si>
    <t>Int. J. Gen. Med.</t>
  </si>
  <si>
    <t>10.2147/IJGM.S355734</t>
  </si>
  <si>
    <t>0U2AC</t>
  </si>
  <si>
    <t>WOS:000787456700001</t>
  </si>
  <si>
    <t>Fardipour, S; Hadadi, M</t>
  </si>
  <si>
    <t>Fardipour, Shima; Hadadi, Mohammad</t>
  </si>
  <si>
    <t>Investigation of therapeutic effects of wearable robotic gloves on improving hand function in stroke patients: A systematic review</t>
  </si>
  <si>
    <t>CURRENT JOURNAL OF NEUROLOGY</t>
  </si>
  <si>
    <t>Robotic Exoskeleton; Stroke; Upper Extremity Paresis; Recovery of Function; Systematic Review</t>
  </si>
  <si>
    <t>UPPER-LIMB; REHABILITATION; RECOVERY; ARM; EXOSKELETON</t>
  </si>
  <si>
    <t>Background: Over the past decades, wearable robotic gloves due to their positive features are used by clinicians to improve motor function in the upper extremity. This systematic review aims to evaluate the studies that investigated the therapeutic effects of wearable robotic gloves to improve hand function in stroke patients. Methods: The most related databases including MEDLINE (PubMed), ISI Web of Knowledge, Scopus, IEEE, and Google Scholar were systematically searched and studies were collected up to September 2021. The methodological quality assessment was done using an adapted version of the Downs and Black checklist.Results: Of the 2674 articles searched, 5 studies were recognized as being relevant in this systematic review. The methodological quality of all included studies was between 7 to 10 points of adapted 12-point score of Downs and Black checklist. All studies concluded that the introduced robotic device had a good therapeutic effect on investigated patients' hand function. The studies had limitations in terms of the level of evidence, sample size, stroke patient groups, and therapeutic process.Conclusion: There is no standard approach with definite intervention timing to evaluate the effect of such devices. Therefore, more comprehensive studies are needed to confirm the therapeutic effects of wearable robotic gloves on improving hand function after a stroke.</t>
  </si>
  <si>
    <t>[Fardipour, Shima] Univ Social Welf &amp; Rehabil Sci, Dept Orthot &amp; Prosthet, Tehran, Iran; [Hadadi, Mohammad] Shiraz Univ Med Sci, Rehabil Sci Res Ctr, Shiraz, Iran; [Hadadi, Mohammad] Shiraz Univ Med Sci, Sch Rehabil Sci, Dept Orthot &amp; Prosthet, Shiraz, Iran</t>
  </si>
  <si>
    <t>Shiraz University of Medical Science; Shiraz University of Medical Science</t>
  </si>
  <si>
    <t>Hadadi, M (corresponding author), Shiraz Univ Med Sci, Rehabil Sci Res Ctr, Shiraz, Iran.;Hadadi, M (corresponding author), Shiraz Univ Med Sci, Sch Rehabil Sci, Dept Orthot &amp; Prosthet, Shiraz, Iran.</t>
  </si>
  <si>
    <t>mhadadito@yahoo.com</t>
  </si>
  <si>
    <t>, Mohammad/E-2810-2016; fardipour, shima/ABG-6878-2020</t>
  </si>
  <si>
    <t>Shiraz University of Medical Sciences, Shiraz, Iran [22614]</t>
  </si>
  <si>
    <t>Shiraz University of Medical Sciences, Shiraz, Iran(Shiraz University of Medical ScienceGolestan University of Medical Sciences)</t>
  </si>
  <si>
    <t>Acknowledgments This work was supported by Shiraz University of Medical Sciences, Shiraz, Iran, under grant number of 22614.</t>
  </si>
  <si>
    <t>TEHRAN UNIV MEDICAL SCIENCES</t>
  </si>
  <si>
    <t>TEHRAN</t>
  </si>
  <si>
    <t>CTR ELECTR RES PROVISION &amp; J IMPROVEMENT, #7, POURSINA AVE, QODS AVE, PO 1417653911, TEHRAN, 11498, IRAN</t>
  </si>
  <si>
    <t>2717-011X</t>
  </si>
  <si>
    <t>CURR J NEUROL</t>
  </si>
  <si>
    <t>Curr. J. Neurol.</t>
  </si>
  <si>
    <t>10.18502/cjn.v21i2.10496</t>
  </si>
  <si>
    <t>4U4LG</t>
  </si>
  <si>
    <t>WOS:000858766700008</t>
  </si>
  <si>
    <t>Grosmaire, AG; Pila, O; Breuckmann, P; Duret, C</t>
  </si>
  <si>
    <t>Grosmaire, Anne-Gaelle; Pila, Ophelie; Breuckmann, Petra; Duret, Christophe</t>
  </si>
  <si>
    <t>Robot-assisted therapy for upper limb paresis after stroke: Use of robotic algorithms in advanced practice</t>
  </si>
  <si>
    <t>Stroke; hemiparesis; rehabilitation; robot</t>
  </si>
  <si>
    <t>UPPER-EXTREMITY REHABILITATION; INDUCED MOVEMENT THERAPY; MOTOR SKILL; DOSE-RESPONSE; HAND FUNCTION; SINGLE-BLIND; POST-STROKE; RECOVERY; PERFORMANCE; POSTSTROKE</t>
  </si>
  <si>
    <t>BACKGROUND: Rehabilitation of stroke-related upper limb paresis is a major public health issue. OBJECTIVE: Robotic systems have been developed to facilitate neurorehabilitation by providing key elements required to stimulate brain plasticity and motor recovery, namely repetitive, intensive, adaptative training with feedback. Although the positive effect of robot-assisted therapy on motor impairments has been well demonstrated, the effect on functional capacity is less certain. METHOD: This narrative review outlines the principles of robot-assisted therapy for the rehabilitation of post-stroke upper limb paresis. RESULTS: A paradigm is proposed to promote not only recovery of impairment but also function. CONCLUSION: Further studies that would integrate some principles of the paradigm described in this paper are needed.</t>
  </si>
  <si>
    <t>[Grosmaire, Anne-Gaelle; Pila, Ophelie; Breuckmann, Petra; Duret, Christophe] Ctr Reeduc Fonct Trois Soleils, Unite Neuroreeduc Med Phys &amp; Readaptat, 19 Rue Chateau, F-77310 Boissise Le Roi, France</t>
  </si>
  <si>
    <t>Duret, C (corresponding author), Ctr Reeduc Fonct Trois Soleils, Unite Neuroreeduc Med Phys &amp; Readaptat, 19 Rue Chateau, F-77310 Boissise Le Roi, France.</t>
  </si>
  <si>
    <t>Pila, Ophélie/ABE-9832-2021; GROSMAIRE, Anne-Gaëlle/B-7900-2019</t>
  </si>
  <si>
    <t>10.3233/NRE-220025</t>
  </si>
  <si>
    <t>WOS:000908350900004</t>
  </si>
  <si>
    <t>Guo, Y; Chen, WD; Zhao, J; Yang, GZ</t>
  </si>
  <si>
    <t>Guo, Yao; Chen, Weidong; Zhao, Jie; Yang, Guang-Zhong</t>
  </si>
  <si>
    <t>Medical Robotics: Opportunities in China</t>
  </si>
  <si>
    <t>medical robotics; surgical robotics; rehabilitation and assistive robotics; hospital automation robotics</t>
  </si>
  <si>
    <t>MICRO HAND S; SURGERY; SYSTEM; REHABILITATION; LOCALIZATION; EXOSKELETON; RECOGNITION; CHALLENGES; DYNAMICS; SENSORS</t>
  </si>
  <si>
    <t>Medical robotics is a rapidly advancing discipline that is leading the evolution of robot-assisted surgery, personalized rehabilitation and assistance, and hospital automation. In China, both research and commercial developments in medical robotics have undergone exponential growth in recent years. In this review, we first give an overview of the clinical and social demands that motivate the rapid development in medical robotics. For each subdiscipline (surgery, rehabilitation and personal assistance, and hospital automation), we then summarize the major research projects sponsored by National Key Research and Development Programs. The remaining technical, commercial, and regulatory challenges are highlighted. This review also outlines some of the new opportunities in endoluminal and interventional robotics, micro-and nanorobotics, soft exoskeletons, intelligent human-robot interaction, and telemedicine and telesurgery, which may support the general uptake of robotics in medicine.</t>
  </si>
  <si>
    <t>[Guo, Yao; Chen, Weidong; Yang, Guang-Zhong] Shanghai Jiao Tong Univ, Inst Med Robot, Shanghai, Peoples R China; [Zhao, Jie] Harbin Inst Technol, Inst Robot, Sch Mech &amp; Elect Engn, Harbin, Peoples R China</t>
  </si>
  <si>
    <t>Shanghai Jiao Tong University; Harbin Institute of Technology</t>
  </si>
  <si>
    <t>Guo, Y (corresponding author), Shanghai Jiao Tong Univ, Inst Med Robot, Shanghai, Peoples R China.</t>
  </si>
  <si>
    <t>yao.guo@sjtu.edu.cn; wdchen@sjtu.edu.cn; jzhao@hit.edu.cn; gzyang@sjtu.edu.cn</t>
  </si>
  <si>
    <t>Weidong, Chen/GPC-8523-2022; Yang, Guangzhong/ABB-7316-2021</t>
  </si>
  <si>
    <t>Science and Technology Commission of Shanghai Municipality [20DZ2220400]</t>
  </si>
  <si>
    <t>Science and Technology Commission of Shanghai Municipality(Science &amp; Technology Commission of Shanghai Municipality (STCSM))</t>
  </si>
  <si>
    <t>This work was supported by the Science and Technology Commission of Shanghai Municipality under grant 20DZ2220400.</t>
  </si>
  <si>
    <t>10.1146/annurev-control-061521-070251</t>
  </si>
  <si>
    <t>1G5CI</t>
  </si>
  <si>
    <t>WOS:000795864800015</t>
  </si>
  <si>
    <t>Halim, I; Saptari, A; Abdullah, Z; Perumal, A; Abidin, MZZ; Muhammad, MN; Abdullah, S</t>
  </si>
  <si>
    <t>Halim, Isa; Saptari, Adi; Abdullah, Zulkeflee; Perumal, A.; Abidin, Muhammad Zaimi Zainal; Muhammad, Mohd Nazrin; Abdullah, Shariman</t>
  </si>
  <si>
    <t>Critical Factors Influencing User Experience on Passive Exoskeleton Application: A Review</t>
  </si>
  <si>
    <t>Wearable assistive device; engineering design; exoskeleton fabrication; materials selection; user acceptance</t>
  </si>
  <si>
    <t>LOWER-LIMB EXOSKELETON; OF-THE-ART; ROBOTIC EXOSKELETONS; ASSISTIVE DEVICE; KNEE EXOSKELETON; CENTERED DESIGN; LEG EXOSKELETON; PRODUCT DESIGN; REHABILITATION; GREEN</t>
  </si>
  <si>
    <t>Wearable assistive devices such as passive exoskeleton have been recognized as one of the effective solutions to assist people in industrial work, rehabilitation, elderly care, military and sports. The design and development of a passive exoskeleton that emphasizes on satisfying and fulfilling users' requirements and users' experience are essential to ensure the device remains competitive in the global market. A good user experience of using an exoskeleton stimulates users' satisfaction, as contemporary users are not only considering basic functional features but also fascinated by perception values such as aesthetics and enjoyment. The main purpose of this article is to review the critical factors that are influencing user experience before, during and after utilizing a passive exoskeleton. The authors had searched relevant articles from academic databases such as Google Scholar, Scopus and Web of Science as well as free Google search for the publication period from 2001 to 2021. Several search keywords were used such as 'passive exoskeleton + user experience', 'passive exoskeleton + industry', 'passive exoskeleton + rehabilitation', 'passive exoskeleton + military', 'passive exoskeleton + sports', 'passive exoskeleton + sit-stand', and passive exoskeleton + walking'. This online search found that a total of 236 articles related to the application of passive exoskeleton in the area of industry, rehabilitation, military and sports. Out of this, 81 articles were identified as significant references and examined thoroughly to prepare the essence of this paper. Based on these articles, the authors revealed that the engineering design, usability, flexibility, safety and ergonomics, aesthetics, accessibility, purchase cost, after-sales service and sustainability are the critical factors that are influencing user experience when employing passive exoskeleton.</t>
  </si>
  <si>
    <t>[Halim, Isa; Abdullah, Zulkeflee; Perumal, A.; Abidin, Muhammad Zaimi Zainal; Muhammad, Mohd Nazrin; Abdullah, Shariman] Univ Tekn Malaysia Melaka, Fak Kejuruteraan Pembuatan, Durian Tunggal 76100, Melaka, Malaysia; [Saptari, Adi] President Univ, Dept Ind Engn, Cikarang Baru 17550, Bekasi, Indonesia</t>
  </si>
  <si>
    <t>University Teknikal Malaysia Melaka</t>
  </si>
  <si>
    <t>Halim, I (corresponding author), Univ Tekn Malaysia Melaka, Fak Kejuruteraan Pembuatan, Durian Tunggal 76100, Melaka, Malaysia.</t>
  </si>
  <si>
    <t>isa@utem.edu.my</t>
  </si>
  <si>
    <t>Halim, Isa/ABB-9386-2022; Abdullah, Shariman/AHI-6982-2022; Abdullah, Zulkeflee/AFN-1847-2022; Saptari, Adi/GLR-2831-2022; MUHAMMAD, MOHD/AAF-6880-2021</t>
  </si>
  <si>
    <t>Centre for Research and Innovation Management of Universiti Teknikal Malaysia Melaka [PJP/2020/FKP/HI20/S01718]; Faculty of Manufacturing Engineering</t>
  </si>
  <si>
    <t>Centre for Research and Innovation Management of Universiti Teknikal Malaysia Melaka; Faculty of Manufacturing Engineering</t>
  </si>
  <si>
    <t>The authors would like to thank the Faculty of Manufacturing Engineering and the Centre for Research and Innovation Management of Universiti Teknikal Malaysia Melaka for funding this study under High Impact Short Term Research Grant entitled A Cost Effective Passive Exoskeleton for Prolonged Standing Jobs (PJP/2020/FKP/HI20/S01718).</t>
  </si>
  <si>
    <t>10.30880/ijie.2022.14.04.009</t>
  </si>
  <si>
    <t>2L4EJ</t>
  </si>
  <si>
    <t>WOS:000816970200009</t>
  </si>
  <si>
    <t>Kubota, A; Rick, LD</t>
  </si>
  <si>
    <t>Kubota, Alyssa; Rick, Laurel D.</t>
  </si>
  <si>
    <t>Methods for Robot Behavior Adaptation for Cognitive Neurorehabilitation</t>
  </si>
  <si>
    <t>human-robot interaction; behavior adaptation; neurorehabilitation; healthcare robotics; cognitive robotics; social robotics</t>
  </si>
  <si>
    <t>OLDER-ADULTS; SOCIAL ROBOTS; REHABILITATION; IMPAIRMENT; CARE; DEMENTIA; SCHIZOPHRENIA; TECHNOLOGY; STRATEGIES; CHILDREN</t>
  </si>
  <si>
    <t>An estimated 11% of adults report experiencing some form of cognitive decline, which may be associated with conditions such as stroke or dementia and can impact their memory, cognition, behavior, and physical abilities. While there are no known pharmacological treatments for many of these conditions, behavioral treatments such as cognitive training can prolong the independence of people with cognitive impairments. These treatments teach metacognitive strategies to compensate for memory difficulties in their everyday lives. Personalizing these treatments to suit the preferences and goals of an individual is critical to improving their engagement and sustainment, as well as maximizing the treatment's effectiveness. Robots have great potential to facilitate these training regimens and support people with cognitive impairments, their caregivers, and clinicians. This article examines how robots can adapt their behavior to be personalized to an individual in the context of cognitive neurorehabilitation. We provide an overview of existing robots being used to support neurorehabilitation and identify key principles for working in this space. We then examine state-of-the-art technical approaches for enabling longitudinal behavioral adaptation. To conclude, we discuss our recent work on enabling social robots to automatically adapt their behavior and explore open challenges for longitudinal behavior adaptation. This work will help guide the robotics community as it continues to provide more engaging, effective, and personalized interactions between people and robots.</t>
  </si>
  <si>
    <t>[Kubota, Alyssa; Rick, Laurel D.] Univ Calif San Diego, Dept Comp Sci &amp; Engn, La Jolla, CA 92093 USA</t>
  </si>
  <si>
    <t>University of California System; University of California San Diego</t>
  </si>
  <si>
    <t>Kubota, A (corresponding author), Univ Calif San Diego, Dept Comp Sci &amp; Engn, La Jolla, CA 92093 USA.</t>
  </si>
  <si>
    <t>akubota@ucsd.edu; lriek@ucsd.edu</t>
  </si>
  <si>
    <t>Riek, Laurel/0000-0001-7906-6691</t>
  </si>
  <si>
    <t>National Science Foundation [IIS-1915734, CMMI-1935500]</t>
  </si>
  <si>
    <t>Research reported in this paper is supported by the National Science Foundation under grants IIS-1915734 and CMMI-1935500.</t>
  </si>
  <si>
    <t>10.1146/annurev-control-042920-093225</t>
  </si>
  <si>
    <t>WOS:000795864800005</t>
  </si>
  <si>
    <t>Manchanda, N; Aggarwal, A; Setya, S; Talegaonkar, S</t>
  </si>
  <si>
    <t>Manchanda, Namish; Aggarwal, Akanksha; Setya, Sonal; Talegaonkar, Sushama</t>
  </si>
  <si>
    <t>Digital Intervention for the Management of Alzheimer's Disease</t>
  </si>
  <si>
    <t>CURRENT ALZHEIMER RESEARCH</t>
  </si>
  <si>
    <t>Alzheimer's disease; dementia; reminiscence therapy; mobile apps; internet of things; digital health</t>
  </si>
  <si>
    <t>MILD COGNITIVE IMPAIRMENT; REALITY EXPOSURE THERAPY; VIRTUAL-REALITY; MENTAL-HEALTH; AMYLOID-BETA; ECOLOGICAL VALIDITY; ASSISTIVE TECHNOLOGY; BEHAVIORAL THERAPY; MOBILE APPLICATION; ANXIETY DISORDERS</t>
  </si>
  <si>
    <t>Alzheimer's disease (AD) is a progressive, multifactorial, chronic, neurodegenerative disease with high prevalence and limited therapeutic options, making it a global health crisis. Being the most common cause of dementia, AD erodes the cognitive, functional, and social abilities of the individual and causes escalating medical and psychosocial needs. As yet, this disorder has no cure and current treatment options are palliative in nature. There is an urgent need for novel therapy to address this pressing challenge. Digital therapeutics (Dtx) is one such novel therapy that is gaining popularity globally. Dtx provides evidence based therapeutic interventions driven by internet and software, employing tools such as mobile devices, computers, videogames, apps, sensors, virtual reality aiding in the prevention, management, and treatment of ailments like neurological abnormalities and chronic diseases. Dtx acts as a supportive tool for the optimization of patient care, individualized treatment and improved health outcomes. Dtx uses visual, sound and other non-invasive approaches for instance-consistent therapy, reminiscence therapy, computerised cognitive training, semantic and phonological assistance devices, wearables and computer-assisted rehabilitation environment to find applications in Alzheimer's disease for improving memory, cognition, functional abilities and managing motor symptom. A few of the Dtx-based tools employed in AD include Memory Matters, AlzSense, Alzheimer Assistant, smart robotic dog, Immersive virtual reality (iVR) and the most current gamma stimulation. The purpose of this review article is to summarize the current trends in digital health in AD and explore the benefits, challenges, and impediments of using Dtx as an adjunctive therapy for the management of AD.</t>
  </si>
  <si>
    <t>[Manchanda, Namish; Talegaonkar, Sushama] Delhi Pharmaceut Sci &amp; Res Univ, Sch Pharmaceut Sci, Govt NCT Delhi, New Delhi 110017, India; [Aggarwal, Akanksha] Delhi Pharmaceut Sci &amp; Res Univ, Delhi Inst Pharmaceut Sci &amp; Res, Govt NCT Delhi, New Delhi 110017, India; [Setya, Sonal] SGT Univ, SGT Coll Pharm, Dept Pharm Practice, Gurugram 122505, Haryana, India</t>
  </si>
  <si>
    <t>Delhi Pharmaceutical Sciences &amp; Research University (DPSRU); Delhi Pharmaceutical Sciences &amp; Research University (DPSRU); Delhi Institute of Pharmaceutical Sciences &amp; Research</t>
  </si>
  <si>
    <t>Talegaonkar, S (corresponding author), Delhi Pharmaceut Sci &amp; Res Univ, Sch Pharmaceut Sci, Govt NCT Delhi, New Delhi 110017, India.;Setya, S (corresponding author), SGT Univ, SGT Coll Pharm, Dept Pharm Practice, Gurugram 122505, Haryana, India.</t>
  </si>
  <si>
    <t>setyasonal@gmail.com; stalegaonkar@gmail.com</t>
  </si>
  <si>
    <t>Manchanda, Namish/KCP-2746-2024; Aggarwal, Akanksha/HHN-5846-2022; Talegoankar, Sushama/AAW-8374-2020</t>
  </si>
  <si>
    <t>Manchanda, Namish/0000-0003-0152-5207; Talegaonkar, sushama/0000-0003-2211-5119</t>
  </si>
  <si>
    <t>BENTHAM SCIENCE PUBL LTD</t>
  </si>
  <si>
    <t>SHARJAH</t>
  </si>
  <si>
    <t>EXECUTIVE STE Y-2, PO BOX 7917, SAIF ZONE, 1200 BR SHARJAH, U ARAB EMIRATES</t>
  </si>
  <si>
    <t>1567-2050</t>
  </si>
  <si>
    <t>1875-5828</t>
  </si>
  <si>
    <t>CURR ALZHEIMER RES</t>
  </si>
  <si>
    <t>Curr. Alzheimer Res.</t>
  </si>
  <si>
    <t>10.2174/1567205020666230206124155</t>
  </si>
  <si>
    <t>H0CZ2</t>
  </si>
  <si>
    <t>WOS:000992742900002</t>
  </si>
  <si>
    <t>Mazzucchelli, M; Mazzoleni, D; Campanini, I; Merlo, A; Mazzoli, D; Melegari, C; Colombo, V; Cerulli, S; Piscitelli, D; Perin, C; Andrenelli, E; Bizzarini, E; Calabro, RS; Carmignano, SM; Cassio, A; Chisari, C; Dalise, S; Fundaro, C; Gazzotti, V; Stampacchia, G; Boldrini, P; Mazzoleni, S; Posteraro, F; Benanti, P; Castelli, E; Draicchio, F; Falabella, V; Galeri, S; Gimigliano, F; Grigioni, M; Mazzon, S; Molteni, F; Morone, G; Petrarca, M; Picelli, A; Senatore, M; Turchetti, G; Bonaiuti, D</t>
  </si>
  <si>
    <t>Mazzucchelli, Miryam; Mazzoleni, Daniele; Campanini, Isabella; Merlo, Andrea; Mazzoli, Davide; Melegari, Corrado; Colombo, Valentina; Cerulli, Simona; Piscitelli, Daniele; Perin, Cecilia; Andrenelli, Elisa; Bizzarini, Emiliana; Calabro, Rocco Salvatore; Carmignano, Simona Maria; Cassio, Anna; Chisari, Carmelo; Dalise, Stefania; Fundaro, Cira; Gazzotti, Valeria; Stampacchia, Giulia; Boldrini, Paolo; Mazzoleni, Stefano; Posteraro, Federico; Benanti, Paolo; Castelli, Enrico; Draicchio, Francesco; Falabella, Vincenzo; Galeri, Silvia; Gimigliano, Francesca; Grigioni, Mauro; Mazzon, Stefano; Molteni, Franco; Morone, Giovanni; Petrarca, Maurizio; Picelli, Alessandro; Senatore, Michele; Turchetti, Giuseppe; Bonaiuti, Donatella</t>
  </si>
  <si>
    <t>Evidence-based improvement of gait in post-stroke patients following robot-assisted training: A systematic review</t>
  </si>
  <si>
    <t>Stroke; gait; rehabilitation; robotics; lower extremity</t>
  </si>
  <si>
    <t>SUBACUTE STROKE PATIENTS; NON-AMBULATORY PATIENTS; DIRECT-CURRENT STIMULATION; EVIDENCE TELL US; OVERGROUND WALKING; SINGLE-BLIND; REHABILITATION; RECOVERY; THERAPY; BALANCE</t>
  </si>
  <si>
    <t>BACKGROUND: The recovery of walking after stroke is a priority goal for recovering autonomy. In the last years robotic systems employed for Robotic Assisted Gait Training (RAGT) were developed. However, literature and clinical practice did not offer standardized RAGT protocol or pattern of evaluation scales. OBJECTIVE: This systematic review aimed to summarize the available evidence on the use of RAGT in post-stroke, following the CICERONE Consensus indications. METHODS: The literature search was conducted on PubMed, Cochrane Library and PEDro, including studies with the following criteria: 1) adult post-stroke survivors with gait disability in acute/subacute/chronic phase; 2) RAGTas intervention; 3) any comparators; 4) outcome regarding impairment, activity, and participation; 5) both primary studies and reviews. RESULTS: Sixty-one articles were selected. Data about characteristics of patients, level of disability, robotic devices used, RAGT protocols, outcome measures, and level of evidence were extracted. CONCLUSION: It is possible to identify robotic devices that are more suitable for specific phase disease and level of disability, but we identified significant variability in dose and protocols. RAGT as an add-on treatment seemed to be prevalent. Further studies are needed to investigate the outcomes achieved as a function of RAGT doses delivered.</t>
  </si>
  <si>
    <t>[Mazzucchelli, Miryam; Mazzoleni, Daniele; Piscitelli, Daniele; Perin, Cecilia] Univ Milano Bicocca, Sch Med &amp; Surg, Milan, Italy; [Campanini, Isabella; Merlo, Andrea] San Sebastiano Hosp, Dept Neuromotor &amp; Rehabil, LAM Mot Anal Lab, AUSL IRCCS Reggio Emilia, Reggio Emilia, Italy; [Merlo, Andrea; Mazzoli, Davide] Sol &amp; Salus Osped Privato Accreditato, Gait &amp; Mot Anal Lab, Rimini, Italy; [Melegari, Corrado] Elias Neuroriabilitaz, Parma, Italy; [Colombo, Valentina] Montecatone Rehabil Inst, Imola, Italy; [Cerulli, Simona] Fdn Policlin Univ Agostino Gemelli IRCCS, Rome, Italy; [Piscitelli, Daniele] McGill Univ, Sch Phys &amp; Occupat Therapy, Montreal, PQ, Canada; [Perin, Cecilia] Ist Clin Zucchi, San Donato Grp, Monza, Italy; [Andrenelli, Elisa] Univ Politecn Marche, Dept Expt &amp; Clin Med, Ancona, Italy; [Bizzarini, Emiliana] Azienda Sanit Univ Friuli Cent ASU FC, Gervasutta Hosp, Dept Rehabil Med, Spinal Cord Unit, Udine, Italy; [Calabro, Rocco Salvatore] IRCCS Ctr Neurolesi Bonino Pulejo, Messina, Italy; [Carmignano, Simona Maria] Ctr Terapeut Riabilitat CTR, Potenza, Italy; [Cassio, Anna] Osped Fiorenzuola Arda, AUSL Piacenza, Spinal Cord Unit, Piacenza, Italy; [Cassio, Anna] Osped Fiorenzuola Arda, AUSL Piacenza, Intens Rehabil Med, Piacenza, Italy; [Chisari, Carmelo; Dalise, Stefania] Univ Pisa, Dept Translat Res &amp; New Technol Med &amp; Surg, Neurorehabil Sect, Pisa, Italy; [Fundaro, Cira] IRCCS Montescano, Neurophysiopathol Unit, Ist Clin Sci Maugeri, Pavia, Italy; [Gazzotti, Valeria] Ist Nazl Assicuraz Infortuni Lavoro INAIL, Ctr Protesi Vigorso Budrio, Bologna, Italy; [Stampacchia, Giulia] Pisa Univ Hosp, Spinal Cord Unit, Pisa, Italy; [Boldrini, Paolo] Italian Soc Phys Med &amp; Rehabil SIMFER, Rome, Italy; [Mazzoleni, Stefano] Politecn Bari, Dept Elect &amp; Informat Engn, Bari, Italy; [Posteraro, Federico] Versilia Hosp AUSL12, Dept Rehabil, Viareggio, Italy; [Benanti, Paolo] Pontifical Gregorian Univ, Rome, Italy; [Castelli, Enrico] IRCCS Bambino Gesu Childrens Hosp, Dept Paediat Neurorehabil, Rome, Italy; [Draicchio, Francesco] INAIL, Dept Occupat &amp; Environm Med Epidemiol &amp; Hyg, Rome, Italy; [Falabella, Vincenzo] Italian Federat Persons Spinal Cord Injuries FAIP, Rome, Italy; [Galeri, Silvia] IRCCS Fdn Don Carlo Gnocchi, Milan, Italy; [Gimigliano, Francesca] Univ Campania Luigi Vanvitelli, Dept Mental Phys Hlth &amp; Prevent Med, Naples, Italy; [Grigioni, Mauro] Italian Natl Inst Hlth, Natl Ctr Innovat Technol Publ Hlth, Rome, Italy; [Mazzon, Stefano] Camposampiero Hosp, Rehabil Unit, ULSS Local Hlth Author Euganea, Padua, Italy; [Molteni, Franco] Valduce Hosp, Villa Beretta Rehabil Ctr, Dept Rehabil Med, Lecce, Italy; [Morone, Giovanni] IRCCS Santa Lucia Fdn, Rome, Italy; [Petrarca, Maurizio] IRCCS Bambino Gesu Childrens Hosp, Movement Anal &amp; Robot Lab MARlab, Rome, Italy; [Picelli, Alessandro] Univ Verona, Dept Neurosci Biomed &amp; Movement Sci, Verona, Italy; [Senatore, Michele] Assoc Italiana Terapisti Occupaz AITO, Rome, Italy; [Turchetti, Giuseppe] Scuola Super Sant Anna, Inst Management, Pisa, Italy; [Bonaiuti, Donatella] Piero Redaelli Geriatr Inst, Milan, Italy</t>
  </si>
  <si>
    <t>University of Milano-Bicocca; Catholic University of the Sacred Heart; IRCCS Policlinico Gemelli; McGill University; Marche Polytechnic University; IRCCS Bonino Pulejo; Ospedale di Piacenza; Ospedale di Piacenza; University of Pisa; Istituti Clinici Scientifici Maugeri IRCCS; University of Pisa; Azienda Ospedaliero Universitaria Pisana; Politecnico di Bari; IRCCS Bambino Gesu; Istituto Nazionale per l'Assicurazione Contro gli Infortuni sul Lavoro (INAIL); IRCCS Fondazione Don Carlo Gnocchi Onlus; Universita della Campania Vanvitelli; Istituto Superiore di Sanita (ISS); ULSS 6 Euganea; Ospedale di Camposampiero; IRCCS Santa Lucia; IRCCS Bambino Gesu; University of Verona; Scuola Superiore Sant'Anna</t>
  </si>
  <si>
    <t>Mazzucchelli, M (corresponding author), Univ Milano Bicocca, Sch Med &amp; Surg, Milan, Italy.</t>
  </si>
  <si>
    <t>m.mazzucchelli@campus.unimib.it</t>
  </si>
  <si>
    <t>calabro, rocco/L-9570-2019; Molteni, Franco/J-4455-2016; Petrarca, Maurizio/GWZ-3714-2022; Dalise, Stefania/K-8940-2016; Francesco, Draicchio/AAC-7681-2022; Morone, Giovanni/AAN-2666-2020; Turchetti, Giuseppe/K-5393-2018; carmignano, simona/AAA-2372-2020; Merlo, Andrea/M-4405-2019; Picelli, Alessandro/K-5610-2016; Campanini, Isabella/H-3600-2017; Mazzoleni, Stefano/B-5875-2011; Morone, Giovanni/A-9561-2013; Piscitelli, Daniele/L-9387-2019</t>
  </si>
  <si>
    <t>ANDRENELLI, ELISA/0000-0001-7982-9871; Mazzoli, Davide/0009-0003-3494-0287; Campanini, Isabella/0000-0002-9286-6711; Dalise, Stefania/0000-0002-1422-1539; Mazzoleni, Stefano/0000-0002-9528-3239; Merlo, Andrea/0000-0002-5587-5686; Morone, Giovanni/0000-0003-3602-4197; Piscitelli, Daniele/0000-0002-5240-3798</t>
  </si>
  <si>
    <t>10.3233/NRE-220024</t>
  </si>
  <si>
    <t>WOS:000908350900005</t>
  </si>
  <si>
    <t>Meng, QL; Zeng, QX; Xie, QL; Fei, CZ; Kong, BL; Lu, XH; Wang, HB; Yu, HL</t>
  </si>
  <si>
    <t>Meng, Qiaoling; Zeng, Qingxin; Xie, Qiaolian; Fei, Cuizhi; Kong, Bolei; Lu, Xuhua; Wang, Haibin; Yu, Hongliu</t>
  </si>
  <si>
    <t>Flexible lower limb exoskeleton systems: A review</t>
  </si>
  <si>
    <t>Lower extremity exoskeleton; soft exoskeleton; wearable robotics; walking assistance; gait assistance</t>
  </si>
  <si>
    <t>ANKLE EXOSKELETON; WALKING; ENERGY; ASSISTANCE; ENERGETICS; WORK; COST; MECHANICS; DESIGN; DRIVEN</t>
  </si>
  <si>
    <t>BACKGROUND: As an emerging exoskeleton robot technology, flexible lower limb exoskeleton (FLLE) integrates flexible drive and wearable mechanism, effectively solving many problems of traditional rigid lower limb exoskeleton (RLLE) such as higher quality, poorer compliance and relatively poor portability, and has become one of the important development directions in the field of active rehabilitation. OBJECTIVE: This review focused on the development and innovation process in the field of FLLE in the past decade. METHOD: Related literature published from 2010 to 2021 were searched in EI, IEEE Xplore, PubMed andWeb of Science databases. Seventy target research articles were further screened and sorted through inclusion and exclusion criteria. RESULTS: FLLE is classified according to different driving modes, and the advantages and disadvantages of passive flexible lower limb exoskeletons and active flexible lower limb exoskeletons are comprehensively summarized. CONCLUSION: At present, FLLE's research is mainly based on cable drive, bionic pneumatic muscles followed and matured, and new exoskeleton designs based on smart material innovations also trend to diversify. In the future, the development direction of FLLE will be lightweight and drive compliance, and the multi-mode sensory feedback control theory, motion intention recognition theory and human-machine interaction theory will be combined to reduce the metabolic energy consumption of walking.</t>
  </si>
  <si>
    <t>[Meng, Qiaoling; Zeng, Qingxin; Xie, Qiaolian; Fei, Cuizhi; Kong, Bolei; Yu, Hongliu] Univ Shanghai Sci &amp; Technol, Inst Rehabil Engn &amp; Technol, 516 Jungong Rd, Shanghai, Peoples R China; [Meng, Qiaoling; Zeng, Qingxin; Xie, Qiaolian; Fei, Cuizhi; Kong, Bolei; Yu, Hongliu] Shanghai Engn Res Ctr Assist Devices, Shanghai, Peoples R China; [Meng, Qiaoling; Zeng, Qingxin; Xie, Qiaolian; Fei, Cuizhi; Kong, Bolei; Yu, Hongliu] Minist Civil Affairs, Key Lab Neural Funct Informat &amp; Rehabil Engn, Shanghai, Peoples R China; [Lu, Xuhua; Wang, Haibin] Naval Med Univ, Shanghai Changzheng Hosp, Dept Orthopaed, Shanghai, Peoples R China</t>
  </si>
  <si>
    <t>University of Shanghai for Science &amp; Technology; Naval Medical University</t>
  </si>
  <si>
    <t>Yu, HL (corresponding author), Univ Shanghai Sci &amp; Technol, Inst Rehabil Engn &amp; Technol, 516 Jungong Rd, Shanghai, Peoples R China.</t>
  </si>
  <si>
    <t>yhl98@hotmail.com</t>
  </si>
  <si>
    <t>Yu, Hongliu/KIH-0320-2024; Meng, Qiaoling/C-5847-2013</t>
  </si>
  <si>
    <t>National Key R&amp;D Program of China [2018YFC2001501]</t>
  </si>
  <si>
    <t>National Key R&amp;D Program of China</t>
  </si>
  <si>
    <t>The authors gratefully acknowledge the financial support from the National Key R&amp;D Program of China (2018YFC2001501) under the project Research on the Mechanism and Key Technology of Biomechanical Intelligent Correction of Motor System Diseases in the Elderly (from 12/2018 to 08/2022).</t>
  </si>
  <si>
    <t>10.3233/NRE-210300</t>
  </si>
  <si>
    <t>C6QC8</t>
  </si>
  <si>
    <t>WOS:000963130000002</t>
  </si>
  <si>
    <t>Mennella, C; Alloisio, S; Novellino, A; Viti, F</t>
  </si>
  <si>
    <t>Mennella, Ciro; Alloisio, Susanna; Novellino, Antonio; Viti, Federica</t>
  </si>
  <si>
    <t>Characteristics and Applications of Technology-Aided Hand Functional Assessment: A Systematic Review</t>
  </si>
  <si>
    <t>hand; functional assessment; quantitative assessment; kinematic analysis; kinetic analysis; robotic technology; sensing technology</t>
  </si>
  <si>
    <t>VIRTUAL-REALITY; REHABILITATION; IMPAIRMENTS; VISION; GLOVE</t>
  </si>
  <si>
    <t>Technology-aided hand functional assessment has received considerable attention in recent years. Its applications are required to obtain objective, reliable, and sensitive methods for clinical decision making. This systematic review aims to investigate and discuss characteristics of technology-aided hand functional assessment and their applications, in terms of the adopted sensing technology, evaluation methods and purposes. Based on the shortcomings of current applications, and opportunities offered by emerging systems, this review aims to support the design and the translation to clinical practice of technology-aided hand functional assessment. To this end, a systematic literature search was led, according to recommended PRISMA guidelines, in PubMed and IEEE Xplore databases. The search yielded 208 records, resulting into 23 articles included in the study. Glove-based systems, instrumented objects and body-networked sensor systems appeared from the search, together with vision-based motion capture systems, end-effector, and exoskeleton systems. Inertial measurement unit (IMU) and force sensing resistor (FSR) resulted the sensing technologies most used for kinematic and kinetic analysis. A lack of standardization in system metrics and assessment methods emerged. Future studies that pertinently discuss the pathophysiological content and clinimetrics properties of new systems are required for leading technologies to clinical acceptance.</t>
  </si>
  <si>
    <t>[Mennella, Ciro; Alloisio, Susanna; Viti, Federica] CNR, Inst Biophys, Via Marini 6, I-16149 Genoa, Italy; [Alloisio, Susanna; Novellino, Antonio] ETT Spa, Via Sestri 37, I-16154 Genoa, Italy</t>
  </si>
  <si>
    <t>Consiglio Nazionale delle Ricerche (CNR); Istituto di Biofisica (IBF-CNR)</t>
  </si>
  <si>
    <t>Mennella, C (corresponding author), CNR, Inst Biophys, Via Marini 6, I-16149 Genoa, Italy.</t>
  </si>
  <si>
    <t>ciro.mennella@ibf.cnr.it; susanna.alloisio@ettsolutions.com; antonio.novellino@ettsolutions.com; federica.viti@ibf.cnr.it</t>
  </si>
  <si>
    <t>Novellino, Antonio/JDW-8725-2023; MENNELLA, CIRO/HPH-2478-2023; Viti, Federica/IAR-5194-2023</t>
  </si>
  <si>
    <t>MENNELLA, CIRO/0000-0003-0419-7181</t>
  </si>
  <si>
    <t>10.3390/s22010199</t>
  </si>
  <si>
    <t>YH1WL</t>
  </si>
  <si>
    <t>WOS:000742964500001</t>
  </si>
  <si>
    <t>Stampacchia, G; Gazzotti, V; Olivieri, M; Andrenelli, E; Bonaiuti, D; Calabro, RS; Carmignano, SM; Cassio, A; Fundaro, C; Companini, I; Mazzoli, D; Cerulli, S; Chisari, C; Colombo, V; Dalise, S; Mazzoleni, D; Melegari, C; Merlo, A; Boldrini, P; Mazzoleni, S; Posteraro, F; Mazzucchelli, M; Benanti, P; Castelli, E; Draicchio, F; Falabella, V; Galeri, S; Gimigliano, F; Grigioni, M; Mazzon, S; Molteni, F; Morone, G; Petrarca, M; Picelli, A; Senatore, M; Turchetti, G; Bizzarrini, E</t>
  </si>
  <si>
    <t>Stampacchia, Giulia; Gazzotti, Valeria; Olivieri, Matteo; Andrenelli, Elisa; Bonaiuti, Donatella; Calabro, Rocco Salvatore; Carmignano, Simona Maria; Cassio, Anna; Fundaro, Cira; Companini, Isabella; Mazzoli, David; Cerulli, Simona; Chisari, Carmelo; Colombo, Valentina; Dalise, Stefania; Mazzoleni, Daniele; Melegari, Corrado; Merlo, Andrea; Boldrini, Paolo; Mazzoleni, Stefano; Posteraro, Federico; Mazzucchelli, Miriam; Benanti, Paolo; Castelli, Enrico; Draicchio, Francesco; Falabella, Vincenzo; Galeri, Silvia; Gimigliano, Francesca; Grigioni, Mauro; Mazzon, Stefano; Molteni, Franco; Morone, Giovanni; Petrarca, Maurizio; Picelli, Alessandro; Senatore, Michele; Turchetti, Giuseppe; Bizzarrini, Emiliana</t>
  </si>
  <si>
    <t>Gait robot-assisted rehabilitation in persons with spinal cord injury: A scoping review</t>
  </si>
  <si>
    <t>Gait rehabilitation; exoskeleton robot; spinal cord injury</t>
  </si>
  <si>
    <t>VOLUNTARY DRIVEN EXOSKELETON; DIRECT-CURRENT STIMULATION; POWERED EXOSKELETON; BODY-COMPOSITION; ENERGY EFFICIENCY; WALKING; INDIVIDUALS; PILOT; PEOPLE; SATISFACTION</t>
  </si>
  <si>
    <t>BACKGROUND: Many robots are available for gait rehabilitation (BWSTRT and ORET) and their application in persons with SCI allowed an improvement of walking function. OBJECTIVE: The aim of the study is to compare the effects of different robotic exoskeletons gait training in persons with different SCI level and severity. METHODS: Sixty-two studies were included in this systematic review; the study quality was assessed according to GRADE and PEDro's scale. RESULTS: Quality assessment of included studies (n = 62) demonstrated a prevalence of evidence level 2; the quality of the studies was higher for BWSTRT (excellent and good) than for ORET (fair and good). Almost all persons recruited for BWSTRT had an incomplete SCI; both complete and incomplete SCI were recruited for ORET. The SCI lesion level in the persons recruited for BWSTRT are from cervical to sacral; mainly from thoracic to sacral for ORET; a high representation of AIS D lesion resulted both for BWSTRT (30%) and for ORET (45%). The walking performance, tested with 10MWT, 6MWT, TUG and WISCI, improved after exoskeleton training in persons with incomplete SCI lesions, when at least 20 sessions were applied. Persons with complete SCI lesions improved the dexterity in walking with exoskeleton, but did not recover independent walking function; symptoms such as spasticity, pain and cardiovascular endurance improved. CONCLUSION: Different exoskeletons are available for walking rehabilitation in persons with SCI. The choice about the kind of robotic gait training should be addressed on the basis of the lesion severity and the possible comorbidities.</t>
  </si>
  <si>
    <t>[Stampacchia, Giulia] Azienda Osped Univ Pisana, Pisa, Italy; [Gazzotti, Valeria] Ist Nazl Assicuraz Infortuni Lavoro INAIL, Ctr Protesi Vigorso Budrio, Bologna, Italy; [Olivieri, Matteo] Scuola IMT Alti Studi Lucca, Lucca, Italy; [Andrenelli, Elisa] Univ Politecn Marche, Dept Expt &amp; Clin Med, Ancona, Italy; [Bonaiuti, Donatella] Piero Redaelli Geriatr Inst, Milan, Italy; [Calabro, Rocco Salvatore] IRCCS Ctr Neurolesi Bonino Pulejo, Messina, Italy; [Carmignano, Simona Maria] Rehabil Therapeut Ctr CTR, Potenza, Italy; [Carmignano, Simona Maria] Univ Salerno, Salerno, Italy; [Cassio, Anna] Osped Fiorenzuola Arda, AUSL Piacenza, Spinal Cord Unit, Piacenza, Italy; [Cassio, Anna] Osped Fiorenzuola Arda, AUSL Piacenza, Intens Rehabil Med, Piacenza, Italy; [Fundaro, Cira] IRCCS Montescano, Neurophysiopathol Unit, Ist Clin Sci Maugeri, Pavia, Italy; [Companini, Isabella] San Sebastiano Hosp, Dept Neuromotor &amp; Rehabil, LAM Mot Anal Lab, AUSL IRCCS Reggio Emilia, Reggio Emilia, Italy; [Mazzoli, David; Merlo, Andrea] Sol &amp; Salus Osped Privato Accreditato, Gait &amp; Mot Anal Lab, Rimini, Italy; [Cerulli, Simona] Fdn Policlin Univ Agostino Gemelli IRCCS, Rome, Italy; [Chisari, Carmelo; Dalise, Stefania] Univ Pisa, Dept Translat Res &amp; New Technol Med &amp; Surg, Neurorehabil Sect, Pisa, Italy; [Colombo, Valentina] Montecatone Rehabil Inst, Imola, Italy; [Mazzoleni, Daniele; Mazzucchelli, Miriam] Univ Milano Bicocca, Sch Med &amp; Surg, Milan, Italy; [Melegari, Corrado] Elias Neuroriabilitaz, Parma, Italy; [Boldrini, Paolo] Italian Soc Phys Med &amp; Rehabil SIMFER, Rome, Italy; [Mazzoleni, Stefano] Politecn Bari, Dept Elect &amp; Informat Engn, Bari, Italy; [Posteraro, Federico] Versilia Hosp AUSL12, Dept Rehabil, Viareggio, Italy; [Benanti, Paolo] Pontifical Gregorian Univ, Rome, Italy; [Castelli, Enrico] IRCCS Bambino Gesu Childrens Hosp, Dept Paediat Neurorehabil, Rome, Italy; [Draicchio, Francesco] INAIL, Dept Occupat &amp; Environm Med Epidemiol &amp; Hyg, Rome, Italy; [Falabella, Vincenzo] Italian Federat Persons Spinal Cord Injuries FAIP, Rome, Italy; [Galeri, Silvia] IRCCS Fdn Don Carlo Gnocchi, Pavia, Italy; [Gimigliano, Francesca] Univ Campania Luigi Vanvitelli, Dept Mental Phys Hlth &amp; Prevent Med, Naples, Italy; [Grigioni, Mauro] Italian Natl Inst Hlth, Natl Ctr Innovat Technol Publ Hlth, Rome, Italy; [Mazzon, Stefano] Camposampiero Hosp, Rehabil Unit, ULSS Local Hlth Author Euganea, Padua, Italy; [Molteni, Franco] Valduce Hosp, Villa Beretta Rehabil Ctr, Dept Rehabil Med, Lecce, Italy; [Morone, Giovanni] IRCCS Santa Lucia Fdn, Rome, Italy; [Petrarca, Maurizio] IRCCS Bambino Gesu Childrens Hosp, Movement Anal &amp; Robot Lab MARlab, Rome, Italy; [Picelli, Alessandro] Univ Verona, Dept Neurosci Biomed &amp; Movement Sci, Verona, Italy; [Senatore, Michele] Assoc Italiana Terapisti Occupazionali AITO, Rome, Italy; [Turchetti, Giuseppe] Scuola Super Sant Anna, Inst Management, Pisa, Italy; [Bizzarrini, Emiliana] Azienda Sanitaria Univ Friuli Cent ASU FC, Gervasutta Hosp, Dept Rehabil Med, Spinal Cord Unit, Udine, Italy</t>
  </si>
  <si>
    <t>University of Pisa; Azienda Ospedaliero Universitaria Pisana; IMT School for Advanced Studies Lucca; Marche Polytechnic University; IRCCS Bonino Pulejo; University of Salerno; Ospedale di Piacenza; Ospedale di Piacenza; Istituti Clinici Scientifici Maugeri IRCCS; Catholic University of the Sacred Heart; IRCCS Policlinico Gemelli; University of Pisa; University of Milano-Bicocca; Politecnico di Bari; IRCCS Bambino Gesu; Istituto Nazionale per l'Assicurazione Contro gli Infortuni sul Lavoro (INAIL); Universita della Campania Vanvitelli; Istituto Superiore di Sanita (ISS); ULSS 6 Euganea; Ospedale di Camposampiero; IRCCS Santa Lucia; IRCCS Bambino Gesu; University of Verona; Scuola Superiore Sant'Anna</t>
  </si>
  <si>
    <t>Stampacchia, G (corresponding author), Azienda Osped Univ Pisana, Pisa, Italy.</t>
  </si>
  <si>
    <t>g.stampacchia@ao-pisa.toscana.it</t>
  </si>
  <si>
    <t>Turchetti, Giuseppe/K-5393-2018; Morone, Giovanni/AAN-2666-2020; Merlo, Andrea/M-4405-2019; Dalise, Stefania/K-8940-2016; Picelli, Alessandro/K-5610-2016; Petrarca, Maurizio/GWZ-3714-2022; Olivieri, Matteo/ABG-2067-2020; Molteni, Franco/J-4455-2016; carmignano, simona/AAA-2372-2020; calabro, rocco/L-9570-2019; Francesco, Draicchio/AAC-7681-2022; Morone, Giovanni/A-9561-2013; Mazzoleni, Stefano/B-5875-2011</t>
  </si>
  <si>
    <t>Morone, Giovanni/0000-0003-3602-4197; Dalise, Stefania/0000-0002-1422-1539; ANDRENELLI, ELISA/0000-0001-7982-9871; Olivieri, Matteo/0000-0002-4348-7344; Mazzoleni, Stefano/0000-0002-9528-3239</t>
  </si>
  <si>
    <t>10.3233/NRE-220061</t>
  </si>
  <si>
    <t>WOS:000908350900006</t>
  </si>
  <si>
    <t>Straudi, S; Baluardo, L; Arienti, C; Bozzolan, M; Lazzarini, SG; Agostini, M; Aprile, I; Paci, M; Casanova, E; Marino, D; La Rosa, G; Bressi, F; Sterzi, S; Giansanti, D; Perrero, L; Battistini, A; Miccinilli, S; Filoni, S; Sicari, M; Petrozzino, S; Solaro, CM; Gargano, S; Benanti, P; Boldrini, P; Bonaiuti, D; Castelli, E; Draicchio, F; Falabella, V; Galeri, S; Gimigliano, F; Grigioni, M; Mazzoleni, S; Mazzon, S; Molteni, F; Petrarca, M; Picelli, A; Posteraro, F; Senatore, M; Turchetti, G; Morone, G</t>
  </si>
  <si>
    <t>Straudi, Sofia; Baluardo, Ludovica; Arienti, Chiara; Bozzolan, Michela; Lazzarini, Stefano G.; Agostini, Michela; Aprile, Irene; Paci, Matteo; Casanova, Emanuela; Marino, Dario; La Rosa, Giuseppe; Bressi, Federica; Sterzi, Silvia; Giansanti, Daniele; Perrero, Luca; Battistini, Alberto; Miccinilli, Sandra; Filoni, Serena; Sicari, Monica; Petrozzino, Salvatore; Solaro, Claudio Marcello; Gargano, Stefano; Benanti, Paolo; Boldrini, Paolo; Bonaiuti, Donatella; Castelli, Enrico; Draicchio, Francesco; Falabella, Vincenzo; Galeri, Silvia; Gimigliano, Francesca; Grigioni, Mauro; Mazzoleni, Stefano; Mazzon, Stefano; Molteni, Franco; Petrarca, Maurizio; Picelli, Alessandro; Posteraro, Federico; Senatore, Michele; Turchetti, Giuseppe; Morone, Giovanni</t>
  </si>
  <si>
    <t>Effectiveness of robot-assisted arm therapy in stroke rehabilitation: An overview of systematic reviews</t>
  </si>
  <si>
    <t>Stroke; arm rehabilitation; robot-assisted arm therapy; end-effector devices; exoskeleton devices</t>
  </si>
  <si>
    <t>UPPER-LIMB RECOVERY; QUALITY-OF-LIFE; POST-STROKE; POSTSTROKE; PARTICIPATION; INTERVENTIONS; IMPAIRMENT; CHALLENGES; SURVIVORS; EFFICACY</t>
  </si>
  <si>
    <t>BACKGROUND: Robot-assisted arm therapy (RAT) has been used mainly in stroke rehabilitation in the last 20 years with rising expectations and growing evidence summarized in systematic reviews (SRs). OBJECTIVE: The aim of this study is to provide an overview of SRs about the effectiveness, within the ICF domains, and safety of RAT in the rehabilitation of adult with stroke compared to other treatments. METHODS: The search strategy was conducted using search strings adapted explicitly for each database. A screening base on title and abstract was realized to find all the potentially relevant studies. The methodological quality of the included SRs was assessed using AMSTAR-2. A pre-determined standardized form was used to realize the data extraction. RESULTS: 18 SRs were included in this overview. Generally, positive effects from the RAT were found for motor function and muscle strength, whereas there is no agreement for muscle tone effects. No effect was found for pain, and only a SR reported the positive impact of RAT in daily living activity. CONCLUSION: RAT can be considered a valuable option to increase motor function and muscle strength after stroke. However, the poor quality of most of the included SRs could limit the certainty around the results.</t>
  </si>
  <si>
    <t>[Straudi, Sofia; Baluardo, Ludovica] Ferrara Univ, Dept Neurosci &amp; Rehabil, Ferrara, Italy; [Arienti, Chiara; Lazzarini, Stefano G.; Galeri, Silvia] IRCCS Fdn Don Carlo Gnocchi, Milan, Italy; [Bozzolan, Michela] Azienda Osped Univ S Anna Ferrara, Interdept Educ Serv, Ferrara, Italy; [Agostini, Michela] San Camillo IRCCS, Venice, Italy; [Aprile, Irene] IRCCS Fdn Don Carlo Gnocchi, Florence, Italy; [Paci, Matteo] AUSL Unique Sanit Local Co Dist Cent Tuscany, Florence, Italy; [Casanova, Emanuela; Battistini, Alberto] IRCCS Ist Sci Neurol Bologna, Bologna, Italy; [Marino, Dario] IRCCS Neurolysis Ctr Bonino Pulejo, Messina, Italy; [La Rosa, Giuseppe] Consorzio Siciliano Riabilitaz CSR, Catania, Italy; [Bressi, Federica; Sterzi, Silvia; Miccinilli, Sandra] Campus Biomed Univ Hosp Fdn, Rome, Italy; [Giansanti, Daniele; Grigioni, Mauro] Italian Natl Inst Hlth, Natl Ctr Innovat Technol Publ Hlth, Rome, Italy; [Perrero, Luca] Azienda Osped Nazl SS Antonio &amp; Biagio &amp; Cesare A, Neurorehabil Unit, Alessandria, Italy; [Filoni, Serena] Padre Pio Onlus Rehabil Ctr Fdn, San Giovanni Rotondo, Italy; [Sicari, Monica; Petrozzino, Salvatore] AOU Citta Salute &amp; Sci Torino, Turin, Italy; [Solaro, Claudio Marcello] CRRF Mons Luigi Novarese, Vercelli, Italy; [Gargano, Stefano] IRCCS Fdn Don Carlo Gnocchi, Turin, Italy; [Benanti, Paolo] Pontifical Gregorian Univ, Rome, Italy; [Boldrini, Paolo] Soc Italiana Med Fis &amp; Riabilitat SIMFER, Rome, Italy; [Bonaiuti, Donatella] Ist Geriatr Piero Redaelli, Milan, Italy; [Castelli, Enrico] IRCCS Bambino Gesu Childrens Hosp, Dept Paediat Neurorehabil, Rome, Italy; [Draicchio, Francesco] INAIL, Dept Occupat &amp; Environm Med, Epidemiol &amp; Hyg, Rome, Italy; [Falabella, Vincenzo] Italian Federat Persons Spinal Cord Injuries Faip, Rome, Italy; [Gimigliano, Francesca] Univ Campania Luigi Vanvitelli, Dept Mental Phys Hlth &amp; Prevent Med, Naples, Italy; [Mazzoleni, Stefano] Politecn Bari, Dept Elect &amp; Informat Engn, Bari, Italy; [Mazzon, Stefano] AULSS6 Unique Sanit Local Co, Euganea Padova Distretto Alta Padovana 4, Padua, Italy; [Molteni, Franco] Valduce Hosp, Villa Beretta Rehabil Ctr, Dept Rehabil Med, Lecce, Italy; [Petrarca, Maurizio] IRCCS Bambino Gesu Childrens Hosp, Movement Anal &amp; Robot Lab MARlab, Rome, Italy; [Picelli, Alessandro] Univ Verona, Dept Neurosci Biomed &amp; Movement Sci, Verona, Italy; [Posteraro, Federico] Versilia Hosp AUSL12, Dept Rehabil, Viareggio, Italy; [Senatore, Michele] Assoc Italiana Terapisti Occupaz AITO, Rome, Italy; [Turchetti, Giuseppe] St Anna Sch Adv Studies, Management Inst, Pisa, Italy; [Morone, Giovanni] Univ Aquila, Dept Life Hlth &amp; Environm Sci, Laquila, Italy; Univ Campania Luigi Vanvitelli, Multidisciplinaly Dept Med Surg &amp; Orthodont, Naples, Italy; IRCCS Santa Lucia Fdn, Rome, Italy; IRCCS San Raffaele Pisana, Dept Neurosci, Rome, Italy; Univ Torino, Turin, Italy</t>
  </si>
  <si>
    <t>University of Ferrara; Arcispedale Sant'Anna; IRCCS Fondazione Don Carlo Gnocchi Onlus; University of Ferrara; Arcispedale Sant'Anna; IRCCS Ospedale San Camillo; IRCCS Fondazione Don Carlo Gnocchi Onlus; IRCCS Istituto delle Scienze Neurologiche di Bologna (ISNB); Fondazione Policlinico Universitario Campus Bio-Medico; Istituto Superiore di Sanita (ISS); Azienda Ospedaliera SS Antonio Biagio Cesare Arrigo; A.O.U. Citta della Salute e della Scienza di Torino; IRCCS Bambino Gesu; Istituto Nazionale per l'Assicurazione Contro gli Infortuni sul Lavoro (INAIL); Universita della Campania Vanvitelli; Politecnico di Bari; IRCCS Bambino Gesu; University of Verona; Scuola Superiore Sant'Anna; University of L'Aquila; Universita della Campania Vanvitelli; IRCCS Santa Lucia; IRCCS San Raffaele Pisana; University of Turin</t>
  </si>
  <si>
    <t>Arienti, C (corresponding author), IRCSS Fdn Don Carlo Gnocchi, Cochrane Rehabil, Milan, Italy.</t>
  </si>
  <si>
    <t>carienti@dongnocchi.it</t>
  </si>
  <si>
    <t>Paci, matteo/C-5267-2015; Sterzi, Silvia/AAJ-3940-2020; Lazzarini, Stefano/AHC-0043-2022; Marino, Dario/AAA-7195-2022; Picelli, Alessandro/K-5610-2016; Solaro, Claudio/AAL-2402-2021; Petrarca, Maurizio/GWZ-3714-2022; MIccinilli, Sandra/AAC-3628-2022; GIANSANTI, DANIELE/IWL-9175-2023; Turchetti, Giuseppe/K-5393-2018; Straudi, Sofia/AAI-6971-2021; Casanova, Emanuela/AAD-3643-2022; Francesco, Draicchio/AAC-7681-2022; Morone, Giovanni/AAN-2666-2020; Molteni, Franco/J-4455-2016; Arienti, Chiara/AAC-5302-2022; La Rosa, Giuseppe/ITU-7690-2023; Morone, Giovanni/A-9561-2013; Mazzoleni, Stefano/B-5875-2011</t>
  </si>
  <si>
    <t>Arienti, Chiara/0000-0003-0787-6075; La Rosa, Giuseppe/0000-0003-0287-1267; Morone, Giovanni/0000-0003-3602-4197; Marino, Dario/0000-0002-4608-9843; Giansanti, Daniele/0000-0002-8904-0847; Paci, Matteo/0000-0002-5180-8355; Boetto, Valentina/0000-0003-2192-2736; Bravi, Marco/0000-0002-3396-4100; Mazzoleni, Stefano/0000-0002-9528-3239; Russo, Emanuele Francesco/0009-0005-2958-602X</t>
  </si>
  <si>
    <t>10.3233/NRE-220027</t>
  </si>
  <si>
    <t>WOS:000908350900003</t>
  </si>
  <si>
    <t>Turolla, A; Kiper, P; Mazzarotto, D; Cecchi, F; Colucci, M; D'Avenio, G; Facciorusso, S; Gatti, R; Giansanti, D; Iosa, M; Bonaiuti, D; Boldrini, P; Mazzoleni, S; Posteraro, F; Benanti, P; Castelli, E; Draicchio, F; Falabella, V; Galeri, S; Gimigliano, F; Grigioni, M; Mazzon, S; Morone, G; Petrarca, M; Picelli, A; Senatore, M; Turchetti, G; Molteni, F</t>
  </si>
  <si>
    <t>Turolla, Andrea; Kiper, Pawel; Mazzarotto, Deborah; Cecchi, Francesca; Colucci, Mariele; D'Avenio, Giuseppe; Facciorusso, Salvatore; Gatti, Roberto; Giansanti, Daniele; Iosa, Marco; Bonaiuti, Donatella; Boldrini, Paolo; Mazzoleni, Stefano; Posteraro, Federico; Benanti, Paolo; Castelli, Enrico; Draicchio, Francesco; Falabella, Vincenzo; Galeri, Silvia; Gimigliano, Francesca; Grigioni, Mauro; Mazzon, Stefano; Morone, Giovanni; Petrarca, Maurizio; Picelli, Alessandro; Senatore, Michele; Turchetti, Giuseppe; Molteni, Franco</t>
  </si>
  <si>
    <t>Italian Consensus Conf Robotics Ne</t>
  </si>
  <si>
    <t>Reference theories and future perspectives on robot-assisted rehabilitation in people with neurological conditions: A scoping review and recommendations from the Italian Consensus Conference on Robotics in Neurorehabilitation (CICERONE)</t>
  </si>
  <si>
    <t>Robot-assisted rehabilitation; theoretical models; neurorehabilitation; Consensus Conference</t>
  </si>
  <si>
    <t>OF-THE-ART; ELECTROMECHANICAL DEVICES; ARTIFICIAL-INTELLIGENCE; STROKE REHABILITATION; MULTIPLE-SCLEROSIS; PRINCIPLES; DISABILITIES; TECHNOLOGY; GUIDELINES; EXPERIENCE</t>
  </si>
  <si>
    <t>BACKGROUND: Robot-based treatments are developing in neurorehabilitation settings. Recently, the Italian National Health Systems recognized robot-based rehabilitation as a refundable service. Thus, the Italian neurorehabilitation community promoted a national consensus on this topic. OBJECTIVE: To conceptualize undisclosed perspectives for research and applications of robotics for neurorehabilitation, based on a qualitative synthesis of reference theoretical models. METHODS: A scoping review was carried out based on a specific question from the consensus Jury. A foreground search strategy was developed on theoretical models (context) of robot-based rehabilitation (exposure), in neurological patients (population). PubMed and EMBASE (R) databases were searched and studies on theoretical models of motor control, neurobiology of recovery, human-robot interaction and economic sustainability were included, while experimental studies not aimed to investigate theoretical frameworks, or considering prosthetics, were excluded. RESULTS: Overall, 3699 records were screened and finally 9 papers included according to inclusion and exclusion criteria. According to the population investigated, structured information on theoretical models and indications for future research was summarized in a synoptic table. CONCLUSION: The main indication from the Italian consensus on robotics in neurorehabilitation is the priority to design research studies aimed to investigate the role of robotic and electromechanical devices in promoting neuroplasticity.</t>
  </si>
  <si>
    <t>[Turolla, Andrea] Univ Bologna, Dept Biomed &amp; Neuromotor Sci DIBINEM, Alma Mater Studiorum, Via Massarenti 9, I-40138 Bologna, Italy; [Turolla, Andrea] IRCCS Policlin St Orsola Malpighi, Div Occupat Med, Bologna, Italy; [Kiper, Pawel] IRCCS San Camillo Hosp, Venice, Italy; [Mazzarotto, Deborah] ULSS 4 Veneto Orientale, Med Fis &amp; Riabilitaz, San Dona Di Piave, Italy; [Cecchi, Francesca] Univ Firenze, Dipartimento Med Sperimentale &amp; Clin, Florence, Italy; [Cecchi, Francesca] IRCSS Fdn Don Carlo Gnocchi, Florence, Italy; [Colucci, Mariele] Clin Riabilitaz Toscana, Arezzo, Italy; [D'Avenio, Giuseppe; Giansanti, Daniele; Grigioni, Mauro] Italian Natl Inst Hlth, Natl Ctr Innovat Technol Publ Hlth, Rome, Italy; [Facciorusso, Salvatore; Molteni, Franco] Valduce Hosp, Villa Beretta Rehabil Ctr, Lecce, Italy; [Gatti, Roberto] Humanitas Univ, Dept Biomed Sci, Via Rita Levi Montalcini 4, I-20090 Pieve Emanuele, Italy; [Gatti, Roberto] Humanitas Clin &amp; Res Ctr IRCCS, Milan, Italy; [Iosa, Marco] Sapienza Univ Roma, Dept Psychol, Rome, Italy; [Iosa, Marco] IRCSS Santa Lucia Fdn, Smart Lab, Rome, Italy; [Bonaiuti, Donatella] Piero Redaelli Geriatr Inst, Milan, Italy; [Boldrini, Paolo] Italian Soc Phys &amp; Rehabil Med SIMFER, Rome, Italy; [Mazzoleni, Stefano] Politecn Bari, Dept Elect &amp; Informat Engn, Bari, Italy; [Mazzoleni, Stefano] Scuola Super Sant Anna, BioRobot Inst, Pisa, Italy; [Posteraro, Federico] Versilia Hosp, Dept Rehabil, AUSL Toscana Nord Ovest Camaiore, Lucca, Italy; [Benanti, Paolo] Pontifical Gregorian Univ, Rome, Italy; [Castelli, Enrico] IRCCS Bambino Gesu Childrens Hosp, Dept Neurorehabil &amp; Robot, Rome, Italy; [Draicchio, Francesco] INAIL, Dept Occupat &amp; Environm Med Epidemiol &amp; Hyg, Rome, Italy; [Falabella, Vincenzo] Italian Federat Persons Spinal Cord Injuries FAIP, Rome, Italy; [Galeri, Silvia] Fdn Don Carlo Gnocchi Onlus, Milan, Italy; [Gimigliano, Francesca] Univ Campania Luigi Vanvitelli, Dept Mental Phys Hlth &amp; Prevent Med, Naples, Italy; [Mazzon, Stefano] Camposampiero Hosp, Rehabil Unit, ULSS Local Hlth Author Euganea, Padua, Italy; [Morone, Giovanni] Univ Aquila, Dept Life Hlth &amp; Environm Sci, Laquila, Italy; [Morone, Giovanni] San Raffaele Inst Sulmona, Sulmona, Italy; [Petrarca, Maurizio] IRCCS Bambino Gesu Childrens Hosp, Movement Anal &amp; Robot Lab MARlab, Rome, Italy; [Picelli, Alessandro] Univ Verona, Dept Neurosci Biomed &amp; Movement Sci, Verona, Italy; [Senatore, Michele] Assoc Italiana Terapisti Occupaz AITO, Rome, Italy; [Turchetti, Giuseppe] Scuola Super Sant Anna, Inst Management, Pisa, Italy</t>
  </si>
  <si>
    <t>University of Bologna; IRCCS Ospedale San Camillo; University of Florence; Istituto Superiore di Sanita (ISS); Humanitas University; Sapienza University Rome; Politecnico di Bari; Scuola Superiore Sant'Anna; Ospedale Versilia; IRCCS Bambino Gesu; Istituto Nazionale per l'Assicurazione Contro gli Infortuni sul Lavoro (INAIL); IRCCS Fondazione Don Carlo Gnocchi Onlus; Universita della Campania Vanvitelli; ULSS 6 Euganea; Ospedale di Camposampiero; University of L'Aquila; IRCCS Bambino Gesu; University of Verona; Scuola Superiore Sant'Anna</t>
  </si>
  <si>
    <t>Turolla, A (corresponding author), Univ Bologna, Dept Biomed &amp; Neuromotor Sci DIBINEM, Alma Mater Studiorum, Via Massarenti 9, I-40138 Bologna, Italy.</t>
  </si>
  <si>
    <t>andrea.turolla@unibo.it</t>
  </si>
  <si>
    <t>Molteni, Franco/J-4455-2016; Gatti, Roberto/J-6452-2018; Morone, Giovanni/AAN-2666-2020; Cecchi, Francesca/M-8266-2019; Facciorusso, Salvatore/JQW-7103-2023; Picelli, Alessandro/K-5610-2016; Petrarca, Maurizio/GWZ-3714-2022; Francesco, Draicchio/AAC-7681-2022; Turolla, Andrea/IAR-5542-2023; GIANSANTI, DANIELE/IWL-9175-2023; Iosa, Marco/AAC-1693-2022; Mazzarotto, Deborah/JXM-9126-2024; Turchetti, Giuseppe/K-5393-2018; Kiper, Pawel/J-8147-2018; Turolla, Andrea/K-7599-2016; Morone, Giovanni/A-9561-2013; D'Avenio, Giuseppe/E-6673-2015; Mazzoleni, Stefano/B-5875-2011</t>
  </si>
  <si>
    <t>Kiper, Pawel/0000-0001-5990-5734; Turolla, Andrea/0000-0002-1609-8060; Facciorusso, Salvatore/0000-0001-6748-9152; Giansanti, Daniele/0000-0002-8904-0847; Morone, Giovanni/0000-0003-3602-4197; D'Avenio, Giuseppe/0000-0002-9717-2487; Colucci, Mariele/0009-0006-9740-9663; Mazzoleni, Stefano/0000-0002-9528-3239</t>
  </si>
  <si>
    <t>10.3233/NRE-220160</t>
  </si>
  <si>
    <t>WOS:000908350900009</t>
  </si>
  <si>
    <t>Küçüktabak, EB; Kim, SJ; Wen, Y; Lynch, K; Pons, JL</t>
  </si>
  <si>
    <t>Kucuktabak, Emek Baris; Kim, Sangjoon J.; Wen, Yue; Lynch, Kevin; Pons, Jose L.</t>
  </si>
  <si>
    <t>Human-machine-human interaction in motor control and rehabilitation: a review</t>
  </si>
  <si>
    <t>Human-machine-human interaction; Human-robot interaction; Multi-human interaction; Motor control; Rehabilitation; Motor learning</t>
  </si>
  <si>
    <t>TELE-REHABILITATION; ROBOT; GAIT; VARIABILITY; TASK</t>
  </si>
  <si>
    <t>Background Human-human (HH) interaction mediated by machines (e.g., robots or passive sensorized devices), which we call human-machine-human (HMH) interaction, has been studied with increasing interest in the last decade. The use of machines allows the implementation of different forms of audiovisual and/or physical interaction in dyadic tasks. HMH interaction between two partners can improve the dyad's ability to accomplish a joint motor task (task performance) beyond either partner's ability to perform the task solo. It can also be used to more efficiently train an individual to improve their solo task performance (individual motor learning). We review recent research on the impact of HMH interaction on task performance and individual motor learning in the context of motor control and rehabilitation, and we propose future research directions in this area. Methods A systematic search was performed on the Scopus, IEEE Xplore, and PubMed databases. The search query was designed to find studies that involve HMH interaction in motor control and rehabilitation settings. Studies that do not investigate the effect of changing the interaction conditions were filtered out. Thirty-one studies met our inclusion criteria and were used in the qualitative synthesis. Results Studies are analyzed based on their results related to the effects of interaction type (e.g., audiovisual communication and/or physical interaction), interaction mode (collaborative, cooperative, co-active, and competitive), and partner characteristics. Visuo-physical interaction generally results in better dyadic task performance than visual interaction alone. In cases where the physical interaction between humans is described by a spring, there are conflicting results as to the effect of the stiffness of the spring. In terms of partner characteristics, having a more skilled partner improves dyadic task performance more than having a less skilled partner. However, conflicting results were observed in terms of individual motor learning. Conclusions Although it is difficult to draw clear conclusions as to which interaction type, mode, or partner characteristic may lead to optimal task performance or individual motor learning, these results show the possibility for improved outcomes through HMH interaction. Future work that focuses on selecting the optimal personalized interaction conditions and exploring their impact on rehabilitation settings may facilitate the transition of HMH training protocols to clinical implementations.</t>
  </si>
  <si>
    <t>[Kucuktabak, Emek Baris; Lynch, Kevin; Pons, Jose L.] Northwestern Univ, McCormick Sch Engn, Dept Mech Engn, Evanston, IL 60208 USA; [Kucuktabak, Emek Baris; Kim, Sangjoon J.; Wen, Yue; Pons, Jose L.] Shirley Ryan Abil Lab, Legs Walking Lab, Chicago, IL 60611 USA; [Kim, Sangjoon J.; Wen, Yue; Pons, Jose L.] Northwestern Univ, Feinberg Sch Med, Dept Phys Med &amp; Rehabil, Chicago, IL 60611 USA; [Pons, Jose L.] Northwestern Univ, McCormick Sch Engn, Dept Biomed Engn, Evanston, IL 60208 USA</t>
  </si>
  <si>
    <t>Northwestern University; Northwestern University; Feinberg School of Medicine; Northwestern University</t>
  </si>
  <si>
    <t>Pons, JL (corresponding author), Northwestern Univ, McCormick Sch Engn, Dept Mech Engn, Evanston, IL 60208 USA.;Pons, JL (corresponding author), Shirley Ryan Abil Lab, Legs Walking Lab, Chicago, IL 60611 USA.;Pons, JL (corresponding author), Northwestern Univ, Feinberg Sch Med, Dept Phys Med &amp; Rehabil, Chicago, IL 60611 USA.;Pons, JL (corresponding author), Northwestern Univ, McCormick Sch Engn, Dept Biomed Engn, Evanston, IL 60208 USA.</t>
  </si>
  <si>
    <t>jpons@sralab.org</t>
  </si>
  <si>
    <t>Wen, Yue/HIU-0899-2022</t>
  </si>
  <si>
    <t>Wen, Yue/0000-0001-5297-6230; Pons, Jose L./0000-0003-0265-0181; Kucuktabak, Emek Baris/0000-0002-5748-5235</t>
  </si>
  <si>
    <t>National Science Foundation/National Robotics Initiative [2024488]; Northwestern University; Turkish Fulbright Commission; Div Of Electrical, Commun &amp; Cyber Sys; Directorate For Engineering [2024488] Funding Source: National Science Foundation</t>
  </si>
  <si>
    <t>National Science Foundation/National Robotics Initiative; Northwestern University; Turkish Fulbright Commission; Div Of Electrical, Commun &amp; Cyber Sys; Directorate For Engineering(National Science Foundation (NSF)NSF - Directorate for Engineering (ENG)NSF - Division of Electrical, Communications &amp; Cyber Systems (ECCS))</t>
  </si>
  <si>
    <t>This work was supported by National Science Foundation/National Robotics Initiative (Grant No: 2024488), Northwestern University and the Turkish Fulbright Commission.</t>
  </si>
  <si>
    <t>DEC 27</t>
  </si>
  <si>
    <t>10.1186/s12984-021-00974-5</t>
  </si>
  <si>
    <t>XV3IM</t>
  </si>
  <si>
    <t>WOS:000734839800001</t>
  </si>
  <si>
    <t>Khan, MA; Saibene, M; Das, R; Brunner, I; Puthusserypady, S</t>
  </si>
  <si>
    <t>Khan, Muhammad Ahmed; Saibene, Matteo; Das, Rig; Brunner, Iris; Puthusserypady, Sadasivan</t>
  </si>
  <si>
    <t>Emergence of flexible technology in developing advanced systems for post-stroke rehabilitation: a comprehensive review</t>
  </si>
  <si>
    <t>stroke; assistive and rehabilitation systems; flexible; stretchable electronics; e-textile; soft robotics; biosignals acquisition; functional electrical stimulation</t>
  </si>
  <si>
    <t>FUNCTIONAL ELECTRICAL-STIMULATION; BRAIN-COMPUTER INTERFACES; PARETIC UPPER-LIMB; UPPER-EXTREMITY; MOTOR IMAGERY; STROKE SURVIVORS; FEEDBACK-CONTROL; ELECTRONIC SKIN; MUSCLE FATIGUE; EMG SIGNALS</t>
  </si>
  <si>
    <t>Objective. Stroke is one of the most common neural disorders, which causes physical disabilities and motor impairments among its survivors. Several technologies have been developed for providing stroke rehabilitation and to assist the survivors in performing their daily life activities. Currently, the use of flexible technology (FT) for stroke rehabilitation systems is on a rise that allows the development of more compact and lightweight wearable systems, which stroke survivors can easily use for long-term activities. Approach. For stroke applications, FT mainly includes the 'flexible/stretchable electronics', 'e-textile (electronic textile)' and 'soft robotics'. Thus, a thorough literature review has been performed to report the practical implementation of FT for post-stroke application. Main results. In this review, the highlights of the advancement of FT in stroke rehabilitation systems are dealt with. Such systems mainly involve the 'biosignal acquisition unit', 'rehabilitation devices' and 'assistive systems'. In terms of biosignals acquisition, electroencephalography and electromyography are comprehensively described. For rehabilitation/assistive systems, the application of functional electrical stimulation and robotics units (exoskeleton, orthosis, etc) have been explained. Significance. This is the first review article that compiles the different studies regarding FT based post-stroke systems. Furthermore, the technological advantages, limitations, and possible future implications are also discussed to help improve and advance the flexible systems for the betterment of the stroke community.</t>
  </si>
  <si>
    <t>[Khan, Muhammad Ahmed; Saibene, Matteo; Das, Rig; Puthusserypady, Sadasivan] Tech Univ Denmark, Dept Hlth Technol, DK-2800 Lyngby, Denmark; [Brunner, Iris] Univ Aarhus, Dept Clin Med, Hammel Neuroctr, DK-8450 Hammel, Denmark</t>
  </si>
  <si>
    <t>Technical University of Denmark; Aarhus University</t>
  </si>
  <si>
    <t>Khan, MA (corresponding author), Tech Univ Denmark, Dept Hlth Technol, DK-2800 Lyngby, Denmark.</t>
  </si>
  <si>
    <t>mahkh@dtu.dk</t>
  </si>
  <si>
    <t>Das, Rig/U-8276-2019; Saibene, Matteo/LSJ-4482-2024; Puthusserypady, Sadasivan/AAU-6190-2020</t>
  </si>
  <si>
    <t>Das, Rig/0000-0001-9463-4298; Saibene, Matteo/0009-0008-9355-3486; Brunner, Iris/0000-0002-7194-3087</t>
  </si>
  <si>
    <t>European Union [713683]</t>
  </si>
  <si>
    <t>The research leading to these results has received funding from the European Union's Horizon 2020 research and innovation programme under the Marie Sklodowska-Curie Grant Agreement No. 713683 (COFUNDfellowsDTU)</t>
  </si>
  <si>
    <t>10.1088/1741-2552/ac36aa</t>
  </si>
  <si>
    <t>YC2DZ</t>
  </si>
  <si>
    <t>WOS:000739508200001</t>
  </si>
  <si>
    <t>Morone, G; de Sire, A; Cinnera, AM; Paci, M; Perrero, L; Invernizzi, M; Lippi, L; Agostini, M; Aprile, I; Casanova, E; Marino, D; La Rosa, G; Bressi, F; Sterzi, S; Giansanti, D; Battistini, A; Miccinilli, S; Filoni, S; Sicari, M; Petrozzino, S; Solaro, CM; Gargano, S; Benanti, P; Boldrini, P; Bonaiuti, D; Castelli, E; Draicchio, F; Falabella, V; Galeri, S; Gimigliano, F; Grigioni, M; Mazzoleni, S; Mazzon, S; Molteni, F; Petrarca, M; Picelli, A; Gandolfi, M; Posteraro, F; Senatore, M; Turchetti, G; Straudi, S</t>
  </si>
  <si>
    <t>Morone, Giovanni; de Sire, Alessandro; Martino Cinnera, Alex; Paci, Matteo; Perrero, Luca; Invernizzi, Marco; Lippi, Lorenzo; Agostini, Michela; Aprile, Irene; Casanova, Emanuela; Marino, Dario; La Rosa, Giuseppe; Bressi, Federica; Sterzi, Silvia; Giansanti, Daniele; Battistini, Alberto; Miccinilli, Sandra; Filoni, Serena; Sicari, Monica; Petrozzino, Salvatore; Solaro, Claudio Marcello; Gargano, Stefano; Benanti, Paolo; Boldrini, Paolo; Bonaiuti, Donatella; Castelli, Enrico; Draicchio, Francesco; Falabella, Vincenzo; Galeri, Silvia; Gimigliano, Francesca; Grigioni, Mauro; Mazzoleni, Stefano; Mazzon, Stefano; Molteni, Franco; Petrarca, Maurizio; Picelli, Alessandro; Gandolfi, Marialuisa; Posteraro, Federico; Senatore, Michele; Turchetti, Giuseppe; Straudi, Sofia</t>
  </si>
  <si>
    <t>Italian Consensus Conference</t>
  </si>
  <si>
    <t>Upper Limb Robotic Rehabilitation for Patients with Cervical Spinal Cord Injury: A Comprehensive Review</t>
  </si>
  <si>
    <t>cervical spinal cord injury; arm function; exoskeleton; robot-assisted therapy; robotic therapy; rehabilitation</t>
  </si>
  <si>
    <t>OF-THE-ART; STROKE PATIENTS; MULTIPLE-SCLEROSIS; FEASIBILITY; THERAPY; RECOVERY; EFFICACY</t>
  </si>
  <si>
    <t>The upper extremities limitation represents one of the essential functional impairments in patients with cervical spinal cord injury. Electromechanics assisted devices and robots are increasingly used in neurorehabilitation to help functional improvement in patients with neurological diseases. This review aimed to systematically report the evidence-based, state-of-art on clinical applications and robotic-assisted arm training (RAT) in motor and functional recovery in subjects affected by cervical spinal cord injury. The present study has been carried out within the framework of the Italian Consensus Conference on Rehabilitation assisted by robotic and electromechanical devices for persons with disability of neurological origin (CICERONE). PubMed/MEDLINE, Cochrane Library, and Physiotherapy Evidence Database (PEDro) databases were systematically searched from inception to September 2021. The 10-item PEDro scale assessed the study quality for the RCT and the AMSTAR-2 for the systematic review. Two different authors rated the studies included in this review. If consensus was not achieved after discussion, a third reviewer was interrogated. The five-item Oxford CEBM scale was used to rate the level of evidence. A total of 11 studies were included. The selected studies were: two systematic reviews, two RCTs, one parallel-group controlled trial, one longitudinal intervention study and five case series. One RCT was scored as a high-quality study, while the systematic review was of low quality. RAT was reported as feasible and safe. Initial positive effects of RAT were found for arm function and quality of movement in addition to conventional therapy. The high clinical heterogeneity of treatment programs and the variety of robot devices could severely affect the generalizability of the study results. Therefore, future studies are warranted to standardize the type of intervention and evaluate the role of robotic-assisted training in subjects affected by cervical spinal cord injury.</t>
  </si>
  <si>
    <t>[Morone, Giovanni; Martino Cinnera, Alex] IRCCS Santa Lucia Fdn, I-00179 Rome, Italy; [de Sire, Alessandro] Univ Catanzaro Magna Graecia, Dept Med &amp; Surg Sci, Phys &amp; Rehabilitat Med, I-88100 Catanzaro, Italy; [Paci, Matteo] AUSL Unique Sanit Local Co, I-50123 Florence, Italy; [Perrero, Luca] Azienda Ospedaliera SS Antonio Biagio Cesare Arri, Neurorehabilitat Unit, I-15121 Alessandria, Italy; [Invernizzi, Marco; Lippi, Lorenzo] Univ Eastern Piedmont Avogadro, Dept Hlth Sci, Phys &amp; Rehabilitat Med, I-10121 Novara, Italy; [Invernizzi, Marco] Azienda Ospedaliera Nazl SS Antonio Biagio Cesare, Dipt Attivita Integrate Ric Innovazione, Translat Med, I-15121 Alessandria, Italy; [Agostini, Michela] Univ Gen Hosp Padova, Dept Neurosci, Sect Rehabil, I-35128 Padua, Italy; [Aprile, Irene] IRCCS Fdn Don Carlo Gnocchi, I-50123 Florence, Italy; [Casanova, Emanuela; Battistini, Alberto] IRCCS Ist Sci Neurol Bologna, UOC Med Riabilitativa Neuroriabil, I-40139 Bologna, Italy; [Marino, Dario] IRCCS Neurolysis Ctr Bonino Pulejo, I-98124 Messina, Italy; [La Rosa, Giuseppe] CSR Consorzio Siciliano Riabil, I-95123 Catania, Italy; [Bressi, Federica; Sterzi, Silvia; Miccinilli, Sandra] Univ Rome, Campus Biomed Univ Hosp, I-00128 Rome, Italy; [Giansanti, Daniele] Natl Ctr Innovat Technol Publ Hlth, Italian Natl Inst Hlth, I-00161 Rome, Italy; [Filoni, Serena] Padre Pio Fdn &amp; Rehabil Ctr, I-71013 San Giovanni Rotondo, Italy; [Sicari, Monica; Petrozzino, Salvatore] AOU Citta Salute Sci Torino, I-10126 Turin, Italy; [Solaro, Claudio Marcello] CRRF Mons Luigi Novarese, I-13040 Moncrivello, Italy; [Gargano, Stefano] Fdn Don Carlo Gnocchi, I-10143 Turin, Italy; [Benanti, Paolo] Pontif Gregorian Univ, Dept Moral Theol, I-00187 Rome, Italy; [Boldrini, Paolo; Bonaiuti, Donatella] Soc Italiana Med Fis &amp; Riabilitat SIMFER, I-00198 Rome, Italy; [Castelli, Enrico] IRCCS Bambino Gesu Childrens Hosp, Paediat Neurorehabil Dept, I-00163 Rome, Italy; [Draicchio, Francesco] INAIL, Dept Occupat &amp; Environm Med Epidemiol &amp; Hyg, Monte Porzio Catone, I-00185 Rome, Italy; [Falabella, Vincenzo] Italian Federat Persons Spinal Cord Injuries Fai, I-00195 Rome, Italy; [Galeri, Silvia] IRCCS Fdn Don Carlo Gnocchi, I-20148 Milan, Italy; [Gimigliano, Francesca] Univ Campania Luigi Vanvitelli, Multidisciplinary Dept Med Surg &amp; Orthodont, I-80138 Naples, Italy; [Mazzoleni, Stefano] Politecn Bari, Dept Elect &amp; Informat Engn, I-70125 Bari, Italy; [Mazzon, Stefano] AULSS6 Unique Sanit Local Co Euganea Padov, Rehabil Dept, I-35128 Padua, Italy; [Molteni, Franco] Valduce Hosp, Villa Beretta Rehabil Ctr, Dept Rehabil Med, I-23845 Costa Masnaga, Italy; [Petrarca, Maurizio] IRCCS Bambino Gesu Childrens Hosp, Movement Anal &amp; Robot Lab MARlab, I-00163 Rome, Italy; [Picelli, Alessandro; Gandolfi, Marialuisa] Univ Verona, Dept Neurosci Biomed &amp; Movement Sci, I-37129 Verona, Italy; [Posteraro, Federico] Versilia Hosp AUSL Toscana Nord Ovest, Versilia Hosp, Rehabil Dept, I-55049 Lido Camaiore, Italy; [Senatore, Michele] AITO Assoc Italiana Terapisti Occupazionali, I-00136 Rome, Italy; [Turchetti, Giuseppe] St Anna Sch Adv Stud, Management Inst, I-56127 Pisa, Italy; [Straudi, Sofia] Ferrara Univ Hosp, Neurosci &amp; Rehabil Dept, I-44121 Ferrara, Italy</t>
  </si>
  <si>
    <t>IRCCS Santa Lucia; Magna Graecia University of Catanzaro; University of Eastern Piedmont Amedeo Avogadro; University of Padua; Azienda Ospedaliera - Universita di Padova; IRCCS Fondazione Don Carlo Gnocchi Onlus; IRCCS Istituto delle Scienze Neurologiche di Bologna (ISNB); Fondazione Policlinico Universitario Campus Bio-Medico; Sapienza University Rome; University Campus Bio-Medico - Rome Italy; Istituto Superiore di Sanita (ISS); A.O.U. Citta della Salute e della Scienza di Torino; IRCCS Fondazione Don Carlo Gnocchi Onlus; IRCCS Bambino Gesu; Istituto Nazionale per l'Assicurazione Contro gli Infortuni sul Lavoro (INAIL); IRCCS Fondazione Don Carlo Gnocchi Onlus; Universita della Campania Vanvitelli; Politecnico di Bari; IRCCS Bambino Gesu; University of Verona; Ospedale Versilia; University of Ferrara; Arcispedale Sant'Anna</t>
  </si>
  <si>
    <t>Morone, G (corresponding author), IRCCS Santa Lucia Fdn, I-00179 Rome, Italy.;de Sire, A (corresponding author), Univ Catanzaro Magna Graecia, Dept Med &amp; Surg Sci, Phys &amp; Rehabilitat Med, I-88100 Catanzaro, Italy.</t>
  </si>
  <si>
    <t>g.morone@hsantalucia.it; alessandro.desire@unicz.it; a.martino@hsantalucia.it; matteo.paci@applicazione.it; lperrero@ospedale.al.it; marco.invernizzi@med.uniupo.it; lorenzolippi.mt@gmail.com; michela.agostini@unipd.it; iaprile@dongnocchi.it; e.casanova@ausl.bologna.it; dario.marino95@gmail.com; laros.giu@gmail.com; b.federica@unicampus.it; s.sterzi@unicampus.it; daniele.giansanti@iss.it; alberto.battistini@ausl.bologna.it; s.miccinilli@unicampus.it; serena.diba@gmail.com; monicasicari80@gmail.com; salvatore.petrozzino@gmail.com; csolaro@libero.it; stgargano@dongnocchi.it; benanti@unigre.it; paolobold@gmail.com; dbonaiuti2@yahoo.it; enrico.castelli@opbg.net; f.draicchio@inail.it; falabella@fishonlus.it; sgaleri@dongnocchi.it; francescagimigliano@gmail.com; mauro.grigioni@iss.it; stefano.mazzoleni@poliba.it; stefano.mazzon@gmail.com; fmolteni@valduce.it; maurizio.petrarca@opbg.it; alessandro.picelli@univr.it; marialuisa.gandolfi@univr.it; federico.posteraro@uslnordovest.toscana.it; presidente@aito.it; giuseppe.turchetti@santannapisa.it; sofia.straudi@gmail.com</t>
  </si>
  <si>
    <t>Solaro, Claudio/AAL-2402-2021; Lippi, Lorenzo/AAW-8368-2021; Gimigliano, Francesca/B-6735-2013; Petrarca, Maurizio/B-4181-2019; Molteni, Franco/J-4455-2016; Picelli, Alessandro/K-5610-2016; Marino, Dario/AAA-7195-2022; MIccinilli, Sandra/AAC-3628-2022; Casanova, Emanuela/AAD-3643-2022; Paci, matteo/C-5267-2015; Francesco, Draicchio/AAC-7681-2022; Morone, Giovanni/AAN-2666-2020; Gandolfi, Marialuisa/J-7033-2018; Sterzi, Silvia/AAJ-3940-2020; GIANSANTI, DANIELE/IWL-9175-2023; Straudi, Sofia/AAI-6971-2021; La Rosa, Giuseppe/ITU-7690-2023; Agostini, Michela/K-7320-2016; Mazzoleni, Stefano/B-5875-2011; Martino Cinnera, Alex/K-4259-2018; Turchetti, Giuseppe/K-5393-2018; Morone, Giovanni/A-9561-2013</t>
  </si>
  <si>
    <t>La Rosa, Giuseppe/0000-0003-0287-1267; Solaro, Claudio Marcello/0000-0002-6713-4623; Miccinilli, Sandra/0000-0002-8485-8658; Agostini, Michela/0000-0001-8824-3338; Francesco, Draicchio/0000-0003-0677-2573; Mazzoleni, Stefano/0000-0002-9528-3239; Marino, Dario/0000-0002-4608-9843; Invernizzi, Marco/0000-0001-5141-0681; Sterzi, Silvia/0000-0002-2347-7544; Petrarca, Maurizio/0000-0002-7330-3569; Gimigliano, Francesca/0000-0002-1905-6405; Martino Cinnera, Alex/0000-0001-7267-3253; Paci, Matteo/0000-0002-5180-8355; Turchetti, Giuseppe/0000-0002-1877-5459; de Sire, Alessandro/0000-0002-5541-8346; Lippi, Lorenzo/0000-0001-9035-1485; Giansanti, Daniele/0000-0002-8904-0847; Morone, Giovanni/0000-0003-3602-4197</t>
  </si>
  <si>
    <t>10.3390/brainsci11121630</t>
  </si>
  <si>
    <t>YN2CV</t>
  </si>
  <si>
    <t>WOS:000747072000001</t>
  </si>
  <si>
    <t>Vale, N; Gandolfi, M; Vignoli, L; Botticelli, A; Posteraro, F; Morone, G; Dell'Orco, A; Dimitrova, E; Gervasoni, E; Goffredo, M; Zenzeri, J; Antonini, A; Daniele, C; Benanti, P; Boldrini, P; Bonaiuti, D; Castelli, E; Draicchio, F; Falabella, V; Galeri, S; Gimigliano, F; Grigioni, M; Mazzon, S; Molteni, F; Petrarca, M; Picelli, A; Senatore, M; Turchetti, G; Guglielmelli, E; Petrone, N; Pignolo, L; Sgubin, G; Smania, N; Zollo, L; Mazzoleni, S; Cicerone</t>
  </si>
  <si>
    <t>Vale, Nicola; Gandolfi, Marialuisa; Vignoli, Laura; Botticelli, Anita; Posteraro, Federico; Morone, Giovanni; Dell'Orco, Antonella; Dimitrova, Eleonora; Gervasoni, Elisa; Goffredo, Michela; Zenzeri, Jacopo; Antonini, Arianna; Daniele, Carla; Benanti, Paolo; Boldrini, Paolo; Bonaiuti, Donatella; Castelli, Enrico; Draicchio, Francesco; Falabella, Vincenzo; Galeri, Silvia; Gimigliano, Francesca; Grigioni, Mauro; Mazzon, Stefano; Molteni, Franco; Petrarca, Maurizio; Picelli, Alessandro; Senatore, Michele; Turchetti, Giuseppe; Guglielmelli, Eugenio; Petrone, Nicola; Pignolo, Loris; Sgubin, Giulia; Smania, Nicola; Zollo, Loredana; Mazzoleni, Stefano; Italian Consensus Conf Robotic Neurorehabilitation CICERONE</t>
  </si>
  <si>
    <t>Electromechanical and Robotic Devices for Gait and Balance Rehabilitation of Children with Neurological Disability: A Systematic Review</t>
  </si>
  <si>
    <t>cerebral palsy; paediatric neurorehabilitation; robotics; rehabilitation paediatric</t>
  </si>
  <si>
    <t>ASSISTED TREADMILL THERAPY; CEREBRAL-PALSY; WALKING ABILITIES; STROKE; IMPAIRMENTS; ADOLESCENTS; EXOSKELETON; PERFORMANCE; RECOVERY; PATIENT</t>
  </si>
  <si>
    <t>In the last two decades, a growing interest has been focused on gait and balance robot-assisted rehabilitation in children with neurological disabilities. Robotic devices allow the implementation of intensive, task-specific training fostering functional recovery and neuroplasticity phenomena. However, limited attention has been paid to the protocols used in this research framework. This systematic review aims to provide an overview of the existing literature on robotic systems for the rehabilitation of gait and balance in children with neurological disabilities and their rehabilitation applications. The literature search was carried out independently and synchronously by three authors on the following databases: MEDLINE, Cochrane Library, PeDro, Institute of Electrical and Electronics Engineers, ScienceDirect, and Google Scholar. The data collected included three subsections referring to clinical, technical, and regulatory aspects. Thirty-one articles out of 81 found on the primary literature search were included in the systematic review. Most studies involved children with cerebral palsy. Only one-third of the studies were randomized controlled trials. Overall, 17 devices (nine end-effector systems and eight exoskeletons) were investigated, among which only 4 (24%) were bore the CE mark. Studies differ on rehabilitation protocols duration, intensity, and outcome measures. Future research should improve both rehabilitation protocols' and devices' descriptions.</t>
  </si>
  <si>
    <t>[Vale, Nicola; Gandolfi, Marialuisa; Botticelli, Anita; Dell'Orco, Antonella; Dimitrova, Eleonora; Picelli, Alessandro; Smania, Nicola] Univ Verona, Dept Neurosci Biomed &amp; Movement Sci, I-37134 Verona, Italy; [Gandolfi, Marialuisa; Smania, Nicola] Univ Hosp Verona, Neurorehabil Unit, I-37134 Verona, Italy; [Vignoli, Laura] ANFFAS Rehabil Ctr, I-63013 Grottammare, Italy; [Posteraro, Federico] ASL Toscana Nord Ovest, Versilia Hosp, Rehabil Dept, I-55049 Lucca, Italy; [Morone, Giovanni] IRCCS, Santa Lucia Fdn, I-00179 Rome, Italy; [Gervasoni, Elisa; Galeri, Silvia] IRRCS Fdn Don Carlo Gnocchi, I-20148 Milan, Italy; [Goffredo, Michela] IRCCS San Raffaele Roma, Dept Neurol &amp; Rehabil Sci, Neurorehabil Res Lab, I-00163 Rome, Italy; [Zenzeri, Jacopo] Ist Italiano Tecnol, Robot Brain &amp; Cognit Sci, I-16163 Genoa, Italy; [Antonini, Arianna] AITO Italian Assoc Occupat Therapists, I-00136 Rome, Italy; [Daniele, Carla] Ist Super Sanita, I-00161 Rome, Italy; [Benanti, Paolo] Pontifical Gregorian Univ, Fac Theol, I-00187 Rome, Italy; [Boldrini, Paolo] Italian Soc Phys Med &amp; Rehabil SIMFER, I-00198 Rome, Italy; [Bonaiuti, Donatella] Geriatr Inst Piero Redaelli, I-20090 Milan, Italy; [Castelli, Enrico] Bambino Gesu Pediat Hosp, Pediat Neurorehabil, I-00165 Rome, Italy; [Draicchio, Francesco] INAIL, Dept Occupat &amp; Environm Med Epidemiol &amp; Hyg, I-00078 Rome, Italy; [Falabella, Vincenzo] President Italian Federat Persons Spinal Cord Inj, I-00195 Rome, Italy; [Gimigliano, Francesca] Univ Campania Luigi Vanvitelli, Dept Mental &amp; Phys Hlth &amp; Prevent Med, I-81100 Caserta, Italy; [Grigioni, Mauro] Ist Super Sanita, Natl Ctr Innovat Technol Publ Hlth, I-00161 Rome, Italy; [Mazzon, Stefano] ULSS 6 Unique Sanit Local Co Euganea Padova Distr, I-35012 Padua, Italy; [Molteni, Franco] Villa Beretta, I-23845 Como, Italy; [Petrarca, Maurizio] Bambino Gesu Pediat Hosp, Movement Anal &amp; Robot Lab, I-00165 Rome, Italy; [Senatore, Michele] AITO Italian Assoc Occupat Therapists, I-00136 Rome, Italy; [Turchetti, Giuseppe] Scuola Super Sant Anna, Inst Management, I-56127 Pisa, Italy; [Guglielmelli, Eugenio; Zollo, Loredana] Campus Biomed Univ, CREO Lab, Adv Robot &amp; Human Ctr Technol, I-00128 Rome, Italy; [Petrone, Nicola] Univ Padua, Dept Ind Engn, I-35131 Padua, Italy; [Pignolo, Loris] St Anna Inst, I-88900 Crotone, Italy; [Sgubin, Giulia] Italian Assoc Phys Therapists AIFI, I-00182 Rome, Italy; [Mazzoleni, Stefano] Politecn Bari, Dept Elect &amp; Informat Engn, I-70125 Bari, Italy</t>
  </si>
  <si>
    <t>University of Verona; University of Verona; Azienda Ospedaliera Universitaria Integrata Verona; Ospedale Versilia; IRCCS Santa Lucia; IRCCS San Raffaele Pisana; Istituto Italiano di Tecnologia - IIT; Istituto Superiore di Sanita (ISS); IRCCS Bambino Gesu; Istituto Nazionale per l'Assicurazione Contro gli Infortuni sul Lavoro (INAIL); Universita della Campania Vanvitelli; Istituto Superiore di Sanita (ISS); IRCCS Bambino Gesu; Scuola Superiore Sant'Anna; University Campus Bio-Medico - Rome Italy; University of Padua; Politecnico di Bari</t>
  </si>
  <si>
    <t>Gandolfi, M (corresponding author), Univ Verona, Dept Neurosci Biomed &amp; Movement Sci, I-37134 Verona, Italy.;Gandolfi, M (corresponding author), Univ Hosp Verona, Neurorehabil Unit, I-37134 Verona, Italy.</t>
  </si>
  <si>
    <t>nicola.vale@univr.it; marialuisa.gandolfi@univr.it; vignoli_laura@libero.it; anitabotticelli@gmail.com; federico.posteraro@uslnordovest.toscana.it; g.morone@hsantalucia.it; antonelladellorco@hotmail.it; eleonorakirilova.dimitrova@univr.it; egervasoni@dongnocchi.it; michela.goffredo@sanraffaele.it; Jacopo.Zenzeri@iit.it; ariannaantonini76@gmail.com; carla.daniele@iss.it; benanti@unigre.it; paolobold@gmail.com; dbonaiuti2@yahoo.it; enrico.castelli@opbg.net; f.draicchio@inail.it; falabella@fishonlus.it; sgaleri@dongnocchi.it; francescagimigliano@gmail.com; mauro.grigioni@iss.it; stefano.mazzon@gmail.com; fmolteni@valduce.it; maurizio.petrarca@opbg.it; alessandro.picelli@univr.it; presidente@aito.it; giuseppe.turchetti@santannapisa.it; fmolteni@valduce.it; nicola.petrone@unipd.it; l.pignolo@gmail.com; giuliasgubin@outlook.com; nicola.smania@univr.it; l.zollo@unicampus.it; stefano.mazzoleni@poliba.it</t>
  </si>
  <si>
    <t>Sgubin, Giulia/HHN-7843-2022; Molteni, Franco/J-4455-2016; Zollo, Loredana/AAB-9645-2020; DANIELE, CARLA/E-6672-2015; Zenzeri, Jacopo/X-5206-2019; Morone, Giovanni/AAN-2666-2020; Gimigliano, Francesca/B-6735-2013; Mazzoleni, Stefano/AAM-8581-2020; Petrarca, Maurizio/B-4181-2019; Francesco, Draicchio/AAC-7681-2022; Gandolfi, Marialuisa/J-7033-2018; Picelli, Alessandro/K-5610-2016; Morone, Giovanni/A-9561-2013; Gervasoni, Elisa/J-1723-2018; Benanti, Paolo/J-5375-2015; Mazzoleni, Stefano/B-5875-2011; Goffredo, Michela/K-8805-2016; Grigioni, Mauro/J-8744-2016; Turchetti, Giuseppe/K-5393-2018</t>
  </si>
  <si>
    <t>Gandolfi, Marialuisa/0000-0002-0877-4807; Daniele, Carla/0000-0003-3799-9519; Vale, Nicola/0000-0002-2364-5990; Petrarca, Maurizio/0000-0002-7330-3569; Sgubin, Giulia/0000-0003-2119-4804; Picelli, Alessandro/0000-0002-3558-8276; Morone, Giovanni/0000-0003-3602-4197; Gervasoni, Elisa/0000-0002-6057-591X; Benanti, Paolo/0000-0001-9482-0090; pignolo, loris/0000-0001-9706-0779; Mazzoleni, Stefano/0000-0002-9528-3239; Goffredo, Michela/0000-0002-2651-8479; Gimigliano, Francesca/0000-0002-1905-6405; smania, nicola/0000-0001-7630-1887; Grigioni, Mauro/0000-0002-8231-8156; Francesco, Draicchio/0000-0003-0677-2573; PETRONE, NICOLA/0000-0002-6638-484X; Turchetti, Giuseppe/0000-0002-1877-5459</t>
  </si>
  <si>
    <t>10.3390/app112412061</t>
  </si>
  <si>
    <t>YG7XN</t>
  </si>
  <si>
    <t>WOS:000742696400001</t>
  </si>
  <si>
    <t>Román-Belmonte, JM; De la Corte-Rodríguez, H; Rodríguez-Merchán, EC</t>
  </si>
  <si>
    <t>Roman-Belmonte, Juan M.; De la Corte-Rodriguez, Hortensia; Carlos Rodriguez-Merchan, Emerito</t>
  </si>
  <si>
    <t>Artificial intelligence in musculoskeletal conditions</t>
  </si>
  <si>
    <t>FRONTIERS IN BIOSCIENCE-LANDMARK</t>
  </si>
  <si>
    <t>Artificial intelligence; Musculoskeletal radiol-ogy; Skeletal trauma; Physical and rehabilitation medicine; Orthopedic surgery; Sports medicine</t>
  </si>
  <si>
    <t>RADIOLOGY; INJURIES; STRATEGY; RISK</t>
  </si>
  <si>
    <t>Artificial intelligence (AI) is an iterative process by which information is captured, transformed into knowledge and processed to produce adaptive changes in the environment. AI is a broad concept, involving virtual (computing) and physical (robotics) elements. In this narrative literature review, we focus on the aspects of AI that present major opportunities for developing health care. Within a few years, AI will be part of our daily clinical practice. Although significant advances are being made, the application of AI in musculoskeletal medicine is still in its early stages compared with its implementation in other areas of medicine. AI is increasingly being employed in fields such as musculoskeletal radiology, skeletal trauma, orthopedic surgery, physical and rehabilitation medicine and sports medicine, as well as for big data and AI in gastrointestinal (GI) endoscopy related injuries. Among the limitations of IA are that it analyzes information based on the data it is supplied, which must therefore be well-labeled and that some algorithms such as DL uses more time, data, and computational power than other techniques. Moreover, AI currently does not solve the problem of causality that exists in medicine with observational data information that physicians interpret within a broad clinical context. AI should therefore be integrated in a prudent and reasonable manner into the workflows of health professionals.</t>
  </si>
  <si>
    <t>[Roman-Belmonte, Juan M.] Cruz Roja San Jose &amp; Santa Adela Univ Hosp, Dept Phys Med &amp; Rehabil, Madrid 28003, Spain; [De la Corte-Rodriguez, Hortensia] La Paz Univ Hosp, Dept Phys Med &amp; Rehabil, Madrid 28046, Spain; [Carlos Rodriguez-Merchan, Emerito] La Paz Univ Hosp, Dept Orthoped Surg, Madrid 28046, Spain; [Carlos Rodriguez-Merchan, Emerito] Autonomous Univ Madrid, Osteoarticular Surg Res, Hosp La Paz Inst Hlth Res IdiPAZ, La Paz Univ Hosp, Madrid 28046, Spain</t>
  </si>
  <si>
    <t>Hospital Universitario La Paz; Hospital Universitario La Paz; Autonomous University of Madrid; Hospital Universitario La Paz</t>
  </si>
  <si>
    <t>Rodríguez-Merchán, EC (corresponding author), La Paz Univ Hosp, Dept Orthoped Surg, Madrid 28046, Spain.;Rodríguez-Merchán, EC (corresponding author), Autonomous Univ Madrid, Osteoarticular Surg Res, Hosp La Paz Inst Hlth Res IdiPAZ, La Paz Univ Hosp, Madrid 28046, Spain.</t>
  </si>
  <si>
    <t>Roman Belmonte, Juan Manuel/0000-0003-2693-1439; De la Corte-Rodriguez, Hortensia/0000-0002-9179-201X</t>
  </si>
  <si>
    <t>IMR PRESS</t>
  </si>
  <si>
    <t>ROBINSON</t>
  </si>
  <si>
    <t>112 ROBINSON RD, ROBINSON, SINGAPORE</t>
  </si>
  <si>
    <t>2768-6701</t>
  </si>
  <si>
    <t>2768-6698</t>
  </si>
  <si>
    <t>FRONT BIOSCI-LANDMRK</t>
  </si>
  <si>
    <t>Front. Biosci.</t>
  </si>
  <si>
    <t>10.52586/5027</t>
  </si>
  <si>
    <t>Biochemistry &amp; Molecular Biology; Cell Biology</t>
  </si>
  <si>
    <t>XK7TC</t>
  </si>
  <si>
    <t>WOS:000727662100028</t>
  </si>
  <si>
    <t>Li, YZ; Liu, YX; Bhuiyan, SRA; Zhu, Y; Yao, SS</t>
  </si>
  <si>
    <t>Li, Yizong; Liu, Yuxuan; Bhuiyan, Shah Rifat Alam; Zhu, Yong; Yao, Shanshan</t>
  </si>
  <si>
    <t>Printed Strain Sensors for On-Skin Electronics</t>
  </si>
  <si>
    <t>SMALL STRUCTURES</t>
  </si>
  <si>
    <t>additive manufacturing; flexible and stretchable sensors; on-skin electronics; printing; strain sensors</t>
  </si>
  <si>
    <t>HIGH-RESOLUTION; ELECTROHYDRODYNAMIC JET; STRETCHABLE ELECTRONICS; TEMPERATURE SENSORS; RECENT PROGRESS; 3D; GRAPHENE; INK; COMPOSITE; SOFT</t>
  </si>
  <si>
    <t>On-skin electronics have drawn extensive attention as they revolutionize many aspects of healthcare, motion tracking, rehabilitation, robotics, human-machine interaction, among others. Flexible and stretchable strain sensors represent one of the most explored devices for on-skin electronics. Many printing techniques have recently emerged showing great promises for manufacturing strain sensors. Herein, it is aimed to provide a timely survey of recent advancements in printed strain sensors for on-skin electronics. This review starts with an overview of sensing mechanisms for printed strain sensors, followed by a review of various printing techniques employed in fabricating these sensors. The materials, structures, and printing processes of representative strain sensors are discussed in detail for each printing method. Finally, potential applications of printed flexible and stretchable strain sensors are presented focusing on three areas: healthcare, sports performance monitoring, and human-machine interfaces. The review concludes with a discussion of challenges and opportunities for future research.</t>
  </si>
  <si>
    <t>[Li, Yizong; Bhuiyan, Shah Rifat Alam; Yao, Shanshan] SUNY Stony Brook, Dept Mech Engn, Stony Brook, NY 11794 USA; [Liu, Yuxuan; Zhu, Yong] North Carolina State Univ, Dept Mech &amp; Aerosp Engn, Raleigh, NC 27695 USA</t>
  </si>
  <si>
    <t>State University of New York (SUNY) System; Stony Brook University; North Carolina State University</t>
  </si>
  <si>
    <t>Yao, SS (corresponding author), SUNY Stony Brook, Dept Mech Engn, Stony Brook, NY 11794 USA.;Zhu, Y (corresponding author), North Carolina State Univ, Dept Mech &amp; Aerosp Engn, Raleigh, NC 27695 USA.</t>
  </si>
  <si>
    <t>yong_zhu@ncsu.edu; shanshan.yao@stonybrook.edu</t>
  </si>
  <si>
    <t>Zhu, Yong/C-4845-2008; Liu, Yuxuan/AEO-1052-2022; Yao, Shanshan/AGF-6901-2022</t>
  </si>
  <si>
    <t>Li, Yizong/0000-0002-8124-7624; Yao, Shanshan/0000-0002-2076-162X; Zhu, Yong/0000-0002-3862-5757; Liu, Yuxuan/0000-0001-8196-1054</t>
  </si>
  <si>
    <t>SBU-BNL seed grant [1168726-9-63845]; National Science Foundation (NSF) [2129673, 1728370, 2122841]; Directorate For Engineering; Div Of Civil, Mechanical, &amp; Manufact Inn [1728370] Funding Source: National Science Foundation; Directorate For Engineering; Div Of Electrical, Commun &amp; Cyber Sys [2129673] Funding Source: National Science Foundation; Dir for Tech, Innovation, &amp; Partnerships; Translational Impacts [2122841] Funding Source: National Science Foundation</t>
  </si>
  <si>
    <t>SBU-BNL seed grant; National Science Foundation (NSF)(National Science Foundation (NSF)); Directorate For Engineering; Div Of Civil, Mechanical, &amp; Manufact Inn(National Science Foundation (NSF)NSF - Directorate for Engineering (ENG)); Directorate For Engineering; Div Of Electrical, Commun &amp; Cyber Sys(National Science Foundation (NSF)NSF - Directorate for Engineering (ENG)NSF - Division of Electrical, Communications &amp; Cyber Systems (ECCS)); Dir for Tech, Innovation, &amp; Partnerships; Translational Impacts(National Science Foundation (NSF)NSF - Directorate for Technology, Innovation and Partnerships (TIP)NSF - Translational Impacts)</t>
  </si>
  <si>
    <t>S.Y. gratefully acknowledges the support from the SBU-BNL seed grant (1168726-9-63845) and the National Science Foundation (NSF) through Award 2129673. Y.Z. gratefully acknowledges the support from the NSF through Awards 1728370 and 2122841.</t>
  </si>
  <si>
    <t>2688-4062</t>
  </si>
  <si>
    <t>SMALL STRUCT</t>
  </si>
  <si>
    <t>Small Struct.</t>
  </si>
  <si>
    <t>10.1002/sstr.202100131</t>
  </si>
  <si>
    <t>NOV 2021</t>
  </si>
  <si>
    <t>YS8KX</t>
  </si>
  <si>
    <t>WOS:000723558000001</t>
  </si>
  <si>
    <t>Pan, M; Yuan, CG; Liang, XR; Dong, TY; Liu, T; Zhang, JH; Zou, J; Yang, HY; Bowen, C</t>
  </si>
  <si>
    <t>Pan, Min; Yuan, Chenggang; Liang, Xianrong; Dong, Tianyun; Liu, Tao; Zhang, Junhui; Zou, Jun; Yang, Huayong; Bowen, Chris</t>
  </si>
  <si>
    <t>Soft Actuators and Robotic Devices for Rehabilitation and Assistance</t>
  </si>
  <si>
    <t>soft actuators; soft assistive devices; soft rehabilitation devices; soft robotics</t>
  </si>
  <si>
    <t>FABRICATION; MUSCLES; SENSORS; SUIT; GENERATION; DESIGN; FUTURE</t>
  </si>
  <si>
    <t>Soft actuators and robotic devices have been increasingly applied to the field of rehabilitation and assistance, where safe human and machine interaction is of particular importance. Compared with their widely used rigid counterparts, soft actuators and robotic devices can provide a range of significant advantages; these include safe interaction, a range of complex motions, ease of fabrication, and resilience to a variety of environments. In recent decades, significant effort has been invested in the development of soft rehabilitation and assistive devices for improving a range of medical treatments and quality of life. This review provides an overview of the current state-of-the-art in soft actuators and robotic devices for rehabilitation and assistance, in particular systems that achieve actuation by pneumatic and hydraulic fluid-power, electrical motors, chemical reactions, and soft active materials such as dielectric elastomers, shape memory alloys, magnetoactive elastomers, liquid crystal elastomers, and piezoelectric materials. Current research on soft rehabilitation and assistive devices is in its infancy, and new device designs and control strategies for improved performance and safe human-machine interaction are identified as particularly untapped areas of research. Finally, insights into future research directions are outlined.</t>
  </si>
  <si>
    <t>[Pan, Min; Yuan, Chenggang; Liang, Xianrong; Bowen, Chris] Univ Bath, Dept Mech Engn, Bath BA2 7AY, Avon, England; [Liang, Xianrong] South China Univ Technol, Sch Mech &amp; Automot Engn, Natl Engn Res Ctr Novel Equipment Polymer Proc, Guangzhou 510640, Peoples R China; [Dong, Tianyun; Liu, Tao; Zhang, Junhui; Zou, Jun; Yang, Huayong] Zhejiang Univ, Sch Mech Engn, State Key Lab Fluid Power &amp; Mechatron Syst, Hangzhou 310027, Peoples R China</t>
  </si>
  <si>
    <t>University of Bath; South China University of Technology; Zhejiang University</t>
  </si>
  <si>
    <t>Pan, M (corresponding author), Univ Bath, Dept Mech Engn, Bath BA2 7AY, Avon, England.;Liu, T (corresponding author), Zhejiang Univ, Sch Mech Engn, State Key Lab Fluid Power &amp; Mechatron Syst, Hangzhou 310027, Peoples R China.</t>
  </si>
  <si>
    <t>mp351@bath.ac.uk; liutao@zju.edu.cn</t>
  </si>
  <si>
    <t>zhang, junhui/HDN-6783-2022; Yuan, Chenggang/IQV-7128-2023; Liu, Tao/M-6048-2013; Pan, Min/AAB-4826-2019; Zou, Jun/KYQ-8156-2024; Bowen, Chris/B-3087-2008</t>
  </si>
  <si>
    <t>Zou, Jun/0000-0003-2443-3516; Pan, Min/0000-0002-2901-3388; Bowen, Chris/0000-0002-5880-9131</t>
  </si>
  <si>
    <t>Leverhulme Trust [RF-2020-503\4]; UKRI Innovate UK The Sustainable Innovation Fund [TS/V013432/1]; University of Bath Alumni Fund [F1920A-RS02]; University of Bath International Funding Schemes 2020; China Scholarship Council [201706150102, 202006150085]; National Natural Science Foundation of China (NSFC) [52175033, 51775485]</t>
  </si>
  <si>
    <t>Leverhulme Trust(Leverhulme Trust); UKRI Innovate UK The Sustainable Innovation Fund(UK Research &amp; Innovation (UKRI)Innovate UK); University of Bath Alumni Fund; University of Bath International Funding Schemes 2020; China Scholarship Council(China Scholarship Council); National Natural Science Foundation of China (NSFC)(National Natural Science Foundation of China (NSFC))</t>
  </si>
  <si>
    <t>The authors thank the support from the Leverhulme Trust for the Leverhulme Research Fellowship RF-2020-503\4, the UKRI Innovate UK The Sustainable Innovation Fund, No. TS/V013432/1 is the internal reference number of the grant. The official no is TS/V013432/1. The University of Bath Alumni Fund F1920A-RS02, and the University of Bath International Funding Schemes 2020. Two of the authors (C.Y. and X.L.) thank the support from the China Scholarship Council Ph.D. studentship (201706150102) and the China Scholarship Council visiting Scholar fund (202006150085). T.L thanks the support from the National Natural Science Foundation of China (NSFC), Grant No. 52175033 and No. 51775485</t>
  </si>
  <si>
    <t>10.1002/aisy.202100140</t>
  </si>
  <si>
    <t>0S8TZ</t>
  </si>
  <si>
    <t>WOS:000720788700001</t>
  </si>
  <si>
    <t>Angerhöfer, C; Colucci, A; Vermehren, M; Hömberg, V; Soekadar, SR</t>
  </si>
  <si>
    <t>Angerhoefer, Cornelius; Colucci, Annalisa; Vermehren, Mareike; Hoemberg, Volker; Soekadar, Surjo R.</t>
  </si>
  <si>
    <t>Post-stroke Rehabilitation of Severe Upper Limb Paresis in Germany - Toward Long-Term Treatment With Brain-Computer Interfaces</t>
  </si>
  <si>
    <t>brain-computer interface; severe upper limb paresis; neurorehabilitation; long-term treatment; neurotechnology</t>
  </si>
  <si>
    <t>INDUCED MOVEMENT THERAPY; CHRONIC STROKE; MACHINE INTERFACES; MOTOR RECOVERY; UPPER-EXTREMITY; MIRROR THERAPY; NEUROREHABILITATION; ARM; RESTORATION; EXOSKELETON</t>
  </si>
  <si>
    <t>Severe upper limb paresis can represent an immense burden for stroke survivors. Given the rising prevalence of stroke, restoration of severe upper limb motor impairment remains a major challenge for rehabilitation medicine because effective treatment strategies are lacking. Commonly applied interventions in Germany, such as mirror therapy and impairment-oriented training, are limited in efficacy, demanding for new strategies to be found. By translating brain signals into control commands of external devices, brain-computer interfaces (BC's) and brain-machine interfaces (BMIs) represent promising, neurotechnology-based alternatives for stroke patients with highly restricted arm and hand function. In this mini-review, we outline perspectives on how BCI-based therapy can be integrated into the different stages of neurorehabilitation in Germany to meet a long-term treatment approach: We found that it is most appropriate to start therapy with BCI-based neurofeedback immediately after early rehabilitation. BCI-driven functional electrical stimulation (FES) and BMI robotic therapy are well suited for subsequent post hospital curative treatment in the subacute stage. BCI-based hand exoskeleton training can be continued within outpatient occupational therapy to further improve hand function and address motivational issues in chronic stroke patients. Once the rehabilitation potential is exhausted, BCI technology can be used to drive assistive devices to compensate for impaired function. However, there are several challenges yet to overcome before such long-term treatment strategies can be implemented within broad clinical application: 1. developing reliable BCI systems with better usability; 2. conducting more research to improve BCI training paradigms and 3. establishing reliable methods to identify suitable patients.</t>
  </si>
  <si>
    <t>[Angerhoefer, Cornelius; Colucci, Annalisa; Vermehren, Mareike; Soekadar, Surjo R.] Charite Univ Med Berlin, Dept Psychiat &amp; Neurosci, Clin Neurotechnol Lab, Berlin, Germany; [Hoemberg, Volker] SRH Gesundheitszentrum Bad Wimpfen GmbH, Dept Neurol, Bad Wimpfen, Germany</t>
  </si>
  <si>
    <t>Soekadar, SR (corresponding author), Charite Univ Med Berlin, Dept Psychiat &amp; Neurosci, Clin Neurotechnol Lab, Berlin, Germany.</t>
  </si>
  <si>
    <t>Angerhoefer, Cornelius/NKP-2341-2025; Soekadar, Surjo/AAA-3801-2020</t>
  </si>
  <si>
    <t>Soekadar, Surjo R./0000-0003-1280-5538; Vermehren, Mareike/0009-0001-1159-7127</t>
  </si>
  <si>
    <t>European Research Council (ERC) [759370]; Einstein Stiftung Berlin; Federal Ministry of Research and Education under the project SSMART (BMBF) [01DR21025A]; ERA-NET NEURON project HYBRIDMIND (BMBF) [01GP2121]; European Research Council (ERC) [759370] Funding Source: European Research Council (ERC)</t>
  </si>
  <si>
    <t>European Research Council (ERC)(European Research Council (ERC)); Einstein Stiftung Berlin; Federal Ministry of Research and Education under the project SSMART (BMBF)(Federal Ministry of Education &amp; Research (BMBF)); ERA-NET NEURON project HYBRIDMIND (BMBF)(Federal Ministry of Education &amp; Research (BMBF)); European Research Council (ERC)(European Research Council (ERC))</t>
  </si>
  <si>
    <t>This work was supported in part by the European Research Council (ERC) under the project NGBMI (759370), the Einstein Stiftung Berlin, the ERA-NET NEURON project HYBRIDMIND (BMBF, 01GP2121), and the Federal Ministry of Research and Education under the project SSMART (BMBF, 01DR21025A).</t>
  </si>
  <si>
    <t>NOV 18</t>
  </si>
  <si>
    <t>10.3389/fneur.2021.772199</t>
  </si>
  <si>
    <t>7C1OR</t>
  </si>
  <si>
    <t>WOS:000899590000001</t>
  </si>
  <si>
    <t>Rozevink, SG; Hijmans, JM; Horstink, KA; van der Sluis, CK</t>
  </si>
  <si>
    <t>Rozevink, Samantha G.; Hijmans, Juha M.; Horstink, Koen A.; van der Sluis, Corry K.</t>
  </si>
  <si>
    <t>Effectiveness of task-specific training using assistive devices and task-specific usual care on upper limb performance after stroke: a systematic review and meta-analysis</t>
  </si>
  <si>
    <t>Stroke; upper limb; rehabilitation; task specific; assistive device</t>
  </si>
  <si>
    <t>FUGL-MEYER ASSESSMENT; UPPER-EXTREMITY; CORTICAL REORGANIZATION; ROBOTIC THERAPY; MOTOR FUNCTION; RECOVERY; REHABILITATION; IMPAIRMENT; ARM; EXERCISE</t>
  </si>
  <si>
    <t>Purpose Task-specific rehabilitation is a key indicator for successful rehabilitation to improve the upper limb performance after stroke. Assistive robotic and non-robotic devices are emerging to provide rehabilitation therapy; however, the effectiveness of task-specific training programs using assistive training devices compared with task-specific usual care training has not been summarized yet. Therefore, the effectiveness of task-specific training using assistive arm devices (TST-AAD) compared with task-specific usual care (TSUC) on the upper limb performance of patients with a stroke was investigated. To assess task specificity, a set of criteria was proposed: participation, program, relevant, repeated, randomized, reconstruction and reinforced. Materials and methods Out of 855 articles, 17 fulfilled the selection criteria. A meta-analysis was performed on the Fugl-Meyer Assessment scores in the subacute and chronic stages after stroke and during follow-up. Results and conclusion Both TST-AAD and TSUC improved the upper limb performance after stroke. In the sub-acute phase after stroke, TST-AAD was more effective than TSUC in reducing the upper limb impairment, although findings were based on only three studies. In the chronic phase, TST-AAD and TSUC showed similar effectiveness. No differences between the two types of training were found at the follow-up measurements. Future studies should describe training, device usage and criteria of task specificity in a standardized way to ease comparison.</t>
  </si>
  <si>
    <t>[Rozevink, Samantha G.; Hijmans, Juha M.; van der Sluis, Corry K.] Univ Groningen, Univ Med Ctr Groningen, Dept Rehabil Med, Groningen, Netherlands; [Horstink, Koen A.] Univ Groningen, Univ Med Ctr Groningen, Dept Human Movement Sci, Groningen, Netherlands</t>
  </si>
  <si>
    <t>University of Groningen; University of Groningen</t>
  </si>
  <si>
    <t>Rozevink, SG (corresponding author), POB 30001, NL-9700 RB Groningen, Netherlands.</t>
  </si>
  <si>
    <t>s.g.rozevink@umcg.nl</t>
  </si>
  <si>
    <t>Rozevink, Samantha/GYU-6521-2022; Hijmans, Juha/X-5814-2019</t>
  </si>
  <si>
    <t>van der Sluis, Corry K./0000-0003-2141-8214; Rozevink, Samantha/0000-0002-4992-1578</t>
  </si>
  <si>
    <t>[19094]</t>
  </si>
  <si>
    <t>This work was supported by the EITHealth under Grant 19094.</t>
  </si>
  <si>
    <t>10.1080/17483107.2021.2001061</t>
  </si>
  <si>
    <t>W4FX1</t>
  </si>
  <si>
    <t>WOS:000719783800001</t>
  </si>
  <si>
    <t>Babic, J; Laffranchi, M; Tessari, F; Verstraten, T; Novak, D; Sarabon, N; Ugurlu, B; Peternel, L; Torricelli, D; Veneman, JF</t>
  </si>
  <si>
    <t>Babic, Jan; Laffranchi, Matteo; Tessari, Federico; Verstraten, Tom; Novak, Domen; Sarabon, Nejc; Ugurlu, Barkan; Peternel, Luka; Torricelli, Diego; Veneman, Jan F.</t>
  </si>
  <si>
    <t>Challenges and solutions for application and wider adoption of wearable robots</t>
  </si>
  <si>
    <t>exoskeleton; user acceptance; wearable; wearable robotics</t>
  </si>
  <si>
    <t>UPPER-LIMB EXOSKELETON; BODY REHABILITATION; POWERED EXOSKELETON; PASSIVE EXOSKELETON; PRESSURE ALGOMETRY; IMPEDANCE CONTROL; HAND EXOSKELETON; CENTERED DESIGN; DYNAMIC-MODEL; SERIES</t>
  </si>
  <si>
    <t>The science and technology of wearable robots are steadily advancing, and the use of such robots in our everyday life appears to be within reach. Nevertheless, widespread adoption of wearable robots should not be taken for granted, especially since many recent attempts to bring them to real-life applications resulted in mixed outcomes. The aim of this article is to address the current challenges that are limiting the application and wider adoption of wearable robots that are typically worn over the human body. We categorized the challenges into mechanical layout, actuation, sensing, body interface, control, human-robot interfacing and coadaptation, and benchmarking. For each category, we discuss specific challenges and the rationale for why solving them is important, followed by an overview of relevant recent works. We conclude with an opinion that summarizes possible solutions that could contribute to the wider adoption of wearable robots.</t>
  </si>
  <si>
    <t>[Babic, Jan] Jozef Stefan Inst, Dept Automat Biocybernet &amp; Robot, Lab Neuromech &amp; Biorobot, Ljubljana, Slovenia; [Laffranchi, Matteo; Tessari, Federico] Ist Italiano Tecnol, Rehab Technol Lab, Genoa, Italy; [Verstraten, Tom] Vrije Univ Brussel, Robot &amp; Multibody Mech Res Grp, Brussels, Belgium; [Verstraten, Tom] Flanders Make, Brussels, Belgium; [Novak, Domen] Univ Wyoming, Laramie, WY USA; [Sarabon, Nejc] Univ Primorska, Fac Hlth Sci, Izola, Slovenia; [Ugurlu, Barkan] Ozyegin Univ, Fac Engn, Biomechatron Lab, Istanbul, Turkey; [Peternel, Luka] Delft Univ Technol, Dept Cognit Robot, Delft Hapt Lab, Delft, Netherlands; [Torricelli, Diego] Spanish Natl Res Council, Cajal Inst, Madrid, Spain; [Veneman, Jan F.] Hocoma AG, Volketswil, Switzerland</t>
  </si>
  <si>
    <t>Slovenian Academy of Sciences &amp; Arts (SASA); Jozef Stefan Institute; Istituto Italiano di Tecnologia - IIT; Vrije Universiteit Brussel; University of Wyoming; University of Primorska; Ozyegin University; Delft University of Technology; Consejo Superior de Investigaciones Cientificas (CSIC); CSIC - Instituto Cajal (IC)</t>
  </si>
  <si>
    <t>Babic, J (corresponding author), Jozef Stefan Inst, Dept Automat Biocybernet &amp; Robot, Lab Neuromech &amp; Biorobot, Ljubljana, Slovenia.</t>
  </si>
  <si>
    <t>jan.babic@ijs.si</t>
  </si>
  <si>
    <t>Veneman, Jan/IXN-8252-2023; Peternel, Luka/AAX-9766-2021; Swain, Jaya Kumari/AAT-1102-2020; Torricelli, Diego/B-3737-2017; Verstraten, Tom/MIT-8095-2025; Ugurlu, Barkan/A-4793-2015</t>
  </si>
  <si>
    <t>Peternel, Luka/0000-0002-8696-3689; Laffranchi, Matteo/0000-0003-1189-281X; Verstraten, Tom/0000-0001-7398-5398; Ugurlu, Barkan/0000-0002-9124-7441</t>
  </si>
  <si>
    <t>COST Action [CA16116]; COST (European Cooperation in Science and Technology); Slovenian Research Agency Programme [P2-0076]; Istituto Italiano per l'Assicurazione contro gli Infortuni sul Lavoro (INAIL) [PR19-RR-P1, PR19-RR-P2]; Research Foundation Flanders-Fonds voor Wetenschappelijk Onderzoek (FWO); United States National Science Foundation [1933409]; Scientific and Technological Research Council of Turkey (TUBITAK) [215E138]; EUROBENCH [779963]</t>
  </si>
  <si>
    <t>COST Action(European Cooperation in Science and Technology (COST)); COST (European Cooperation in Science and Technology)(European Cooperation in Science and Technology (COST)); Slovenian Research Agency Programme(Slovenian Research Agency - Slovenia); Istituto Italiano per l'Assicurazione contro gli Infortuni sul Lavoro (INAIL); Research Foundation Flanders-Fonds voor Wetenschappelijk Onderzoek (FWO)(FWO); United States National Science Foundation(National Science Foundation (NSF)); Scientific and Technological Research Council of Turkey (TUBITAK)(Turkiye Bilimsel ve Teknolojik Arastirma Kurumu (TUBITAK)); EUROBENCH</t>
  </si>
  <si>
    <t>This article is partially based on work from COST Action CA16116 (Wearable Robots for Augmentation,Assistance or Substitution of Human Motor Functions), supported by COST (European Cooperation in Science and Technology). J.B. was partially supported by the Slovenian Research Agency Programme P2-0076. M.L. was supported by the Istituto Italiano per l'Assicurazione contro gli Infortuni sul Lavoro (INAIL) under grant agreement nos. PR19-RR-P1 and PR19-RR-P2. T.V. was supported as a postdoctoral fellow of the Research Foundation Flanders-Fonds voor Wetenschappelijk Onderzoek (FWO). D.N. was partially supported by the United States National Science Foundation under grant no. 1933409. B.U. was partially supported by the Scientific and Technological Research Council of Turkey (TUBITAK) under grant no. 215E138. D.T. was partially supported by EUROBENCH under grant agreement no. 779963.</t>
  </si>
  <si>
    <t>NOV 11</t>
  </si>
  <si>
    <t>e14</t>
  </si>
  <si>
    <t>10.1017/wtc.2021.13</t>
  </si>
  <si>
    <t>MG1T8</t>
  </si>
  <si>
    <t>WOS:001192389300001</t>
  </si>
  <si>
    <t>Ali, A; Fontanari, V; Schmoelz, W; Agrawal, SK</t>
  </si>
  <si>
    <t>Ali, Athar; Fontanari, Vigilio; Schmoelz, Werner; Agrawal, Sunil K.</t>
  </si>
  <si>
    <t>Systematic Review of Back-Support Exoskeletons and Soft Robotic Suits</t>
  </si>
  <si>
    <t>assistive exoskeletons; back support exoskeletons; industrial exoskeletons; wearable robotics; rehabilitation robotics</t>
  </si>
  <si>
    <t>VARIABLE STIFFNESS; DEVICE; LIFT; EMG</t>
  </si>
  <si>
    <t>Lower back pain and musculoskeletal injuries are serious concerns for workers subjected to physical workload and manual material handling tasks. Spine assistive exoskeletons are being developed to support the spine and distribute the spine load. This article presents a detailed up-to-date review on the back support exoskeletons by discussing their type (Active/Passive), structure (Rigid/Soft), power transmission methods, weight, maximum assistive force, battery technologies, tasks (lifting, bending, stooping work), kinematic compatibility and other important features. This article also assesses the back support exoskeletons in terms of their ability to reduce the physical load on the spine. By reviewing functional and structural characteristics, the goal is to increase communication and realization among ergonomics practitioners, developers, customers, and factory workers. The search resulted in reviewing 34 exoskeletons of which 16 were passive and 18 were active. In conclusion, back support exoskeletons have immense potential to significantly reduce the factors regarding work-related musculoskeletal injuries. However, various technical challenges and a lack of established safety standards limit the wide adaptation of exoskeletons in industry.</t>
  </si>
  <si>
    <t>[Ali, Athar; Fontanari, Vigilio] Univ Trento, Dept Ind Engn, Trento, Italy; [Schmoelz, Werner] Med Univ Innsbruck, Dept Orthoped &amp; Traumatol, Innsbruck, Austria; [Agrawal, Sunil K.] Columbia Univ, Dept Mech Engn, Robot &amp; Rehabil ROAR Lab, New York, NY 10027 USA</t>
  </si>
  <si>
    <t>University of Trento; Medical University of Innsbruck; Columbia University</t>
  </si>
  <si>
    <t>Ali, A (corresponding author), Univ Trento, Dept Ind Engn, Trento, Italy.</t>
  </si>
  <si>
    <t>athar.ali@unitn.it</t>
  </si>
  <si>
    <t>Fontanari, Vigilio/V-4497-2019; Schmoelz, Werner/M-6572-2017; Ali, Athar/AAG-5366-2021; ALI, ATHAR/I-9023-2018</t>
  </si>
  <si>
    <t>ALI, ATHAR/0000-0002-5936-447X; Fontanari, Vigilio/0000-0001-8236-522X</t>
  </si>
  <si>
    <t>10.3389/fbioe.2021.765257</t>
  </si>
  <si>
    <t>XJ1YR</t>
  </si>
  <si>
    <t>WOS:000726592900001</t>
  </si>
  <si>
    <t>Hernandez, I; Yu, W</t>
  </si>
  <si>
    <t>Hernandez, Ivan; Yu, Wen</t>
  </si>
  <si>
    <t>Recent Advances on Control of Active Lower Limb Prostheses</t>
  </si>
  <si>
    <t>Active control; Limb prostheses</t>
  </si>
  <si>
    <t>KNEE-JOINT; DESIGN; ANKLE; PREDICTION; MOVEMENT; SYSTEM</t>
  </si>
  <si>
    <t>Recently, many novel results have appeared on the control-oriented design and analysis of active prostheses [28. K. Zhang, et al. Sensor fusion for predictive control of human-prosthesis-environment dynamics in assistive walking: a survey, 2019; 48. M. R. Tucker, et al. Control strategies for active lower extremity prosthetics and orthotics: a review. Journal of Neuroengineering and Rehabilitation, Vol. 12, no. 1, 2015. https://www.jneuroengrehab.com/content/12/1/1; 74. R. Torrealba. Towards the development of knee prostheses: review of current active devices. Applied Mechanics Reviews, ASME, 2017]. This paper presents a review of recent advances in the control of robotic prostheses, with an emphasis on lower limb prostheses. Arm and hand prostheses are also included, to have a more comprehensive view of the prosthesis. It includes the most common control strategies and unconventional proposals, such as intelligent control methods. The design methods of sensors, actuators, and control strategy are also discussed, which allow one to achieve the desired behavior of the mechanisms.</t>
  </si>
  <si>
    <t>[Hernandez, Ivan; Yu, Wen] CINVESTAV, Ciudad De Mexico 07360, Mexico</t>
  </si>
  <si>
    <t>CINVESTAV - Centro de Investigacion y de Estudios Avanzados del Instituto Politecnico Nacional</t>
  </si>
  <si>
    <t>Hernandez, I (corresponding author), CINVESTAV, Ciudad De Mexico 07360, Mexico.</t>
  </si>
  <si>
    <t>hdez_i1@hotmail.com; yuw@ctrl.cinvestav.mx</t>
  </si>
  <si>
    <t>YU, Wen/0000-0002-9540-7924; Hernandez Gonzalez, Ivan/0009-0002-2971-8086</t>
  </si>
  <si>
    <t>Consejo Nacional de Ciencia y Tecnologia [CONACyTA1-S-8216]; CINVESTAV [SEP-CINVESTAV-62, CNR-CINVESTAV]</t>
  </si>
  <si>
    <t>Consejo Nacional de Ciencia y Tecnologia(Consejo Nacional de Ciencia y Tecnologia (CONACyT)); CINVESTAV</t>
  </si>
  <si>
    <t>This work was supported in part by Consejo Nacional de Ciencia y Tecnologia [grant number CONACyTA1-S-8216], by CINVESTAV [grant number SEP-CINVESTAV-62] and [grant number CNR-CINVESTAV].</t>
  </si>
  <si>
    <t>10.1080/02564602.2021.1994477</t>
  </si>
  <si>
    <t>7W3BD</t>
  </si>
  <si>
    <t>WOS:000713870900001</t>
  </si>
  <si>
    <t>Ciortea, VM; Motoasca, I; Ungur, RA; Borda, IM; Ciubean, AD; Irsay, L</t>
  </si>
  <si>
    <t>Ciortea, Viorela Mihaela; Motoasca, Irina; Ungur, Rodica Ana; Borda, Ileana Monica; Ciubean, Alina Deniza; Irsay, Laszlo</t>
  </si>
  <si>
    <t>Telerehabilitation-A Viable Option for the Recovery of Post-Stroke Patients</t>
  </si>
  <si>
    <t>telerehabilitation; post-stroke recovery; robotic therapy; virtual reality; serious games</t>
  </si>
  <si>
    <t>PHARMACOLOGICAL PAIN MANAGEMENT; HOME-BASED-TELEREHABILITATION; STROKE REHABILITATION; VIRTUAL-REALITY; UPPER-LIMB; FEASIBILITY; INDIVIDUALS; TELEHEALTH; THERAPY</t>
  </si>
  <si>
    <t>As the number of stroke survivors is continuously growing, with an important number suffering from consequent functional deficits, the rehabilitation field is facing more complex demands. Technological progress gives us the opportunity to remotely assist patients while they exercise at home through telerehabilitation (TR), addressing the problems of limited medical resources and staff, difficult transportation, or living a long distance from rehabilitation centers. In addition, TR is a way to provide continuity in long-term post-stroke recovery during the COVID-19 pandemic, which limits traveling and human interaction. While the implementation of TR is increasing, the biggest challenges are to raise patients' acceptability of the new method and their motivation and engagement during the program. In this review, we aimed to find methods to address these challenges by identifying the patients who benefit the most from this therapy and efficiently organizing the space and technology used for telerehabilitation. User-friendly technologies and devices along with therapists' constant support and feedback are some of the most important aspects that make TR an efficient intervention and an alternative to conventional therapy.</t>
  </si>
  <si>
    <t>[Ciortea, Viorela Mihaela; Motoasca, Irina; Ungur, Rodica Ana; Borda, Ileana Monica; Ciubean, Alina Deniza; Irsay, Laszlo] Iuliu Hatieganu Univ Med &amp; Pharm, Dept Rehabil, Cluj Napoca 400012, Romania; [Ciortea, Viorela Mihaela; Motoasca, Irina; Ungur, Rodica Ana; Borda, Ileana Monica; Irsay, Laszlo] Clin Rehabil Hosp, Cluj Napoca 400347, Romania</t>
  </si>
  <si>
    <t>Iuliu Hatieganu University of Medicine &amp; Pharmacy</t>
  </si>
  <si>
    <t>Ungur, RA; Borda, IM (corresponding author), Iuliu Hatieganu Univ Med &amp; Pharm, Dept Rehabil, Cluj Napoca 400012, Romania.;Ungur, RA; Borda, IM (corresponding author), Clin Rehabil Hosp, Cluj Napoca 400347, Romania.</t>
  </si>
  <si>
    <t>ungurmed@yahoo.com; monicampop@yahoo.fr</t>
  </si>
  <si>
    <t>Ungur, Rodica Ana/GRR-2412-2022; Ciubean, Alina/AAW-1409-2020; Motoasca, Irina/IAM-0721-2023; Irsay, Laszlo/IQS-4572-2023; Borda, Ileana Monica/HHM-7887-2022; Ciortea, Viorela Mihaela/A-7929-2017</t>
  </si>
  <si>
    <t>Borda, Ileana Monica/0000-0002-6337-8831; Ciortea, Viorela Mihaela/0000-0001-6402-6443</t>
  </si>
  <si>
    <t>10.3390/app112110116</t>
  </si>
  <si>
    <t>WX2KF</t>
  </si>
  <si>
    <t>WOS:000718430600001</t>
  </si>
  <si>
    <t>Meda-Gutiérrez, JR; Zúñiga-Avilés, LA; Vilchis-González, AH; Avila-Vilchis, JC</t>
  </si>
  <si>
    <t>Meda-Gutierrez, Juan R.; Adrian Zuniga-Aviles, Luis; Vilchis-Gonzalez, Adriana H.; Carlos Avila-Vilchis, Juan</t>
  </si>
  <si>
    <t>Knee Exoskeletons Design Approaches to Boost Strength Capability: A Review</t>
  </si>
  <si>
    <t>knee exoskeletons; lower limb exoskeleton; passive exoskeletons</t>
  </si>
  <si>
    <t>LOWER-LIMB EXOSKELETON; ORTHOSIS; ROBOT; GAIT; REHABILITATION; WALKING; JOINT; PARALLEL; SYSTEM; DEVICE</t>
  </si>
  <si>
    <t>There are different devices to increase the strength capacity of people with walking problems. These devices can be classified into exoskeletons, orthotics, and braces. This review aims to identify the state of the art in the design of these medical devices, based on an analysis of patents and literature. However, there are some difficulties in processing the records due to the lack of filters and standardization in the names, generating discrepancies between the search engines, among others. Concerning the patents, 74 patents were analyzed using search engines such as Google Patents, Derwent, The Lens, Patentscope, and Espacenet over the past ten years. A bibliometric analysis was performed using 63 scientific reports from Web of Science and The Lens in the same period for scientific communications. The results show a trend to use the mechanical design of exoskeletons based on articulated rigid structures and elements that provide force to move the structure. These are generally two types: (a) elastic elements and (b) electromechanical elements. The United States accounts for 32% of the technological patents reviewed. The results suggest that the use of exoskeletons or orthoses customized to the users' needs will continue to increase over the years due to the worldwide growth in disability, particularly related to mobility difficulties and technologies related to the combined use of springs and actuators.</t>
  </si>
  <si>
    <t>[Meda-Gutierrez, Juan R.; Vilchis-Gonzalez, Adriana H.; Carlos Avila-Vilchis, Juan] Univ Autonoma Estado Mexico, Fac Engn, Toluca 50130, Mexico; [Adrian Zuniga-Aviles, Luis; Vilchis-Gonzalez, Adriana H.; Carlos Avila-Vilchis, Juan] Univ Autonoma Estado Mexico, Fac Med, Toluca 50180, Mexico; [Adrian Zuniga-Aviles, Luis] Univ Autonoma Estado Mexico, Fac Engn, Catedras Natl Council Sci &amp; Technol, Toluca 50130, Mexico</t>
  </si>
  <si>
    <t>Zúñiga-Avilés, LA (corresponding author), Univ Autonoma Estado Mexico, Fac Med, Toluca 50180, Mexico.;Zúñiga-Avilés, LA (corresponding author), Univ Autonoma Estado Mexico, Fac Engn, Catedras Natl Council Sci &amp; Technol, Toluca 50130, Mexico.</t>
  </si>
  <si>
    <t>jmedag001@alumno.uaemex.mx; lazunigaa@uaemex.mx; avilchisg@uaemex.mx; jcavilav@uaemex.mx</t>
  </si>
  <si>
    <t>Meda G, J/ABB-4427-2021; Gonzalez, Adriana/KFB-1711-2024; ZUÑIGA AVILES, LUIS/P-6348-2017; Vilchis Gonzalez, Adriana Herlinda/B-4757-2016; ZUNIGA AVILES, LUIS ADRIAN/AAW-7663-2020; Avila Vilchis, Juan Carlos/B-4759-2016</t>
  </si>
  <si>
    <t>Vilchis Gonzalez, Adriana Herlinda/0000-0002-5422-5593; Meda Gutierrez, Juan Ramon/0000-0001-5165-7094; ZUNIGA AVILES, LUIS ADRIAN/0000-0002-4365-8537; Avila Vilchis, Juan Carlos/0000-0002-1331-010X</t>
  </si>
  <si>
    <t>CONACYT (Consejo Nacional de Ciencia y Tecnologia) [1009754]</t>
  </si>
  <si>
    <t>CONACYT (Consejo Nacional de Ciencia y Tecnologia)(Consejo Nacional de Ciencia y Tecnologia (CONACyT))</t>
  </si>
  <si>
    <t>The present article uses free software except for Derwent analytics for the patent analysis, provided by the Autonomous University of Mexico State. This research was funded by CONACYT (Consejo Nacional de Ciencia y Tecnologia) (grant number 1009754).</t>
  </si>
  <si>
    <t>10.3390/app11219990</t>
  </si>
  <si>
    <t>XB1CA</t>
  </si>
  <si>
    <t>WOS:000721071500001</t>
  </si>
  <si>
    <t>Schröder, W; Gisbertz, SS; Voeten, DM; Gutschow, CA; Fuchs, HF; Henegouwen, MIV</t>
  </si>
  <si>
    <t>Schroder, Wolfgang; Gisbertz, Suzanne S.; Voeten, Daan M.; Gutschow, Christian A.; Fuchs, Hans F.; Henegouwen, Mark I. van Berge</t>
  </si>
  <si>
    <t>Surgical Therapy of Esophageal Adenocarcinoma-Current Standards and Future Perspectives</t>
  </si>
  <si>
    <t>esophageal adenocarcinoma; transthoracic esophagectomy; minimally invasive (robotic) techniques: perioperative management; patient selection; surgical outcome</t>
  </si>
  <si>
    <t>MINIMALLY-INVASIVE-ESOPHAGECTOMY; QUALITY-OF-LIFE; CHEMORADIOTHERAPY PLUS SURGERY; LIMITED TRANSHIATAL RESECTION; EORTC QUESTIONNAIRE MODULE; NEGATIVE-PRESSURE THERAPY; SHORT-TERM OUTCOMES; TRANSTHORACIC ESOPHAGECTOMY; ESOPHAGOGASTRIC JUNCTION; RESECTABLE ESOPHAGEAL</t>
  </si>
  <si>
    <t>Simple Summary: Subtotal resection of the esophagus with resection of local lymph nodes is the oncological procedure of choice for advanced esophageal cancer. Reconstruction of the intestinal tract is predominantly performed with a gastric tube. Even in specialized centers, this surgical procedure is associated with a high complication but low mortality rate. Therefore, clinical research aims to develop peri- and intra-operative strategies to improve the patient related outcome. Transthoracic esophagectomy is currently the predominant curative treatment option for resectable esophageal adenocarcinoma. The majority of carcinomas present as locally advanced tumors requiring multimodal strategies with either neoadjuvant chemoradiotherapy or perioperative chemotherapy alone. Minimally invasive, including robotic, techniques are increasingly applied with a broad spectrum of technical variations existing for the oncological resection as well as gastric reconstruction. At the present, intrathoracic esophagogastrostomy is the preferred technique of reconstruction (Ivor Lewis esophagectomy). With standardized surgical procedures, a complete resection of the primary tumor can be achieved in almost 95% of patients. Even in expert centers, postoperative morbidity remains high, with an overall complication rate of 50-60%, whereas 30- and 90-day mortality are reported to be &lt;2% and &lt;6%, respectively. Due to the complexity of transthoracic esophagetomy and its associated morbidity, esophageal surgery is recommended to be performed in specialized centers with an appropriate caseload yet to be defined. In order to reduce postoperative morbidity, the selection of patients, preoperative rehabilitation and postoperative fast-track concepts are feasible strategies of perioperative management. Future directives aim to further centralize esophageal services, to individualize surgical treatment for high-risk patients and to implement intraoperative imaging modalities modifying the oncological extent of resection and facilitating surgical reconstruction.</t>
  </si>
  <si>
    <t>[Schroder, Wolfgang; Fuchs, Hans F.] Univ Cologne, Fac Med, Dept Gen Visceral Canc &amp; Transplantat Surg, D-50937 Cologne, Germany; [Schroder, Wolfgang; Fuchs, Hans F.] Univ Cologne, Univ Hosp Cologne, D-50937 Cologne, Germany; [Gisbertz, Suzanne S.; Voeten, Daan M.; Henegouwen, Mark I. van Berge] Univ Amsterdam, Canc Ctr Amsterdam, Dept Surg, Amsterdam UMC, NL-1105 AZ Amsterdam, Netherlands; [Gutschow, Christian A.] Univ Hosp Zurich, Dept Gen &amp; Transplantat Surg, CH-8091 Zurich, Switzerland</t>
  </si>
  <si>
    <t>University of Cologne; University of Cologne; University of Amsterdam; Vrije Universiteit Amsterdam; University of Zurich; University Zurich Hospital</t>
  </si>
  <si>
    <t>Schröder, W (corresponding author), Univ Cologne, Fac Med, Dept Gen Visceral Canc &amp; Transplantat Surg, D-50937 Cologne, Germany.;Schröder, W (corresponding author), Univ Cologne, Univ Hosp Cologne, D-50937 Cologne, Germany.</t>
  </si>
  <si>
    <t>Wolfgang.schroeder@uk-koeln.de; s.s.gisbertz@amsterdamumc.nl; d.voeten@amsterdamumc.nl; christian.gutschow@usz.ch; Hans.fuchs@uk-koeln.de; m.i.vanbergehenegouwen@amsterdamumc.nl</t>
  </si>
  <si>
    <t>Gisbertz, Suzanne/HKV-8802-2023; Schroeder, Wolfgang/K-8728-2013</t>
  </si>
  <si>
    <t>Gisbertz, Suzanne/0000-0001-9655-7601; Voeten, Daan Michiel/0000-0003-4292-6795; Fuchs, Hans/0000-0003-4764-8050; van Berge Henegouwen, Mark/0000-0001-8689-3134</t>
  </si>
  <si>
    <t>10.3390/cancers13225834</t>
  </si>
  <si>
    <t>0A4HQ</t>
  </si>
  <si>
    <t>WOS:000773917700040</t>
  </si>
  <si>
    <t>Garro, F; Chiappalone, M; Buccelli, S; De Michieli, L; Semprini, M</t>
  </si>
  <si>
    <t>Garro, Florencia; Chiappalone, Michela; Buccelli, Stefano; De Michieli, Lorenzo; Semprini, Marianna</t>
  </si>
  <si>
    <t>Neuromechanical Biomarkers for Robotic Neurorehabilitation</t>
  </si>
  <si>
    <t>robotic rehabilitation; upper limb rehabilitation; motor control; EMG; EEG; kinematic measurement; stroke; exoskeleton</t>
  </si>
  <si>
    <t>TRANSLATIONAL REHABILITATION RESEARCH; UPPER-LIMB RECOVERY; MOTOR RECOVERY; MUSCLE FATIGUE; QUANTITATIVE EEG; CORTICOMUSCULAR COHERENCE; FUNCTIONAL-CONNECTIVITY; STROKE REHABILITATION; REHABILOMICS RESEARCH; BETA OSCILLATIONS</t>
  </si>
  <si>
    <t>One of the current challenges for translational rehabilitation research is to develop the strategies to deliver accurate evaluation, prediction, patient selection, and decision-making in the clinical practice. In this regard, the robot-assisted interventions have gained popularity as they can provide the objective and quantifiable assessment of the motor performance by taking the kinematics parameters into the account. Neurophysiological parameters have also been proposed for this purpose due to the novel advances in the non-invasive signal processing techniques. In addition, other parameters linked to the motor learning and brain plasticity occurring during the rehabilitation have been explored, looking for a more holistic rehabilitation approach. However, the majority of the research done in this area is still exploratory. These parameters have shown the capability to become the biomarkers that are defined as the quantifiable indicators of the physiological/pathological processes and the responses to the therapeutical interventions. In this view, they could be finally used for enhancing the robot-assisted treatments. While the research on the biomarkers has been growing in the last years, there is a current need for a better comprehension and quantification of the neuromechanical processes involved in the rehabilitation. In particular, there is a lack of operationalization of the potential neuromechanical biomarkers into the clinical algorithms. In this scenario, a new framework called the Rehabilomics has been proposed to account for the rehabilitation research that exploits the biomarkers in its design. This study provides an overview of the state-of-the-art of the biomarkers related to the robotic neurorehabilitation, focusing on the translational studies, and underlying the need to create the comprehensive approaches that have the potential to take the research on the biomarkers into the clinical practice. We then summarize some promising biomarkers that are being under investigation in the current literature and provide some examples of their current and/or potential applications in the neurorehabilitation. Finally, we outline the main challenges and future directions in the field, briefly discussing their potential evolution and prospective.</t>
  </si>
  <si>
    <t>[Garro, Florencia; Chiappalone, Michela; Buccelli, Stefano; De Michieli, Lorenzo; Semprini, Marianna] Rehab Technol, Ist Italiano Tecnol, Genoa, Italy; [Garro, Florencia; Chiappalone, Michela] Univ Genoa, Dept Informat Bioengn Robot &amp; Syst Engn, Genoa, Italy</t>
  </si>
  <si>
    <t>Semprini, M (corresponding author), Rehab Technol, Ist Italiano Tecnol, Genoa, Italy.</t>
  </si>
  <si>
    <t>marianna.semprini@iit.it</t>
  </si>
  <si>
    <t>Garro, Florencia/LLL-9452-2024; Semprini, Marianna/AAC-3059-2019</t>
  </si>
  <si>
    <t>De Michieli, Lorenzo/0000-0001-7158-3002</t>
  </si>
  <si>
    <t>y</t>
  </si>
  <si>
    <t>Funding This study was supported by the Istituto Nazionale Assicurazione Infortuni sul Lavoro (INAIL) (Project grant number PR19-RR-P2).</t>
  </si>
  <si>
    <t>10.3389/fnbot.2021.742163</t>
  </si>
  <si>
    <t>WW0QC</t>
  </si>
  <si>
    <t>WOS:000717630900001</t>
  </si>
  <si>
    <t>Calabrò, RS; Cassio, A; Mazzoli, D; Andrenelli, E; Bizzarini, E; Campanini, I; Carmignano, SM; Cerulli, S; Chisari, C; Colombo, V; Dalise, S; Fundarò, C; Gazzotti, V; Mazzoleni, D; Mazzucchelli, M; Melegari, C; Merlo, A; Stampacchia, G; Boldrini, P; Mazzoleni, S; Posteraro, F; Benanti, P; Castelli, E; Draicchio, F; Falabella, V; Galeri, S; Gimigliano, F; Grigioni, M; Mazzon, S; Molteni, F; Petrarca, M; Picelli, A; Senatore, M; Turchetti, G; Morone, G; Bonaiuti, D</t>
  </si>
  <si>
    <t>Calabro, Rocco S.; Cassio, Anna; Mazzoli, Davide; Andrenelli, Elisa; Bizzarini, Emiliana; Campanini, Isabella; Carmignano, Simona M.; Cerulli, Simona; Chisari, Carmelo; Colombo, Valentina; Dalise, Stefania; Fundaro, Cira; Gazzotti, Valeria; Mazzoleni, Daniele; Mazzucchelli, Miryam; Melegari, Corrado; Merlo, Andrea; Stampacchia, Giulia; Boldrini, Paolo; Mazzoleni, Stefano; Posteraro, Federico; Benanti, Paolo; Castelli, Enrico; Draicchio, Francesco; Falabella, Vincenzo; Galeri, Silvia; Gimigliano, Francesca; Grigioni, Mauro; Mazzon, Stefano; Molteni, Franco; Petrarca, Maurizio; Picelli, Alessandro; Senatore, Michele; Turchetti, Giuseppe; Morone, Giovanni; Bonaiuti, Donatella</t>
  </si>
  <si>
    <t>What does evidence tell us about the use of gait robotic devices in patients with multiple sclerosis? A comprehensive systematic review on functional outcomes and clinical recommendations</t>
  </si>
  <si>
    <t>Gait; Rehabilitation; Robotics; Lower extremity; Multiple sclerosis</t>
  </si>
  <si>
    <t>VIRTUAL-REALITY; REHABILITATION; PEOPLE</t>
  </si>
  <si>
    <t>INTRODUCTION: There is growing evidence on the efficacy of gait robotic rehabilitation in patients with multiple sclerosis (MS), but most of the studies have focused on gait parameters. Moreover, clear indications on the clinical use of robotics still lack. As part of the CICERONE Italian Consensus on Robotic Rehabilitation, the aim of this systematic review was to investigate the existing evidence concerning the role of lower limb robotic rehabilitation in improving functional recovery in patients with MS. EVIDENCE ACQUISITION: We searched for and systematically reviewed evidence-based studies on gait robotic rehabilitation in MS, between January 1st, 2010 and December 31st, 2020, in the following databases: Cochrane Library, PEDro, PubMed and Google Scholar. The study quality was assessed by the 16-item assessment of multiple systematic reviews 2 (AMSTAR 2) and the 10-item PEDro scale for the other research studies. EVIDENCE SYNTHESIS: After an accurate screening, only 17 papers were included in the review, and most of them (13 RCT) had a level II evidence. Most of the studies used the Lokomat as a grounded robotic device, two investigated the efficacy of end-effectors and two powered exoskeletons. Generally speaking, robotic treatment has beneficial effects on gait speed, endurance and balance with comparable outcomes to those of conventional treatments. However, in more severe patients (EDSS &gt;6), robotics leads to better functional outcomes. Notably, after gait training with robotics (especially when coupled to virtual reality) MS patients also reach better non-motor outcomes, including spasticity, fatigue, pain, psychological well-being and quality of life. Unfortunately, no clinical indications emerge on the treatment protocols. CONCLUSIONS: The present comprehensive systematic review highlights the potential beneficial role on functional outcomes of the lower limb robotic devices in people with MS. Future studies are warranted to evaluate the role of robotics not only for walking and balance outcomes, but also for other gait-training-related benefits, to identify appropriate outcome measures related to a specific subgroup of MS subjects' disease severity.</t>
  </si>
  <si>
    <t>[Calabro, Rocco S.] IRCCS, Ctr Neurolesi Bonino Pulejo, SS 113, I-98124 Messina, Italy; [Cassio, Anna] AUSL Piacenza, Spinal Cord &amp; Intens Rehabil Med Unit, Castel San Giovanni, Piacenza, Italy; [Mazzoli, Davide; Merlo, Andrea] OPA Sol &amp; Salus Gait &amp; Mot Anal Lab, Rimini, Italy; [Andrenelli, Elisa] Marche Polytech Univ, Dept Expt &amp; Clin Med, Ancona, Italy; [Bizzarini, Emiliana] Azienda Sanitaria Univ Friuli Cent, Gervasutta Hosp, Dept Rehabil Med, Spinal Cord Unit, Udine, Italy; [Campanini, Isabella; Merlo, Andrea] AUSL IRCCS Reggio Emilia, LAM Mot Anal Lab, Dept Neuromotor &amp; Rehabil Sci, Reggio Emilia, Italy; [Carmignano, Simona M.] Rehabil Therapeut Ctr, Potenza, Italy; [Cerulli, Simona] Univ Polyclin Fdn A Gemelli IRCCS, Rome, Italy; [Chisari, Carmelo; Dalise, Stefania] Univ Pisa, Dept Translat Res &amp; New Technol Med &amp; Surg, Sect Neurorehabil, Pisa, Italy; [Colombo, Valentina] Montecatone Rehabil Inst, Bologna, Italy; [Fundaro, Cira] IRCCS, Ist Clin Sci Maugeri, Unit Neurophysiopathol, Pavia, Italy; [Gazzotti, Valeria] Natl Inst Insurance Accid Work INAIL, Vigorso Prostheses Ctr, Bologna, Italy; [Mazzoleni, Daniele; Mazzucchelli, Miryam] Bicocca Univ Milan, Sch Phys &amp; Rehabil Med, Milan, Italy; [Melegari, Corrado] Elias Neuroriabilitaz, Parma, Italy; [Stampacchia, Giulia] Pisa Univ Hosp, Spinal Cord Unit, Pisa, Italy; [Boldrini, Paolo] Italian Soc Phys &amp; Rehabil Med SIMFER, Rome, Italy; [Mazzoleni, Stefano] Polytech Univ Bari, Dept Elect &amp; Informat Engn, Bari, Italy; [Posteraro, Federico] ASL12, Dept Rehabil, Viareggio, Lucca, Italy; [Benanti, Paolo] Pontifical Gregorian Univ, Rome, Italy; [Castelli, Enrico] Bambino Gesu Pediat Hosp, Dept Pediat Neurorehabil, Rome, Italy; [Draicchio, Francesco] Natl Inst Insurance Accid Work INAIL, Dept Occupat &amp; Environm Med Epidemiol &amp; Hyg, Rome, Italy; [Falabella, Vincenzo] Italian Federat Persons Spinal Cord Injuries FAIP, Rome, Italy; [Galeri, Silvia] IRCCS, Don Gnocchi Fdn, Florence, Italy; [Gimigliano, Francesca] Luigi Vanvitelli Univ Campania, Dept Mental &amp; Phys Hlth &amp; Prevent Med, Naples, Italy; [Grigioni, Mauro] Italian Natl Inst Hlth, Natl Ctr Innovat Technol Publ Hlth, Rome, Italy; [Mazzon, Stefano] ULSS Euganea, Rehabil Unit, Camposampiero Hosp, Padua, Italy; [Molteni, Franco] Valduce Hosp, Villa Beretta Rehabil Ctr, Lecce, Italy; [Petrarca, Maurizio] Bambino Gesu Pediat Hosp, Movement Anal &amp; Robot Lab, Rome, Italy; [Picelli, Alessandro] Univ Verona, Dept Neurosci Biomed &amp; Movement Sci, Verona, Italy; [Senatore, Michele] Italian Assoc Occupat Therapists AITO, Rome, Italy; [Turchetti, Giuseppe] Scuola Super Sant Anna, Inst Management, Pisa, Italy; [Morone, Giovanni] IRCCS, Santa Lucia Fdn, Rome, Italy; [Bonaiuti, Donatella] Piero Redaelli Geriatr Inst, Milan, Italy</t>
  </si>
  <si>
    <t>IRCCS Bonino Pulejo; Marche Polytechnic University; University of Pisa; University of Pavia; Istituti Clinici Scientifici Maugeri IRCCS; Istituto Nazionale per l'Assicurazione Contro gli Infortuni sul Lavoro (INAIL); University of Milano-Bicocca; University of Pisa; Azienda Ospedaliero Universitaria Pisana; Politecnico di Bari; IRCCS Bambino Gesu; Istituto Nazionale per l'Assicurazione Contro gli Infortuni sul Lavoro (INAIL); IRCCS Fondazione Don Carlo Gnocchi Onlus; Universita della Campania Vanvitelli; Istituto Superiore di Sanita (ISS); ULSS 6 Euganea; Ospedale di Camposampiero; IRCCS Bambino Gesu; University of Verona; Scuola Superiore Sant'Anna; IRCCS Santa Lucia</t>
  </si>
  <si>
    <t>Calabrò, RS (corresponding author), IRCCS, Ctr Neurolesi Bonino Pulejo, SS 113, I-98124 Messina, Italy.</t>
  </si>
  <si>
    <t>Dalise, Stefania/K-8940-2016; Picelli, Alessandro/K-5610-2016; Mazzoleni, Stefano/AAM-8581-2020; Turchetti, Giuseppe/K-5393-2018; Molteni, Franco/J-4455-2016; Morone, Giovanni/AAN-2666-2020; Merlo, Andrea/M-4405-2019; carmignano, simona/AAA-2372-2020; Calabrò, Rocco/K-7520-2016; Gimigliano, Francesca/B-6735-2013; Petrarca, Maurizio/GWZ-3714-2022; Francesco, Draicchio/AAC-7681-2022; Mazzoleni, Stefano/B-5875-2011; Morone, Giovanni/A-9561-2013; Fundaro, Cira/E-8284-2019; Campanini, Isabella/H-3600-2017</t>
  </si>
  <si>
    <t>Mazzoli, Davide/0009-0003-3494-0287; Mazzoleni, Stefano/0000-0002-9528-3239; Gimigliano, Francesca/0000-0002-1905-6405; ANDRENELLI, ELISA/0000-0001-7982-9871; Dalise, Stefania/0000-0002-1422-1539; Morone, Giovanni/0000-0003-3602-4197; Fundaro, Cira/0000-0002-7810-8885; Petrarca, Maurizio/0000-0002-7330-3569; Colombo, Valentina/0000-0003-2240-1190; Merlo, Andrea/0000-0002-5587-5686; Campanini, Isabella/0000-0002-9286-6711; calabro, rocco salvatore/0000-0002-8566-3166; Francesco, Draicchio/0000-0003-0677-2573</t>
  </si>
  <si>
    <t>10.23736/S1973-9087.21.06915-X</t>
  </si>
  <si>
    <t>WX0UR</t>
  </si>
  <si>
    <t>WOS:000718320700020</t>
  </si>
  <si>
    <t>Esposito, D; Centracchio, J; Andreozzi, E; Gargiulo, GD; Naik, GR; Bifulco, P</t>
  </si>
  <si>
    <t>Esposito, Daniele; Centracchio, Jessica; Andreozzi, Emilio; Gargiulo, Gaetano D.; Naik, Ganesh R.; Bifulco, Paolo</t>
  </si>
  <si>
    <t>Biosignal-Based Human-Machine Interfaces for Assistance and Rehabilitation: A Survey</t>
  </si>
  <si>
    <t>Human-Machine Interface; biosignals; assistive technology; rehabilitation; prosthetic control; robotic control; virtual reality control; gesture recognition; communication; smart environment control</t>
  </si>
  <si>
    <t>PROSTHETIC HAND; FEATURE-EXTRACTION; FINGER MOVEMENTS; FORCE-MYOGRAPHY; EYE TRACKING; EMG SIGNALS; FOREARM FMG; ROBOT ARM; LOW-COST; EXOSKELETON</t>
  </si>
  <si>
    <t>As a definition, Human-Machine Interface (HMI) enables a person to interact with a device. Starting from elementary equipment, the recent development of novel techniques and unobtrusive devices for biosignals monitoring paved the way for a new class of HMIs, which take such biosignals as inputs to control various applications. The current survey aims to review the large literature of the last two decades regarding biosignal-based HMIs for assistance and rehabilitation to outline state-of-the-art and identify emerging technologies and potential future research trends. PubMed and other databases were surveyed by using specific keywords. The found studies were further screened in three levels (title, abstract, full-text), and eventually, 144 journal papers and 37 conference papers were included. Four macrocategories were considered to classify the different biosignals used for HMI control: biopotential, muscle mechanical motion, body motion, and their combinations (hybrid systems). The HMIs were also classified according to their target application by considering six categories: prosthetic control, robotic control, virtual reality control, gesture recognition, communication, and smart environment control. An ever-growing number of publications has been observed over the last years. Most of the studies (about 67%) pertain to the assistive field, while 20% relate to rehabilitation and 13% to assistance and rehabilitation. A moderate increase can be observed in studies focusing on robotic control, prosthetic control, and gesture recognition in the last decade. In contrast, studies on the other targets experienced only a small increase. Biopotentials are no longer the leading control signals, and the use of muscle mechanical motion signals has experienced a considerable rise, especially in prosthetic control. Hybrid technologies are promising, as they could lead to higher performances. However, they also increase HMIs' complexity, so their usefulness should be carefully evaluated for the specific application.</t>
  </si>
  <si>
    <t>[Esposito, Daniele; Centracchio, Jessica; Andreozzi, Emilio; Bifulco, Paolo] Univ Naples Federico II, Dept Elect Engn &amp; Informat Technol, Polytech &amp; Basic Sci Sch, I-80125 Naples, Italy; [Gargiulo, Gaetano D.; Naik, Ganesh R.] Univ Western Sydney, Sch Engn Design &amp; Built Environm, Penrith, NSW 2747, Australia; [Gargiulo, Gaetano D.] Univ Western Sydney, MARCS Inst, Penrith, NSW 2751, Australia; [Naik, Ganesh R.] Flinders Univ S Australia, Adelaide Inst Sleep Hlth, Bedford Pk, SA 5042, Australia</t>
  </si>
  <si>
    <t>University of Naples Federico II; Western Sydney University; Western Sydney University; Flinders University South Australia; Adelaide Institute for Sleep Health</t>
  </si>
  <si>
    <t>Naik, GR (corresponding author), Univ Western Sydney, Sch Engn Design &amp; Built Environm, Penrith, NSW 2747, Australia.;Naik, GR (corresponding author), Flinders Univ S Australia, Adelaide Inst Sleep Hlth, Bedford Pk, SA 5042, Australia.</t>
  </si>
  <si>
    <t>daniele.esposito@unina.it; jessica.centracchio@unina.it; emilio.andreozzi@unina.it; g.gargiulo@westernsydney.edu.au; ganesh.naik@flinders.edu.au; paolo.bifulco@unina.it</t>
  </si>
  <si>
    <t>Gargiulo, Gaetano/AAD-3931-2022; Centracchio, Jessica/AIA-7429-2022; Bifulco, Paolo/JNR-2903-2023; Andreozzi, Emilio/AAF-3707-2021; Esposito, Daniele/AAT-3002-2020; Naik, Ganesh/G-5538-2011</t>
  </si>
  <si>
    <t>Andreozzi, Emilio/0000-0003-4829-3941; Esposito, Daniele/0000-0003-0716-8431; Gargiulo, Gaetano/0000-0002-2616-2804; Centracchio, Jessica/0000-0003-3422-8727; Naik, Ganesh/0000-0003-1790-9838; Bifulco, Paolo/0000-0002-9585-971X</t>
  </si>
  <si>
    <t>10.3390/s21206863</t>
  </si>
  <si>
    <t>WS6VK</t>
  </si>
  <si>
    <t>WOS:000715316500001</t>
  </si>
  <si>
    <t>Gandolfi, M; Valè, N; Posteraro, F; Morone, G; Dell'orco, A; Botticelli, A; Dimitrova, E; Gervasoni, E; Goffredo, M; Zenzeri, J; Antonini, A; Daniele, C; Benanti, P; Boldrini, P; Bonaiuti, D; Castelli, E; Draicchio, F; Falabella, V; Galeri, S; Gimigliano, F; Grigioni, M; Mazzon, S; Molteni, F; Petrarca, M; Picelli, A; Senatore, M; Turchetti, G; Giansanti, D; Mazzoleni, S</t>
  </si>
  <si>
    <t>Gandolfi, Marialuisa; Vale, Nicola; Posteraro, Federico; Morone, Giovanni; Dell'orco, Antonella; Botticelli, Anita; Dimitrova, Eleonora; Gervasoni, Elisa; Goffredo, Michela; Zenzeri, Jacopo; Antonini, Arianna; Daniele, Carla; Benanti, Paolo; Boldrini, Paolo; Bonaiuti, Donatella; Castelli, Enrico; Draicchio, Francesco; Falabella, Vincenzo; Galeri, Silvia; Gimigliano, Francesca; Grigioni, Mauro; Mazzon, Stefano; Molteni, Franco; Petrarca, Maurizio; Picelli, Alessandro; Senatore, Michele; Turchetti, Giuseppe; Giansanti, Daniele; Mazzoleni, Stefano</t>
  </si>
  <si>
    <t>State of the art and challenges for the classification of studies on electromechanical and robotic devices in neurorehabilitation: a scoping review</t>
  </si>
  <si>
    <t>Nervous system diseases; Upper extremity; Lower extremity; Gait; Rehabilitation; Robotics</t>
  </si>
  <si>
    <t>STROKE; RECOVERY; NEUROPLASTICITY; PEOPLE</t>
  </si>
  <si>
    <t>INTRODUCTION: The rapid development of electromechanical and robotic devices has profoundly influenced neurorehabilitation. Growth in the scientific and technological aspects thereof is crucial for increasing the number of newly developed devices, and clinicians have welcomed such growth with enthusiasm. Nevertheless, improving the standard for the reporting clinical, technical, and normative aspects of such electromechanical and robotic devices remains an unmet need in neurorehabilitation. Accordingly, this study aimed to analyze the existing literature on electromechanical and robotic devices used in neurorehabilitation, considering the current clinical, technical, and regulatory classification systems. EVIDENCE ACQUISITION: Within the CICERONE Consensus Conference framework, studies on electromechanical and robotic devices used for upper-and lower-limb rehabilitation in persons with neurological disabilities in adulthood and childhood were reviewed. We have conducted a literature search using the following databases: MEDLINE, Cochrane Library, PeDro, Institute of Electrical and Electronics Engineers, Science Direct, and Google Scholar. Clinical, technical, and regulatory classification systems were applied to collect information on the electromechanical and robotic devices. The study designs and populations were investigated. EVIDENCE SYNTHESIS: Overall, 316 studies were included in the analysis. More than half (52%) of the studies were randomised controlled trials (RCTs). The population investigated the most suffered from strokes, followed by spinal cord injuries, multiple sclerosis, cerebral palsy, and traumatic brain injuries. In total, 100 devices were described; of these, 19% were certified with the CE mark. Overall, the main type of device was an exoskeleton. However, end-effector devices were primarily used for the upper limbs, whereas exoskeletons were used for the lower limbs (for both children and adults). CONCLUSIONS: The current literature on robotic neurorehabilitation lacks detailed information regarding the technical characteristics of the devices used. This affects the understanding of the possible mechanisms underlying recovery. Unfortunately, many electromechanical and robotic devices are not provided with CE marks, strongly hindering the research on the clinical outcomes of rehabilitation treatments based on these devices. A more significant effort is needed to improve the description of the robotic devices used in neurorehabilitation in terms of the technical and functional details, along with high-quality RCT studies.</t>
  </si>
  <si>
    <t>[Gandolfi, Marialuisa; Dell'orco, Antonella; Botticelli, Anita; Picelli, Alessandro] Univ Verona, Univ Hosp Verona, Dept Neurosci Biomed &amp; Movement Sci, Unit Neurorehabil, Piazzale LA Scuro 10, I-37134 Verona, Italy; [Vale, Nicola; Dimitrova, Eleonora] Univ Verona, Dept Neurosci Biomed &amp; Movement Sci, Verona, Italy; [Posteraro, Federico] ASL Toscana Nord Ovest, Dept Rehabil, Hosp Versilia, Lucca, Italy; [Morone, Giovanni] IRCCS Santa Lucia Fdn, Rome, Italy; [Gervasoni, Elisa; Galeri, Silvia] IRRCS Fdn Don Carlo Gnocchi, Milan, Italy; [Goffredo, Michela] IRCCS San Raffaele Pisana, Neurorehabil Res Lab, Dept Neurol &amp; Rehabil Sci, Rome, Italy; [Zenzeri, Jacopo] Ist Italiano Tecnol IIT, Dept Robot Brain &amp; Cognit Sci, Genoa, Italy; [Antonini, Arianna] AITO Umbria, Perugia, Italy; [Daniele, Carla] Ist Super Sanita, Rome, Italy; [Benanti, Paolo] Pontifical Gregorian Univ, Rome, Italy; [Boldrini, Paolo] Italian Soc Phys Med &amp; Rehabil SIMFER, Rome, Italy; [Bonaiuti, Donatella] Geriatr Inst Piero Redaelli, Milan, Italy; [Castelli, Enrico] Bambino Gesu Pediat Hosp, Pediat Neurorehabil, Rome, Italy; [Draicchio, Francesco] INAIL, Dept Occupat &amp; Environm Med Epidemiol &amp; Hyg, Rome, Italy; [Falabella, Vincenzo] Italian Federat Persons Spinal Cord Injuries Flip, Rome, Italy; [Gimigliano, Francesca] Luigi Vanvitelli Univ Campania, Dept Mental &amp; Phys Hlth &amp; Prevent Med, Naples, Italy; [Grigioni, Mauro; Giansanti, Daniele] Italian Natl Inst Hlth, Natl Ctr Innovat Technol Publ Hlth, Rome, Italy; [Mazzon, Stefano] ULSS 6 Unique Sanit Local Co, Euganea Padova Distretto Alta Padovana 4, Padua, Italy; [Molteni, Franco] Villa Beretta, Como, Italy; [Petrarca, Maurizio] Bambino Gesu Pediat Hosp, Movement Anal &amp; Robot Lab, Rome, Italy; [Senatore, Michele] Italian Assoc Occupat Therapists AITO, Rome, Italy; [Turchetti, Giuseppe] Scuola Super Sant Anna, Inst Management, Pisa, Italy; [Mazzoleni, Stefano] Polytech Bari, Dept Elect &amp; Informat Engn, Bari, Italy</t>
  </si>
  <si>
    <t>University of Verona; Azienda Ospedaliera Universitaria Integrata Verona; University of Verona; IRCCS Santa Lucia; IRCCS San Raffaele Pisana; Istituto Italiano di Tecnologia - IIT; University of Genoa; Istituto Superiore di Sanita (ISS); IRCCS Bambino Gesu; Istituto Nazionale per l'Assicurazione Contro gli Infortuni sul Lavoro (INAIL); Universita della Campania Vanvitelli; Istituto Superiore di Sanita (ISS); IRCCS Bambino Gesu; Scuola Superiore Sant'Anna; Politecnico di Bari</t>
  </si>
  <si>
    <t>Gandolfi, M (corresponding author), Univ Verona, Univ Hosp Verona, Dept Neurosci Biomed &amp; Movement Sci, Unit Neurorehabil, Piazzale LA Scuro 10, I-37134 Verona, Italy.</t>
  </si>
  <si>
    <t>marialuisa.gandolfi@univr.it</t>
  </si>
  <si>
    <t>DANIELE, CARLA/E-6672-2015; Gandolfi, Marialuisa/J-7033-2018; Gimigliano, Francesca/B-6735-2013; Francesco, Draicchio/AAC-7681-2022; Petrarca, Maurizio/B-4181-2019; Gervasoni, Elisa/J-1723-2018; Turchetti, Giuseppe/K-5393-2018; Picelli, Alessandro/K-5610-2016; GIANSANTI, DANIELE/IWL-9175-2023; Mazzoleni, Stefano/AAM-8581-2020; Molteni, Franco/J-4455-2016; Morone, Giovanni/AAN-2666-2020; Zenzeri, Jacopo/X-5206-2019; Morone, Giovanni/A-9561-2013; Mazzoleni, Stefano/B-5875-2011; Goffredo, Michela/K-8805-2016</t>
  </si>
  <si>
    <t>Daniele, Carla/0000-0003-3799-9519; Petrarca, Maurizio/0000-0002-7330-3569; Morone, Giovanni/0000-0003-3602-4197; Giansanti, Daniele/0000-0002-8904-0847; Francesco, Draicchio/0000-0003-0677-2573; Mazzoleni, Stefano/0000-0002-9528-3239; Goffredo, Michela/0000-0002-2651-8479; Gimigliano, Francesca/0000-0002-1905-6405; Vale, Nicola/0000-0002-2364-5990</t>
  </si>
  <si>
    <t>Societa Italiana di Medicina Fisica e Riabilitativa; Italian Society of Neurological Rehabilitation (Societa Italiana di Riabilitazione Neurologica)</t>
  </si>
  <si>
    <t>The present study was funded by a grant from the Italian Consensus Conference on Rehabilitation assisted by robotic and electromechanical devices for persons with disability of neurological origin (CICERONE), as promoted by the Italian Society of Physical and Rehabilitation Medicine (SIMFER, Societa Italiana di Medicina Fisica e Riabilitativa), and Italian Society of Neurological Rehabilitation (Societa Italiana di Riabilitazione Neurologica [SIRN]) (2019-2021).</t>
  </si>
  <si>
    <t>10.23736/S1973-9087.21.06922-7</t>
  </si>
  <si>
    <t>WOS:000718320700019</t>
  </si>
  <si>
    <t>Zhang, AK; Wang, F; Chen, L; Wei, XS; Xue, MQ; Yang, F; Jiang, SH</t>
  </si>
  <si>
    <t>Zhang, Aokai; Wang, Feng; Chen, Lian; Wei, Xianshuo; Xue, Maoquan; Yang, Feng; Jiang, Shaohua</t>
  </si>
  <si>
    <t>3D printing hydrogels for actuators: A review</t>
  </si>
  <si>
    <t>CHINESE CHEMICAL LETTERS</t>
  </si>
  <si>
    <t>Soft robotics; Hydrogel; 3D printing; Biomaterials; Actuator; Finite element analysis</t>
  </si>
  <si>
    <t>SOFT ACTUATORS; TOUGH HYDROGELS; TEMPERATURE; SCAFFOLDS; COMPLEX; MICROFABRICATION; MICROSTRUCTURES; FABRICATION; COMPONENTS; CHITOSAN</t>
  </si>
  <si>
    <t>Soft and wet actuator systems have attracted great attention in some applications, such as assistive technologies for rehabilitation, training and regenerative biomedicines. Three-dimensional (3D) printing methods have realized the rapid fabrication of complex structures without the need for expensive dies or post processing. In this review, a comprehensive description is presented on stimuli-responsive hydrogels fabricated by light-responsive and extrusion-based 3D printing technologies. Mechanisms of actuations have been introduced based on stimuli types. As the most common method for 3D printed hydrogel actuators, direct-ink-writing has been discussed, including the two printing parameters of resolution and rheology. In addition, applications of 3D printed hydrogel actuators are presented followed by introductions of recent contributions on enhancing the toughness of 3D printed hydrogel and robust design tools, such as finite element analysis and artificial intelligence. (c) 2021 Chinese Chemical Society and Institute of Materia Medica, Chinese Academy of Medical Sciences. Published by Elsevier B.V. All rights reserved.</t>
  </si>
  <si>
    <t>[Zhang, Aokai; Xue, Maoquan; Yang, Feng] Changzhou Inst Ind Technol, Changzhou 213164, Jiangsu, Peoples R China; [Wang, Feng; Chen, Lian; Wei, Xianshuo; Jiang, Shaohua] Nanjing Forestry Univ, Coll Mat Sci &amp; Engn, CoInnovat Ctr Efficient Proc &amp; Utilizat Forest Re, Nanjing 210037, Peoples R China</t>
  </si>
  <si>
    <t>Nanjing Forestry University</t>
  </si>
  <si>
    <t>Yang, F (corresponding author), Changzhou Inst Ind Technol, Changzhou 213164, Jiangsu, Peoples R China.;Jiang, SH (corresponding author), Nanjing Forestry Univ, Coll Mat Sci &amp; Engn, CoInnovat Ctr Efficient Proc &amp; Utilizat Forest Re, Nanjing 210037, Peoples R China.</t>
  </si>
  <si>
    <t>yangfeng@ciit.edu.cn; shaohua.jiang@njfu.edu.cn</t>
  </si>
  <si>
    <t>Jiang, Shaohua/HDM-0188-2022; yang, feng/ABB-9199-2020; wang, feng/GQH-2825-2022</t>
  </si>
  <si>
    <t>Yang, Feng/0000-0002-2912-9276; Wang, Feng/0000-0001-5065-6073; Jiang, Shaohua/0000-0001-6147-3248</t>
  </si>
  <si>
    <t>Changzhou SciTech Program [CZ20200009, CJ20190017, CE20200089]; Qinglan Project of Jiangsu [Su 2018-12]; Young Fund, Doctoral Fund and Research Team of Changzhou Institute of Industry Technology [QN201813101011, BS202013101007, ZD201813101003]; Natural Science Foundation of Jiangsu Province [BK20180770]</t>
  </si>
  <si>
    <t>Changzhou SciTech Program; Qinglan Project of Jiangsu; Young Fund, Doctoral Fund and Research Team of Changzhou Institute of Industry Technology; Natural Science Foundation of Jiangsu Province(Natural Science Foundation of Jiangsu Province)</t>
  </si>
  <si>
    <t>This work is supported by Changzhou Sci&amp;Tech Program (Nos. CZ20200009, CJ20190017, CE20200089) , Qinglan Project of Jiangsu (No. Su 2018-12) , Young Fund, Doctoral Fund and Research Team of Changzhou Institute of Industry Technology (Nos. QN201813101011, BS202013101007, ZD201813101003) , and Natural Science Foundation of Jiangsu Province (No. BK20180770) .</t>
  </si>
  <si>
    <t>1001-8417</t>
  </si>
  <si>
    <t>1878-5964</t>
  </si>
  <si>
    <t>CHINESE CHEM LETT</t>
  </si>
  <si>
    <t>Chin. Chem. Lett.</t>
  </si>
  <si>
    <t>10.1016/j.cclet.2021.03.073</t>
  </si>
  <si>
    <t>XD2QO</t>
  </si>
  <si>
    <t>WOS:000722554600001</t>
  </si>
  <si>
    <t>Chen, X; Li, X; Zhu, ZY; Wang, HS; Yu, ZS; Bai, XZ</t>
  </si>
  <si>
    <t>Chen, Xing; Li, Xi; Zhu, Zhiyong; Wang, Huisheng; Yu, Zhongshen; Bai, Xizhuang</t>
  </si>
  <si>
    <t>Effects of progressive resistance training for early postoperative fast-track total hip or knee arthroplasty: A systematic review and meta-analysis</t>
  </si>
  <si>
    <t>Exercise therapy; Functional capacity; Hip arthroplasty; Knee arthroplasty; Muscle strength; Progressive resistance training</t>
  </si>
  <si>
    <t>EXERCISE THERAPY; STRENGTH; OSTEOARTHRITIS; INDIVIDUALS; PROJECTIONS; EFFUSION; TRIAL; PAIN</t>
  </si>
  <si>
    <t>Progressive resistance training (PRT) is one of the most commonly used exercise methods after joint replacement, while its effectiveness and safety are still controversial. Therefore, it's vital to investigate the effect of PRT on muscle strength and functional capacity early postoperative total hip arthroplasty (THA) or total knee arthroplasty (TKA). Relevant studies were identified via a search of Medline, Web of science and Cochrane Library from 2002 to 12 May 2020. Fifteen of 704 studies which comprised 6 THAs and 8 TKAs, involving 1021 adult patients were eligible for inclusion in the meta-analysis. There were no significant differences between the two groups after TKA in the 6-min walk test (6-WMT) within 1 month (95% CI =-0.41, 1.53), within 3 months (95% CI =-0.27, 0.76), within 12 months (95% CI =-0.29, 0.66); climb performance in seconds (s) (SCP), leg extension power, timed up and go test in seconds (s) (TUG) within 1 month (95% CI =-1.75, 0.77), within 3 months (95% CI =-0.48, 0.33), within 12 months (95% CI =-0.44, 0.35), sit to stand, number of repetitions in 30s (ST). There was no difference in the incidence of adverse events (95% CI =-0.01, 0.10). Similarly, two groups were also no obvious distinction after THA in the 6-WMT, SCP, Leg extension power, ST. PRT early after THA or TKA did not differ significantly from SR in terms of functional capacity, muscle strength recovery and incidence of adverse events. PRT is one of the options for rapid rehabilitation after joint replacement. (c) 2021 Asian Surgical Association and Taiwan Robotic Surgery Association. Publishing services by Elsevier B.V. This is an open access article under the CC BY-NC-ND license (http://creativecommons.org/ licenses/by-nc-nd/4.0/).</t>
  </si>
  <si>
    <t>[Chen, Xing; Li, Xi; Zhu, Zhiyong; Wang, Huisheng; Yu, Zhongshen; Bai, Xizhuang] China Med Univ, Peoples Hosp, Dept Orthoped &amp; Sports Med &amp; Joint Surg, 33 Wenyi Rd, Shenyang 110016, Liaoning, Peoples R China</t>
  </si>
  <si>
    <t>Bai, XZ (corresponding author), China Med Univ, Peoples Hosp, Dept Orthoped &amp; Sports Med &amp; Joint Surg, 33 Wenyi Rd, Shenyang 110016, Liaoning, Peoples R China.</t>
  </si>
  <si>
    <t>bai_xizhuang_g3@163.com</t>
  </si>
  <si>
    <t>zhu, zhiyong/B-4336-2015</t>
  </si>
  <si>
    <t>National Natural Science Foundation of China, China [81671811]; Shenyang Science and Technology Innovation Platform Construction Plan, China [1800975]</t>
  </si>
  <si>
    <t>National Natural Science Foundation of China, China(National Natural Science Foundation of China (NSFC)); Shenyang Science and Technology Innovation Platform Construction Plan, China</t>
  </si>
  <si>
    <t>This work was supported by the National Natural Science Foundation of China, China (grant No. 81671811) and Shenyang Science and Technology Innovation Platform Construction Plan, China (grant No. 1800975).</t>
  </si>
  <si>
    <t>10.1016/j.asjsur.2021.02.007</t>
  </si>
  <si>
    <t>WB7AK</t>
  </si>
  <si>
    <t>WOS:000703721700001</t>
  </si>
  <si>
    <t>Comino-Suárez, N; Moreno, JC; Gómez-Soriano, J; Megía-García, A; Serrano-Muñoz, D; Taylor, J; Alcobendas-Maestro, M; Gil-Agudo, A; del-Ama, AJ; Avendaño-Coy, J</t>
  </si>
  <si>
    <t>Comino-Suarez, Natalia; Moreno, Juan C.; Gomez-Soriano, Julio; Megia-Garcia, Alvaro; Serrano-Munoz, Diego; Taylor, Julian; Alcobendas-Maestro, Monica; Gil-Agudo, Angel; del-Ama, Antonio J.; Avendano-Coy, Juan</t>
  </si>
  <si>
    <t>Transcranial direct current stimulation combined with robotic therapy for upper and lower limb function after stroke: a systematic review and meta-analysis of randomized control trials</t>
  </si>
  <si>
    <t>Transcranial direct current stimulation; tDCS; Robotic; Neuromodulation; Stroke</t>
  </si>
  <si>
    <t>MOTOR RECOVERY; DOUBLE-BLIND; ARM FUNCTION; REHABILITATION; SUBACUTE; BRAIN</t>
  </si>
  <si>
    <t>Background Transcranial direct current stimulation (tDCS) is a non-invasive brain stimulation method able to modulate neuronal activity after stroke. The aim of this systematic review was to determine if tDCS combined with robotic therapy (RT) improves limb function after stroke when compared to RT alone. Methods A search for randomized controlled trials (RCTs) published prior to July 15, 2021 was performed. The main outcome was function assessed with the Fugl-Meyer motor assessment for upper extremities (FM/ue) and 10-m walking test (10MWT) for the lower limbs. As secondary outcomes, strength was assessed with the Motricity Index (MI) or Medical Research Council scale (MRC), spasticity with the modified Ashworth scale (MAS), functional independence with the Barthel Index (BI), and kinematic parameters. Results Ten studies were included for analysis (n = 368 enrolled participants). The results showed a non-significant effect for tDCS combined with RT to improve upper limb function [standardized mean difference (SMD) = - 0.12; 95% confidence interval (CI): - 0.35-0.11)]. However, a positive effect of the combined therapy was observed in the lower limb function (SMD = 0.48; 95% CI: - 0.15-1.12). Significant results favouring tDCS combined with RT were not found in strength (SMD = - 0.15; 95% CI: - 0.4-0.1), spasticity [mean difference (MD) = - 0.15; 95% CI: - 0.8-0.5)], functional independence (MD = 2.5; 95% CI: - 1.9-6.9) or velocity of movement (SMD = 0.06; 95% CI: - 0.3-0.5) with a moderate or low recommendation level according to the GRADE guidelines. Conclusions Current findings suggest that tDCS combined with RT does not improve upper limb function, strength, spasticity, functional independence or velocity of movement after stroke. However, tDCS may enhance the effects of RT alone for lower limb function. tDCS parameters and the stage or type of stroke injury could be crucial factors that determine the effectiveness of this therapy.</t>
  </si>
  <si>
    <t>[Comino-Suarez, Natalia; Moreno, Juan C.] CSIC, Inst Cajal, Neural Rehabil Grp, Madrid 28002, Spain; [Gomez-Soriano, Julio; Megia-Garcia, Alvaro; Serrano-Munoz, Diego; Avendano-Coy, Juan] Castilla Mancha Univ, Toledo Physiotherapy Res Grp GIFTO, Fac Physiotherapy &amp; Nursery, Toledo 45071, Spain; [Megia-Garcia, Alvaro; Gil-Agudo, Angel; del-Ama, Antonio J.] SESCAM, Natl Hosp Parapleg, Biomech &amp; Tech Aids Unit, Toledo 45071, Spain; [Taylor, Julian] SESCAM, Natl Hosp Parapleg, Sensorimotor Funct Grp, Toledo 45071, Spain; [Taylor, Julian] Univ Oxford, Harris Manchester Coll, Oxford, England; [Alcobendas-Maestro, Monica] Natl Hosp Parapleg, Dept Phys Med &amp; Rehabil, Toledo 45071, Spain; [del-Ama, Antonio J.] Rey Juan Carlos Univ, Madrid 28933, Spain</t>
  </si>
  <si>
    <t>Consejo Superior de Investigaciones Cientificas (CSIC); CSIC - Instituto Cajal (IC); University of Oxford; Universidad Rey Juan Carlos</t>
  </si>
  <si>
    <t>Moreno, JC (corresponding author), CSIC, Inst Cajal, Neural Rehabil Grp, Madrid 28002, Spain.</t>
  </si>
  <si>
    <t>jc.moreno@csic.es</t>
  </si>
  <si>
    <t>Suárez, Natalia/ABH-9328-2020; Serrano-Muñoz, Diego/AAD-2803-2019; Moreno, Juan/G-3622-2016; Gómez-Soriano, Julio/AAE-2990-2019; Gil-Agudo, Ángel/ABD-3065-2021; del-Ama, Antonio J./G-3141-2016; Taylor, Julian/AAC-2802-2021; Avendano Coy, Juan/Q-3631-2019</t>
  </si>
  <si>
    <t>del-Ama, Antonio J./0000-0001-6215-2593; Taylor, Julian/0000-0003-2553-2348; Avendano Coy, Juan/0000-0002-8760-3490; Moreno, Juan C./0000-0001-9561-7764; Serrano-Munoz, Diego/0000-0002-7521-5087</t>
  </si>
  <si>
    <t>Ministerio de Economia, Industria y Competitividad [DPI2017-91117-EXP]; Junta de Comunidades de Castilla la Mancha; Fondo Europeo de Desarrollo Regional (Fondos FEDER) [SBPLY/19/180501/000316]</t>
  </si>
  <si>
    <t>Ministerio de Economia, Industria y Competitividad(Spanish Government); Junta de Comunidades de Castilla la Mancha(Junta de Comunidades de Castilla-La Mancha); Fondo Europeo de Desarrollo Regional (Fondos FEDER)</t>
  </si>
  <si>
    <t>This was supported by the Ministerio de Economia, Industria y Competitividad. RECODE project [Grant number: DPI2017-91117-EXP]; and by Junta de Comunidades de Castilla la Mancha and Fondo Europeo de Desarrollo Regional (Fondos FEDER). EXO-STIM Project [Grant number: SBPLY/19/180501/000316].</t>
  </si>
  <si>
    <t>10.1186/s12984-021-00941-0</t>
  </si>
  <si>
    <t>UW2JQ</t>
  </si>
  <si>
    <t>WOS:000699989400001</t>
  </si>
  <si>
    <t>Paul, A; Usman, J; Ahmad, MY; Hamidreza, M; Maryam, H; Ong, ZC; Hasikin, K; Lai, KW</t>
  </si>
  <si>
    <t>Paul, Ayan; Usman, Juliana; Ahmad, Mohd Yazed; Hamidreza, Mohafez; Maryam, Hadizadeh; Ong, Zhi Chao; Hasikin, Khairunnisa; Lai, Khin Wee</t>
  </si>
  <si>
    <t>Health efficacy of electrically operated automated massage on muscle properties, peripheral circulation, and physio-psychological variables: a narrative review</t>
  </si>
  <si>
    <t>EURASIP JOURNAL ON ADVANCES IN SIGNAL PROCESSING</t>
  </si>
  <si>
    <t>Automated massage; Muscle properties; Peripheral circulation; Robotic massage</t>
  </si>
  <si>
    <t>WHOLE-BODY VIBRATION; ORAL REHABILITATION ROBOT; SKIN BLOOD-FLOW; MECHANICAL MASSAGE; LIGHT PRESSURE; WEIGHT-GAIN; THERAPY; MASSETER; ANXIETY; TEMPERATURE</t>
  </si>
  <si>
    <t>Manual massage, commonly used by healthy individuals for well-being, is an ancient practice requiring the intervention of a trained and experienced physiotherapist. On the other hand, automated massage is carried out by machines or modalities without or with minimal control of a human operator. In the present review, we provide a literature analysis to gather the effects of automated massage on muscle properties, peripheral circulation and psychophysiological variables as reported through psychometric and neurophysiological evaluations of each modality ranging from massage beds and whole-body vibrations to robotic massage. A computerized search was performed in Google Scholar, PubMed, and ResearchGate using selected key search terms, and the relevant data were extracted. The findings of this review indicate that for vibration massage, whole-body vibration exposure with relatively lower frequency and magnitude can be safely and effectively used to induce improvements in peripheral circulation. As for massage chair and mechanical bed massage, while most studies report on positive changes, the lack of strong clinical evidence renders these findings largely inconclusive. As for robotic massage, we discuss whether technological advances and collaborative robots might reconcile active and passive modes of action control during a massage and offer new massage perspectives through a stochastic sensorimotor user experience. This transition faculty, from one mode of control to the other, might definitely represent an innovative conceptual approach in terms of human-machine interactions.</t>
  </si>
  <si>
    <t>[Paul, Ayan; Usman, Juliana; Ahmad, Mohd Yazed; Hamidreza, Mohafez; Hasikin, Khairunnisa; Lai, Khin Wee] Univ Malaya, Dept Biomed Engn, Kuala Lumpur 50603, Malaysia; [Maryam, Hadizadeh] Univ Malaya, Ctr Sport &amp; Exercise Sci, Jalan Univ, Kuala Lumpur 50603, Malaysia; [Ong, Zhi Chao] Univ Malaya, Dept Mech Engn, Kuala Lumpur 50603, Malaysia</t>
  </si>
  <si>
    <t>Universiti Malaya; Universiti Malaya; Universiti Malaya</t>
  </si>
  <si>
    <t>Lai, KW (corresponding author), Univ Malaya, Dept Biomed Engn, Kuala Lumpur 50603, Malaysia.</t>
  </si>
  <si>
    <t>lai.khinwee@um.edu.my</t>
  </si>
  <si>
    <t>USMAN, JULIANA/B-8725-2010; Hadizadeh, Maryam/AAI-1429-2019; Paul, Ayan/KZT-8877-2024; Lai, Khin Wee/A-2997-2011; AHMAD, MOHD YAZED/B-9134-2010; Hasikin, Khairunnisa/B-8780-2010; Ong, Zhi Chao/B-9458-2010; Mohafez, Hamidreza/J-9591-2017</t>
  </si>
  <si>
    <t>Khin Wee, Lai/0000-0002-8602-0533; Hasikin, Khairunnisa/0000-0002-0471-3820; Ong, Zhi Chao/0000-0002-1686-3551; Mohafez, Hamidreza/0000-0001-5861-5049</t>
  </si>
  <si>
    <t>Universiti Malaya-Ogawa Malaysia [PV051-2019, PV052-2019]</t>
  </si>
  <si>
    <t>Universiti Malaya-Ogawa Malaysia</t>
  </si>
  <si>
    <t>This work was supported by Joint Research Grant, Universiti Malaya-Ogawa Malaysia, under Grants (PV051-2019 and PV052-2019).</t>
  </si>
  <si>
    <t>1687-6180</t>
  </si>
  <si>
    <t>EURASIP J ADV SIG PR</t>
  </si>
  <si>
    <t>EURASIP J. Adv. Signal Process.</t>
  </si>
  <si>
    <t>10.1186/s13634-021-00788-6</t>
  </si>
  <si>
    <t>UQ6SD</t>
  </si>
  <si>
    <t>WOS:000696191800001</t>
  </si>
  <si>
    <t>Ozioko, O; Dahiya, R</t>
  </si>
  <si>
    <t>Ozioko, Oliver; Dahiya, Ravinder</t>
  </si>
  <si>
    <t>Smart Tactile Gloves for Haptic Interaction, Communication, and Rehabilitation</t>
  </si>
  <si>
    <t>haptics; human machine interface; interaction technologies; rehabilitation; smart glove</t>
  </si>
  <si>
    <t>HAND GESTURE RECOGNITION; ELECTRONIC SKIN; VIRTUAL-REALITY; HEALTH-CARE; STRAIN SENSORS; VISION; TECHNOLOGIES; CHALLENGES; SYSTEM; TOUCH</t>
  </si>
  <si>
    <t>Wearable human machine interfaces (HMI) such as smart gloves have attracted considerable interest in recent years. The quality of the interactive experience with the real and virtual world using wearable HMI technologies depends on the intuitive two-way haptic interfaces they offer and the real-time touch-based information they send and receive. Herein, various smart glove solutions and their application in interaction, rehabilitation, virtual (VR) and augmented reality (AR), and augmentative and alternative communication (AAC) tasks are reviewed. While the early variants of such systems were based on commercial touch sensors and displays integrated (e.g., stitched) on wearables, electronic skin (e-skin)-type technologies with multifunctional capabilities are being explored nowadays for rich user experience and comfort. In this regard, instead of using separate touch sensors and actuators, miniaturized integrated devices providing both touch sensing and vibrotactile actuation have also been reported recently. Such advances, the associated challenges, and the advantages they offer for users to enjoy the full characteristic benefits of VR/ARs for interaction, immersion, and imagination are discussed. Finally, the huge potential the smart-glove-type solutions hold for advances in various application areas such as robotics, health care, sensorial augmentation for nondisabled and tactile Internet is also discussed.</t>
  </si>
  <si>
    <t>[Ozioko, Oliver; Dahiya, Ravinder] Univ Glasgow, James Watt Sch Engn, Bendable Elect &amp; Sensing Technol BEST Grp, Glasgow G12 8QQ, Lanark, Scotland</t>
  </si>
  <si>
    <t>University of Glasgow</t>
  </si>
  <si>
    <t>Dahiya, R (corresponding author), Univ Glasgow, James Watt Sch Engn, Bendable Elect &amp; Sensing Technol BEST Grp, Glasgow G12 8QQ, Lanark, Scotland.</t>
  </si>
  <si>
    <t>Ravinder.Dahiya@glasgow.ac.uk</t>
  </si>
  <si>
    <t>Dahiya, Ravinder/HHC-9797-2022</t>
  </si>
  <si>
    <t>Ozioko, Oliver/0000-0003-0208-5143</t>
  </si>
  <si>
    <t>Engineering and Physical Sciences Research Council (EPSRC) through the Engineering Fellowship for Growth [EP/R029644/1]; European Commission through the FET-OPEN project Ph-Coding [H2020-FETOPEN-2018-829186]; EPSRC [EP/R029644/1] Funding Source: UKRI</t>
  </si>
  <si>
    <t>Engineering and Physical Sciences Research Council (EPSRC) through the Engineering Fellowship for Growth(UK Research &amp; Innovation (UKRI)Engineering &amp; Physical Sciences Research Council (EPSRC)); European Commission through the FET-OPEN project Ph-Coding; EPSRC(UK Research &amp; Innovation (UKRI)Engineering &amp; Physical Sciences Research Council (EPSRC))</t>
  </si>
  <si>
    <t>This work was supported in part by the Engineering and Physical Sciences Research Council (EPSRC) through the Engineering Fellowship for Growth (EP/R029644/1) and the European Commission through the FET-OPEN project Ph-Coding (H2020-FETOPEN-2018-829186).</t>
  </si>
  <si>
    <t>10.1002/aisy.202100091</t>
  </si>
  <si>
    <t>ZB9PN</t>
  </si>
  <si>
    <t>WOS:000694942300001</t>
  </si>
  <si>
    <t>Berlet, R; Anthony, S; Brooks, B; Wang, ZJ; Sadanandan, N; Shear, A; Cozene, B; Gonzales-Portillo, B; Parsons, B; Salazar, FE; Toledo, ARL; Monroy, GR; Gonzales-Portillo, JV; Borlongan, C</t>
  </si>
  <si>
    <t>Berlet, Reed; Anthony, Stefan; Brooks, Beverly; Wang, Zhen-Jie; Sadanandan, Nadia; Shear, Alex; Cozene, Blaise; Gonzales-Portillo, Bella; Parsons, Blake; Esparza Salazar, Felipe; Lezama Toledo, Alma R.; Rivera Monroy, German; Vega Gonzales-Portillo, Joaquin; Borlongan, Cesario, V</t>
  </si>
  <si>
    <t>Combination of Stem Cells and Rehabilitation Therapies for Ischemic Stroke</t>
  </si>
  <si>
    <t>BIOMOLECULES</t>
  </si>
  <si>
    <t>stroke; stem cell therapy; bone marrow-derived mesenchymal stem cells; neural stem cells; endothelial progenitor cells; neuroinflammation; rehabilitation therapy</t>
  </si>
  <si>
    <t>FOCAL CEREBRAL-ISCHEMIA; OLIGODENDROCYTE PROGENITOR CELLS; ROBOT-ASSISTED THERAPY; MARROW STROMAL CELLS; BLOOD-BRAIN-BARRIER; SUBVENTRICULAR ZONE; FUNCTIONAL RECOVERY; UPPER-LIMB; ENRICHED ENVIRONMENT; PARKINSONS-DISEASE</t>
  </si>
  <si>
    <t>Stem cell transplantation with rehabilitation therapy presents an effective stroke treatment. Here, we discuss current breakthroughs in stem cell research along with rehabilitation strategies that may have a synergistic outcome when combined together after stroke. Indeed, stem cell transplantation offers a promising new approach and may add to current rehabilitation therapies. By reviewing the pathophysiology of stroke and the mechanisms by which stem cells and rehabilitation attenuate this inflammatory process, we hypothesize that a combined therapy will provide better functional outcomes for patients. Using current preclinical data, we explore the prominent types of stem cells, the existing theories for stem cell repair, rehabilitation treatments inside the brain, rehabilitation modalities outside the brain, and evidence pertaining to the benefits of combined therapy. In this review article, we assess the advantages and disadvantages of using stem cell transplantation with rehabilitation to mitigate the devastating effects of stroke.</t>
  </si>
  <si>
    <t>[Berlet, Reed] Rosalind Franklin Univ Med &amp; Sci, Chicago Med Sch, 3333 Green Bay Rd, N Chicago, IL 60064 USA; [Anthony, Stefan] Lake Erie Coll Osteopath Med, 5000 Lakewood Ranch Blvd, Bradenton, FL 34211 USA; [Brooks, Beverly; Wang, Zhen-Jie; Borlongan, Cesario, V] Univ S Florida, Morsani Coll Med, Dept Neurosurg &amp; Brain Repair, 12901 Bruce B Downs Blvd, Tampa, FL 33612 USA; [Sadanandan, Nadia] Georgetown Univ, 3700 O St NW, Washington, DC 20057 USA; [Shear, Alex] Univ Florida, 205 Fletcher Dr, Gainesville, FL 32611 USA; [Cozene, Blaise] Tulane Univ, 6823 St Charles Ave, New Orleans, LA 70118 USA; [Gonzales-Portillo, Bella] Northwestern Univ, 633 Clark St, Evanston, IL 60208 USA; [Parsons, Blake] Washington &amp; Lee Univ, 204 Washington St, Lexington, VA 24450 USA; [Esparza Salazar, Felipe; Lezama Toledo, Alma R.; Rivera Monroy, German] Ctr Invest Ciencias Salud CICSA, FCS, Univ Anahuac Mexico Campus Norte, Huixquilucan 52786, Mexico; [Vega Gonzales-Portillo, Joaquin] Univ Peruana Ciencias Aplicadas, Prolongac Primavera 2390, Lima 15023, Peru; [Borlongan, Cesario, V] Univ S Florida, Morsani Coll Med, Ctr Excellence Aging &amp; Brain Repair, 12901 Bruce B Downs Blvd, Tampa, FL 33612 USA</t>
  </si>
  <si>
    <t>Rosalind Franklin University of Medicine &amp; Science; Chicago Medical School; State University System of Florida; University of South Florida; Georgetown University; State University System of Florida; University of Florida; Tulane University; Northwestern University; Washington &amp; Lee University; Universidad Peruana de Ciencias Aplicadas (UPC); State University System of Florida; University of South Florida</t>
  </si>
  <si>
    <t>Borlongan, C (corresponding author), Univ S Florida, Morsani Coll Med, Dept Neurosurg &amp; Brain Repair, 12901 Bruce B Downs Blvd, Tampa, FL 33612 USA.;Borlongan, C (corresponding author), Univ S Florida, Morsani Coll Med, Ctr Excellence Aging &amp; Brain Repair, 12901 Bruce B Downs Blvd, Tampa, FL 33612 USA.</t>
  </si>
  <si>
    <t>reed.berlet@my.rfums.org; santhony01304@med.lecom.edu; beverly14@usf.edu; zwang94@usf.edu; nas146@georgetown.edu; a.shear@ufl.edu; bcozene@tulane.edu; bellagonzales-portillo2024@u.northwestern.edu; parsonsb24@mail.wlu.edu; felipe.esparzas69@anahuac.mx; alma.lezamato@anahuac.mx; german.riveramo@anahuac.mx; jovgagp95@gmail.com</t>
  </si>
  <si>
    <t>, wangzhenjie/AHE-4537-2022; Rivera Monroy, German/GXH-1824-2022; Berlet, Reed/HCG-9527-2022; Vega Gonzales-Portillo, Joaquin/KDO-2915-2024; Borlongan, Cesar/I-5696-2012</t>
  </si>
  <si>
    <t>Lezama Toledo, Alma Rosa/0000-0003-2935-3080; Vega Gonzales-Portillo, Joaquin/0000-0002-2901-2887; Sadanandan, Nadia/0000-0001-8826-5043; Esparza Salazar, Felipe/0000-0003-1884-5389</t>
  </si>
  <si>
    <t>2218-273X</t>
  </si>
  <si>
    <t>Biomolecules</t>
  </si>
  <si>
    <t>10.3390/biom11091316</t>
  </si>
  <si>
    <t>UV6DF</t>
  </si>
  <si>
    <t>WOS:000699565800001</t>
  </si>
  <si>
    <t>Koch, MA; Font-Llagunes, JM</t>
  </si>
  <si>
    <t>Koch, Martin Andreas; Font-Llagunes, Josep M.</t>
  </si>
  <si>
    <t>Lower-Limb Exosuits for Rehabilitation or Assistance of Human Movement: A Systematic Review</t>
  </si>
  <si>
    <t>exosuit; exoskeleton; rehabilitation; stroke</t>
  </si>
  <si>
    <t>ANKLE-FOOT-ORTHOSIS; UNITED-STATES; GAIT; WALKING; STROKE; EXOSKELETONS; PREVALENCE; ROBOTICS; ABILITY; MOTOR</t>
  </si>
  <si>
    <t>Featured Application This review about clinical and technological aspects of lower-limb exosuits may be useful for engineers and researchers to improve future exosuit designs for rehabilitation and movement assistance. This state-of-the-art overview can be beneficial for evaluating and optimizing exosuit design and test protocols for the benefit of the user. Background: The aim of this review is to provide a comprehensive overview of the technological state-of-the-art of exosuits and the clinical results obtained when applied to users with mobility impairment. Methods: Searches are carried out in the COCHRANE, PubMed, IEEE Xplore and MEDLINE databases. Titles, abstracts and full texts are screened for inclusion criteria. Technological and clinical data are extracted. The quality of the studies is evaluated via a study quality assessment tool. Results: 19 studies are identified as relevant. Active (47%) and passive exosuits (53%) are used. Most are used untethered (84%), accommodating the demand of mobility. No study reports power consumption, which is important for dimensioning power systems. Fields of applications are post-stroke (79%), osteoarthritis (16%) and post-trauma (5%). Mostly the ankle joint is addressed (57%), while less studies address multiple joints (21%). The outcomes of clinical evaluations of lower-limb exosuits with patients suffering from mobility impairments are positive in the correction of gait pattern and reducing metabolic energy consumption during hemiparetic walking. Conclusions: Lower-limb exosuits for clinical applications are still facing technological challenges. Fields of application are limited to stroke, osteoarthritis and trauma. While clinical outcomes are overall positive, improvements in the study protocols are suggested.</t>
  </si>
  <si>
    <t>[Koch, Martin Andreas] ELISAVA Barcelona Sch Design &amp; Engn, Barcelona 08002, Spain; [Font-Llagunes, Josep M.] Univ Politecn Cataluna, Dept Mech Engn, Biomech Engn Lab, Barcelona 08028, Spain; [Font-Llagunes, Josep M.] Univ Politecn Cataluna, Res Ctr Biomed Engn, Barcelona 08028, Spain; [Font-Llagunes, Josep M.] Inst Recerca St Joan de Deu, Esplugas de Llobregat 08950, Spain</t>
  </si>
  <si>
    <t>Universitat Politecnica de Catalunya; Universitat Politecnica de Catalunya</t>
  </si>
  <si>
    <t>Koch, MA (corresponding author), ELISAVA Barcelona Sch Design &amp; Engn, Barcelona 08002, Spain.</t>
  </si>
  <si>
    <t>mkoch@elisava.net; josep.m.font@upc.edu</t>
  </si>
  <si>
    <t>Font-Llagunes, Josep Maria/C-8665-2014</t>
  </si>
  <si>
    <t>Font-Llagunes, Josep Maria/0000-0002-7192-2980</t>
  </si>
  <si>
    <t>10.3390/app11188743</t>
  </si>
  <si>
    <t>UV3OV</t>
  </si>
  <si>
    <t>WOS:000699393200001</t>
  </si>
  <si>
    <t>Altaheri, H; Muhammad, G; Alsulaiman, M; Amin, SU; Altuwaijri, GA; Abdul, W; Bencherif, MA; Faisal, M</t>
  </si>
  <si>
    <t>Altaheri, Hamdi; Muhammad, Ghulam; Alsulaiman, Mansour; Amin, Syed Umar; Altuwaijri, Ghadir Ali; Abdul, Wadood; Bencherif, Mohamed A.; Faisal, Mohammed</t>
  </si>
  <si>
    <t>Deep learning techniques for classification of electroencephalogram (EEG) motor imagery (MI) signals: a review</t>
  </si>
  <si>
    <t>NEURAL COMPUTING &amp; APPLICATIONS</t>
  </si>
  <si>
    <t>Deep learning; Electroencephalogram (EEG); Motor imagery (MI); Brain-computer interface (BCI); Classification; Survey</t>
  </si>
  <si>
    <t>CONVOLUTIONAL NEURAL-NETWORK; BRAIN-COMPUTER-INTERFACE; CHANNEL SELECTION; SINGLE; REHABILITATION; PERFORMANCE; FUSION; STROKE; SCHEME; TASKS</t>
  </si>
  <si>
    <t>The brain-computer interface (BCI) is an emerging technology that has the potential to revolutionize the world, with numerous applications ranging from healthcare to human augmentation. Electroencephalogram (EEG) motor imagery (MI) is among the most common BCI paradigms that have been used extensively in smart healthcare applications such as post-stroke rehabilitation and mobile assistive robots. In recent years, the contribution of deep learning (DL) has had a phenomenal impact on MI-EEG-based BCI. In this work, we systematically review the DL-based research for MI-EEG classification from the past ten years. This article first explains the procedure for selecting the studies and then gives an overview of BCI, EEG, and MI systems. The DL-based techniques applied in MI classification are then analyzed and discussed from four main perspectives: preprocessing, input formulation, deep learning architecture, and performance evaluation. In the discussion section, three major questions about DL-based MI classification are addressed: (1) Is preprocessing required for DL-based techniques? (2) What input formulations are best for DL-based techniques? (3) What are the current trends in DL-based techniques? Moreover, this work summarizes MI-EEG-based applications, extensively explores public MI-EEG datasets, and gives an overall visualization of the performance attained for each dataset based on the reviewed articles. Finally, current challenges and future directions are discussed.</t>
  </si>
  <si>
    <t>[Altaheri, Hamdi; Muhammad, Ghulam; Alsulaiman, Mansour; Amin, Syed Umar; Altuwaijri, Ghadir Ali; Abdul, Wadood; Bencherif, Mohamed A.] King Saud Univ, Dept Comp Engn, Coll Comp &amp; Informat Sci CCIS, Riyadh 11543, Saudi Arabia; [Altuwaijri, Ghadir Ali] Majmaah Univ, Comp Sci &amp; Informat Technol Coll, Majmaah, Saudi Arabia; [Faisal, Mohammed] King Saud Univ, Coll Appl Comp Sci, Riyadh, Saudi Arabia; [Altaheri, Hamdi; Muhammad, Ghulam; Alsulaiman, Mansour; Amin, Syed Umar; Altuwaijri, Ghadir Ali; Abdul, Wadood; Bencherif, Mohamed A.; Faisal, Mohammed] King Saud Univ, Ctr Smart Robot Res, CCIS, Riyadh, Saudi Arabia</t>
  </si>
  <si>
    <t>King Saud University; Majmaah University; King Saud University; King Saud University</t>
  </si>
  <si>
    <t>Muhammad, G (corresponding author), King Saud Univ, Dept Comp Engn, Coll Comp &amp; Informat Sci CCIS, Riyadh 11543, Saudi Arabia.;Muhammad, G (corresponding author), King Saud Univ, Ctr Smart Robot Res, CCIS, Riyadh, Saudi Arabia.</t>
  </si>
  <si>
    <t>haltaheri@ksu.edu.sa; ghulam@ksu.edu.sa; mmalsulaiman@ksu.edu.sa; samin@ksu.edu.sa; ga.altuwaijri@mu.edu.sa; aabdulwaheed@ksu.edu.sa; mabencherif@ksu.edu.sa; mfaisal@ksu.edu.sa</t>
  </si>
  <si>
    <t>Faisal, Mohammed/D-3338-2016; Altaheri, Hamdi/AAG-3308-2019; Abdul, Wadood/GZA-4884-2022; Amin, Syed Umar/D-9632-2019; Muhammad, Ghulam/H-5884-2011</t>
  </si>
  <si>
    <t>Altuwaijri, Ghadir/0000-0002-3427-6262; Amin, Syed Umar/0000-0002-4718-0155; Muhammad, Ghulam/0000-0002-9781-3969; Altaheri, Hamdi/0000-0003-1780-6388</t>
  </si>
  <si>
    <t>Deputyship for Research &amp; Innovation, Ministry of Education in Saudi Arabia [DRI-KSU-1354]</t>
  </si>
  <si>
    <t>Deputyship for Research &amp; Innovation, Ministry of Education in Saudi Arabia(Ministry of Education Saudi Arabia)</t>
  </si>
  <si>
    <t>The authors extend their appreciation to the Deputyship for Research &amp; Innovation, Ministry of Education in Saudi Arabia for funding this research work through the project number (DRI-KSU-1354).</t>
  </si>
  <si>
    <t>SPRINGER LONDON LTD</t>
  </si>
  <si>
    <t>236 GRAYS INN RD, 6TH FLOOR, LONDON WC1X 8HL, ENGLAND</t>
  </si>
  <si>
    <t>0941-0643</t>
  </si>
  <si>
    <t>1433-3058</t>
  </si>
  <si>
    <t>NEURAL COMPUT APPL</t>
  </si>
  <si>
    <t>Neural Comput. Appl.</t>
  </si>
  <si>
    <t>10.1007/s00521-021-06352-5</t>
  </si>
  <si>
    <t>AUG 2021</t>
  </si>
  <si>
    <t>Computer Science, Artificial Intelligence</t>
  </si>
  <si>
    <t>I0SQ0</t>
  </si>
  <si>
    <t>WOS:000688393800001</t>
  </si>
  <si>
    <t>Moggio, L; de Sire, A; Marotta, N; Demeco, A; Ammendolia, A</t>
  </si>
  <si>
    <t>Moggio, Lucrezia; de Sire, Alessandro; Marotta, Nicola; Demeco, Andrea; Ammendolia, Antonio</t>
  </si>
  <si>
    <t>Exoskeleton versus end-effector robot-assisted therapy for finger-hand motor recovery in stroke survivors: systematic review and meta-analysis</t>
  </si>
  <si>
    <t>Fingers; hand; rehabilitation; robot-assisted therapy; robotic rehabilitation; stroke</t>
  </si>
  <si>
    <t>UPPER-LIMB; REHABILITATION; SUBACUTE; ARM</t>
  </si>
  <si>
    <t>Introduction: The growing number of stroke survivors with residual hand disabilities requires the development of efficient recovery therapy, and robotic rehabilitation can play an important role. Objective: The study aims to compare the relative effects of end-effector (EE) and exoskeleton (EXO) hand devices in motor recovery of patients with finger-hand motor impairment stroke. Methods: We identified randomized controlled trials (RCTs) through search in database on PubMed, Embase, MEDLINE, Cochrane library until October 2020. We included as outcomes: motricity index (MI), quick version of disabilities of the arm, shoulder, and hand (QuickDASH) questionnaire, and Fugl-Meyer assessment for upper extremity (FMAUE). We performed a systematic review, a meta-analysis, and a surface under the cumulative ranking analysis (SUCRA). Results: We included five RTCs and 149 subjects. MI showed a significant improvement (p &lt; .05) in robotic intervention group compared to control group (effect size, ES: 9.47; confidence interval, CI: 3.91, 15.03). QuickDASH reported a significant reduction (p &lt; .05) in EXO group (ES: -6.71; CI: -9.17, -4.25). FMAUE showed a significant improvement (p &lt; .05) in the EE group (ES:3; CI:1.97, 4.04). SUCRA analysis of MI demonstrated that robotic interventions are more likely to be the best option for motor recovery (97.3% of probability EXO; 48.3% EE; 4.4% control). Conclusion: Despite the limited number of studies included, exoskeleton robotic devices might be a better option than end-effector devices in the treatment of fingers motor impairment in stroke patients. Further studies are still needed to confirm the findings and should focus on a direct comparison of the two devices.</t>
  </si>
  <si>
    <t>[Moggio, Lucrezia; de Sire, Alessandro; Marotta, Nicola; Demeco, Andrea; Ammendolia, Antonio] Univ Catanzaro, Dept Med &amp; Surg Sci, Catanzaro, Italy</t>
  </si>
  <si>
    <t>Magna Graecia University of Catanzaro</t>
  </si>
  <si>
    <t>Moggio, L (corresponding author), Univ Catanzaro Magna Graecia, Dept Surg &amp; Med Sci, Viale Europa, I-88100 Catanzaro, Italy.</t>
  </si>
  <si>
    <t>lucrezia.moggio@gmail.com</t>
  </si>
  <si>
    <t>Demeco, Andrea/HHM-3044-2022; Marotta, Nicola/AAM-6163-2020; Ammendolia, Antonio/K-2155-2016</t>
  </si>
  <si>
    <t>de Sire, Alessandro/0000-0002-5541-8346; Marotta, Nicola/0000-0002-5568-7909; Demeco, Andrea/0000-0001-5419-4275; Ammendolia, Antonio/0000-0002-2828-2455</t>
  </si>
  <si>
    <t>10.1080/10749357.2021.1967657</t>
  </si>
  <si>
    <t>5C8JG</t>
  </si>
  <si>
    <t>WOS:000687076600001</t>
  </si>
  <si>
    <t>La Bara, LMA; Meloni, L; Giusino, D; Pietrantoni, L</t>
  </si>
  <si>
    <t>Alessandra La Bara, Laura Maria; Meloni, Luca; Giusino, Davide; Pietrantoni, Luca</t>
  </si>
  <si>
    <t>Assessment Methods of Usability and Cognitive Workload of Rehabilitative Exoskeletons: A Systematic Review</t>
  </si>
  <si>
    <t>exoskeletons; rehabilitation; usability; cognitive workload; assessment</t>
  </si>
  <si>
    <t>DESIGN; ROBOTS</t>
  </si>
  <si>
    <t>Featured Application The present work has potential applications in the field of exoskeleton-based rehabilitation, within which it may contribute to the development of guidelines and analytical tools for exoskeletons' usability and cognitive workload. Robotic exoskeleton technologies are applied in the medical field to help patients with impaired mobility to recover their motor functions. Relevant literature shows that usability and cognitive workload may influence the patients' likelihood to benefit from the use of rehabilitative exoskeletons. Following the PRISMA method, the present study aimed to systematically review the assessment methods of usability and cognitive workload in the use of exoskeletal devices for motor rehabilitation. The literature search was conducted in the Scopus and Web of Science bibliographical databases, using 16 keywords that were combined into one search query. A final sample of 23 articles was included in the review, from which 18 distinct assessment methods were identified. Of them, 15 aimed to assess usability, whereas 3 aimed to assess cognitive workload in the use of rehabilitative exoskeletons. Some of the identified methods (e.g., SUS, QUEST, SWAT, and NASA-TLX) showed good psychometric properties and were therefore proven to be appropriate to assess usability and cognitive workload while performing exoskeleton-based rehabilitation. The current study may contribute to the development of guidelines and analytical tools for exoskeletons' usability and exoskeleton-related patients' cognitive workload in the domain of medical rehabilitation.</t>
  </si>
  <si>
    <t>[Alessandra La Bara, Laura Maria; Meloni, Luca; Giusino, Davide; Pietrantoni, Luca] Univ Bologna, Dept Psychol, Alma Mater Studiorum, I-40126 Bologna, Italy</t>
  </si>
  <si>
    <t>University of Bologna</t>
  </si>
  <si>
    <t>Giusino, D (corresponding author), Univ Bologna, Dept Psychol, Alma Mater Studiorum, I-40126 Bologna, Italy.</t>
  </si>
  <si>
    <t>lauramaria.labara@studio.unibo.it; luca.meloni@studio.unibo.it; davide.giusino2@unibo.it; luca.pietrantoni@unibo.it</t>
  </si>
  <si>
    <t>PIETRANTONI, LUCA/I-6088-2012; Giusino, Davide/KZU-8001-2024</t>
  </si>
  <si>
    <t>PIETRANTONI, LUCA/0000-0002-3966-3800; Giusino, Davide/0000-0003-0878-1748</t>
  </si>
  <si>
    <t>European Union [779963]</t>
  </si>
  <si>
    <t>This research received funding from the European Union's Horizon 2020 research and innovation program, via an open call issued and executed under project EUROBENCH (grant agreement no. 779963). http://eurobench2020.eu (accessed on 1 July 2021).</t>
  </si>
  <si>
    <t>10.3390/app11157146</t>
  </si>
  <si>
    <t>TV6AR</t>
  </si>
  <si>
    <t>WOS:000681804600001</t>
  </si>
  <si>
    <t>Montagne, F; Guisier, F; Venissac, N; Baste, JM</t>
  </si>
  <si>
    <t>Montagne, Francois; Guisier, Florian; Venissac, Nicolas; Baste, Jean-Marc</t>
  </si>
  <si>
    <t>The Role of Surgery in Lung Cancer Treatment: Present Indications and Future Perspectives-State of the Art</t>
  </si>
  <si>
    <t>lung cancer; minimally invasive surgery; video-assisted thoracoscopic surgery; robotic-assisted thoracoscopic surgery; enhanced postsurgical recovery; surgical diagnosis; palliative supportive care</t>
  </si>
  <si>
    <t>LONG-TERM SURVIVAL; STEREOTACTIC BODY RADIOTHERAPY; ASSISTED THORACOSCOPIC SURGERY; CLINICAL STAGE-I; QUALITY-OF-LIFE; PATHOLOGICAL COMPLETE RESPONSE; PROPENSITY-MATCHED ANALYSIS; NEAR-INFRARED ANGIOGRAPHY; ESMO CONSENSUS CONFERENCE; LYMPH-NODE DISSECTION</t>
  </si>
  <si>
    <t>Simple Summary Lung cancer evolutions, innovative systemic treatments, minimally invasive thoracic surgery approaches and perioperative medical care have changed the role of surgery in the treatment of lung cancer. Pre-invasive and early-stage lung cancer, and conversely, advanced and metastatic tumors can be treated by innovative imaging-guided resection, minimally invasive approach or hybrid approach with very good short-term outcomes, enhanced recovery and preserved long-term survival. Considering lung cancer as a chronic disease, surgery must anticipate future disease evolution by sparing lung tissue and preserving lung function, while an oncologic complete resection must be performed. Surgery could also be valuable when recurrences occur or for selected palliative conditions. This article outlines present indications and future perspectives of lung surgery in lung cancer. Non-small cell lung cancers (NSCLC) are different today, due to the increased use of screening programs and of innovative systemic therapies, leading to the diagnosis of earlier and pre-invasive tumors, and of more advanced and controlled metastatic tumors. Surgery for NSCLC remains the cornerstone treatment when it can be performed. The role of surgery and surgeons has also evolved because surgeons not only perform the initial curative lung cancer resection but they also accompany and follow-up patients from pre-operative rehabilitation, to treatment for recurrences. Surgery is personalized, according to cancer characteristics, including cancer extensions, from pre-invasive and local tumors to locally advanced, metastatic disease, or residual disease after medical treatment, anticipating recurrences, and patients' characteristics. Surgical management is constantly evolving to offer the best oncologic resection adapted to each NSCLC stage. Today, NSCLC can be considered as a chronic disease and surgery is a valuable tool for the diagnosis and treatment of recurrences, and in palliative conditions to relieve dyspnea and improve patients' comfort.</t>
  </si>
  <si>
    <t>[Montagne, Francois; Venissac, Nicolas] Univ Hosp Lille, Calmette Hosp, Dept Thorac Surg, Blvd Pr J Leclercq, F-59000 Lille, France; [Guisier, Florian] Rouen Univ Hosp, Dept Pneumol, 1 Rue Germont, F-76000 Rouen, France; [Guisier, Florian] Rouen Univ Hosp, Clin Invest Ctr, CIC INSERM 1404, 1 Rue Germont, F-76000 Rouen, France; [Guisier, Florian] Normandie Univ, Fac Med &amp; Pharm Rouen, LITIS QuantIF EA4108, 22 Blvd Gambetta, F-76183 Rouen, France; [Baste, Jean-Marc] Rouen Univ Hosp, Dept Gen &amp; Thorac Surg, 1 Rue Germont, F-76000 Rouen, France; [Baste, Jean-Marc] Normandie Univ, Fac Med &amp; Pharm Rouen UNIROUEN, INSERM U1096, 22 Blvd Gambetta, F-76000 Rouen, France</t>
  </si>
  <si>
    <t>Universite de Lille; CHU Lille; Universite de Rouen Normandie; CHU de Rouen; Universite de Rouen Normandie; CHU de Rouen; Institut National de la Sante et de la Recherche Medicale (Inserm); Universite de Rouen Normandie; Universite de Rouen Normandie; CHU de Rouen; Universite de Rouen Normandie; Institut National de la Sante et de la Recherche Medicale (Inserm)</t>
  </si>
  <si>
    <t>Baste, JM (corresponding author), Rouen Univ Hosp, Dept Gen &amp; Thorac Surg, 1 Rue Germont, F-76000 Rouen, France.;Baste, JM (corresponding author), Normandie Univ, Fac Med &amp; Pharm Rouen UNIROUEN, INSERM U1096, 22 Blvd Gambetta, F-76000 Rouen, France.</t>
  </si>
  <si>
    <t>francois.montagne@chru-lille.fr; florian.guisier@chu-rouen.fr; nicolas.venissac@chru-lille.fr; jean-marc.baste@chu-rouen.fr</t>
  </si>
  <si>
    <t>Montagne, François/AAX-3815-2021</t>
  </si>
  <si>
    <t>Guisier, Florian/0000-0002-8166-7303; Montagne, Francois/0000-0001-8182-2695</t>
  </si>
  <si>
    <t>10.3390/cancers13153711</t>
  </si>
  <si>
    <t>TV6NT</t>
  </si>
  <si>
    <t>WOS:000681838600001</t>
  </si>
  <si>
    <t>Ferreira, FMRM; Chaves, MEA; Oliveira, VC; Martins, JSR; Vimieiro, CBS; Van Petten, AMVN</t>
  </si>
  <si>
    <t>Ferreira, Fernanda M. R. M.; Chaves, Maria Emilia A.; Oliveira, Vinicius C.; Martins, Jordana S. R.; Vimieiro, Claysson B. S.; Van Petten, Adriana M. V. N.</t>
  </si>
  <si>
    <t>Effect of Robot-Assisted Therapy on Participation of People with Limited Upper Limb Functioning: A Systematic Review with GRADE Recommendations</t>
  </si>
  <si>
    <t>QUALITY-OF-LIFE; CHRONIC STROKE; SOCIAL-PARTICIPATION; OUTCOME MEASURES; LIVING LAB; REHABILITATION; ARM; RECOVERY; HEMIPARESIS; DISABILITY</t>
  </si>
  <si>
    <t>Background. Previous studies have suggested that robot-assisted therapy (RT) is effective in treating impairment and that it may also improve individuals' participation. Objective. To investigate the effect of RT on the participation of individuals with limited upper limb functioning (PROSPERO: ). Data Sources: PEDro, Embase, MEDLINE, CINAHL, Cochrane, AMED, and Compendex. Inclusion Criteria. We selected randomized or quasirandomized controlled studies comparing the effects of RT with minimal or other interventions on participation of individuals with limited upper limb functioning. Data Extraction and Synthesis. Methodological quality of the included studies was assessed using the 0-10 PEDro scale, and effect estimates were reported using standardized mean differences (SMDs) with 95% confidence intervals (CIs), and the certainty of the current evidence was assessed using the GRADE. Results. Twelve randomized controlled studies involving 845 participants were included. The estimates of medium effects between RT and minimal intervention (MI) at a short-term follow-up were pooled, but there are no short-term effects between RT and OI. Standardized differences in means were as follows: 0.6 (95% CI 0.1 to 1.2) and 0.2 (95% CI -0.0 to 0.4). There were also no effects of additional RT in the short- or medium-term follow-up periods. Standardized differences in means were as follows: -0.6 (95% CI -1.1 to -0.1) and 0.2 (95% CI -0.3 to 0.8). The methodological quality of the included studies potentially compromised the effect estimates of RT. The existing evidence was very low-quality with many confounding variables between studies. Conclusions. For patients with upper limb neurological dysfunction, low-quality evidence supports RT over MI in terms of improving individual participation in the short term. The existing low- to very low-quality evidence does not support RT over OI in either the short- or medium-term follow-up periods with respect to community participation.</t>
  </si>
  <si>
    <t>[Ferreira, Fernanda M. R. M.; Vimieiro, Claysson B. S.] Univ Fed Minas Gerais, Bioengn Lab, Grad Program Mech Engn, Av Antonio Carlos 6627, BR-31270901 Belo Horizonte, MG, Brazil; [Chaves, Maria Emilia A.] Ctr Univ UNA, Grad Program Phys Therapy, Rua Aimores 1451, BR-30140071 Belo Horizonte, MG, Brazil; [Oliveira, Vinicius C.] Univ Fed Vales Jequitinhonha &amp; Mucuri, Grad Program Rehabil &amp; Funct Performance, Campus JK MGT 367 Km 583,5000, BR-39100000 Diamantina, MG, Brazil; [Martins, Jordana S. R.; Vimieiro, Claysson B. S.] Pontificia Univ Catolica Minas Gerais, Grad Program Mech Engn, Av Dom Jose Gaspar,500 Coracao Eucarist, BR-30535901 Belo Horizonte, MG, Brazil; [Van Petten, Adriana M. V. N.] Univ Fed Minas Gerais, Dept Occupat Therapy, Av Antonio Carlos 6627, BR-31270901 Belo Horizonte, MG, Brazil</t>
  </si>
  <si>
    <t>Universidade Federal de Minas Gerais; Centro Universitario UNA; Universidade Federal dos Vales do Jequitinhonha e Mucuri (UFVJM); Pontificia Universidade Catolica de Minas Gerais; Universidade Federal de Minas Gerais</t>
  </si>
  <si>
    <t>Vimieiro, CBS (corresponding author), Univ Fed Minas Gerais, Bioengn Lab, Grad Program Mech Engn, Av Antonio Carlos 6627, BR-31270901 Belo Horizonte, MG, Brazil.;Vimieiro, CBS (corresponding author), Pontificia Univ Catolica Minas Gerais, Grad Program Mech Engn, Av Dom Jose Gaspar,500 Coracao Eucarist, BR-30535901 Belo Horizonte, MG, Brazil.</t>
  </si>
  <si>
    <t>claysson@gmail.com</t>
  </si>
  <si>
    <t>Van Petten, Adriana/AAL-1545-2020; Cunha Oliveira, Vinicius/E-1366-2014; Santos Vimieiro, Claysson Bruno/R-4765-2017</t>
  </si>
  <si>
    <t>Cunha Oliveira, Vinicius/0000-0002-8658-3774; Santos Vimieiro, Claysson Bruno/0000-0003-1916-0517; Ferreira, Fernanda/0000-0003-1031-7389; Van Petten, Adriana/0000-0001-7979-2319; Simoes Ribeiro Martins, Jordana/0000-0002-8860-8146</t>
  </si>
  <si>
    <t>CNPq (Conselho Nacional de Desenvolvimento Cientifico e Tecnologico) [203345/2019-3]; FAPEMIG (Fundacao de Amparo a Pesquisa do Estado de Minas Gerais); CAPES (Coordenacao de Aperfeicoamento de Pessoal de Nivel Superior) [001]</t>
  </si>
  <si>
    <t>CNPq (Conselho Nacional de Desenvolvimento Cientifico e Tecnologico)(Conselho Nacional de Desenvolvimento Cientifico e Tecnologico (CNPQ)); FAPEMIG (Fundacao de Amparo a Pesquisa do Estado de Minas Gerais)(Fundacao de Amparo a Pesquisa do Estado de Minas Gerais (FAPEMIG)); CAPES (Coordenacao de Aperfeicoamento de Pessoal de Nivel Superior)(Coordenacao de Aperfeicoamento de Pessoal de Nivel Superior (CAPES))</t>
  </si>
  <si>
    <t>The authors would like to acknowledge the financial support of CNPq (Conselho Nacional de Desenvolvimento Cientifico e Tecnologico) (203345/2019-3), FAPEMIG (Fundacao de Amparo a Pesquisa do Estado de Minas Gerais), and CAPES (Coordenacao de Aperfeicoamento de Pessoal de Nivel Superior) (Finance Code 001).</t>
  </si>
  <si>
    <t>WILEY-HINDAWI</t>
  </si>
  <si>
    <t>ADAM HOUSE, 3RD FL, 1 FITZROY SQ, LONDON, WIT 5HE, ENGLAND</t>
  </si>
  <si>
    <t>10.1155/2021/6649549</t>
  </si>
  <si>
    <t>TX5UW</t>
  </si>
  <si>
    <t>WOS:000683156500001</t>
  </si>
  <si>
    <t>Alashram, AR; Annino, G; Padua, E</t>
  </si>
  <si>
    <t>Alashram, Anas R.; Annino, Giuseppe; Padua, Elvira</t>
  </si>
  <si>
    <t>Robot-assisted gait training in individuals with spinal cord injury: A systematic review for the clinical effectiveness of Lokomat</t>
  </si>
  <si>
    <t>JOURNAL OF CLINICAL NEUROSCIENCE</t>
  </si>
  <si>
    <t>Robotic-assisted gait training; Spinal cord injury; Impairments; Lokomat; Rehabilitation</t>
  </si>
  <si>
    <t>PEDRO SCALE; MOTOR; RECOVERY; PEOPLE; STIMULATION; MEDICINE; THERAPY; QUALITY; LESIONS; SPEED</t>
  </si>
  <si>
    <t>Background: Spinal cord injury (SCI) is a critical medical condition that causes numerous impairments leading to accompanying disability. Robotic-assisted gait training (RAGT) offers many advantages, including the capability to increase the intensity and total duration of training while maintaining a physiological gait pattern. The effects of the RAGT 'Lokomat' on various impairments following SCI remain unclear. Objectives: This review was conducted to examine the impacts of the RAGT 'Lokomat' on the impairments following SCI. Methods: We searched PubMed, SCOPUS, PEDro, REHABDATA, MEDLINE, EMBASE, and web of science from inception to January 2021. Experimental studies examining the effects of the Lokomat on the impairments following incomplete SCI were selected. The methodological quality was assessed using the Physiotherapy Evidence Database (PEDro) scale. Results: Sixteen studies were met the inclusion criteria. Thirteen were randomized controlled trials, two were clinical trials, and one was a pilot study. The scores on the PEDro scale ranged from two to eight, with a median score of six. The results showed evidence for the beneficial effects of the Lokomat on many motor impairments following incomplete SCI. Conclusions: The Lokomat may improve gait speed, walking distance, strength, range of motion, and mobility after incomplete SCI. There is insufficient evidence for the effect of the Lokomat on balance, depression, cardiorespiratory fitness, and quality of life. The effects of the Lokomat on the lower extremity spasticity were limited. (c) 2021 Elsevier Ltd. All rights reserved.</t>
  </si>
  <si>
    <t>[Alashram, Anas R.] Isra Univ, Dept Physiotherapy, Amman, Jordan; [Annino, Giuseppe] Univ Roma Tor Vergata, Dept Med Syst, Rome, Italy; [Padua, Elvira] San Raffaele Roma Open Univ, Dept Human Sci &amp; Promot Qual Life, Rome, Italy</t>
  </si>
  <si>
    <t>Isra University; University of Rome Tor Vergata</t>
  </si>
  <si>
    <t>Alashram, AR (corresponding author), Isra Univ, Dept Physiotherapy, Amman, Jordan.</t>
  </si>
  <si>
    <t>anasradihassan.alashram@students.uniroma2.eu</t>
  </si>
  <si>
    <t>Padua, Elvira/AAO-3237-2020; Alashram, Anas/AAU-4481-2021</t>
  </si>
  <si>
    <t>0967-5868</t>
  </si>
  <si>
    <t>1532-2653</t>
  </si>
  <si>
    <t>J CLIN NEUROSCI</t>
  </si>
  <si>
    <t>J. Clin. Neurosci.</t>
  </si>
  <si>
    <t>10.1016/j.jocn.2021.07.019</t>
  </si>
  <si>
    <t>JUL 2021</t>
  </si>
  <si>
    <t>TY1UH</t>
  </si>
  <si>
    <t>WOS:000683571000002</t>
  </si>
  <si>
    <t>Khomami, AM; Najafi, F</t>
  </si>
  <si>
    <t>Khomami, Asghar Mahmoudi; Najafi, Farid</t>
  </si>
  <si>
    <t>A survey on soft lower limb cable-driven wearable robots without rigid links and joints</t>
  </si>
  <si>
    <t>Cable-driven lower limb robots; Joint misalignment; Exosuit; Rehabilitation; Power augmentation</t>
  </si>
  <si>
    <t>IMPROVES LOCOMOTOR FUNCTION; INDIVIDUALS POSTSTROKE; EXTENSION ASSISTANCE; EXOSKELETON; GAIT; WALKING; REHABILITATION; EXOSUIT; DESIGN; LEG</t>
  </si>
  <si>
    <t>Traditional wearable robots mostly consist of rigid structures connected to the human body. Due to the inherent characteristics of human joints, it is unavoidable that the robot joints have some misalignment with the wearer's biological joints. One solution to the joint misalignment problem in wearable robots is to use soft structures instead of traditional rigid structures as the interface between the robot and the wearer. This survey paper aims to provide an overview of the designs of wearable robots for the lower limbs that do not contain any rigid structures or joints. This study is mainly focused on robots with an electrical cable-driven actuator. The lower limb joint-less robots introduced in this paper were categorized into three main groups, namely exoskeleton-based robots, end-effector-based robots, and exosuits. Application of these devices can be categorized as rehabilitation of patients with gait impairments and power augmentation of healthy users. After a detailed review of the notable designs in each group, a discussion about the advantages and disadvantages indicated that the main drawback of current designs is the limitation on the amount of provided assistive loads. Because the forces are mainly applied in parallel to the human body, the amount of these forces is limited by the wearer's comfort level. In the end, a possible research direction for future researchers is presented in an attempt to address the limitations of current designs. (C) 2021 Elsevier B.V. All rights reserved.</t>
  </si>
  <si>
    <t>[Khomami, Asghar Mahmoudi; Najafi, Farid] Univ Guilan, Fac Mech Engn, Rasht, Guilan, Iran</t>
  </si>
  <si>
    <t>University of Guilan</t>
  </si>
  <si>
    <t>Najafi, F (corresponding author), Univ Guilan, Fac Mech Engn, Rasht, Guilan, Iran.</t>
  </si>
  <si>
    <t>fnajafi@guilan.ac.ir</t>
  </si>
  <si>
    <t>Najafi, Farid/AAX-7281-2020</t>
  </si>
  <si>
    <t>Mahmoudi Khomami, Asghar/0000-0003-1223-8334</t>
  </si>
  <si>
    <t>10.1016/j.robot.2021.103846</t>
  </si>
  <si>
    <t>UK7GZ</t>
  </si>
  <si>
    <t>WOS:000692135700012</t>
  </si>
  <si>
    <t>Li, LT; Fu, Q; Tyson, S; Preston, N; Weightman, A</t>
  </si>
  <si>
    <t>Li, Lutong; Fu, Qiang; Tyson, Sarah; Preston, Nick; Weightman, Andrew</t>
  </si>
  <si>
    <t>A scoping review of design requirements for a home-based upper limb rehabilitation robot for stroke</t>
  </si>
  <si>
    <t>Home-based; upper limb; rehabilitation robot; design requirement; implementation barriers</t>
  </si>
  <si>
    <t>ASSISTED THERAPY</t>
  </si>
  <si>
    <t>Background Home-based robotic therapy is a trend of post-stroke upper limb rehabilitation. Although home-based upper limb rehabilitation robots have been developed over several decades, no design specification has been published. Objectives To identify and synthesize design requirements considering user and technology needs for a home-based upper limb rehabilitation robot through a scoping review. Method Studies published between 1 January 2000 and 10 June 2020 in Scopus, Web of Science and PubMed database regarding design requirements for upper limb rehabilitation robots from of stroke survivors or therapists were identified and analyzed. We use 'requirement' as something that is needed or wanted. Two physiotherapists ranked the requirements identified from literature review. Results Nine studies were selected for review. They identified 42 requirements regarding functionality (n = 11, 26.2% of total requirements), usability (n = 16, 38.0% of total requirements), software (n = 14, 33.3% of total requirements) and safety (n = 1, 2.4% of total requirements). The main implementation barriers with respect to adherence and monitoring were space, operation, and cost. Conclusion This is the first research to summarize the design requirements for home-based upper limb rehabilitation robots for stroke survivors. The need for a safe, comfortable, easy to use device which can be individualized and promote specific movements and tasks emerged. The result of this paper captures the design requirements that can be used in future for the development of a design specification. It provides designers and researchers guidance about the real-world needs for home-based upper limb rehabilitation robots for stroke.</t>
  </si>
  <si>
    <t>[Li, Lutong; Fu, Qiang] Sch Engn, Dept Mech Aerosp &amp; Civil Engn, Manchester, Lancs, England; [Tyson, Sarah] Univ Manchester, Fac Biol Med &amp; Hlth, Div Nursing Midwifery &amp; Social Work, Sch Hlth Sci, Manchester, Lancs, England; [Preston, Nick] Univ Leeds, Acad Dept Rehabil Med, Leeds, W Yorkshire, England; [Weightman, Andrew] Univ Manchester, Sch Engn, Dept Mech Aerosp &amp; Civil Engn, Manchester, Lancs, England</t>
  </si>
  <si>
    <t>University of Manchester; University of Manchester; University of Leeds; University of Manchester</t>
  </si>
  <si>
    <t>Li, LT (corresponding author), Univ Manchester, Sch Mech Aerosp &amp; Civil Engn, Manchester M13 9PL, Lancs, England.</t>
  </si>
  <si>
    <t>lilutong7@gamil.com</t>
  </si>
  <si>
    <t>Qiang, Fu/JQI-9996-2023; Weightman, Andrew/G-9706-2015; Tyson, Sarah/J-3874-2014</t>
  </si>
  <si>
    <t>Li, Lutong/0000-0003-0110-0452; Tyson, Sarah/0000-0001-6301-8791; Preston, Nick/0000-0001-8429-7320; Weightman, Andrew/0000-0001-7232-4942</t>
  </si>
  <si>
    <t>10.1080/10749357.2021.1943797</t>
  </si>
  <si>
    <t>2H0IJ</t>
  </si>
  <si>
    <t>WOS:000675112000001</t>
  </si>
  <si>
    <t>Bernard-de-Villeneuve, F; Kayikci, K; Sappey-Marinier, E; Lording, T; Batailler, C; Servien, E; Lustig, S</t>
  </si>
  <si>
    <t>Bernard-de-Villeneuve, Florent; Kayikci, Kayahan; Sappey-Marinier, Elliot; Lording, Timothy; Batailler, Cecile; Servien, Elvire; Lustig, Sebastien</t>
  </si>
  <si>
    <t>Health economic value of CT scan based robotic assisted UKA: a systematic review of comparative studies</t>
  </si>
  <si>
    <t>ARCHIVES OF ORTHOPAEDIC AND TRAUMA SURGERY</t>
  </si>
  <si>
    <t>Computerized tomography; Uni-compartmental arthroplasty; UKA; Robotic surgical procedure; Health economic assessment</t>
  </si>
  <si>
    <t>UNICOMPARTMENTAL KNEE ARTHROPLASTY; SURVIVORSHIP; REPLACEMENT; REVISION; COST</t>
  </si>
  <si>
    <t>Purpose The aim of this systematic review was to compare relevant health economic consequences of the CT-based robotic-arm-assisted system versus conventional Uni-compartmental Knee Arthroplasty (UKA). Methods In November 2020, A PRISMA systematic review was conducted using four databases (Pubmed, Scopus, Cochrane and Google Scholar) to identify all comparative studies reporting health economic assessments, such as robotic system costs, consumable costs, surgical revision rate, operating time, length of stay, and inpatient care costs. Results A total of nine comparative studies published between 2014 and 2020 were included in this systematic review. There was a moderate risk of bias as assessed using the ROBINS-I Tool. The CT-based robotic-arm-assisted system seemed to be associated with a lower risk of revision, decreased analgesia requirements during hospitalization, a shorter length of stay, and lower inpatient care costs compared to a conventional technique. Conclusion CT-based robotic-arm-assisted system for UKA appears to be an economically viable solution with a positive health economic impact as it tends to decrease revision rate compared to conventional UKA, improve post-operative rehabilitation and analgesia management. Post-operative inpatient care costs seem lower with the robotic-assisted system but depend on institutional case volume and differ among health systems. More studies are needed to confirm cost-effectiveness of CT-based robotic-arm-assisted system based on different health systems.</t>
  </si>
  <si>
    <t>[Bernard-de-Villeneuve, Florent; Kayikci, Kayahan; Sappey-Marinier, Elliot; Batailler, Cecile; Servien, Elvire; Lustig, Sebastien] Croix Rousse Hosp, FIFA Med Ctr Excellence, 103 Grande Rue Croix Rousse, F-69004 Lyon, France; [Lording, Timothy] Melbourne Orthopaed Grp, 33 Ave, Windsor, Vic 3181, Australia; [Servien, Elvire] Claude Bernard Lyon 1 Univ, Interuniv Lab Biol Mobil, LIBM, EA 7424, Lyon, France; [Lustig, Sebastien] Claude Bernard Lyon 1 Univ, Univ Lyon, IFSTTAR, LBMC,UMR T9406, F-69622 Lyon, France</t>
  </si>
  <si>
    <t>CHU Lyon; Universite Claude Bernard Lyon 1; Institut National de la Sante et de la Recherche Medicale (Inserm); Universite Claude Bernard Lyon 1; CHU Lyon; Centre National de la Recherche Scientifique (CNRS); Ecole Normale Superieure de Lyon (ENS de LYON); Universite Jean Monnet; Universite Gustave-Eiffel</t>
  </si>
  <si>
    <t>Sappey-Marinier, E (corresponding author), Croix Rousse Hosp, FIFA Med Ctr Excellence, 103 Grande Rue Croix Rousse, F-69004 Lyon, France.</t>
  </si>
  <si>
    <t>esappey@gmail.com</t>
  </si>
  <si>
    <t>Getgood, Alan/I-3305-2013; Sappey-Marinier, Elliot/AAX-1598-2020; Batailler, Cécile/AAE-4327-2020; Lustig, Sébastien/E-3375-2013</t>
  </si>
  <si>
    <t>Lustig, sebastien/0000-0002-6739-4601</t>
  </si>
  <si>
    <t>0936-8051</t>
  </si>
  <si>
    <t>1434-3916</t>
  </si>
  <si>
    <t>ARCH ORTHOP TRAUM SU</t>
  </si>
  <si>
    <t>Arch. Orthop. Trauma Surg.</t>
  </si>
  <si>
    <t>10.1007/s00402-021-04066-w</t>
  </si>
  <si>
    <t>WY6EU</t>
  </si>
  <si>
    <t>WOS:000674198600001</t>
  </si>
  <si>
    <t>Hussain, F; Goecke, R; Mohammadian, M</t>
  </si>
  <si>
    <t>Hussain, Fahad; Goecke, Roland; Mohammadian, Masoud</t>
  </si>
  <si>
    <t>Exoskeleton robots for lower limb assistance: A review of materials, actuation, and manufacturing methods</t>
  </si>
  <si>
    <t>Actuation; lower limb; materials; manufacturing method; rehabilitation; robots</t>
  </si>
  <si>
    <t>ANKLE-FOOT ORTHOSES; SPINAL-CORD-INJURY; OF-THE-ART; GAIT REHABILITATION; POWERED EXOSKELETON; TORQUE ACTUATOR; DESIGN; WALKING; SYSTEM; SUIT</t>
  </si>
  <si>
    <t>The field of robot-assisted physical rehabilitation and robotics technology for providing support to the elderly population is rapidly evolving. Lower limb robot aided rehabilitation and assistive technology have been a focus for the engineering community during the last three decades as several robotic lower limb exoskeletons have been proposed in the literature as well as some being commercially available. Numerous manufacturing techniques and materials have been developed for lower limb exoskeletons during the last two decades, resulting in the design of a variety of robot exoskeletons for gait assistance for elderly and disabled people. One of the most important aspects of developing exoskeletons is the selection of the most appropriate proper material. The material selection strongly influences the overall weight and performance of the exoskeleton robot. The most suitable fabrication method for material is also an important parameter for the development of lower limb robot exoskeletons. In addition to the materials and manufacturing methods, the actuation method plays a vital role in the development of these robot exoskeletons. Even though various materials, manufacturing methods and actuators are reported in the literature for these lower limb robot exoskeletons, there are still avenues of improvement in these three domains. In this review, we have examined various lower limb robotic exoskeletons, concentrating on the three main aspects of material, manufacturing, and actuation. We have focused on the advantages and drawbacks of various materials and manufacturing practices as well as actuation methods. A discussion on future directions of research is provided for the engineering community covering the material, manufacturing and actuation methods.</t>
  </si>
  <si>
    <t>[Hussain, Fahad; Goecke, Roland; Mohammadian, Masoud] Univ Canberra, Fac Sci &amp; Technol, Human Ctr Technol Res Ctr, Bruce Campus, Canberra, ACT 2617, Australia</t>
  </si>
  <si>
    <t>Hussain, F (corresponding author), Univ Canberra, Fac Sci &amp; Technol, Human Ctr Technol Res Ctr, Bruce Campus, Canberra, ACT 2617, Australia.</t>
  </si>
  <si>
    <t>fahad.hussain@canberra.edu.au</t>
  </si>
  <si>
    <t>; Goecke, Roland/F-7499-2013</t>
  </si>
  <si>
    <t>Mohammadian, Masoud/0000-0002-5620-3232; Hussain, Fahad/0000-0002-6580-7003; Goecke, Roland/0000-0003-2279-7041</t>
  </si>
  <si>
    <t>10.1177/09544119211032010</t>
  </si>
  <si>
    <t>WS2ZK</t>
  </si>
  <si>
    <t>WOS:000675175100001</t>
  </si>
  <si>
    <t>Volpini, M; Aquino, M; Holanda, AC; Emygdio, E; Polese, J</t>
  </si>
  <si>
    <t>Volpini, Mariana; Aquino, Mariana; Holanda, Ana Carolina; Emygdio, Elizabeth; Polese, Janaine</t>
  </si>
  <si>
    <t>Clinical effects of assisted robotic gait training in walking distance, speed, and functionality are maintained over the long term in individuals with cerebral palsy: a systematic review and meta-analysis</t>
  </si>
  <si>
    <t>Exercise therapy; locomotion; mobility limitation; nervous system diseases; neurologic gait disorders; rehabilitation</t>
  </si>
  <si>
    <t>AMBULATORY CHILDREN; STRENGTH; RESPONSIVENESS; REHABILITATION; CLASSIFICATION; ORTHOSIS; WEIGHT</t>
  </si>
  <si>
    <t>Purpose To identify the short-term effects of robotic-assisted gait training (RAGT) on walking distance, gait speed and functionality of cerebral palsy (CP) patients, and to verify if the effects of RAGT are maintained in the long term. Methods A systematic literature review was performed in PubMed, PEDro, CINAHL, and LILACS databases. Studies were included considering: (1) population (CP individuals); (2) study design (experimental studies); (3) type of intervention (RAGT); (4) outcome (gait parameters and function); and (5) period (short and long term). Results This systematic review included seven articles in meta-analysis. Only walking distance, thru six minutes walking test, increased statistically after RAGT. However, RAGT demonstrated large clinical effects differences (minimal clinically important difference - MCID) in gait speed and Gross Motor Function Measure score (dimensions D and E), for CP population. After RAGT intervention, differences in short term (comparison 1) were maintained in long term (comparison 2) for all outcomes. Gait speed results were not significant. Conclusions Evidence from the present study demonstrated that RAGT can be an important intervention to improve gait parameters and functionality, in children with CP, that are maintained over long-term.</t>
  </si>
  <si>
    <t>[Volpini, Mariana; Holanda, Ana Carolina; Emygdio, Elizabeth; Polese, Janaine] Fac Ciencias Med Minas Gerais, Phys Therapy Dept, Alameda Ezequiel Dias 275, BR-30130110 Belo Horizonte, MG, Brazil; [Volpini, Mariana; Aquino, Mariana] Associacao Mineira Reabilitacao OhLab, Orthot Humans Lab OhLab, Rua Prof Otavio Coelho de Magalhaes 111, BR-30210300 Belo Horizonte, MG, Brazil; [Polese, Janaine] Fac Ciencias Med Minas Gerais, Grad Program Hlth Sci, Phys Therapy Dept, Belo Horizonte, MG, Brazil</t>
  </si>
  <si>
    <t>Volpini, M (corresponding author), Fac Ciencias Med Minas Gerais, Phys Therapy Dept, Alameda Ezequiel Dias 275, BR-30130110 Belo Horizonte, MG, Brazil.;Volpini, M (corresponding author), Associacao Mineira Reabilitacao OhLab, Orthot Humans Lab OhLab, Rua Prof Otavio Coelho de Magalhaes 111, BR-30210300 Belo Horizonte, MG, Brazil.</t>
  </si>
  <si>
    <t>marivolpinilana@gmail.com</t>
  </si>
  <si>
    <t>Rodrigues C Aquino, Mariana/ISB-1903-2023; Cunha Polese, Janaine/Q-2873-2019; Cunha Polese, Janaine/C-6624-2015</t>
  </si>
  <si>
    <t>Holanda, Ana Carolina Passos/0000-0003-0362-3353; Cunha Polese, Janaine/0000-0003-3366-1545; Ribeiro Volpini Lana, Mariana/0000-0002-9432-8941; AQUINO, MARIANA/0000-0003-2844-0502</t>
  </si>
  <si>
    <t>Brazilian Health Ministry, through the program PRONAS/PCD [SIPAR 25000163653/2014-33]</t>
  </si>
  <si>
    <t>Brazilian Health Ministry, through the program PRONAS/PCD</t>
  </si>
  <si>
    <t>This study was financed in part by the Brazilian Health Ministry, through the program PRONAS/PCD [Grant Number SIPAR 25000163653/2014-33].</t>
  </si>
  <si>
    <t>SEP 11</t>
  </si>
  <si>
    <t>10.1080/09638288.2021.1942242</t>
  </si>
  <si>
    <t>5A1JS</t>
  </si>
  <si>
    <t>WOS:000670503900001</t>
  </si>
  <si>
    <t>Jamil, N; Belkacem, AN; Ouhbi, S; Lakas, A</t>
  </si>
  <si>
    <t>Jamil, Nuraini; Belkacem, Abdelkader Nasreddine; Ouhbi, Sofia; Lakas, Abderrahmane</t>
  </si>
  <si>
    <t>Noninvasive Electroencephalography Equipment for Assistive, Adaptive, and Rehabilitative Brain-Computer Interfaces: A Systematic Literature Review</t>
  </si>
  <si>
    <t>adaptive technology; assistive technology; brain-computer interface; EEG equipment; rehabilitative technology</t>
  </si>
  <si>
    <t>MACHINE INTERFACE; MOTOR IMAGERY; UPPER-LIMB; STROKE REHABILITATION; BCI CONTROL; EEG; ROBOT; MOVEMENT; EXOSKELETON; INDIVIDUALS</t>
  </si>
  <si>
    <t>Humans interact with computers through various devices. Such interactions may not require any physical movement, thus aiding people with severe motor disabilities in communicating with external devices. The brain-computer interface (BCI) has turned into a field involving new elements for assistive and rehabilitative technologies. This systematic literature review (SLR) aims to help BCI investigator and investors to decide which devices to select or which studies to support based on the current market examination. This examination of noninvasive EEG devices is based on published BCI studies in different research areas. In this SLR, the research area of noninvasive BCIs using electroencephalography (EEG) was analyzed by examining the types of equipment used for assistive, adaptive, and rehabilitative BCIs. For this SLR, candidate studies were selected from the IEEE digital library, PubMed, Scopus, and ScienceDirect. The inclusion criteria (IC) were limited to studies focusing on applications and devices of the BCI technology. The data used herein were selected using IC and exclusion criteria to ensure quality assessment. The selected articles were divided into four main research areas: education, engineering, entertainment, and medicine. Overall, 238 papers were selected based on IC. Moreover, 28 companies were identified that developed wired and wireless equipment as means of BCI assistive technology. The findings of this review indicate that the implications of using BCIs for assistive, adaptive, and rehabilitative technologies are encouraging for people with severe motor disabilities and healthy people. With an increasing number of healthy people using BCIs, other research areas, such as the motivation of players when participating in games or the security of soldiers when observing certain areas, can be studied and collaborated using the BCI technology. However, such BCI systems must be simple (wearable), convenient (sensor fabrics and self-adjusting abilities), and inexpensive.</t>
  </si>
  <si>
    <t>[Jamil, Nuraini; Ouhbi, Sofia] United Arab Emirates Univ, Coll Informat Technol, Dept Comp Sci &amp; Software Engn, POB 15551, Al Ain, U Arab Emirates; [Belkacem, Abdelkader Nasreddine; Lakas, Abderrahmane] United Arab Emirates Univ, Coll Informat Technol, Dept Comp &amp; Network Engn, POB 15551, Al Ain, U Arab Emirates</t>
  </si>
  <si>
    <t>United Arab Emirates University; United Arab Emirates University</t>
  </si>
  <si>
    <t>Belkacem, AN (corresponding author), United Arab Emirates Univ, Coll Informat Technol, Dept Comp &amp; Network Engn, POB 15551, Al Ain, U Arab Emirates.</t>
  </si>
  <si>
    <t>201990167@uaeu.ac.ae; belkacem@uaeu.ac.ae; sofia.ouhbi@uaeu.ac.ae; alakas@uaeu.ac.ae</t>
  </si>
  <si>
    <t>Lakas, Abderrahmane/HGA-7061-2022; Ouhbi, Sofia/H-3641-2019; Belkacem, Abdelkader Nasreddine/E-4569-2014</t>
  </si>
  <si>
    <t>Lakas, Abderrahmane/0000-0003-4725-8634; Jamil, Nuraini/0000-0002-2816-4344; Belkacem, Abdelkader Nasreddine/0000-0002-3024-4167; Ouhbi, Sofia/0000-0001-7614-9731</t>
  </si>
  <si>
    <t>United Arab Emirates University [G00003270 (31T130)]</t>
  </si>
  <si>
    <t>United Arab Emirates University(United Arab Emirates UniversityZayed University)</t>
  </si>
  <si>
    <t>The research reported in this publication was supported in part by United Arab Emirates University Start-up grant G00003270 (31T130).</t>
  </si>
  <si>
    <t>10.3390/s21144754</t>
  </si>
  <si>
    <t>TO7QU</t>
  </si>
  <si>
    <t>WOS:000677101900001</t>
  </si>
  <si>
    <t>Vidal, AFP; Morales, JYR; Torres, GO; Vázquez, FDS; Rojas, AC; Mendoza, JAB; Cerda, JCR</t>
  </si>
  <si>
    <t>Perez Vidal, Alan Francisco; Rumbo Morales, Jesse Yoe; Ortiz Torres, Gerardo; Sorcia Vazquez, Felipe de Jesus; Cruz Rojas, Alan; Brizuela Mendoza, Jorge Aurelio; Rodriguez Cerda, Julio Cesar</t>
  </si>
  <si>
    <t>Soft Exoskeletons: Development, Requirements, and Challenges of the Last Decade</t>
  </si>
  <si>
    <t>soft exoskeleton; rehabilitation therapy; robotic enhancer; daily assistance; human-machine interface</t>
  </si>
  <si>
    <t>HAND EXOSKELETON; ROBUST-CONTROL; DESIGN; ASSISTANCE; ACTUATOR; EXOSUIT; OPTIMIZATION; WALKING; JOINT; POWER</t>
  </si>
  <si>
    <t>In this article, various investigations on soft exoskeletons are presented and their functional and structural characteristics are analyzed. The present work is oriented to the studies of the last decade and covers the upper and lower joints, specifically the shoulder, elbow, wrist, hand, hip, knee, and ankle. Its functionality, applicability, and main characteristics are exposed, such as degrees of freedom, force, actuators, power transmission methods, control systems, and sensors. The purpose of this work is to show the current trend in the development of soft exoskeletons, in addition to specifying the essential characteristics that must be considered in its design and the challenges that its construction implies.</t>
  </si>
  <si>
    <t>[Perez Vidal, Alan Francisco; Rumbo Morales, Jesse Yoe; Ortiz Torres, Gerardo; Sorcia Vazquez, Felipe de Jesus; Cruz Rojas, Alan; Rodriguez Cerda, Julio Cesar] Univ Guadalajara, Ctr Univ Valles, Dept Ciencias Computac &amp; Ingn, Carretera Guadalajara Ameca Km 45-5, Ameca 46600, Mexico; [Brizuela Mendoza, Jorge Aurelio] Univ Guadalajara, Dept Ciencias Exactas &amp; Metodol, Ctr Univ Sur, Av Enrique Arreola Silva 883, Ciudad Guzman 49000, Mexico</t>
  </si>
  <si>
    <t>Universidad de Guadalajara; Universidad de Guadalajara</t>
  </si>
  <si>
    <t>Morales, JYR (corresponding author), Univ Guadalajara, Ctr Univ Valles, Dept Ciencias Computac &amp; Ingn, Carretera Guadalajara Ameca Km 45-5, Ameca 46600, Mexico.</t>
  </si>
  <si>
    <t>alan.perez@academicos.udg.mx; jesse.rumbo@academicos.udg.mx; gerardo.ortiztorres@academicos.udg.mx; felipe.sorcia@academicos.udg.mx; alan.cruz@academicos.udg.mx; jorge.brizuela@cusur.udg.mx; julio.rodriguez@academicos.udg.mx</t>
  </si>
  <si>
    <t>Sorcia-Vázquez, Felipe/ACX-9461-2022; Brizuela Mendoza, Jorge Aurelio/HKV-3239-2023; Rumbo Morales, Jesse/AAI-6232-2021; Ortiz-Torres, Gerardo/AAX-2496-2021</t>
  </si>
  <si>
    <t>Perez Vidal, Alan Francisco/0000-0003-0833-6855; Rumbo Morales, Jesse Yoe/0000-0002-3790-7277; Rodriguez, Julio/0000-0002-2586-6703; Sorcia-Vazquez, Felipe D. J/0000-0001-7835-8916; Brizuela Mendoza, Jorge Aurelio/0000-0002-7952-0337</t>
  </si>
  <si>
    <t>Universidad de Guadalajara (Centro Universitario de los Valles)</t>
  </si>
  <si>
    <t>The authors of this document would like to thank Universidad de Guadalajara (Centro Universitario de los Valles) for the support provided during the development of this research.</t>
  </si>
  <si>
    <t>10.3390/act10070166</t>
  </si>
  <si>
    <t>TQ3ML</t>
  </si>
  <si>
    <t>WOS:000678187600001</t>
  </si>
  <si>
    <t>Akbari, A; Haghverd, F; Behbahani, S</t>
  </si>
  <si>
    <t>Akbari, Aylar; Haghverd, Faezeh; Behbahani, Saeed</t>
  </si>
  <si>
    <t>Robotic Home-Based Rehabilitation Systems Design: From a Literature Review to a Conceptual Framework for Community-Based Remote Therapy During COVID-19 Pandemic</t>
  </si>
  <si>
    <t>home based rehabilitation; stroke rehabilitaiton; COVID 19 pandemic; conceptual framework; rehabilitation robotics</t>
  </si>
  <si>
    <t>STROKE REHABILITATION; ANKLE REHABILITATION; GLOVE; TELEREHABILITATION; TECHNOLOGIES; FEASIBILITY; EXOSKELETON; MECHANISM; RECOVERY; DELIVERY</t>
  </si>
  <si>
    <t>During the COVID-19 pandemic, the higher susceptibility of post-stroke patients to infection calls for extra safety precautions. Despite the imposed restrictions, early neurorehabilitation cannot be postponed due to its paramount importance for improving motor and functional recovery chances. Utilizing accessible state-of-the-art technologies, home-based rehabilitation devices are proposed as a sustainable solution in the current crisis. In this paper, a comprehensive review on developed home-based rehabilitation technologies of the last 10 years (2011-2020), categorizing them into upper and lower limb devices and considering both commercialized and state-of-the-art realms. Mechatronic, control, and software aspects of the system are discussed to provide a classified roadmap for home-based systems development. Subsequently, a conceptual framework on the development of smart and intelligent community-based home rehabilitation systems based on novel mechatronic technologies is proposed. In this framework, each rehabilitation device acts as an agent in the network, using the internet of things (IoT) technologies, which facilitates learning from the recorded data of the other agents, as well as the tele-supervision of the treatment by an expert. The presented design paradigm based on the above-mentioned leading technologies could lead to the development of promising home rehabilitation systems, which encourage stroke survivors to engage in under-supervised or unsupervised therapeutic activities.</t>
  </si>
  <si>
    <t>[Akbari, Aylar; Haghverd, Faezeh; Behbahani, Saeed] Isfahan Univ Technol, Dept Mech Engn, Esfahan, Iran</t>
  </si>
  <si>
    <t>Isfahan University of Technology</t>
  </si>
  <si>
    <t>Behbahani, S (corresponding author), Isfahan Univ Technol, Dept Mech Engn, Esfahan, Iran.</t>
  </si>
  <si>
    <t>behbahani@cc.iut.ac.ir</t>
  </si>
  <si>
    <t>JUN 22</t>
  </si>
  <si>
    <t>10.3389/frobt.2021.612331</t>
  </si>
  <si>
    <t>TD9VG</t>
  </si>
  <si>
    <t>WOS:000669665900001</t>
  </si>
  <si>
    <t>Roby-Brami, A; Jarrassé, N; Parry, R</t>
  </si>
  <si>
    <t>Roby-Brami, Agnes; Jarrasse, Nathanael; Parry, Ross</t>
  </si>
  <si>
    <t>Impairment and Compensation in Dexterous Upper-Limb Function After Stroke. From the Direct Consequences of Pyramidal Tract Lesions to Behavioral Involvement of Both Upper-Limbs in Daily Activities</t>
  </si>
  <si>
    <t>rehabilitation; recovery; stroke; disability; activity; physiopathologic mechanism</t>
  </si>
  <si>
    <t>REACH-TO-GRASP; INDUCED MOVEMENT THERAPY; GRIP FORCE CONTROL; INDIVIDUATED FINGER MOVEMENTS; UPPER EXTREMITY RECOVERY; PARETIC UPPER-LIMB; MOTOR FUNCTION; TRUNK RESTRAINT; HAND FUNCTION; BIMANUAL COORDINATION</t>
  </si>
  <si>
    <t>Impairments in dexterous upper limb function are a significant cause of disability following stroke. While the physiological basis of movement deficits consequent to a lesion in the pyramidal tract is well demonstrated, specific mechanisms contributing to optimal recovery are less apparent. Various upper limb interventions (motor learning methods, neurostimulation techniques, robotics, virtual reality, and serious games) are associated with improvements in motor performance, but many patients continue to experience significant limitations with object handling in everyday activities. Exactly how we go about consolidating adaptive motor behaviors through the rehabilitation process thus remains a considerable challenge. An important part of this problem is the ability to successfully distinguish the extent to which a given gesture is determined by the neuromotor impairment and that which is determined by a compensatory mechanism. This question is particularly complicated in tasks involving manual dexterity where prehensile movements are contingent upon the task (individual digit movement, grasping, and manipulation horizontal ellipsis ) and its objective (placing, two step actions horizontal ellipsis ), as well as personal factors (motivation, acquired skills, and life habits horizontal ellipsis ) and contextual cues related to the environment (presence of tools or assistive devices horizontal ellipsis ). Presently, there remains a lack of integrative studies which differentiate processes related to structural changes associated with the neurological lesion and those related to behavioral change in response to situational constraints. In this text, we shall question the link between impairments, motor strategies and individual performance in object handling tasks. This scoping review will be based on clinical studies, and discussed in relation to more general findings about hand and upper limb function (manipulation of objects, tool use in daily life activity). We shall discuss how further quantitative studies on human manipulation in ecological contexts may provide greater insight into compensatory motor behavior in patients with a neurological impairment of dexterous upper-limb function.</t>
  </si>
  <si>
    <t>[Roby-Brami, Agnes; Jarrasse, Nathanael; Parry, Ross] Sorbonne Univ, ISIR Inst Intelligent Syst &amp; Robot, AGATHE Team, CNRS,INSERM,UMR 7222,U1150, Paris, France; [Parry, Ross] Paris Nanterre Univ, LINP2 AAPS Lab Interdisciplinaire Neurosci Physio, Act Phys Sante &amp; Apprentissages, UPL, Nanterre, France</t>
  </si>
  <si>
    <t>Institut National de la Sante et de la Recherche Medicale (Inserm); Centre National de la Recherche Scientifique (CNRS); CNRS - Institute for Information Sciences &amp; Technologies (INS2I); Sorbonne Universite</t>
  </si>
  <si>
    <t>Roby-Brami, A (corresponding author), Sorbonne Univ, ISIR Inst Intelligent Syst &amp; Robot, AGATHE Team, CNRS,INSERM,UMR 7222,U1150, Paris, France.</t>
  </si>
  <si>
    <t>roby-brami@isir.upmc.fr</t>
  </si>
  <si>
    <t>Jarrasse, Nathanael/AAH-9270-2021; Roby-Brami, Agnes/K-5759-2017</t>
  </si>
  <si>
    <t>Jarrasse, Nathanael/0000-0002-5680-1566; Roby-Brami, Agnes/0000-0002-6196-7229</t>
  </si>
  <si>
    <t>French state funds by the ANR within the Investissements d'Avenir program [ANR-11-IDEX-0004-02]</t>
  </si>
  <si>
    <t>French state funds by the ANR within the Investissements d'Avenir program(Agence Nationale de la Recherche (ANR))</t>
  </si>
  <si>
    <t>This work was performed within the laboratory of Excellence SMART supported by French state funds managed by the ANR within the Investissements d'Avenir program under reference ANR-11-IDEX-0004-02.</t>
  </si>
  <si>
    <t>JUN 21</t>
  </si>
  <si>
    <t>10.3389/fnhum.2021.662006</t>
  </si>
  <si>
    <t>TD6UO</t>
  </si>
  <si>
    <t>WOS:000669459600001</t>
  </si>
  <si>
    <t>Adel, S; Zaher, A; El Harouni, N; Venugopal, A; Premjani, P; Vaid, N</t>
  </si>
  <si>
    <t>Adel, Samar; Zaher, Abbas; El Harouni, Nadia; Venugopal, Adith; Premjani, Pratik; Vaid, Nikhilesh</t>
  </si>
  <si>
    <t>Robotic Applications in Orthodontics: Changing the Face of Contemporary Clinical Care</t>
  </si>
  <si>
    <t>ORAL REHABILITATION ROBOT; MASSAGE TREATMENT; TEMPOROMANDIBULAR DISORDER; APPLIANCE TREATMENT; PATIENT COMPLIANCE; TEMPORAL MUSCLE; SLEEP; MASSETER; TECHNOLOGY; PRECISION</t>
  </si>
  <si>
    <t>The last decade (2010-2021) has witnessed the evolution of robotic applications in orthodontics. This review scopes and analyzes published orthodontic literature in eight different domains: (1) robotic dental assistants; (2) robotics in diagnosis and simulation of orthodontic problems; (3) robotics in orthodontic patient education, teaching, and training; (4) wire bending and customized appliance robotics; (5) nanorobots/microrobots for acceleration of tooth movement and for remote monitoring; (6) robotics in maxillofacial surgeries and implant placement; (7) automated aligner production robotics; and (8) TMD rehabilitative robotics. A total of 1,150 records were searched, of which 124 potentially relevant articles were retrieved in full. 87 studies met the selection criteria following screening and were included in the scoping review. The review found that studies pertaining to arch wire bending and customized appliance robots, simulative robots for diagnosis, and surgical robots have been important areas of research in the last decade (32%, 22%, and 16%). Rehabilitative robots and nanorobots are quite promising and have been considerably reported in the orthodontic literature (13%, 9%). On the other hand, assistive robots, automated aligner production robots, and patient robots need more scientific data to be gathered in the future (1%, 1%, and 6%). Technological readiness of different robotic applications in orthodontics was further assessed. The presented eight domains of robotic technologies were assigned to an estimated technological readiness level according to the information given in the publications. Wire bending robots, TMD robots, nanorobots, and aligner production robots have reached the highest levels of technological readiness: 9; diagnostic robots and patient robots reached level 7, whereas surgical robots and assistive robots reached lower levels of readiness: 4 and 3, respectively.</t>
  </si>
  <si>
    <t>[Adel, Samar; Zaher, Abbas; El Harouni, Nadia] Alexandria Univ, Fac Dent, Alexandria, Egypt; [Venugopal, Adith] Saveetha Univ, Saveetha Dent Coll &amp; Hosp, Saveetha Inst Med &amp; Tech Sci, Dept Orthodont, Chennai, Tamil Nadu, India; [Venugopal, Adith] Univ Puthisastra, Dept Orthodont, Phnom Penh, Cambodia; [Premjani, Pratik] Swami Vivekananda Subharati Univ, Meerut, Uttar Pradesh, India; [Vaid, Nikhilesh] European Univ Coll, Dubai, U Arab Emirates</t>
  </si>
  <si>
    <t>Egyptian Knowledge Bank (EKB); Alexandria University; Saveetha Institute of Medical &amp; Technical Science; Saveetha Dental College &amp; Hospital</t>
  </si>
  <si>
    <t>Venugopal, A (corresponding author), Saveetha Univ, Saveetha Dent Coll &amp; Hosp, Saveetha Inst Med &amp; Tech Sci, Dept Orthodont, Chennai, Tamil Nadu, India.;Venugopal, A (corresponding author), Univ Puthisastra, Dept Orthodont, Phnom Penh, Cambodia.</t>
  </si>
  <si>
    <t>avenugopal@puthisastra.edu.kh</t>
  </si>
  <si>
    <t>; VENUGOPAL, ADITH/AAP-6039-2020</t>
  </si>
  <si>
    <t>Vaiid, Nikhillesh/0000-0001-8915-6033; VENUGOPAL, ADITH/0000-0002-7945-8799; Premjani, Pratik/0000-0002-2889-6027; El harouni, Nadia/0000-0001-7783-3236; Adel, Samar/0000-0002-1431-8947</t>
  </si>
  <si>
    <t>JUN 17</t>
  </si>
  <si>
    <t>10.1155/2021/9954615</t>
  </si>
  <si>
    <t>TD8EN</t>
  </si>
  <si>
    <t>WOS:000669553100007</t>
  </si>
  <si>
    <t>Doumas, I; Everard, G; Dehem, S; Lejeune, T</t>
  </si>
  <si>
    <t>Doumas, Ioannis; Everard, Gauthier; Dehem, Stephanie; Lejeune, Thierry</t>
  </si>
  <si>
    <t>Serious games for upper limb rehabilitation after stroke: a meta-analysis</t>
  </si>
  <si>
    <t>Stroke; Upper extremity; Serious games; Virtual reality; Robotics</t>
  </si>
  <si>
    <t>UPPER EXTREMITY FUNCTION; QUALITY-OF-LIFE; REALITY-BASED REHABILITATION; ROBOT-ASSISTED THERAPY; VIRTUAL-REALITY; MOTOR RECOVERY; ARM FUNCTION; POST-STROKE; MULTICENTER; HEALTH</t>
  </si>
  <si>
    <t>Background Approximately two thirds of stroke survivors maintain upper limb (UL) impairments and few among them attain complete UL recovery 6 months after stroke. Technological progress and gamification of interventions aim for better outcomes and constitute opportunities in self- and tele-rehabilitation. Objectives Our objective was to assess the efficacy of serious games, implemented on diverse technological systems, targeting UL recovery after stroke. In addition, we investigated whether adherence to neurorehabilitation principles influenced efficacy of games specifically designed for rehabilitation, regardless of the device used. Method This systematic review was conducted according to PRISMA guidelines (PROSPERO registration number: 156589). Two independent reviewers searched PubMed, EMBASE, SCOPUS and Cochrane Central Register of Controlled Trials for eligible randomized controlled trials (PEDro score &gt;= 5). Meta-analysis, using a random effects model, was performed to compare effects of interventions using serious games, to conventional treatment, for UL rehabilitation in adult stroke patients. In addition, we conducted subgroup analysis, according to adherence of included studies to a consolidated set of 11 neurorehabilitation principles. Results Meta-analysis of 42 trials, including 1760 participants, showed better improvements in favor of interventions using serious games when compared to conventional therapies, regarding UL function (SMD = 0.47; 95% CI = 0.24 to 0.70; P &lt; 0.0001), activity (SMD = 0.25; 95% CI = 0.05 to 0.46; P = 0.02) and participation (SMD = 0.66; 95% CI = 0.29 to 1.03; P = 0.0005). Additionally, long term effect retention was observed for UL function (SMD = 0.42; 95% CI = 0.05 to 0.79; P = 0.03). Interventions using serious games that complied with at least 8 neurorehabilitation principles showed better overall effects. Although heterogeneity levels remained moderate, results were little affected by changes in methods or outliers indicating robustness. Conclusion This meta-analysis showed that rehabilitation through serious games, targeting UL recovery after stroke, leads to better improvements, compared to conventional treatment, in three ICF-WHO components. Irrespective of the technological device used, higher adherence to a consolidated set of neurorehabilitation principles enhances efficacy of serious games. Future development of stroke-specific rehabilitation interventions should further take into consideration the consolidated set of neurorehabilitation principles.</t>
  </si>
  <si>
    <t>[Doumas, Ioannis; Everard, Gauthier; Dehem, Stephanie; Lejeune, Thierry] Catholic Univ Louvain, Inst Rech Expt &amp; Clin, Neuro Musculo Skeletal Lab NMSK, Sect Sci Sante, Ave Mounier 53, B-1200 Brussels, Belgium; [Doumas, Ioannis; Dehem, Stephanie; Lejeune, Thierry] Clin Univ St Luc, Serv Med Phys &amp; Readaptat, Ave Hippocrate 10, B-1200 Brussels, Belgium; [Doumas, Ioannis; Everard, Gauthier; Dehem, Stephanie; Lejeune, Thierry] Catholic Univ Louvain, Louvain Bion, B-1348 Louvain La Neuve, Belgium</t>
  </si>
  <si>
    <t>Universite Catholique Louvain; Universite Catholique Louvain; Cliniques Universitaires Saint-Luc; Universite Catholique Louvain</t>
  </si>
  <si>
    <t>Lejeune, T (corresponding author), Catholic Univ Louvain, Inst Rech Expt &amp; Clin, Neuro Musculo Skeletal Lab NMSK, Sect Sci Sante, Ave Mounier 53, B-1200 Brussels, Belgium.</t>
  </si>
  <si>
    <t>Everard, Gauthier/0000-0001-5029-5693; Lejeune, Thierry/0000-0001-5741-7753; Dehem, Stephanie/0000-0002-5487-2344</t>
  </si>
  <si>
    <t>Region Wallonne, SPW-Economie-Emploi-Recherche, Win2Wal Program [1810108]</t>
  </si>
  <si>
    <t>Region Wallonne, SPW-Economie-Emploi-Recherche, Win2Wal Program</t>
  </si>
  <si>
    <t>Region Wallonne, SPW-Economie-Emploi-Recherche, -Win2Wal Program (convention n degrees 1810108).</t>
  </si>
  <si>
    <t>JUN 15</t>
  </si>
  <si>
    <t>10.1186/s12984-021-00889-1</t>
  </si>
  <si>
    <t>SW4US</t>
  </si>
  <si>
    <t>WOS:000664512700001</t>
  </si>
  <si>
    <t>Xu, H; Xiong, AB</t>
  </si>
  <si>
    <t>Xu, Hao; Xiong, Anbin</t>
  </si>
  <si>
    <t>Advances and Disturbances in sEMG-Based Intentions and Movements Recognition: A Review</t>
  </si>
  <si>
    <t>Sensors; Muscles; Training; Electrodes; Robots; Feature extraction; Fatigue; Surface electromyography (sEMG); advances and reviews; human-robot interaction (HRI); realistic disturbances; machine learning; pattern recognition</t>
  </si>
  <si>
    <t>UPPER-LIMB PROSTHESIS; PROPORTIONAL MYOELECTRIC CONTROL; EMG-BASED CONTROL; PATTERN-RECOGNITION; MUSCLE FATIGUE; SURFACE EMG; GESTURE RECOGNITION; ELECTRODE NUMBER; MUSCULAR FATIGUE; DATA FUSION</t>
  </si>
  <si>
    <t>Surface EMG-based gestures recognition systems are helping the disable to enjoy a better life. Academic institutes and commercial companies have been developing a lot of sEMG-based prosthesis, exoskeletons and rehabilitation systems. In this area, most studies are improving recognition accuracies by focusing on signals pre-processings, features and classifiers. But, in real-life circumstances, sEMG-based recognition performances are limited by many disturbances and variability from electrodes and subjects. In this paper, key advances of sEMG-based recognition systems are firs reviewed, then several disturbances or factors that limited sEMG-based performances and their solutions are summarized up in great detail. At last, prospections for improving sEMG-based robustness in the future are proposed.</t>
  </si>
  <si>
    <t>[Xu, Hao] Nanjing Smartdata Technol Co Ltd, Nanjing 211106, Peoples R China; [Xiong, Anbin] Beijing Qihu Keji Co Ltd, Beijing 100015, Peoples R China</t>
  </si>
  <si>
    <t>Xu, H (corresponding author), Nanjing Smartdata Technol Co Ltd, Nanjing 211106, Peoples R China.</t>
  </si>
  <si>
    <t>xu, hao/GPP-4108-2022</t>
  </si>
  <si>
    <t>Xu, Hao/0000-0003-2918-9233</t>
  </si>
  <si>
    <t>10.1109/JSEN.2021.3068521</t>
  </si>
  <si>
    <t>SV7WY</t>
  </si>
  <si>
    <t>WOS:000664030600003</t>
  </si>
  <si>
    <t>Conti, S; Spalletti, C; Pasquini, M; Giordano, N; Barsotti, N; Mainardi, M; Lai, S; Giorgi, A; Pasqualetti, M; Micera, S; Caleo, M</t>
  </si>
  <si>
    <t>Conti, S.; Spalletti, C.; Pasquini, M.; Giordano, N.; Barsotti, N.; Mainardi, M.; Lai, S.; Giorgi, A.; Pasqualetti, M.; Micera, S.; Caleo, M.</t>
  </si>
  <si>
    <t>Combining robotics with enhanced serotonin-driven cortical plasticity improves post-stroke motor recovery</t>
  </si>
  <si>
    <t>PROGRESS IN NEUROBIOLOGY</t>
  </si>
  <si>
    <t>Stroke; Robotic rehabilitation; Cortical plasticity; Motor rehabilitation; Serotonergic system; Buspirone</t>
  </si>
  <si>
    <t>FUNCTIONAL RECOVERY; UPPER-LIMB; ASSISTED THERAPY; NEURAL PLASTICITY; STROKE; BRAIN; NEUROREHABILITATION; FLUOXETINE; CORTEX; ARM</t>
  </si>
  <si>
    <t>Despite recent progresses in robotic rehabilitation technologies, their efficacy for post-stroke motor recovery is still limited. Such limitations might stem from the insufficient enhancement of plasticity mechanisms, crucial for functional recovery. Here, we designed a clinically relevant strategy that combines robotic rehabilitation with chemogenetic stimulation of serotonin release to boost plasticity. These two approaches acted synergistically to enhance post-stroke motor performance. Indeed, mice treated with our combined therapy showed substantial functional gains that persisted beyond the treatment period and generalized to non-trained tasks. Motor recovery was associated with a reduction in electrophysiological and neuroanatomical markers of GABAergic neurotransmission, suggesting disinhibition in perilesional areas. To unveil the translational potentialities of our approach, we specifically targeted the serotonin 1A receptor by delivering Buspirone, a clinically approved drug, in stroke mice undergoing robotic rehabilitation. Administration of Buspirone restored motor impairments similarly to what observed with chemogenetic stimulation, showing the immediate translational potential of this combined approach to significantly improve motor recovery after stroke.</t>
  </si>
  <si>
    <t>[Conti, S.; Pasquini, M.; Lai, S.; Micera, S.] Scuola Super Sant Anna, BioRobot Inst, Translat Neural Engn Area, Pisa, Italy; [Spalletti, C.; Giordano, N.; Mainardi, M.; Caleo, M.] Natl Res Council CNR, Inst Neurosci, Pisa, Italy; [Barsotti, N.; Giorgi, A.; Pasqualetti, M.] Univ Pisa, Dept Biol, Unit Cell &amp; Dev Biol, Pisa, Italy; [Pasqualetti, M.] Ist Italiano Tecnol, Ctr Neurosci &amp; Cognit Syst, Rovereto, Italy; [Micera, S.] Ecole Polytech Fed Lausanne, EPFL, Ctr Neuroprosthet, Bertarelli Fdn Chair Translat NeuroEngn Lab, Lausanne, Switzerland; [Micera, S.] Ecole Polytech Fed Lausanne, EPFL, Inst Bioengn, Lausanne, Switzerland; [Caleo, M.] Univ Padua, Dept Biomed Sci, Padua, Italy</t>
  </si>
  <si>
    <t>Scuola Superiore Sant'Anna; Consiglio Nazionale delle Ricerche (CNR); Istituto di Neuroscienze (IN-CNR); University of Pisa; Istituto Italiano di Tecnologia - IIT; Center for Neuroscience &amp; Cognitive System IIT; Swiss Federal Institutes of Technology Domain; Ecole Polytechnique Federale de Lausanne; Swiss Federal Institutes of Technology Domain; Ecole Polytechnique Federale de Lausanne; University of Padua</t>
  </si>
  <si>
    <t>Micera, S (corresponding author), Scuola Super Sant Anna, BioRobot Inst, Translat Neural Engn Area, Pisa, Italy.;Caleo, M (corresponding author), Natl Res Council CNR, Inst Neurosci, Pisa, Italy.</t>
  </si>
  <si>
    <t>silvestro.micera@epfl.ch; matteo.caleo@in.cnr.it</t>
  </si>
  <si>
    <t>Micera, Silvestro/AAD-6630-2021; Spalletti, Cristina/GZK-3184-2022; Pasqualetti, Massimo/F-8682-2012; Mainardi, Marco/ACQ-5409-2022</t>
  </si>
  <si>
    <t>BARSOTTI, NOEMI/0000-0002-6399-436X; CALEO, MATTEO/0000-0002-4333-6378; Pasquini, Maria/0000-0001-6425-9167; Micera, Silvestro/0000-0003-4396-8217; Pasqualetti, Massimo/0000-0002-0844-8139; Giorgi, Andrea/0000-0001-8813-8343</t>
  </si>
  <si>
    <t>Swiss National Science Foundation through the National Centre of Competence in Research (NCCR) Robotics; Bertarelli Foundation; H2020 EXCELLENT SCIENCE - European Research Council (ERC) [692943]; Fondazione Cassa di Risparmio di Padova e Rovigo (Bando Ricerca Scientifica di Eccellenza 2018); project EBRI-CNR research agreement; RONDA project - Government of Tuscany - Bando FAS Salute 2014; RONDA project - Government of Tuscany - Bando FAS Salute 2018; PERSONA project - Government of Tuscany - Bando FAS Salute 2014; PERSONA project - Government of Tuscany - Bando FAS Salute 2018</t>
  </si>
  <si>
    <t>Swiss National Science Foundation through the National Centre of Competence in Research (NCCR) Robotics; Bertarelli Foundation; H2020 EXCELLENT SCIENCE - European Research Council (ERC); Fondazione Cassa di Risparmio di Padova e Rovigo (Bando Ricerca Scientifica di Eccellenza 2018); project EBRI-CNR research agreement; RONDA project - Government of Tuscany - Bando FAS Salute 2014; RONDA project - Government of Tuscany - Bando FAS Salute 2018; PERSONA project - Government of Tuscany - Bando FAS Salute 2014; PERSONA project - Government of Tuscany - Bando FAS Salute 2018</t>
  </si>
  <si>
    <t>The authors would like to thank Francesca Biondi for the care provided to the animals and Dr. Marco Capogrosso for the inspiring discussions. This work was supported by RONDA and PERSONA projects, funded by the Government of Tuscany - Bando FAS Salute 2014 and Bando Salute 2018. The work was also supported by the Swiss National Science Foundation through the National Centre of Competence in Research (NCCR) Robotics and by the Bertarelli Foundation. MC has received funding from the H2020 EXCELLENT SCIENCE - European Research Council (ERC) under grant agreement ID n. 692943 (BrainBIT) and from Fondazione Cassa di Risparmio di Padova e Rovigo (Bando Ricerca Scientifica di Eccellenza 2018). Special thanks to the project EBRI-CNR research agreement for supporting research activity in CNR-Neuroscience Institute.</t>
  </si>
  <si>
    <t>0301-0082</t>
  </si>
  <si>
    <t>1873-5118</t>
  </si>
  <si>
    <t>PROG NEUROBIOL</t>
  </si>
  <si>
    <t>Prog. Neurobiol.</t>
  </si>
  <si>
    <t>10.1016/j.pneurobio.2021.102073</t>
  </si>
  <si>
    <t>SS7NY</t>
  </si>
  <si>
    <t>WOS:000661942400003</t>
  </si>
  <si>
    <t>Udupa, S; Kamat, VR; Menassa, CC</t>
  </si>
  <si>
    <t>Udupa, Sumukha; Kamat, Vineet R.; Menassa, Carol C.</t>
  </si>
  <si>
    <t>Shared autonomy in assistive mobile robots: a review</t>
  </si>
  <si>
    <t>Shared autonomy; assistive mobile robots; human-robot interaction; robotic wheelchair; powerchair</t>
  </si>
  <si>
    <t>POWER WHEELCHAIR; SMART WHEELCHAIR; REHABILITATION ROBOTICS; NAVIGATION SYSTEM; VISION; USERS; TECHNOLOGY; INTERFACES; INDEPENDENCE; PERFORMANCE</t>
  </si>
  <si>
    <t>Purpose Shared autonomy has played a major role in assistive mobile robotics as it has the potential to effectively balance user satisfaction and smooth functioning of systems by adapting itself to each user's needs and preferences. Many shared control paradigms have been developed over the years. However, despite these advancements, shared control paradigms have not been widely adopted as there are several integral aspects that have not fully matured. The purpose of this paper is to discuss and review various aspects of shared control and the technologies leading up to the current advancements in shared control for assistive mobile robots. Methods A comprehensive review of the literature was conducted following a dichotomy of studies from the pre-2000 and the post-2000 periods to focus on both the early developments and the current state of the art in this domain. Results A systematic review of 135 research papers and 7 review papers selected from the literature was conducted. To facilitate the organization of the reviewed work, a 6-level ladder categorization was developed based on the extent of autonomy shared between the human and the robot in the use of assistive mobile robots. This taxonomy highlights the chronological improvements in this domain. Conclusion It was found that most prior studies have focussed on basic functionalities, thus paving the way for research to now focus on the higher levels of the ladder taxonomy. It was concluded that further research in the domain must focus on ensuring safety in mobility and adaptability to varying environments.</t>
  </si>
  <si>
    <t>[Udupa, Sumukha; Kamat, Vineet R.; Menassa, Carol C.] Univ Michigan, Dept Civil &amp; Environm Engn, Ann Arbor, MI 48109 USA; [Udupa, Sumukha; Kamat, Vineet R.; Menassa, Carol C.] Univ Michigan, Robot Inst, Ann Arbor, MI 48109 USA</t>
  </si>
  <si>
    <t>University of Michigan System; University of Michigan; University of Michigan System; University of Michigan</t>
  </si>
  <si>
    <t>Udupa, S (corresponding author), Univ Michigan, Dept Civil &amp; Environm Engn, Ann Arbor, MI 48109 USA.</t>
  </si>
  <si>
    <t>sudupa@umich.edu</t>
  </si>
  <si>
    <t>Udupa, Sumukha/0000-0002-7462-9843; Kamat, Vineet/0000-0003-0788-5588</t>
  </si>
  <si>
    <t>10.1080/17483107.2021.1928778</t>
  </si>
  <si>
    <t>M7GV4</t>
  </si>
  <si>
    <t>WOS:000662086100001</t>
  </si>
  <si>
    <t>Hramov, AE; Maksimenko, VA; Pisarchik, AN</t>
  </si>
  <si>
    <t>Hramov, Alexander E.; Maksimenko, Vladimir A.; Pisarchik, Alexander N.</t>
  </si>
  <si>
    <t>Physical principles of brain-computer interfaces and their applications for rehabilitation, robotics and control of human brain states</t>
  </si>
  <si>
    <t>PHYSICS REPORTS-REVIEW SECTION OF PHYSICS LETTERS</t>
  </si>
  <si>
    <t>Brain-computer interface; Artificial intelligence; Biological feedback; EEG analysis; MEG analysis; Classification techniques; Wavelets; Brain dynamics</t>
  </si>
  <si>
    <t>NEAR-INFRARED SPECTROSCOPY; FUNCTIONAL ELECTRICAL-STIMULATION; INDEPENDENT COMPONENT ANALYSIS; SINGLE-TRIAL EEG; EVENT-RELATED POTENTIALS; BCI COMPETITION 2003; SPINAL-CORD-INJURY; ELECTROENCEPHALOGRAM-BASED CONTROL; STATISTICAL PATTERN-RECOGNITION; CONVOLUTIONAL NEURAL-NETWORKS</t>
  </si>
  <si>
    <t>Brain-computer interfaces (BCIs) development is closely related to physics. In this paper, we review the physical principles of BCIs, and underlying novel approaches for registration, analysis, and control of brain activity. We analyze recent advances in BCI studies focusing on their applications for (i) controlling the movement of robots and exoskeletons, (ii) revealing and preventing brain pathologies, (iii) assessing and controlling psychophysiological states, and (iv) monitoring and controlling normal and pathological cognitive activity. We consider the BCI as a hardware/software communication system that allows interaction of humans or animals with their surroundings without the involvement of peripheral nerves and muscles, using control signals generated from brain cerebral activity. Classifying BCIs into three main types (active, reactive and passive), we describe their functional models and neuroimaging methods, as well as novel techniques for signal enhancement and artifact recognition and avoidance, to improve BCI performance in real time. We also review different BCI applications, including communications, external device control, movement control, neuroprostheses, and assessment of human psychophysiological states. Then, we describe the most common techniques for the analysis and classification of electroencephalographic (EEG) and magnetoencephalographic (MEG) data. Special attention is paid to modern technology based on machine learning and reservoir computing. We discuss main results on the creation and application of BCIs based on invasive and noninvasive EEG recordings. First, we consider neurointerfaces for controlling the movement of robots and exoskeletons. Second, we describe BCIs for diagnosis and control of pathological brain activity, in particular, epilepsy. We also discuss the results on the development of invasive BCIs for predicting and mitigating absence epileptic seizures. After that, we focus on passive neurointerfaces for assessing and controlling a person's psychophysiological states and cognitive activity. Special attention is given to optogenetic brain interfaces using photostimulation to deliver intervention to specificcell types. We outline the basic principles of optogenetic neurocontrol and extracellular electrophysiology recording. We also describe the state-of-the-art of miniaturized closed-loop optogenetic devices to control normal and pathological brain activities. Further, we discuss the new emerging technological trend in the BCI development which consists in using neurointerfaces to improve the interaction between people, so-called brain-to-brain interfaces (BBIs). Such interfaces can increase the efficiency of collaborative processes when working in a group. We propose a BBI which distributes a cognitive load among all team members working on a common task. This BBI allows sharing the workload among the participants according to their current cognitive performance, estimated from their electrical brain activity. The novel results of the brain-to-brain interaction are promising for the development of a new generation of communication systems based on the neurophysiological brain activity of interacting persons, where the BBI estimates physical conditions of each partner and adapts the assigned task accordingly. Finally, we trace the main historical epochs in BCI development and applications and highlight possible future directions for this research area, including hybrid BCIs. (c) 2021 Elsevier B.V All rights reserved.</t>
  </si>
  <si>
    <t>[Hramov, Alexander E.; Maksimenko, Vladimir A.; Pisarchik, Alexander N.] Innopolis Univ, Lab Neurosci &amp; Cognit Technol, Univ Skaya Str 1, Innopolis 420500, Republic Of Tat, Russia; [Hramov, Alexander E.] Immanuel Kant Balt Fed Univ, A Nevskogo Str 14, Kaliningrad 236016, Russia; [Hramov, Alexander E.; Maksimenko, Vladimir A.] Saratov State Med Univ, Bolshaya Kazachia Str 112, Saratov 410012, Russia; [Pisarchik, Alexander N.] Univ Politecn Madrid, Ctr Biomed Technol, Campus Montegancedo, Pozuelo De Alarcon 28223, Spain</t>
  </si>
  <si>
    <t>Innopolis University; Immanuel Kant Baltic Federal University; Razumovsky Saratov State Medical University; Universidad Politecnica de Madrid; Centro de Tecnologia Biomedica (CTB)</t>
  </si>
  <si>
    <t>Pisarchik, AN (corresponding author), Univ Politecn Madrid, Ctr Biomed Technol, Campus Montegancedo, Pozuelo De Alarcon 28223, Spain.</t>
  </si>
  <si>
    <t>alexander.pisarchik@ctb.upm.es</t>
  </si>
  <si>
    <t>Pisarchik, Alexander/E-7545-2011; Maksimenko, Vladimir/F-5356-2017; Hramov, Alexander/C-5600-2008</t>
  </si>
  <si>
    <t>Hramov, Alexander E./0000-0003-2787-2530</t>
  </si>
  <si>
    <t>Russian Science Foundation [19-12-00050, 20-72-00036]; President Program [NSh-2594.2020.2]; Ministry of Economy and Competitiveness, (Spain) [SAF2016-80240-P]; Russian Science Foundation [20-72-00036, 19-12-00050] Funding Source: Russian Science Foundation</t>
  </si>
  <si>
    <t>Russian Science Foundation(Russian Science Foundation (RSF)); President Program; Ministry of Economy and Competitiveness, (Spain)(Spanish Government); Russian Science Foundation(Russian Science Foundation (RSF))</t>
  </si>
  <si>
    <t>This work was supported by the Russian Science Foundation through the grant 19-12-00050 in preparing Sections 5-9 and by President Program (NSh-2594.2020.2) in preparing Sections 3 and 4. A.N.P. acknowledges the Ministry of Economy and Competitiveness, (Spain) for support through the project SAF2016-80240-P for experimental MEG research. V.A.M. received personal support from the Russian Science Foundation (grant 20-72-00036) in reviewing machine learning methods and optimization techniques for brain signal analysis (Sections 4.5.1-4.5.3 and 4.5.5). The authors also thank Elena Pitsik for her assistance with figure preparation.</t>
  </si>
  <si>
    <t>0370-1573</t>
  </si>
  <si>
    <t>1873-6270</t>
  </si>
  <si>
    <t>PHYS REP</t>
  </si>
  <si>
    <t>Phys. Rep.-Rev. Sec. Phys. Lett.</t>
  </si>
  <si>
    <t>JUN 25</t>
  </si>
  <si>
    <t>10.1016/j.physrep.2021.03.002</t>
  </si>
  <si>
    <t>SP8AQ</t>
  </si>
  <si>
    <t>WOS:000659886000001</t>
  </si>
  <si>
    <t>Harvey, LA; Glinsky, JV; Chu, J</t>
  </si>
  <si>
    <t>Harvey, Lisa A.; Glinsky, Joanne V.; Chu, Jackie</t>
  </si>
  <si>
    <t>Do any physiotherapy interventions increase spinal cord independence measure or functional independence measure scores in people with spinal cord injuries? A systematic review</t>
  </si>
  <si>
    <t>SPINAL CORD</t>
  </si>
  <si>
    <t>WEIGHT-SUPPORTED TREADMILL; VIRTUAL-REALITY; THERAPY; WALKING; INDIVIDUALS; REHABILITATION; RESISTANCE; STRENGTH; EXERCISE</t>
  </si>
  <si>
    <t>Study design Systematic review. Objective To determine whether any physiotherapy interventions increase Spinal Cord Independence Measure or Functional Independence Measure scores (SCIM/FIM) in people with spinal cord injury (SCI), with the overall aim of determining whether any physiotherapy interventions need to be controlled for in studies examining the effects of novel experimental interventions on SCIM/FIM. Methods A systematic review was conducted to identify all randomised controlled trials examining the effect of any physiotherapy intervention on SCIM/FIM in people with SCI. PEDro scores were used to rate risk of bias. The results of similar trials and comparisons were pooled using meta-analyses. Results Thirty-three trials met the inclusion criteria but only 27 provided useable data. The median (IQR) PEDro score was 6.0 (4.0-7.0). A meta-analysis of four trials comparing robotic gait training with overground gait training that used a combination of FIM/SCIM indicated a pooled mean (95% CI) between-group difference of 0.38 standardised mean difference (SMD; 95% CI, 0.08-0.67). A second meta-analysis of two trials comparing upper limb training with and without functional electrical stimulation using FIM indicated a pooled (95% CI) between-group difference of 1.31 SMD (0.62-1.99). Another six trials examining a range of different physiotherapy interventions reported a statistically significant mean between-group difference on SCIM/FIM. Conclusion There is low-quality evidence to indicate that a small number of physiotherapy interventions increase SCIM/FIM. The importance of controlling for all physiotherapy interventions in studies examining the effects of novel experimental interventions on SCIM/FIM is as yet unclear.</t>
  </si>
  <si>
    <t>[Harvey, Lisa A.; Glinsky, Joanne V.; Chu, Jackie] Univ Sydney, Sydney Med Sch, John Walsh Ctr Rehabil Res, Sydney, NSW, Australia</t>
  </si>
  <si>
    <t>Harvey, LA (corresponding author), Univ Sydney, Sydney Med Sch, John Walsh Ctr Rehabil Res, Sydney, NSW, Australia.</t>
  </si>
  <si>
    <t>l.harvey@usyd.edu.au</t>
  </si>
  <si>
    <t>Harvey, Lisa A/0000-0002-4365-0236; Chu, Jackie/0000-0001-5810-2788; Glinsky, Joanne/0000-0002-8188-3583</t>
  </si>
  <si>
    <t>Icare, NSW, Australia</t>
  </si>
  <si>
    <t>LAH's position is supported by Icare, NSW, Australia.</t>
  </si>
  <si>
    <t>1362-4393</t>
  </si>
  <si>
    <t>1476-5624</t>
  </si>
  <si>
    <t>Spinal Cord</t>
  </si>
  <si>
    <t>10.1038/s41393-021-00638-0</t>
  </si>
  <si>
    <t>TE5DF</t>
  </si>
  <si>
    <t>WOS:000658685400001</t>
  </si>
  <si>
    <t>Calabrò, RS; Sorrentino, G; Cassio, A; Mazzoli, D; Andrenelli, E; Bizzarini, E; Campanini, I; Carmignano, SM; Cerulli, S; Chisari, C; Colombo, V; Dalise, S; Fundarò, C; Gazzotti, V; Mazzoleni, D; Mazzucchelli, M; Melegari, C; Merlo, A; Stampacchia, G; Boldrini, P; Mazzoleni, S; Posteraro, F; Benanti, P; Castelli, E; Draicchio, F; Falabella, V; Galeri, S; Gimigliano, F; Grigioni, M; Mazzon, S; Molteni, F; Morone, G; Petrarca, M; Picelli, A; Senatore, M; Turchetti, G; Bonaiuti, D</t>
  </si>
  <si>
    <t>Calabro, Rocco S.; Sorrentino, Gregorio; Cassio, Anna; Mazzoli, Davide; Andrenelli, Elisa; Bizzarini, Emiliana; Campanini, Isabella; Carmignano, Simona M.; Cerulli, Simona; Chisari, Carmelo; Colombo, Valentina; Dalise, Stefania; Fundaro, Cira; Gazzotti, Valeria; Mazzoleni, Daniele; Mazzucchelli, Miryam; Melegari, Corrado; Merlo, Andrea; Stampacchia, Giulia; Boldrini, Paolo; Mazzoleni, Stefano; Posteraro, Federico; Benanti, Paolo; Castelli, Enrico; Draicchio, Francesco; Falabella, Vincenzo; Galeri, Silvia; Gimigliano, Francesca; Grigioni, Mauro; Mazzon, Stefano; Molteni, Franco; Morone, Giovanni; Petrarca, Maurizio; Picelli, Alessandro; Senatore, Michele; Turchetti, Giuseppe; Bonaiuti, Donatella</t>
  </si>
  <si>
    <t>Robotic-assisted gait rehabilitation following stroke: a systematic review of current guidelines and practical clinical recommendations</t>
  </si>
  <si>
    <t>Stroke; Lower extremity; Gait; Systematic review</t>
  </si>
  <si>
    <t>SPINAL-CORD; DEVICES; BURDEN; INJURY</t>
  </si>
  <si>
    <t>INTRODUCTION: Stroke is the third leading cause of adult disability worldwide, and lower extremity motor impairment is one of the major determinants of long-term disability. Although robotic therapy is becoming more and more utilized in research protocols for lower limb stroke rehabilitation, the gap between research evidence and its use in clinical practice is still significant. The aim of this study was to determine the scope, quality, and consistency of guidelines for robotic lower limb rehabilitation after stroke, in order to provide clinical recommendations. EVIDENCE ACQUISITION: We systematically reviewed stroke rehabilitation guideline recommendations between January 1, 2010 and October 31, 2020. We explored electronic databases (N.=4), guideline repositories and professional rehabilitation networks (N.=12). Two independent reviewers used the Appraisal of Guidelines for Research and Evaluation (AGREE) II instrument, and brief syntheses were used to evaluate and compare the different recommendations, considering only the most recent version. EVIDENCE SYNTHESIS: From the 1219 papers screened, ten eligible guidelines were identified from seven different regions/countries. Four of the included guidelines focused on stroke management, the other six on stroke rehabilitation. Robotic rehabilitation is generally recommended to improve lower limb motor function, including gait and strength. Unfortunately, there is still no consensus about the timing, frequency, training session duration and the exact characteristics of subjects who could benefit from robotics. CONCLUSIONS: Our systematic review shows that the introduction of robotic rehabilitation in standard treatment protocols seems to be the future of stroke rehabilitation. However, robot assisted gait training (RAGT) for stroke needs to be improved with new solutions and in clinical practice guidelines, especially in terms of applicability.</t>
  </si>
  <si>
    <t>[Calabro, Rocco S.] IRCCS Ctr Neurolesi Bonino Pulejo, SS 113, I-98124 Messina, Italy; [Sorrentino, Gregorio] Polyclin Monza, Dept Med &amp; Rehabil, Monza, Italy; [Cassio, Anna] AUSL Piacenza, Spinal Cord Unit, Villanova Sullarda, Piacenza, Italy; [Cassio, Anna] AUSL Piacenza, Intens Rehabil Med, Villanova Sullarda, Piacenza, Italy; [Cassio, Anna] AUSL Piacenza, Spinal Cord Unit, Castel San Giovanni, Piacenza, Italy; [Cassio, Anna] AUSL Piacenza, Intens Rehabil Med, Castel San Giovanni, Piacenza, Italy; [Mazzoli, Davide; Merlo, Andrea] Gait &amp; Mot Anal Lab OPA Sol &amp; Salus, Torre Pedrera, Rimini, Italy; [Andrenelli, Elisa] Univ Politecn Marche UNIVPM, Dept Expt &amp; Clin Med, Ancona, Italy; [Bizzarini, Emiliana] Gervasutta Hosp, Dept Rehabil Med, Spinal Cord Unit, Udine, Italy; [Bizzarini, Emiliana] Azienda Sanit Univ Friuli Cent ASU FC, Udine, Italy; [Campanini, Isabella; Merlo, Andrea] AUSL IRCCS Reggio Emilia, LAM Mot Anal Lab, Neuromotor &amp; Rehabil Dept, Reggio Emilia, Italy; [Carmignano, Simona M.] Rehabil Therapeut Ctr, Potenza, Italy; [Cerulli, Simona] IRCCS A Gemelli Univ Polyclin Fdn, Rome, Italy; [Chisari, Carmelo; Dalise, Stefania] Univ Pisa, Dept Translat Res &amp; New Technol Med &amp; Surg, Sect Neurorehabil, Pisa, Italy; [Colombo, Valentina] Montecatone Rehabil Inst, Bologna, Italy; [Fundaro, Cira] Montescano Inst, Unit Neurophysiopathol, ICS Maugeri, Pavia, Italy; [Gazzotti, Valeria] Ist Nazl Assicuraz Infortuni Lavoro INAIL, Ctr Protesi Vigorso Budrio, Bologna, Italy; [Mazzoleni, Daniele] Univ Milano Bicocca, Sch Phys &amp; Rehabil Med, Milan, Italy; [Mazzucchelli, Miryam] Elias Neuroriabilitaz, Parma, Italy; [Melegari, Corrado; Stampacchia, Giulia] Univ Hosp Pisa, Unit Spinal Cord, Pisa, Italy; [Boldrini, Paolo] Italian Soc Phys &amp; Rehabil Med SIMFER, Rome, Italy; [Mazzoleni, Stefano] Polytech Bari, Dept Elect &amp; Informat Engn, Bari, Italy; [Posteraro, Federico] ASL12, Dept Rehabil, Viareggio, Lucca, Italy; [Benanti, Paolo] Pontifical Gregorian Univ, Rome, Italy; [Castelli, Enrico] Bambino Gesu Pediat Hosp, Pediat Neurorehabil, Rome, Italy; [Draicchio, Francesco] INAIL, Dept Occupat &amp; Environm Med, Epidemiol &amp; Hyg, Rome, Italy; [Falabella, Vincenzo] Italian Federat Persons Spinal Cord Injuries FAIP, Rome, Italy; [Galeri, Silvia] Fdn Don Carlo Gnocchi Onlus, Milan, Italy; [Gimigliano, Francesca] Luigi Vanvitelli Univ Campania, Dept Mental &amp; Phys Hlth &amp; Prevent Med, Naples, Italy; [Grigioni, Mauro] Italian Natl Inst Hlth, Natl Ctr Innovat Technol Publ Hlth, Rome, Italy; [Mazzon, Stefano] Camposampiero Hosp, Unit Rehabil, ULSS Local Hlth Author Euganea, Padua, Italy; [Molteni, Franco] Valduce Hosp, Villa Beretta Rehabil Ctr, Costa Masnaga, Lecco, Italy; [Morone, Giovanni] Santa Lucia Fdn IRCCS, Rome, Italy; [Petrarca, Maurizio] Bambino Gesu Pediat Hosp, Movement Anal &amp; Robot Lab, Rome, Italy; [Picelli, Alessandro] Univ Verona, Dept Neurosci Biomed &amp; Movement Sci, Verona, Italy; [Senatore, Michele] Assoc Italiana Terapisti Occupazionali AITO, Rome, Italy; [Turchetti, Giuseppe] St Anna High Sch, Inst Management, Pisa, Italy; [Bonaiuti, Donatella] Piero Redaelli Geriatr Inst, Milan, Italy</t>
  </si>
  <si>
    <t>IRCCS Bonino Pulejo; Ospedale di Piacenza; Ospedale di Piacenza; Marche Polytechnic University; University of Pisa; Istituti Clinici Scientifici Maugeri IRCCS; University of Milano-Bicocca; University of Pisa; Azienda Ospedaliero Universitaria Pisana; Politecnico di Bari; IRCCS Bambino Gesu; Istituto Nazionale per l'Assicurazione Contro gli Infortuni sul Lavoro (INAIL); IRCCS Fondazione Don Carlo Gnocchi Onlus; Universita della Campania Vanvitelli; Istituto Superiore di Sanita (ISS); ULSS 6 Euganea; Ospedale di Camposampiero; IRCCS Santa Lucia; IRCCS Bambino Gesu; University of Verona</t>
  </si>
  <si>
    <t>Calabrò, RS (corresponding author), IRCCS Ctr Neurolesi Bonino Pulejo, SS 113, I-98124 Messina, Italy.</t>
  </si>
  <si>
    <t>Picelli, Alessandro/K-5610-2016; Francesco, Draicchio/AAC-7681-2022; Dalise, Stefania/K-8940-2016; Mazzoleni, Stefano/AAM-8581-2020; Turchetti, Giuseppe/K-5393-2018; carmignano, simona/AAA-2372-2020; Merlo, Andrea/M-4405-2019; Gimigliano, Francesca/B-6735-2013; Calabrò, Rocco/K-7520-2016; Morone, Giovanni/AAN-2666-2020; Molteni, Franco/J-4455-2016; Petrarca, Maurizio/B-4181-2019; Campanini, Isabella/H-3600-2017; Morone, Giovanni/A-9561-2013; Fundaro, Cira/E-8284-2019; Mazzoleni, Stefano/B-5875-2011</t>
  </si>
  <si>
    <t>Campanini, Isabella/0000-0002-9286-6711; Dalise, Stefania/0000-0002-1422-1539; Merlo, Andrea/0000-0002-5587-5686; calabro, rocco salvatore/0000-0002-8566-3166; Gimigliano, Francesca/0000-0002-1905-6405; Colombo, Valentina/0000-0003-2240-1190; Mazzoli, Davide/0009-0003-3494-0287; Petrarca, Maurizio/0000-0002-7330-3569; Morone, Giovanni/0000-0003-3602-4197; Fundaro, Cira/0000-0002-7810-8885; Mazzucchelli, Miryam/0000-0002-5344-9253; Sorrentino, Gregorio/0000-0003-0939-1127; Mazzoleni, Stefano/0000-0002-9528-3239; Antenucci, Roberto/0000-0002-7205-8995; Francesco, Draicchio/0000-0003-0677-2573; ANDRENELLI, ELISA/0000-0001-7982-9871</t>
  </si>
  <si>
    <t>10.23736/S1973-9087.21.06887-8</t>
  </si>
  <si>
    <t>TM7AB</t>
  </si>
  <si>
    <t>WOS:000675699800018</t>
  </si>
  <si>
    <t>De Angelis, M; Lavorgna, L; Carotenuto, A; Petruzzo, M; Lanzillo, R; Morra, VB; Moccia, M</t>
  </si>
  <si>
    <t>De Angelis, Marcello; Lavorgna, Luigi; Carotenuto, Antonio; Petruzzo, Martina; Lanzillo, Roberta; Brescia Morra, Vincenzo; Moccia, Marcello</t>
  </si>
  <si>
    <t>Digital Technology in Clinical Trials for Multiple Sclerosis: Systematic Review</t>
  </si>
  <si>
    <t>multiple sclerosis; clinical trial; digital technology; outcome measures</t>
  </si>
  <si>
    <t>STATUS SCALE EDSS; OUTCOME MEASURES; DISABILITY; HEALTH; PROGRESSION; ADHERENCE; SYMPTOMS; IMPACT</t>
  </si>
  <si>
    <t>Clinical trials in multiple sclerosis (MS) have been including digital technology tools to overcome limitations in treatment delivery and disease monitoring. In March 2020, we conducted a systematic search on pubmed.gov and clinicaltrials.gov databases (with no restrictions) to identify all relevant published and unpublished clinical trials, in English language, including MS patients, in which digital technology was applied. We used multiple sclerosis and clinical trial as the main search words, and app, digital, electronic, internet and mobile as additional search words, separately. Digital technology is part of clinical trial interventions to deliver psychotherapy and motor rehabilitation, with exergames, e-training, and robot-assisted exercises. Digital technology has been used to standardise previously existing outcome measures, with automatic acquisitions, reduced inconsistencies, and improved detection of symptoms (e.g., electronic recording of motor performance). Other clinical trials have been using digital technology for monitoring symptoms that would be otherwise difficult to detect (e.g., fatigue, balance), for measuring treatment adherence and side effects, and for self-assessment purposes. Collection of outcome measures is progressively shifting from paper-based on site, to internet-based on site, and, in the future, to internet-based at home, with the detection of clinical and treatment features that would have remained otherwise invisible. Similarly, remote interventions provide new possibilities of motor and cognitive rehabilitation.</t>
  </si>
  <si>
    <t>[De Angelis, Marcello; Carotenuto, Antonio; Petruzzo, Martina; Lanzillo, Roberta; Brescia Morra, Vincenzo; Moccia, Marcello] Federico II Univ Naples, Dept Neurosci Reprod Sci &amp; Odontostomatol, Multiple Sclerosis Clin Care &amp; Res Ctr, I-80138 Naples, Italy; [Lavorgna, Luigi] Univ Campania Luigi Vanvitelli, Dept Med Surg Neurol Metab &amp; Aging Sci, I-81100 Naples, Italy</t>
  </si>
  <si>
    <t>University of Naples Federico II; Universita della Campania Vanvitelli</t>
  </si>
  <si>
    <t>Moccia, M (corresponding author), Federico II Univ Naples, Dept Neurosci Reprod Sci &amp; Odontostomatol, Multiple Sclerosis Clin Care &amp; Res Ctr, I-80138 Naples, Italy.</t>
  </si>
  <si>
    <t>marcello.deangelis91@gmail.com; luigi.lavorgna@policliniconapoli.it; carotenuto.antonio87@gmail.com; martinapetruzzo@gmail.com; robertalanzillo@libero.it; vincenzo.bresciamorra2@unina.it; marcello.moccia@unina.it</t>
  </si>
  <si>
    <t>Lanzillo, Roberta/AFA-8874-2022; Carotenuto, Antonio/AAE-1249-2020; Lavorgna, Luigi/R-2696-2016; Moccia, Marcello/N-6987-2015</t>
  </si>
  <si>
    <t>Lanzillo, Roberta/0000-0001-6388-8180; Carotenuto, Antonio/0000-0002-1574-9693; Lavorgna, Luigi/0000-0003-4625-4236; Moccia, Marcello/0000-0003-2613-3090</t>
  </si>
  <si>
    <t>10.3390/jcm10112328</t>
  </si>
  <si>
    <t>SQ2WI</t>
  </si>
  <si>
    <t>WOS:000660217400001</t>
  </si>
  <si>
    <t>Guo, YW; Yang, YJ; Liu, Y; Li, Q; Cao, FQ; Feng, MT; Wu, HH; Li, W; Kang, Y</t>
  </si>
  <si>
    <t>Guo, Yingwei; Yang, Yingjian; Liu, Yang; Li, Qiang; Cao, Fengqiu; Feng, Mengting; Wu, Hanhui; Li, Wei; Kang, Yan</t>
  </si>
  <si>
    <t>Development Status and Multilevel Classification Strategy of Medical Robots</t>
  </si>
  <si>
    <t>medical robots; multilevel classification strategy; development status; the necessity of secondary classification</t>
  </si>
  <si>
    <t>UPPER-LIMB FUNCTION; REHABILITATION ROBOT; SURGERY; EXPERIENCE; SYSTEM; APPEARANCE; CHILDREN; THERAPY; DEVICE; CARE</t>
  </si>
  <si>
    <t>The combination of artificial intelligence technology and medical science has inspired the emergence of medical robots with novel functions that use new materials and have a neoteric appearance. However, the diversity of medical robots causes confusion regarding their classification. In this paper, we review the concepts pertinent to major classification methods and development status of medical robots. We survey the classification methods according to the appearance, function, and application of medical robots. The difficulties surrounding classification methods that arose are discussed, for example, (1) it is difficult to make a simple distinction among existing types of medical robots; (2) classification is important to provide sufficient applicability to the existing and upcoming medical robots; (3) future medical robots may destroy the stability of the classification framework. To solve these problems, we proposed an innovative multilevel classification strategy for medical robots. According to the main classification method, the medical robots were divided into four major categories-surgical, rehabilitation, medical assistant, and hospital service robots-and personalized classifications for each major category were proposed in secondary classifications. The technologies currently available or in development for surgical robots and rehabilitation robots are discussed with great emphasis. The technical preferences of surgical robots in the different departments and the rehabilitation robots in the variant application scenes are perceived, by which the necessity of further classification of the surgical robots and the rehabilitation robots is shown and the secondary classification strategy for surgical robots and rehabilitation robots is provided. Our results show that the distinctive features of surgical robots and rehabilitation robots can be highlighted and that the communication between professionals in the same and other fields can be improved.</t>
  </si>
  <si>
    <t>[Guo, Yingwei; Yang, Yingjian; Li, Qiang; Cao, Fengqiu; Feng, Mengting; Wu, Hanhui; Kang, Yan] Northeastern Univ, Coll Med &amp; Biol Informat Engn, Shenyang 110819, Peoples R China; [Guo, Yingwei; Yang, Yingjian; Liu, Yang; Li, Qiang; Li, Wei; Kang, Yan] Shenzhen Technol Univ, Med Device Innovat Ctr, Shenzhen 518118, Peoples R China; [Kang, Yan] Minist Educ, Engn Res Ctr Med Imaging &amp; Intelligent Anal, Shenyang 110819, Peoples R China</t>
  </si>
  <si>
    <t>Northeastern University - China; Shenzhen Technology University; Ministry of Education - China</t>
  </si>
  <si>
    <t>Kang, Y (corresponding author), Northeastern Univ, Coll Med &amp; Biol Informat Engn, Shenyang 110819, Peoples R China.;Kang, Y (corresponding author), Shenzhen Technol Univ, Med Device Innovat Ctr, Shenzhen 518118, Peoples R China.;Kang, Y (corresponding author), Minist Educ, Engn Res Ctr Med Imaging &amp; Intelligent Anal, Shenyang 110819, Peoples R China.</t>
  </si>
  <si>
    <t>1910442@stu.neu.edu.cn; 1810453@stu.neu.edu.cn; 1610420@stu.neu.edu.cn; 1510549@stu.neu.edu.cn; 1310539@stu.neu.edu.cn; 2010477@stu.neu.edu.cn; liuyang4@sztu.edu.cn; Liwei2@sztu.edu.cn; kangyan@bmie.neu.edu.cn</t>
  </si>
  <si>
    <t>Yang, Kai/KFS-3272-2024; Cao, Fengqiu/G-3016-2010</t>
  </si>
  <si>
    <t>, Yang/0000-0002-7425-1297; Li, Qiang/0000-0002-4877-7826; Li, Wei/0000-0003-4589-2711; Guo, Yingwei/0000-0002-3049-8474</t>
  </si>
  <si>
    <t>Research Development Fund at the Natural Science Foundation of Guangdong Province, China [2019A1515011382]; General Program of National Natural Science Foundation of China [62071311]</t>
  </si>
  <si>
    <t>Research Development Fund at the Natural Science Foundation of Guangdong Province, China; General Program of National Natural Science Foundation of China(National Natural Science Foundation of China (NSFC))</t>
  </si>
  <si>
    <t>This research was funded by the Research Development Fund at the Natural Science Foundation of Guangdong Province, China, Grant Number 2019A1515011382, and the General Program of National Natural Science Foundation of China, grant number 62071311.</t>
  </si>
  <si>
    <t>10.3390/electronics10111278</t>
  </si>
  <si>
    <t>SP4PQ</t>
  </si>
  <si>
    <t>WOS:000659653300001</t>
  </si>
  <si>
    <t>Huang, Q; Fan, FF; Liu, X; Pan, C; Zhang, P; Tang, YX; Zhang, JH; Han, BC; Tang, ZP</t>
  </si>
  <si>
    <t>Huang, Qi; Fan, Fangfang; Liu, Xia; Pan, Chao; Zhang, Ping; Tang, Yingxin; Zhang, Jonh H.; Han, Bicheng; Tang, Zhouping</t>
  </si>
  <si>
    <t>NCyborg Project - A new stroke rehabilitation pattern based on brain computer interface</t>
  </si>
  <si>
    <t>BRAIN HEMORRHAGES</t>
  </si>
  <si>
    <t>Stroke; Rehabilitation; Brain computer interface; Brain -inspired; Intelligent robots</t>
  </si>
  <si>
    <t>NCyborg Project, a new stroke rehabilitation pattern based on brain computer interface (BCI) and brain inspired intelligent robots, is set up by Tongji Hospital and BrainCo. We will briefly introduce this project in this paper.(c) 2021 International Hemorrhagic Stroke Association. Publishing services by Elsevier B.V. on behalf of KeAi Communications Co. Ltd. This is an open access article under the CC BY-NC-ND license (http://creativecommons.org/licenses/by-nc-nd/4.0/).</t>
  </si>
  <si>
    <t>[Huang, Qi; Fan, Fangfang; Han, Bicheng] Zhejiang Qiangnao Technol Co Ltd, Hangzhou, Peoples R China; [Liu, Xia; Pan, Chao; Zhang, Ping; Tang, Yingxin; Tang, Zhouping] Huazhong Univ Sci &amp; Technol, Tongji Hosp, Tongji Med Coll, Dept Neurol, Wuhan, Peoples R China; [Zhang, Jonh H.] Loma Linda Univ, Sch Med, Dept Neurosurg, Loma Linda, CA 92354 USA</t>
  </si>
  <si>
    <t>Huazhong University of Science &amp; Technology; Loma Linda University</t>
  </si>
  <si>
    <t>Han, BC (corresponding author), Zhejiang Qiangnao Technol Co Ltd, Hangzhou, Peoples R China.;Tang, ZP (corresponding author), Huazhong Univ Sci &amp; Technol, Tongji Hosp, Tongji Med Coll, Dept Neurol, Wuhan, Peoples R China.;Zhang, JH (corresponding author), Loma Linda Univ, Sch Med, Dept Neurosurg, Loma Linda, CA 92354 USA.</t>
  </si>
  <si>
    <t>johnzhang3910@yahoo.com; bicheng.han@brainco.tech; ddjtzp@163.com</t>
  </si>
  <si>
    <t>Tang, Yingxin/ACD-9876-2022; Fan, Fangfang/HHZ-7072-2022; Tang, Zhouping/AAO-1122-2021</t>
  </si>
  <si>
    <t>KEAI PUBLISHING LTD</t>
  </si>
  <si>
    <t>16 DONGHUANGCHENGGEN NORTH ST, Building 5, Room 411, BEIJING, DONGCHENG DISTRICT 100009, PEOPLES R CHINA</t>
  </si>
  <si>
    <t>2589-238X</t>
  </si>
  <si>
    <t>Brain Hemorrhages</t>
  </si>
  <si>
    <t>10.1016/j.hest.2021.05.002</t>
  </si>
  <si>
    <t>CY2L5</t>
  </si>
  <si>
    <t>WOS:001128726600001</t>
  </si>
  <si>
    <t>Picelli, A; Capecci, M; Filippetti, M; Varalta, V; Fonte, C; Di Censo, R; Zadra, A; Chignola, I; Scarpa, S; Amico, AP; Antenucci, R; Baricich, A; Benanti, P; Bissolotti, L; Boldrini, P; Bonaiuti, D; Castelli, E; Cavalli, L; Di Stefano, G; Draicchio, F; Falabella, V; Galeri, S; Gimigliano, F; Grigioni, M; Jonsdodttir, J; Lentino, C; Massai, P; Mazzoleni, S; Mazzon, S; Molteni, F; Morelli, S; Morone, G; Panzeri, D; Petrarca, M; Posteraro, F; Senatore, M; Taglione, E; Turchetti, G; Bowman, T; Nardone, A</t>
  </si>
  <si>
    <t>Picelli, Alessandro; Capecci, Marianna; Filippetti, Mirko; Varalta, Valentina; Fonte, Cristina; Di Censo, Rita; Zadra, Alessandro; Chignola, Irene; Scarpa, Stefano; Amico, Angelo P.; Antenucci, Roberto; Baricich, Alessio; Benanti, Paolo; Bissolotti, Luciano; Boldrini, Paolo; Bonaiuti, Donatella; Castelli, Enrico; Cavalli, Loredana; Di Stefano, Giuseppina; Draicchio, Francesco; Falabella, Vincenzo; Galeri, Silvia; Gimigliano, Francesca; Grigioni, Mauro; Jonsdodttir, Johanna; Lentino, Carmelo; Massai, Perla; Mazzoleni, Stefano; Mazzon, Stefano; Molteni, Franco; Morelli, Sandra; Morone, Giovanni; Panzeri, Daniele; Petrarca, Maurizio; Posteraro, Federico; Senatore, Michele; Taglione, Elisa; Turchetti, Giuseppe; Bowman, Thomas; Nardone, Antonio</t>
  </si>
  <si>
    <t>Effects of robot-assisted gait training on postural instability in Parkinson's disease: a systematic review</t>
  </si>
  <si>
    <t>Parkinson disease; Postural balance; Robotics; Rehabilitation</t>
  </si>
  <si>
    <t>QUALITY-OF-LIFE; TREADMILL WALKING; BALANCE; SUPERIOR; SYMPTOMS; MOBILITY</t>
  </si>
  <si>
    <t>INTRODUCTION: Postural instability is a cardinal feature of Parkinson's disease, together with rest tremor, rigidity and bradykinesia. It is a highly disabling symptom that becomes increasingly common with disease progression and represents a major source of reduced quality of life in patients with Parkinson's disease. Rehabilitation aims to enable patients with Parkinson's disease to maintain their maximum level of mobility, activity and independence. To date, a wide range of rehabilitation approaches has been employed to treat postural instability in Parkinson's disease, including robotic training. Our main aim was to conduct a systematic review of current literature about the effects of robot-assisted gait training on postural instability in patients with Parkinson's disease. EVIDENCE ACQUISITION: A systematic search using the following MeSH terms Parkinson disease, postural balance, robotics, rehabilitation AND string robotics [mh] OR robot-assisted OR electromechanical AND rehabilitation [mh] OR training AND postural balance [mh] was conducted on PubMed, Cochrane Library and Pedro electronic databases. Full text articles in English published up to December 2020 were included. Data about patient characteristics, robotic devices, treatment procedures and outcome measures were considered. Every included article got checked for quality. Level of evidence was defined for all studies. EVIDENCE SYNTHESIS: Three authors independently extracted and verified data. In total, 18 articles (2 systematic reviews, 9 randomized controlled trials, 4 uncontrolled studies and 3 case series/case reports) were included. Both end-effector and exoskeleton devices were investigated as to robot-assisted gait training modalities. No clear relationship between treatment parameters and clinical conditions was observed. We found a high level of evidence about the effects of robot-assisted gait training on balance and freezing of gait in patients with Parkinson's disease. CONCLUSIONS: This systematic review provides to the reader a complete overview of current literature and levels of evidence about the effects of robot-assisted gait training on postural instability issues (static and dynamic balance, freezing of gait, falls, confidence in activities of daily living and gait parameters related to balance skills) in patients with Parkinson's disease.</t>
  </si>
  <si>
    <t>[Picelli, Alessandro; Filippetti, Mirko; Varalta, Valentina; Fonte, Cristina; Di Censo, Rita; Zadra, Alessandro; Chignola, Irene; Scarpa, Stefano] Univ Verona, Univ Hosp Verona, Dept Neurosci Biomed &amp; Movement Sci, Unit Neurorehabil, Verona, Italy; [Capecci, Marianna] Univ Politecn Marche UNIVPM, Ancona, Italy; [Amico, Angelo P.] Polyclin Bari, Bari, Italy; [Antenucci, Roberto] Castel San Giovanni Hosp, Piacenza, Italy; [Baricich, Alessio] Univ Piemonte Orientale, Novara, Italy; [Benanti, Paolo] Pontifical Gregorian Univ, Rome, Italy; [Bissolotti, Luciano] Fdn Teresa Camplani, Casa Cura Domus Salutis, Brescia, Italy; [Boldrini, Paolo; Bonaiuti, Donatella; Di Stefano, Giuseppina] Italian Soc Phys &amp; Rehabil Med, Rome, Italy; [Castelli, Enrico; Petrarca, Maurizio] Bambino Gesu Pediat Hosp, Rome, Italy; [Cavalli, Loredana] Ctr Giusti, Florence, Italy; [Draicchio, Francesco] INAIL, Rome, Italy; [Falabella, Vincenzo] Italian Federat Persons Spinal Cord Injuries, Rome, Italy; [Galeri, Silvia; Jonsdodttir, Johanna; Bowman, Thomas] IRCCS Fdn Don Carlo Gnocchi, Milan, Italy; [Gimigliano, Francesca] Luigi Vanvitelli Univ Campania, Naples, Italy; [Grigioni, Mauro; Morelli, Sandra] Italian Natl Inst Hlth, Rome, Italy; [Lentino, Carmelo] Santa Corona Hosp, Pietra Ligure, Savona, Italy; [Massai, Perla] Tuscany Rehabil Clin, Montevarchi, Arezzo, Italy; [Mazzoleni, Stefano] Polytech Univ Bari, Bari, Italy; [Mazzoleni, Stefano; Bowman, Thomas] Scuola Super Sant Anna, BioRobot Inst, Pisa, Italy; [Mazzon, Stefano] ULSS 6 Euganea, Padua, Italy; [Molteni, Franco] Valduce Villa Beretta Hosp, Costa Masnaga, Lecco, Italy; [Morone, Giovanni] Santa Lucia Fdn IRCCS, Rome, Italy; [Panzeri, Daniele] IRCCS Eugenio Medea, Bosisio Parini, Italy; [Posteraro, Federico] Versilia Hosp, Camaiore, Lucca, Italy; [Senatore, Michele] Italian Assoc Occupat Therapists AITO, Rome, Italy; [Taglione, Elisa] INAIL, Pisa, Italy; [Turchetti, Giuseppe] Scuola Super Sant Anna, Inst Management, Pisa, Italy; [Nardone, Antonio] Univ Pavia, Pavia, Italy; [Nardone, Antonio] ICS Maugeri SPA SB IRCCS, Pavia, Italy</t>
  </si>
  <si>
    <t>University of Verona; Azienda Ospedaliera Universitaria Integrata Verona; Marche Polytechnic University; Universita degli Studi di Bari Aldo Moro; University of Eastern Piedmont Amedeo Avogadro; IRCCS Bambino Gesu; Istituto Nazionale per l'Assicurazione Contro gli Infortuni sul Lavoro (INAIL); IRCCS Fondazione Don Carlo Gnocchi Onlus; Universita della Campania Vanvitelli; Istituto Superiore di Sanita (ISS); Politecnico di Bari; Scuola Superiore Sant'Anna; IRCCS Santa Lucia; IRCCS Eugenio Medea; Ospedale Versilia; Istituto Nazionale per l'Assicurazione Contro gli Infortuni sul Lavoro (INAIL); Scuola Superiore Sant'Anna; University of Pavia</t>
  </si>
  <si>
    <t>Picelli, A (corresponding author), Univ Verona, Neuromotor &amp; Cognit Rehabil Res Ctr, Sect Phys &amp; Rehabil Med, Dept Neurosci Biomed &amp; Movement Sci, Ple A Scuro 10, I-37134 Verona, Italy.</t>
  </si>
  <si>
    <t>alessandro.picelli@univr.it</t>
  </si>
  <si>
    <t>Zadra, Alessandro/LTZ-9450-2024; Picelli, Alessandro/K-5610-2016; Molteni, Franco/J-4455-2016; Gimigliano, Francesca/B-6735-2013; bowman, thomas/AAC-1223-2019; Petrarca, Maurizio/B-4181-2019; Panzeri, Daniele/AAH-5504-2019; Capecci, Marianna/AFL-2394-2022; Mazzoleni, Stefano/AAM-8581-2020; Francesco, Draicchio/AAC-7681-2022; Varalta, Valentina/AAB-2055-2019; Baricich, Alessio/ABG-7696-2020; Antenucci, Roberto/AAA-8195-2020; Morone, Giovanni/AAN-2666-2020; Turchetti, Giuseppe/K-5393-2018; NARDONE, Antonio/J-8733-2016; Morone, Giovanni/A-9561-2013; Mazzoleni, Stefano/B-5875-2011; Jonsdottir, Johanna/X-9348-2019</t>
  </si>
  <si>
    <t>Gimigliano, Francesca/0000-0002-1905-6405; NARDONE, Antonio/0000-0002-9547-1774; Francesco, Draicchio/0000-0003-0677-2573; Morone, Giovanni/0000-0003-3602-4197; Capecci, Marianna/0000-0002-1472-606X; Antenucci, Roberto/0000-0002-7205-8995; bowman, thomas/0000-0002-9268-3915; Mazzoleni, Stefano/0000-0002-9528-3239; Jonsdottir, Johanna/0000-0002-8287-4881; Di Censo, Rita/0000-0002-8017-4013; Taglione, Elisa/0000-0002-0284-9011; Morelli, Sandra/0000-0001-9497-6810; Petrarca, Maurizio/0000-0002-7330-3569; BARICICH, Alessio/0000-0001-8440-6283</t>
  </si>
  <si>
    <t>Italian Society of Physical and Rehabilitative Medicine (SIMFER, Societa Italiana di Medicina Fisica e Riabilitativa); Italian Society of Neurological Rehabilitation (SIRN, Societa Italiana di Riabilitazione Neurologica)</t>
  </si>
  <si>
    <t>The present study has been carried out within the framework of the Italian Consensus Conference on Rehabilitation assisted by robotic and electromechanical devices for persons with disability of neurological origin (CICERONE), promoted by the Italian Society of Physical and Rehabilitative Medicine (SIMFER, Societa Italiana di Medicina Fisica e Riabilitativa) and Italian Society of Neurological Rehabilitation (SIRN, Societa Italiana di Riabilitazione Neurologica) (2019-2021).</t>
  </si>
  <si>
    <t>10.23736/S1973-9087.21.06939-2</t>
  </si>
  <si>
    <t>WOS:000675699800019</t>
  </si>
  <si>
    <t>Takase, H; Regenhardt, RW</t>
  </si>
  <si>
    <t>Takase, Hajime; Regenhardt, Robert W.</t>
  </si>
  <si>
    <t>Motor tract reorganization after acute central nervous system injury: a translational perspective</t>
  </si>
  <si>
    <t>NEURAL REGENERATION RESEARCH</t>
  </si>
  <si>
    <t>corticospinal tract; myelin-axon interaction; recovery; remapping; reorganization; RhoA/ROCK; translation</t>
  </si>
  <si>
    <t>BLOOD-BRAIN-BARRIER; INDUCED MOVEMENT THERAPY; SPINAL-CORD-INJURY; FUNCTIONAL RECOVERY; MATRIX METALLOPROTEINASES; CORTICAL REORGANIZATION; SYNAPTIC PLASTICITY; GENE KNOCKOUT; STROKE; INHIBITION</t>
  </si>
  <si>
    <t>Acute central nervous system injuries are among the most common causes of disability worldwide, with widespread social and economic implications. Motor tract injury accounts for the majority of this disability; therefore, there is impetus to understand mechanisms underlying the pathophysiology of injury and subsequent reorganization of the motor tract that may lead to recovery. After acute central nervous system injury, there are changes in the microenvironment and structure of the motor tract. For example, ischemic stroke involves decreased local blood flow and tissue death from lack of oxygen and nutrients. Traumatic injury, in contrast, causes stretching and shearing injury to microstructures, including myelinated axons and their surrounding vessels. Both involve blood-brain barrier dysfunction, which is an important initial event. After acute central nervous system injury, motor tract reorganization occurs in the form of cortical remapping in the gray matter and axonal regeneration and rewiring in the white matter. Cortical remapping involves one cortical region taking on the role of another. cAMP-response-element binding protein is a key transcription factor that can enhance plasticity in the peri-infarct cortex. Axonal regeneration and rewiring depend on complex cell-cell interactions between axons, oligodendrocytes, and other cells. The RhoA/Rho-associated coiled-coil containing kinase signaling pathway plays a central role in axon growth/regeneration through interactions with myelin-derived axonal growth inhibitors and regulation of actin cytoskeletal dynamics. Oligodendrocytes and their precursors play a role in myelination, and neurons are involved through their voltage-gated calcium channels. Understanding the pathophysiology of injury and the biology of motor tract reorganization may allow the development of therapies to enhance recovery after acute central nervous system injury. These include targeted rehabilitation, novel pharmacotherapies, such as growth factors and axonal growth inhibitor blockade, and the implementation of neurotechnologies, such as central nervous system stimulators and robotics. The translation of these advances depends on careful alignment of preclinical studies and human clinical trials. As experimental data mount, the future is one of optimism.</t>
  </si>
  <si>
    <t>[Takase, Hajime] Yokohama City Univ, Grad Sch Med, Dept Neurosurg, Yokohama, Kanagawa, Japan; [Takase, Hajime] Massachusetts Gen Hosp, Dept Radiol, Charlestown, MA 02129 USA; [Takase, Hajime] Harvard Med Sch, Charlestown, MA 02129 USA; [Regenhardt, Robert W.] Massachusetts Gen Hosp, Dept Neurol, Boston, MA 02114 USA; [Regenhardt, Robert W.] Harvard Med Sch, Boston, MA 02115 USA</t>
  </si>
  <si>
    <t>Yokohama City University; Harvard University; Harvard University Medical Affiliates; Massachusetts General Hospital; Harvard University; Harvard University Medical Affiliates; Massachusetts General Hospital; Harvard University; Harvard Medical School</t>
  </si>
  <si>
    <t>Takase, H (corresponding author), Yokohama City Univ, Grad Sch Med, Dept Neurosurg, Yokohama, Kanagawa, Japan.;Takase, H (corresponding author), Massachusetts Gen Hosp, Dept Radiol, Charlestown, MA 02129 USA.;Takase, H (corresponding author), Harvard Med Sch, Charlestown, MA 02129 USA.</t>
  </si>
  <si>
    <t>htakase@yokohama-cu.ac.jp</t>
  </si>
  <si>
    <t>Regenhardt, Robert/X-4620-2019</t>
  </si>
  <si>
    <t>Regenhardt, Robert/0000-0003-2958-3484</t>
  </si>
  <si>
    <t>JSPS KAKENHI [18K16566]; Japan Brain Foundation; Mochida Memorial Foundation for Medical and Pharmaceutical Research of Japan; Rotary Foundation Global Scholarship Grants [GG1759314, GG1876795]; National Institute of Neurological Disorders and Stroke of USA [R25 NS065743]; Grants-in-Aid for Scientific Research [18K16566, 20K09330] Funding Source: KAKEN</t>
  </si>
  <si>
    <t>JSPS KAKENHI(Ministry of Education, Culture, Sports, Science and Technology, Japan (MEXT)Japan Society for the Promotion of ScienceGrants-in-Aid for Scientific Research (KAKENHI)); Japan Brain Foundation; Mochida Memorial Foundation for Medical and Pharmaceutical Research of Japan; Rotary Foundation Global Scholarship Grants; National Institute of Neurological Disorders and Stroke of USA; Grants-in-Aid for Scientific Research(Ministry of Education, Culture, Sports, Science and Technology, Japan (MEXT)Japan Society for the Promotion of ScienceGrants-in-Aid for Scientific Research (KAKENHI))</t>
  </si>
  <si>
    <t>This work was supported in part by JSPS KAKENHI Grant-in-Aid for Early-Career Scientists, Grant No. 18K16566 (to HT); Research Abroad from the Japan Brain Foundation (to HT); Mochida Memorial Foundation for Medical and Pharmaceutical Research of Japan (to HT); the Rotary Foundation Global Scholarship Grants, Grant Nos. GG1759314, GG1876795) (to HT); and the National Institute of Neurological Disorders and Stroke of USA, No. R25 NS065743 (to RWR).</t>
  </si>
  <si>
    <t>1673-5374</t>
  </si>
  <si>
    <t>1876-7958</t>
  </si>
  <si>
    <t>NEURAL REGEN RES</t>
  </si>
  <si>
    <t>Neural Regen. Res.</t>
  </si>
  <si>
    <t>10.4103/1673-5374.300330</t>
  </si>
  <si>
    <t>Cell Biology; Neurosciences</t>
  </si>
  <si>
    <t>Cell Biology; Neurosciences &amp; Neurology</t>
  </si>
  <si>
    <t>PE8PL</t>
  </si>
  <si>
    <t>WOS:000598623300021</t>
  </si>
  <si>
    <t>Zelenák, K; Krajina, A; Meyer, L; Fiehler, J; Behme, D; Bulja, D; Caroff, J; Chotai, AA; Da Ros, V; Gentric, JC; Hofmeister, J; Kass-Hout, O; Kocatürk, Ö; Lynch, J; Pearson, E; Vukasinovic, I</t>
  </si>
  <si>
    <t>Zelenak, Kamil; Krajina, Antonin; Meyer, Lukas; Fiehler, Jens; Behme, Daniel; Bulja, Deniz; Caroff, Jildaz; Chotai, Amar Ajay; Da Ros, Valerio; Gentric, Jean-Christophe; Hofmeister, Jeremy; Kass-Hout, Omar; Kocaturk, Ozcan; Lynch, Jeremy; Pearson, Ernesto; Vukasinovic, Ivan</t>
  </si>
  <si>
    <t>ESMINT Artificial Intelligence</t>
  </si>
  <si>
    <t>How to Improve the Management of Acute Ischemic Stroke by Modern Technologies, Artificial Intelligence, and New Treatment Methods</t>
  </si>
  <si>
    <t>stroke; ischemia; ischemic stroke; management; diagnosis; treatment; artificial intelligence; rehabilitation; robotics; plan</t>
  </si>
  <si>
    <t>LARGE VESSEL OCCLUSION; STENT RETRIEVER; MECHANICAL THROMBECTOMY; AUTOMATIC DETECTION; HEALTH-CARE; OPEN-LABEL; HEAD CT; TIME; MULTICENTER; ASPIRATION</t>
  </si>
  <si>
    <t>Stroke remains one of the leading causes of death and disability in Europe. The European Stroke Action Plan (ESAP) defines four main targets for the years 2018 to 2030. The COVID-19 pandemic forced the use of innovative technologies and created pressure to improve internet networks. Moreover, 5G internet network will be helpful for the transfer and collecting of extremely big databases. Nowadays, the speed of internet connection is a limiting factor for robotic systems, which can be controlled and commanded potentially from various places in the world. Innovative technologies can be implemented for acute stroke patient management soon. Artificial intelligence (AI) and robotics are used increasingly often without the exception of medicine. Their implementation can be achieved in every level of stroke care. In this article, all steps of stroke health care processes are discussed in terms of how to improve them (including prehospital diagnosis, consultation, transfer of the patient, diagnosis, techniques of the treatment as well as rehabilitation and usage of AI). New ethical problems have also been discovered. Everything must be aligned to the concept of time is brain.</t>
  </si>
  <si>
    <t>[Zelenak, Kamil] Comenius Univ, Jessenius Fac Med Martin, Clin Radiol, Martin 03659, Slovakia; [Zelenak, Kamil; Behme, Daniel; Bulja, Deniz; Caroff, Jildaz; Chotai, Amar Ajay; Da Ros, Valerio; Gentric, Jean-Christophe; Hofmeister, Jeremy; Kass-Hout, Omar; Kocaturk, Ozcan; Lynch, Jeremy; Pearson, Ernesto; Vukasinovic, Ivan; ESMINT Artificial Intelligence] ESMINT, ESMINT Artificial Intelligence &amp; Robot Ad Hoc Com, CH-8008 Zurich, Switzerland; [Krajina, Antonin] Charles Univ Prague, Fac Med, Dept Radiol, CZ-50005 Hradec Kralove, Czech Republic; [Krajina, Antonin] Univ Hosp, CZ-50005 Hradec Kralove, Czech Republic; [Meyer, Lukas; Fiehler, Jens] Univ Med Ctr Hamburg Eppendorf, Diagnost &amp; Intervent Neuroradiol, D-20251 Hamburg, Germany; [Behme, Daniel] Otto von Guericke Univ, Med Fac, Univ Clin Neuroradiol, D-39120 Magdeburg, Germany; [Bulja, Deniz] Univ Sarajevo, Clin Ctr, Clin Radiol, Diagnost Intervent Radiol Dept, Sarajevo 71000, Bosnia &amp; Herceg; [Caroff, Jildaz] Bicetre Hosp, AP HP, NEURI Brain Vasc Ctr, Dept Intervent Neuroradiol, F-94270 Paris, France; [Chotai, Amar Ajay] Royal Victoria Infirm, Dept Neuroradiol, Newcastle Upon Tyne NE1 4LP, Tyne &amp; Wear, England; [Da Ros, Valerio] Univ Hosp Rome Tor Vergata, Dept Biomed &amp; Prevent, I-00133 Rome, Italy; [Gentric, Jean-Christophe] Hop Cavale Blanche, Intervent Neuroradiol Unit, F-29200 Brest, France; [Hofmeister, Jeremy] Serv Neuroradiol Diagnost &amp; Intervent, Unite Neuroradiol Intervent, CH-1205 Geneva, Switzerland; [Kass-Hout, Omar] Univ North Carolina, Rex Hosp, Stroke &amp; Neuroendovasc Surg, 4207 Lake Boone Trail,Suite 220, Raleigh, NC 27607 USA; [Kocaturk, Ozcan] Balikesir Ataturk City Hosp, Gaziosmanpasa Mahallesi 209,Sok 26, TR-10100 Altieylul Balikesir, Turkey; [Lynch, Jeremy] Toronto Western Hosp, Dept Neuroradiol, Toronto, ON M5T 2S8, Canada; [Pearson, Ernesto] CH Bergerac Ctr Hosp, Samuel Pozzi 9 Blvd Prof Albert Calmette, F-24100 Bergerac, France; [Vukasinovic, Ivan] Univ Clin Ctr Serbia, Dept Neuroradiol, Belgrade 11000, Serbia</t>
  </si>
  <si>
    <t>Comenius University Bratislava; University Hospital Hradec Kralove; Charles University Prague; University Hospital Hradec Kralove; University of Hamburg; University Medical Center Hamburg-Eppendorf; Otto von Guericke University; University of Sarajevo; Assistance Publique Hopitaux Paris (APHP); Hopital Universitaire Bicetre - APHP; Newcastle University - UK; University of Rome Tor Vergata; Policlin Tor Vergata; Universite de Bretagne Occidentale; CHU Brest; University of Toronto; University Health Network Toronto; Clinical Centre of Serbia</t>
  </si>
  <si>
    <t>Zelenák, K (corresponding author), Comenius Univ, Jessenius Fac Med Martin, Clin Radiol, Martin 03659, Slovakia.;Zelenák, K (corresponding author), ESMINT, ESMINT Artificial Intelligence &amp; Robot Ad Hoc Com, CH-8008 Zurich, Switzerland.</t>
  </si>
  <si>
    <t>kamil.zelenak@uniba.sk; antonin.krajina@fnhk.cz; lu.meyer@uke.de; fiehler@uke.uni-hamburg.de; daniel.behme@med.ovgu.de; deniz.bulja@kcus.ba; jildaz.caroff@gmail.com; amar_chotai@yahoo.co.uk; darosvalerio@gmail.com; jcgentric.nri.brest@gmail.com; jeremy.hofmeister@hcuge.ch; omarkasshout@gmail.com; ozcankocaturk@gmail.com; jeremy.lynch@gmail.com; ernestopearson@gmail.com; vukasinovic_i@yahoo.co.uk</t>
  </si>
  <si>
    <t>caroff, jildaz/AGF-7987-2022; kocatÃ¼rk, Ã¶zcan/HNI-4673-2023; Pearson, Ernesto/LQJ-9827-2024; Hofmeister, Jeremy/AAI-7757-2020; Meyer, Lukas/AAK-1145-2020; Da Ros, Valerio/AAC-2654-2022; Behme, Daniel/H-4551-2019; Zelenak, Kamil/X-6293-2018</t>
  </si>
  <si>
    <t>Da Ros, Valerio/0000-0001-7167-7594; Zelenak, Kamil/0000-0002-0416-2985; Chotai, Amar/0000-0002-7441-7728; Vukasinovic, Ivan/0000-0001-9396-5319</t>
  </si>
  <si>
    <t>European Regional Development Fund [IMTS: 313011W875]</t>
  </si>
  <si>
    <t>European Regional Development Fund(European Union (EU))</t>
  </si>
  <si>
    <t>This publication was created thanks to the support under the Operational Program Integrated Infrastructure for the project: TENSION-complementary project, IMTS: 313011W875, co-financed by the European Regional Development Fund.</t>
  </si>
  <si>
    <t>10.3390/life11060488</t>
  </si>
  <si>
    <t>TB3UD</t>
  </si>
  <si>
    <t>WOS:000667871400001</t>
  </si>
  <si>
    <t>Stewart-Height, A; Koditschek, DE; Johnson, MJ</t>
  </si>
  <si>
    <t>Stewart-Height, Abriana; Koditschek, Daniel E.; Johnson, Michelle J.</t>
  </si>
  <si>
    <t>Reimagining robotic walkers for real-world outdoor play environments with insights from legged robots: a scoping review</t>
  </si>
  <si>
    <t>Assistive technology; robotics; mobility; paediatric rehabilitation; walker; rollator; smart walker</t>
  </si>
  <si>
    <t>DESIGN PRINCIPLES; IMPEDANCE CONTROL; DYNAMIC WALKING; CEREBRAL-PALSY; LOCOMOTION; NAVIGATION; FEEDBACK; IMPLEMENTATION; ADOLESCENTS; STROKE</t>
  </si>
  <si>
    <t>Purpose For children with mobility impairments, without cognitive delays, who want to participate in outdoor activities, existing assistive technology (AT) to support their needs is limited. In this review, we investigate the control and design of a selection of robotic walkers while exploring a selection of legged robots to develop solutions that address this gap in robotic AT. Method We performed a comprehensive literature search from four main databases: PubMed, Google Scholar, Scopus, and IEEE Xplore. The keywords used in the search were the following: walker, rollator, smart walker, robotic walker, robotic rollator. Studies were required to discuss the control or design of robotic walkers to be considered. A total of 159 papers were analyzed. Results From the 159 papers, 127 were excluded since they failed to meet our inclusion criteria. The total number of papers analyzed included publications that utilized the same device, therefore we classified the remaining 32 studies into groups based on the type of robotic walker used. This paper reviewed 15 different types of robotic walkers. Conclusions The ability of many-legged robots to negotiate and transition between a range of unstructured substrates suggests several avenues of future consideration whose pursuit could benefit robotic AT, particularly regarding the present limitations of wheeled paediatric robotic walkers for children's daily outside use.</t>
  </si>
  <si>
    <t>[Stewart-Height, Abriana; Koditschek, Daniel E.] Univ Penn, Dept Elect &amp; Syst Engn, Philadelphia, PA 19104 USA; [Stewart-Height, Abriana; Koditschek, Daniel E.; Johnson, Michelle J.] Univ Penn, Gen Robot Automat Sensing &amp; Percept GRASP Lab, Philadelphia, PA 19104 USA; [Johnson, Michelle J.] Univ Penn, Dept Bioengn, Philadelphia, PA 19104 USA; [Johnson, Michelle J.] Univ Penn, Perelman Sch Med, Dept Phys Med &amp; Rehabil, Philadelphia, PA 19104 USA</t>
  </si>
  <si>
    <t>University of Pennsylvania; University of Pennsylvania; University of Pennsylvania; University of Pennsylvania</t>
  </si>
  <si>
    <t>Stewart-Height, A (corresponding author), 3401 Grays Ferry Ave,Bldg 6176, Philadelphia, PA 19146 USA.</t>
  </si>
  <si>
    <t>abrianas@seas.upenn.edu</t>
  </si>
  <si>
    <t>Stewart-Height, Abriana/0000-0002-9947-4438</t>
  </si>
  <si>
    <t>National Science Foundation (NSF); Physical Medicine and Rehabilitation Department of the University of Pennsylvania; ONR [N00014-16-1-2817]; Vannevar Bush Fellowship - Basic Research Office of the Assistant Secretary of Defense for Research and Engineering</t>
  </si>
  <si>
    <t>National Science Foundation (NSF)(National Science Foundation (NSF)); Physical Medicine and Rehabilitation Department of the University of Pennsylvania; ONR(United States Department of DefenseUnited States NavyOffice of Naval Research); Vannevar Bush Fellowship - Basic Research Office of the Assistant Secretary of Defense for Research and Engineering</t>
  </si>
  <si>
    <t>We thank the National Science Foundation (NSF) for supporting the first author through a Graduate Research Fellowship award. This research was also sponsored in part by departmental funds from the Physical Medicine and Rehabilitation Department of the University of Pennsylvania. This research was also supported in part by ONR grant [N00014-16-1-2817], a Vannevar Bush Fellowship held by DK, sponsored by the 1Basic Research Office of the Assistant Secretary of Defense for Research and Engineering.</t>
  </si>
  <si>
    <t>10.1080/17483107.2021.1926563</t>
  </si>
  <si>
    <t>WOS:000657953500001</t>
  </si>
  <si>
    <t>Pradhan, B; Bharti, D; Chakravarty, S; Ray, SS; Voinova, VV; Bonartsev, AP; Pal, K</t>
  </si>
  <si>
    <t>Pradhan, Bikash; Bharti, Deepti; Chakravarty, Sumit; Ray, Sirsendu S.; Voinova, Vera V.; Bonartsev, Anton P.; Pal, Kunal</t>
  </si>
  <si>
    <t>Internet of Things and Robotics in Transforming Current-Day Healthcare Services</t>
  </si>
  <si>
    <t>REDUNDANT ROBOT; TECHNOLOGY; IOT; ARCHITECTURE; CHALLENGES; PROSTHESES; ASSISTANT; SURGERY; FUTURE; SAFETY</t>
  </si>
  <si>
    <t>Technology has become an integral part of everyday lives. Recent years have witnessed advancement in technology with a wide range of applications in healthcare. However, the use of the Internet of Things (IoT) and robotics are yet to see substantial growth in terms of its acceptability in healthcare applications. The current study has discussed the role of the aforesaid technology in transforming healthcare services. The study also presented various functionalities of the ideal IoT-aided robotic systems and their importance in healthcare applications. Furthermore, the study focused on the application of the IoT and robotics in providing healthcare services such as rehabilitation, assistive surgery, elderly care, and prosthetics. Recent developments, current status, limitations, and challenges in the aforesaid area have been presented in detail. The study also discusses the role and applications of the aforementioned technology in managing the current pandemic of COVID-19. A comprehensive knowledge has been provided on the prospect of the functionality, application, challenges, and future scope of the IoT-aided robotic system in healthcare services. This will help the future researcher to make an inclusive idea on the use of the said technology in improving the healthcare services in the future.</t>
  </si>
  <si>
    <t>[Pradhan, Bikash; Bharti, Deepti; Ray, Sirsendu S.; Pal, Kunal] Natl Inst Technol, Dept Biotechnol &amp; Med Engn, Rourkela 769008, India; [Chakravarty, Sumit] Kennesaw State Univ, Dept Elect Engn, Marietta Campus, Marietta, GA 30060 USA; [Voinova, Vera V.; Bonartsev, Anton P.] Moscow MV Lomonosov State Univ, Fac Biol, Moscow 119234, Russia</t>
  </si>
  <si>
    <t>National Institute of Technology (NIT System); National Institute of Technology Rourkela; University System of Georgia; Kennesaw State University; Lomonosov Moscow State University</t>
  </si>
  <si>
    <t>Pal, K (corresponding author), Natl Inst Technol, Dept Biotechnol &amp; Med Engn, Rourkela 769008, India.</t>
  </si>
  <si>
    <t>bikashpradhan21@gmail.com; deeptibharti94@gmail.com; sumitchakravarty@gmail.com; dr.sirsendu.ray@gmail.com; veravoinova@mail.ru; ant_bonar@mail.ru; kpal.nitrkl@gmail.com</t>
  </si>
  <si>
    <t>Ray, Sirsendu/O-3141-2019; Pal, Kunal/AAQ-1149-2020; Voinova, Vera/AAQ-4252-2021; Bonartsev, Anton/JAZ-0605-2023; Voinova, Vera/S-4428-2016; Bonartsev, Anton/A-8737-2014</t>
  </si>
  <si>
    <t>Pal, Kunal/0000-0002-4618-8809; Pradhan, Bikash/0000-0003-4778-8563; Voinova, Vera/0000-0002-0253-6461; Bonartsev, Anton/0000-0001-5894-9524; CHAKRAVARTY, SUMIT/0000-0001-8108-8726; Bharti, Deepti/0000-0001-9178-7723; Ray, Sirsendu Sekhar/0000-0002-1470-1217</t>
  </si>
  <si>
    <t>10.1155/2021/9999504</t>
  </si>
  <si>
    <t>TD0KG</t>
  </si>
  <si>
    <t>WOS:000669024400003</t>
  </si>
  <si>
    <t>Bunge, LR; Davidson, AJ; Helmore, BR; Mavrandonis, AD; Page, TD; Schuster-Bayly, TR; Kumar, S</t>
  </si>
  <si>
    <t>Bunge, Lucinda Rose; Davidson, Ashleigh Jade; Helmore, Benita Roslyn; Mavrandonis, Aleksandra Daniella; Page, Thomas David; Schuster-Bayly, Tegan Rochelle; Kumar, Saravana</t>
  </si>
  <si>
    <t>Effectiveness of powered exoskeleton use on gait in individuals with cerebral palsy: A systematic review</t>
  </si>
  <si>
    <t>SPINAL-CORD-INJURY; POSTSTROKE REHABILITATION; ROBOTIC EXOSKELETONS; CHILDREN; WALKING; CLASSIFICATION; ASSISTANCE; DISORDERS; PATIENT</t>
  </si>
  <si>
    <t>Background Cerebral palsy (CP) is a leading cause of childhood disability. The motor impairments of individuals with CP significantly affect the kinematics of an efficient gait pattern. Robotic therapies have become increasingly popular as an intervention to address this. Powered lower limb exoskeletons (PoLLE) are a novel form of robotic therapy that allow the individual to perform over-ground gait training and yet its effectiveness for CP is unknown. Purpose To determine the effectiveness of PoLLE use on gait in individuals with CP. Method A systematic search of eight electronic databases was conducted in March 2020. Studies included children (0-18 years) and or adults (18+ years) diagnosed with CP who used a PoLLE for gait training. This review was conducted and reported in line with the Preferred Reporting Items for Systematic Review and Meta-Analyses (PRISMA) statement, with the methodology registered with PROSPERO (CRD42020177160). A modified version of the McMaster critical review form for quantitative studies was used to assess the methodological quality. Due to the heterogeneity of the included studies, a descriptive synthesis using the National Health &amp; Medical Research Council (NHMRC) FORM framework was undertaken. Results Of the 2089 studies screened, ten case series and three case studies met the inclusion criteria highlighting the current evidence base is emerging and low level. A range of PoLLEs were investigated with effectiveness measured by using a number of outcome measures. Collectively, the body of evidence indicates there is some consistent positive evidence on the effectiveness of PoLLE in improving gait in individuals with CP, with minimal adverse effects. While this is a positive and encouraging finding for an emerging technology, methodological concerns also need to be acknowledged. Conclusion With rapidly evolving technology, PoLLEs could play a transformative role in the lives of people impacted by CP. Ongoing research is required to further strengthen the evidence base and address current methodological concerns.</t>
  </si>
  <si>
    <t>[Bunge, Lucinda Rose; Davidson, Ashleigh Jade; Helmore, Benita Roslyn; Mavrandonis, Aleksandra Daniella; Page, Thomas David; Schuster-Bayly, Tegan Rochelle; Kumar, Saravana] Univ South Australia, UniSA Allied Hlth &amp; Human Performance, Adelaide, SA, Australia</t>
  </si>
  <si>
    <t>University of South Australia</t>
  </si>
  <si>
    <t>Schuster-Bayly, TR (corresponding author), Univ South Australia, UniSA Allied Hlth &amp; Human Performance, Adelaide, SA, Australia.</t>
  </si>
  <si>
    <t>schtr007@mymail.unisa.edu.au</t>
  </si>
  <si>
    <t>Kumar, Saravana/B-8876-2009</t>
  </si>
  <si>
    <t>Kumar, Saravana/0000-0002-4003-4411</t>
  </si>
  <si>
    <t>MAY 26</t>
  </si>
  <si>
    <t>e0252193</t>
  </si>
  <si>
    <t>10.1371/journal.pone.0252193</t>
  </si>
  <si>
    <t>SW6OP</t>
  </si>
  <si>
    <t>WOS:000664633500064</t>
  </si>
  <si>
    <t>Yuan, FP; Klavon, E; Liu, ZM; Lopez, RP; Zhao, XP</t>
  </si>
  <si>
    <t>Yuan, Fengpei; Klavon, Elizabeth; Liu, Ziming; Lopez, Ruth Palan; Zhao, Xiaopeng</t>
  </si>
  <si>
    <t>A Systematic Review of Robotic Rehabilitation for Cognitive Training</t>
  </si>
  <si>
    <t>rehabilitation robotics; human-robot interaction; robot-assisted cognitive training; socially assistive robotics; multimodal interaction; cognitive disability</t>
  </si>
  <si>
    <t>AUTISM SPECTRUM DISORDER; SOCIALLY ASSISTIVE ROBOT; OLDER-ADULTS; CLINICAL-APPLICATION; ENHANCED THERAPY; STROKE PATIENTS; HUMANOID ROBOT; UPPER-LIMB; CHILDREN; ENGAGEMENT</t>
  </si>
  <si>
    <t>A large and increasing number of people around the world experience cognitive disability. Rehabilitation robotics has provided promising training and assistance approaches to mitigate cognitive deficits. In this article, we carried out a systematic review on recent developments in robot-assisted cognitive training. We included 99 articles in this work and described their applications, enabling technologies, experiments, and products. We also conducted a meta analysis on the articles that evaluated robot-assisted cognitive training protocol with primary end users (i.e., people with cognitive disability). We identified major limitations in current robotics rehabilitation for cognitive training, including the small sample size, non-standard measurement of training and uncontrollable factors. There are still multifaceted challenges in this field, including ethical issues, user-centered (or stakeholder-centered) design, the reliability, trust, and cost-effectiveness, personalization of the robot-assisted cognitive training system. Future research shall also take into consideration human-robot collaboration and social cognition to facilitate a natural human-robot interaction.</t>
  </si>
  <si>
    <t>[Yuan, Fengpei; Klavon, Elizabeth; Liu, Ziming; Zhao, Xiaopeng] Univ Tennessee, Dept Mech Aerosp &amp; Biomed Engn, Knoxville, TN 37996 USA; [Lopez, Ruth Palan] MGH Inst Hlth Profess, Sch Nursing, Boston, MA USA</t>
  </si>
  <si>
    <t>University of Tennessee System; University of Tennessee Knoxville; Harvard University; Harvard University Medical Affiliates; Massachusetts General Hospital; MGH Institute of Health Professions</t>
  </si>
  <si>
    <t>Zhao, XP (corresponding author), Univ Tennessee, Dept Mech Aerosp &amp; Biomed Engn, Knoxville, TN 37996 USA.</t>
  </si>
  <si>
    <t>zhao9@utk.edu</t>
  </si>
  <si>
    <t>Yuan, Fengpei/KWU-0522-2024; Liu, Ziming/ADZ-7749-2022</t>
  </si>
  <si>
    <t>MAY 11</t>
  </si>
  <si>
    <t>10.3389/frobt.2021.605715</t>
  </si>
  <si>
    <t>SG7PX</t>
  </si>
  <si>
    <t>WOS:000653633200001</t>
  </si>
  <si>
    <t>Barbosa, IM; Alves, PR; Silveira, ZC</t>
  </si>
  <si>
    <t>Barbosa, I. M.; Alves, P. R.; Silveira, Z. C.</t>
  </si>
  <si>
    <t>Upper limbs' assistive devices for stroke rehabilitation: a systematic review on design engineering solutions</t>
  </si>
  <si>
    <t>Mechanical configurations; Assistive technology; Cerebrovascular accident; Function performance</t>
  </si>
  <si>
    <t>UPPER EXTREMITY; HAND ORTHOSIS; TECHNOLOGY; THERAPY; ARM; INDIVIDUALS; EXERCISE; TRIAL; HOME</t>
  </si>
  <si>
    <t>This paper presents a systematic review focused on different mechanical design configurations (purely mechanical and mechatronic-assistive devices) used specifically to post-stroke rehabilitation and therapeutics activities. The process of synthesis of the 17 paper more relevant indicated the main tests prescribed and used for therapeutic and rehabilitation activities poststroke. During the review process, it was observed that there is no clear to choice of design configuration assistive device in a multidiscipline domain, specifically for upper limbs. There was no identification of papers that presented a comparative study of performance in rehabilitation treatment using mechanical and mechatronic robotic devices. The systematic review indicated that there are no significant differences between DT and CT, showing similar performances in rehabilitation therapies. The Fugl-Meyer assessment was the main outcome measure used in the rehabilitation treatments. All outcome measures presented in the studies were analyzed individually. The synthesis process presented in this paper indicated similar results between purely mechanical and mechatronic robotic assistive devices on the performance measures during the rehabilitation process in post-stroke patients. The similarity between performance of the purely mechanical and mechatronic-assistive devices for rehabilitation and therapeutic treatments reinforces the importance of the design for assistive technology in order to focus on ease of use, security, reliability, ergonomics and possibility of home use.</t>
  </si>
  <si>
    <t>[Barbosa, I. M.; Alves, P. R.; Silveira, Z. C.] Univ Sao Paulo, Dept Mech Engn, Sao Carlos, Brazil</t>
  </si>
  <si>
    <t>Universidade de Sao Paulo</t>
  </si>
  <si>
    <t>Silveira, ZC (corresponding author), Univ Sao Paulo, Dept Mech Engn, Sao Carlos, Brazil.</t>
  </si>
  <si>
    <t>ismael.mbarbosa@gmail.com; paulo.rodrigues.alves@usp.br; silveira@sc.usp.br</t>
  </si>
  <si>
    <t>Lopes Alves, Paulo Roger/A-7502-2016; Silveira, Zilda de Castro/T-3910-2019</t>
  </si>
  <si>
    <t>Barbosa, Ismael/0000-0001-7520-7522; Silveira, Zilda de Castro/0000-0002-5040-0403</t>
  </si>
  <si>
    <t>National Council for Scientific and Technological Development (CNPq) [2016-1/141556]; (SP - Brazil) by lecture on Systematic Review</t>
  </si>
  <si>
    <t>National Council for Scientific and Technological Development (CNPq)(Conselho Nacional de Desenvolvimento Cientifico e Tecnologico (CNPQ)); (SP - Brazil) by lecture on Systematic Review</t>
  </si>
  <si>
    <t>This work was supported by grant #2016-1/141556 of National Council for Scientific and Technological Development (CNPq) and by the funding through PhD scholarship. The authors are gratefully to the Professor Roberta F. M. C. Padovez (Federal University of Sao Carlos, SP - Brazil) by lecture on Systematic Review.</t>
  </si>
  <si>
    <t>10.1007/s40430-021-02919-4</t>
  </si>
  <si>
    <t>RI2MZ</t>
  </si>
  <si>
    <t>WOS:000636745000003</t>
  </si>
  <si>
    <t>Gaudet, G; Raison, M; Achiche, S</t>
  </si>
  <si>
    <t>Gaudet, Guillaume; Raison, Maxime; Achiche, Sofiane</t>
  </si>
  <si>
    <t>Current Trends and Challenges in Pediatric Access to Sensorless and Sensor-Based Upper Limb Exoskeletons</t>
  </si>
  <si>
    <t>exoskeleton; upper limb; pediatrics; biomechatronics</t>
  </si>
  <si>
    <t>CEREBRAL-PALSY; ROBOTIC EXOSKELETON; CHILDREN; REHABILITATION; THERAPY; DESIGN; ADULT; TRANSITION; ORTHOSIS; SYSTEMS</t>
  </si>
  <si>
    <t>Sensorless and sensor-based upper limb exoskeletons that enhance or support daily motor function are limited for children. This review presents the different needs in pediatrics and the latest trends when developing an upper limb exoskeleton and discusses future prospects to improve accessibility. First, the principal diagnoses in pediatrics and their respective challenge are presented. A total of 14 upper limb exoskeletons aimed for pediatric use were identified in the literature. The exoskeletons were then classified as sensorless or sensor-based, and categorized with respect to the application domain, the motorization solution, the targeted population(s), and the supported movement(s). The relative absence of upper limb exoskeleton in pediatrics is mainly due to the additional complexity required in order to adapt to children's growth and answer their specific needs and usage. This review highlights that research should focus on sensor-based exoskeletons, which would benefit the majority of children by allowing easier adjustment to the children's needs. Sensor-based exoskeletons are often the best solution for children to improve their participation in activities of daily living and limit cognitive, social, and motor impairments during their development.</t>
  </si>
  <si>
    <t>[Gaudet, Guillaume; Raison, Maxime; Achiche, Sofiane] Polytech Montreal, Dept Mech Engn, Montreal, PQ H3T 1J4, Canada; [Gaudet, Guillaume; Raison, Maxime] Res Ctr Ste Justine Univ Hosp Ctr, Marie Enfant Rehabil Ctr, Montreal, PQ H1T 1C9, Canada</t>
  </si>
  <si>
    <t>Universite de Montreal; Polytechnique Montreal; Universite de Montreal</t>
  </si>
  <si>
    <t>Gaudet, G (corresponding author), Polytech Montreal, Dept Mech Engn, Montreal, PQ H3T 1J4, Canada.;Gaudet, G (corresponding author), Res Ctr Ste Justine Univ Hosp Ctr, Marie Enfant Rehabil Ctr, Montreal, PQ H1T 1C9, Canada.</t>
  </si>
  <si>
    <t>guillaume.gaudet@polymtl.ca; maxime.raison@polymtl.ca; sofiane.achiche@polymtl.ca</t>
  </si>
  <si>
    <t>Achiche, Sofiane/A-7154-2012</t>
  </si>
  <si>
    <t>Achiche, Sofiane/0000-0002-7730-0701; Raison, Maxime/0000-0002-0311-456X</t>
  </si>
  <si>
    <t>Vanier Canada; NSERC</t>
  </si>
  <si>
    <t>Vanier Canada; NSERC(Natural Sciences and Engineering Research Council of Canada (NSERC))</t>
  </si>
  <si>
    <t>This research was funded by Vanier Canada, NSERC.</t>
  </si>
  <si>
    <t>10.3390/s21103561</t>
  </si>
  <si>
    <t>ST5SM</t>
  </si>
  <si>
    <t>WOS:000662502900001</t>
  </si>
  <si>
    <t>Gerber, LH; Deshpande, R; Prabhakar, S; Cai, C; Garfinkel, S; Morse, L; Harrington, AL</t>
  </si>
  <si>
    <t>Gerber, Lynn H.; Deshpande, Rati; Prabhakar, Shruthi; Cai, Cindy; Garfinkel, Steven; Morse, Leslie; Harrington, Amanda L.</t>
  </si>
  <si>
    <t>Narrative Review of Clinical Practice Guidelines for Rehabilitation of People With Spinal Cord Injury 2010-2020</t>
  </si>
  <si>
    <t>Spinal Cord Injury; Rehabilitation; Clinical Practice Guidelines; Function</t>
  </si>
  <si>
    <t>KNOWLEDGE TRANSLATION; MEDICINE PRM; RESEARCH RELEVANCE; NEUROPATHIC PAIN; MANAGEMENT; RECOMMENDATIONS; STANDARDS; QUALITY; FIELD</t>
  </si>
  <si>
    <t>Clinical practice guidelines provide reliable, vetted, and critical information to bring research to practice. Some medical specialties (e.g., physical medicine and rehabilitation) provide multidomain treatment for various conditions. This presents challenges because physical medicine and rehabilitation is a small specialty, a diverse patient base in terms sociodemographics and diagnosis, treatments are difficult to standardize, and rehabilitation research is underfunded. We wished to identify quality and applicability of clinical practice guidelines and searched Spinal Cord Injury AND Clinical Practice Guidelines AND Rehabilitation and vetting process. Three hundred fifty-nine articles were identified of which 58 met all criteria for full-text review of which 13 were included in the final selection. Additional publications were accessed from a nondatabase search. Five articles addressed postacute care, community treatment. Nine articles had no recorded vetting process but addressed rehabilitation as an outcome and were included separately. Many of the clinical practice guidelines were developed without evidence from randomized controlled trials, one had input from stakeholders, and some are out of date and do not address important aspects of changes in demographics of the affected population and the use of newer technologies such as sensors and robotics and devices. Identification of these gaps may help stimulate treatment that is clinically relevant, accessible, and current.</t>
  </si>
  <si>
    <t>[Gerber, Lynn H.; Prabhakar, Shruthi] George Mason Univ, Ctr Study Chron Illness &amp; Disabil, 4400 Univ Dr,MS 1B7, Fairfax, VA 22030 USA; [Gerber, Lynn H.; Deshpande, Rati] Inova Hlth Syst, Beatty Ctr Study Liver Dis, Dept Med, Falls Church, VA USA; [Cai, Cindy] Amer Inst Res, Arlington, VA USA; [Garfinkel, Steven] Amer Inst Res, Chapel Hill, NC USA; [Morse, Leslie] Univ Minnesota, Dept Rehabil, Minneapolis, MN USA; [Harrington, Amanda L.] Univ Pittsburgh, Med Ctr, Dept Phys Med &amp; Rehabil, Pittsburgh, PA USA; [Harrington, Amanda L.] UPMC Rehabil Inst, Pittsburgh, PA USA</t>
  </si>
  <si>
    <t>George Mason University; Inova Health System; American Institutes for Research; American Institutes for Research; University of Minnesota System; University of Minnesota Twin Cities; Pennsylvania Commonwealth System of Higher Education (PCSHE); University of Pittsburgh</t>
  </si>
  <si>
    <t>Gerber, LH (corresponding author), George Mason Univ, Ctr Study Chron Illness &amp; Disabil, 4400 Univ Dr,MS 1B7, Fairfax, VA 22030 USA.</t>
  </si>
  <si>
    <t>ngerber1@gmu.edu; deshpanderati@gmail.com; sprabha3@gmu.edu; ccai@air.org; sgarfinkel@air.org; morsel@umn.edu; harringtonal@upmc.edu</t>
  </si>
  <si>
    <t>10.1097/PHM.0000000000001637</t>
  </si>
  <si>
    <t>RN2KW</t>
  </si>
  <si>
    <t>WOS:000640181900021</t>
  </si>
  <si>
    <t>Jarque-Bou, NJ; Sancho-Bru, JL; Vergara, M</t>
  </si>
  <si>
    <t>Jarque-Bou, Nestor J.; Sancho-Bru, Joaquin L.; Vergara, Margarita</t>
  </si>
  <si>
    <t>A Systematic Review of EMG Applications for the Characterization of Forearm and Hand Muscle Activity during Activities of Daily Living: Results, Challenges, and Open Issues</t>
  </si>
  <si>
    <t>ADL; EMG; forearm muscles; muscles role; synergies; muscle coordination</t>
  </si>
  <si>
    <t>UPPER-LIMB PROSTHESES; OF-THE-ART; SURFACE ELECTROMYOGRAPHY; ACTIVATION PATTERNS; UPPER-EXTREMITY; FORCE MAGNITUDE; FINGER MUSCLES; THUMB MUSCLES; SYNERGIES; COORDINATION</t>
  </si>
  <si>
    <t>The role of the hand is crucial for the performance of activities of daily living, thereby ensuring a full and autonomous life. Its motion is controlled by a complex musculoskeletal system of approximately 38 muscles. Therefore, measuring and interpreting the muscle activation signals that drive hand motion is of great importance in many scientific domains, such as neuroscience, rehabilitation, physiotherapy, robotics, prosthetics, and biomechanics. Electromyography (EMG) can be used to carry out the neuromuscular characterization, but it is cumbersome because of the complexity of the musculoskeletal system of the forearm and hand. This paper reviews the main studies in which EMG has been applied to characterize the muscle activity of the forearm and hand during activities of daily living, with special attention to muscle synergies, which are thought to be used by the nervous system to simplify the control of the numerous muscles by actuating them in task-relevant subgroups. The state of the art of the current results are presented, which may help to guide and foster progress in many scientific domains. Furthermore, the most important challenges and open issues are identified in order to achieve a better understanding of human hand behavior, improve rehabilitation protocols, more intuitive control of prostheses, and more realistic biomechanical models.</t>
  </si>
  <si>
    <t>[Jarque-Bou, Nestor J.; Sancho-Bru, Joaquin L.; Vergara, Margarita] Univ Jaume 1, Dept Mech Engn &amp; Construct, E-12071 Castellon de La Plana, Spain</t>
  </si>
  <si>
    <t>Universitat Jaume I</t>
  </si>
  <si>
    <t>Jarque-Bou, NJ (corresponding author), Univ Jaume 1, Dept Mech Engn &amp; Construct, E-12071 Castellon de La Plana, Spain.</t>
  </si>
  <si>
    <t>jarque@uji.es; sancho@uji.es; vergara@uji.es</t>
  </si>
  <si>
    <t>Bru, Joaquín/N-8036-2019; Jarque Bou, Néstor/GYV-4113-2022; Vergara, Margarita/K-4998-2014; Sancho-Bru, Joaquin L./E-3532-2016</t>
  </si>
  <si>
    <t>Vergara, Margarita/0000-0001-9158-247X; Sancho-Bru, Joaquin L./0000-0001-8486-5113; Jarque-Bou, Nestor J/0000-0001-7793-3309</t>
  </si>
  <si>
    <t>Spanish Ministry of Science, Innovation and Universities [PGC2018-095606-B-C21]; Spanish MINECO; European Union (FEDER funds) [DPI2014-52095-P]; FPI grant [BES-2015-072480]</t>
  </si>
  <si>
    <t>Spanish Ministry of Science, Innovation and Universities(Spanish Government); Spanish MINECO(Spanish Government); European Union (FEDER funds)(European Union (EU)); FPI grant</t>
  </si>
  <si>
    <t>This research was funded by the Spanish Ministry of Science, Innovation and Universities (project PGC2018-095606-B-C21), and under a grant from the Spanish MINECO and the European Union (FEDER funds) through project DPI2014-52095-P and FPI grant BES-2015-072480.</t>
  </si>
  <si>
    <t>10.3390/s21093035</t>
  </si>
  <si>
    <t>SC6OT</t>
  </si>
  <si>
    <t>WOS:000650788500001</t>
  </si>
  <si>
    <t>Vatan, HMF; Nefti-Meziani, S; Davis, S; Saffari, Z; El-Hussieny, H</t>
  </si>
  <si>
    <t>Majidi Fard Vatan, Hamed; Nefti-Meziani, Samia; Davis, Steve; Saffari, Zahra; El-Hussieny, Haitham</t>
  </si>
  <si>
    <t>A review: A Comprehensive Review of Soft and Rigid Wearable Rehabilitation and Assistive Devices with a Focus on the Shoulder Joint</t>
  </si>
  <si>
    <t>Soft and rigid robotics; Rehabilitation; Assistance; Upper limb; Shoulder joint</t>
  </si>
  <si>
    <t>EXOSKELETON ROBOT; DESIGN; ARM; SYSTEM; FORCE</t>
  </si>
  <si>
    <t>The importance of the human upper limb role in performing daily life and personal activities is significant. Improper functioning of this organ due to neurological disorders or surgeries can greatly affect the daily activities performed by patients. This paper aims to comprehensively review soft and rigid wearable robotic devices provided for rehabilitation and assistance focusing on the shoulder joint. In the last two decades, many devices have been proposed in this regard, however, there have been a few groups whose devices have had effective therapeutic capability with acceptable clinical evidence. Also, there were not many portable, lightweight and user-friendly devices. Therefore, this comprehensive study could pave the way for achieving optimal future devices, given the growing need for these devices. According to the results, the most commonly used plan was Exoskeleton, the most commonly used actuators were electrical, and most devices were considered to be stationary and rigid. By doing these studies, the advantages and disadvantages of each method are also presented. The presented devices each have a new idea and attitude in a specific field to solve the problems of movement disorders and rehabilitation, which were in the form of prototypes, initial clinical studies and sometimes comprehensive clinical and commercial studies. These plans need more comprehensive clinical trials to become a complete and efficient plan. This article could be used by researchers to identify and evaluate the important features and strengths and weaknesses of the plans to lead to the presentation of more optimal plans in the future.</t>
  </si>
  <si>
    <t>[Majidi Fard Vatan, Hamed; Nefti-Meziani, Samia; Davis, Steve; Saffari, Zahra; El-Hussieny, Haitham] Univ Salford, Autonomous Syst &amp; Adv Robot Res Ctr, Manchester, Lancs, England</t>
  </si>
  <si>
    <t>University of Salford</t>
  </si>
  <si>
    <t>Vatan, HMF (corresponding author), Univ Salford, Autonomous Syst &amp; Adv Robot Res Ctr, Manchester, Lancs, England.</t>
  </si>
  <si>
    <t>h.majidifardvatan@edu.salford.ac.uk</t>
  </si>
  <si>
    <t>El-Hussieny, Haitham/HPB-7162-2023</t>
  </si>
  <si>
    <t>Nefti-Meziani, Samia/0000-0001-6500-2929; Vatan, Dr. Hamed/0000-0002-0996-3466</t>
  </si>
  <si>
    <t>UKRI under the Industry Strategic Challenge Fund (ISCF) for Robotics and AI Hubs in Extreme and Hazardous Environments [EP/R026092]</t>
  </si>
  <si>
    <t>UKRI under the Industry Strategic Challenge Fund (ISCF) for Robotics and AI Hubs in Extreme and Hazardous Environments(UK Research &amp; Innovation (UKRI))</t>
  </si>
  <si>
    <t>This work is supported by grant EP/R026092 (FAIR-SPACE Hub) through UKRI under the Industry Strategic Challenge Fund (ISCF) for Robotics and AI Hubs in Extreme and Hazardous Environments.</t>
  </si>
  <si>
    <t>10.1007/s10846-021-01353-x</t>
  </si>
  <si>
    <t>RP0ZA</t>
  </si>
  <si>
    <t>WOS:000641464000003</t>
  </si>
  <si>
    <t>Mansour, S; Ang, KK; Nair, KPS; Phua, KS; Arvaneh, M</t>
  </si>
  <si>
    <t>Mansour, Salem; Ang, Kai Keng; Nair, Krishnan P. S.; Phua, Kok Soon; Arvaneh, Mahnaz</t>
  </si>
  <si>
    <t>Efficacy of Brain-Computer Interface and the Impact of Its Design Characteristics on Poststroke Upper-limb Rehabilitation: A Systematic Review and Meta-analysis of Randomized Controlled Trials</t>
  </si>
  <si>
    <t>CLINICAL EEG AND NEUROSCIENCE</t>
  </si>
  <si>
    <t>brain– computer interface; meta-analysis; mental tasks; randomized clinical trials; stroke rehabilitation</t>
  </si>
  <si>
    <t>ROBOT-ASSISTED THERAPY; MOTOR RECOVERY; STROKE; NEUROREHABILITATION; STIMULATION</t>
  </si>
  <si>
    <t>Background. A number of recent randomized controlled trials reported the efficacy of brain-computer interface (BCI) for upper-limb stroke rehabilitation compared with other therapies. Despite the encouraging results reported, there is a significant variance in the reported outcomes. This paper aims to investigate the effectiveness of different BCI designs on poststroke upper-limb rehabilitation. Methods. The effect sizes of pooled and individual studies were assessed by computing Hedge's g values with a 95% confidence interval. Subgroup analyses were also performed to examine the impact of different BCI designs on the treatment effect. Results. The study included 12 clinical trials involving 298 patients. The analysis showed that the BCI yielded significant superior short-term and long-term efficacy in improving the upper-limb motor function compared to the control therapies (Hedge's g = 0.73 and 0.33, respectively). Based on our subgroup analyses, the BCI studies that used the intention of movement had a higher effect size compared to those used motor imagery (Hedge's g = 1.21 and 0.55, respectively). The BCI studies using band power features had a significantly higher effect size than those using filter bank common spatial patterns features (Hedge's g = 1.25 and - 0.23, respectively). Finally, the studies that used functional electrical stimulation as the BCI feedback had the highest effect size compared to other devices (Hedge's g = 1.2). Conclusion. This meta-analysis confirmed the effectiveness of BCI for upper-limb rehabilitation. Our findings support the use of band power features, the intention of movement, and the functional electrical stimulation in future BCI designs for poststroke upper-limb rehabilitation.</t>
  </si>
  <si>
    <t>[Mansour, Salem; Arvaneh, Mahnaz] Univ Sheffield, Dept Automat Control &amp; Syst Engn, Mapping St, Sheffield S13JD, S Yorkshire, England; [Ang, Kai Keng; Phua, Kok Soon] Inst Infocomm Res, Agcy Sci Technol &amp; Res, Singapore, Singapore; [Ang, Kai Keng; Nair, Krishnan P. S.] Nanyang Technol Univ, Sch Comp Sci &amp; Engn, Singapore, Singapore; Royal Hallamshire Hosp, Sheffield, S Yorkshire, England</t>
  </si>
  <si>
    <t>University of Sheffield; Agency for Science Technology &amp; Research (A*STAR); A*STAR - Institute for Infocomm Research (I2R); Nanyang Technological University; University of Sheffield</t>
  </si>
  <si>
    <t>Mansour, S (corresponding author), Univ Sheffield, Dept Automat Control &amp; Syst Engn, Mapping St, Sheffield S13JD, S Yorkshire, England.</t>
  </si>
  <si>
    <t>sslmansour1@sheffield.ac.uk</t>
  </si>
  <si>
    <t>Nair, Krishnan/ABT-1416-2022; Ang, Kai Keng/F-1626-2016</t>
  </si>
  <si>
    <t>Mansour, Salem/0000-0002-0942-5780; Ang, Kai Keng/0000-0002-3053-6311; Nair, Krishnan/0000-0002-4004-2315</t>
  </si>
  <si>
    <t>University of Sheffield</t>
  </si>
  <si>
    <t>The authors disclosed receipt of the following financial support for the research, authorship, and/or publication of this article: This work was supported by the University of Sheffield.</t>
  </si>
  <si>
    <t>1550-0594</t>
  </si>
  <si>
    <t>2169-5202</t>
  </si>
  <si>
    <t>CLIN EEG NEUROSCI</t>
  </si>
  <si>
    <t>Clin. EEG Neurosci.</t>
  </si>
  <si>
    <t>10.1177/15500594211009065</t>
  </si>
  <si>
    <t>APR 2021</t>
  </si>
  <si>
    <t>Clinical Neurology; Neurosciences; Neuroimaging; Psychiatry; Psychology</t>
  </si>
  <si>
    <t>Neurosciences &amp; Neurology; Psychiatry; Psychology</t>
  </si>
  <si>
    <t>WQ3FC</t>
  </si>
  <si>
    <t>WOS:000649514100001</t>
  </si>
  <si>
    <t>Yadav, SK; Tiwari, K; Pandey, HM; Akbar, SA</t>
  </si>
  <si>
    <t>Yadav, Santosh Kumar; Tiwari, Kamlesh; Pandey, Hari Mohan; Akbar, Shaik Ali</t>
  </si>
  <si>
    <t>A review of multimodal human activity recognition with special emphasis on classification, applications, challenges and future directions</t>
  </si>
  <si>
    <t>KNOWLEDGE-BASED SYSTEMS</t>
  </si>
  <si>
    <t>Activity recognition; Computer vision; Wearable sensors; Fusion of vision and inertial sensors; Smart-shoes; Multimodality</t>
  </si>
  <si>
    <t>ENERGY-EXPENDITURE ESTIMATION; RECURRENT NEURAL-NETWORKS; DEEP FUSION FRAMEWORK; WEARABLE SENSORS; GAIT ANALYSIS; INERTIAL SENSORS; DEPTH CAMERA; HEALTH-CARE; VIDEO; DATASET</t>
  </si>
  <si>
    <t>Human activity recognition (HAR) is one of the most important and challenging problems in the computer vision. It has critical application in wide variety of tasks including gaming, human- robot interaction, rehabilitation, sports, health monitoring, video surveillance, and robotics. HAR is challenging due to the complex posture made by the human and multiple people interaction. Various artifacts that commonly appears in the scene such as illuminations variations, clutter, occlusions, background diversity further adds the complexity to HAR. Sensors for multiple modalities could be used to overcome some of these inherent challenges. Such sensors could include an RGB-D camera, infrared sensors, thermal cameras, inertial sensors, etc. This article introduces a comprehensive review of different multimodal human activity recognition methods where different types of sensors being used along with their analytical approaches and fusion methods. Further, this article presents classification and discussion of existing work within seven rational aspects: (a) what are the applications of HAR; (b) what are the single and multi-modality sensing for HAR; (c) what are different vision based approaches for HAR; (d) what and how wearable sensors based system contributes to the HAR; (e) what are different multimodal HAR methods; (f) how a combination of vision and wearable inertial sensors based system contributes to the HAR; and (g) challenges and future directions in HAR. With a more and comprehensive understanding of multimodal human activity recognition, more research in this direction can be motivated and refined. (C) 2021 Elsevier B.V. All rights reserved.</t>
  </si>
  <si>
    <t>[Yadav, Santosh Kumar; Akbar, Shaik Ali] Acad Sci &amp; Innovat Res AcSIR, Ghaziabad 201002, UP, India; [Yadav, Santosh Kumar; Akbar, Shaik Ali] CSIR Cent Elect Engn Res Inst CEERI, Cyber Phys Syst, Pilani 333031, Rajasthan, India; [Tiwari, Kamlesh] Birla Inst Technol &amp; Sci Pilani, Dept CSIS, Pilani Campus, Pilani 333031, Rajasthan, India; [Pandey, Hari Mohan] Edge Hill Univ, Dept Comp Sci, Ormskirk, Lancs, England</t>
  </si>
  <si>
    <t>Academy of Scientific &amp; Innovative Research (AcSIR); Council of Scientific &amp; Industrial Research (CSIR) - India; CSIR - Central Electronics Engineering Research Institute (CEERI); Birla Institute of Technology &amp; Science Pilani (BITS Pilani); Edge Hill University</t>
  </si>
  <si>
    <t>Pandey, HM (corresponding author), Edge Hill Univ, Dept Comp Sci, Ormskirk, Lancs, England.</t>
  </si>
  <si>
    <t>santoshyadav@ceeri.res.in; kamlesh.tiwari@pilani.bits-pilani.ac.in; pandeyh@edgehill.ac.uk; saakbar@ceeri.res.in</t>
  </si>
  <si>
    <t>Pandey, Hari/M-9658-2015; Yadav, Santosh/GQZ-7569-2022; Yadav, Santosh/O-6952-2018</t>
  </si>
  <si>
    <t>Pandey, Hari/0000-0002-9128-068X; Yadav, Santosh/0000-0003-2230-4390; Tiwari, Kamlesh/0000-0002-8866-9192</t>
  </si>
  <si>
    <t>0950-7051</t>
  </si>
  <si>
    <t>1872-7409</t>
  </si>
  <si>
    <t>KNOWL-BASED SYST</t>
  </si>
  <si>
    <t>Knowledge-Based Syst.</t>
  </si>
  <si>
    <t>10.1016/j.knosys.2021.106970</t>
  </si>
  <si>
    <t>SD3JR</t>
  </si>
  <si>
    <t>WOS:000651271700006</t>
  </si>
  <si>
    <t>Nedergård, H; Arumugam, A; Sandlund, M; Bråndal, A; Häger, CK</t>
  </si>
  <si>
    <t>Nedergard, Heidi; Arumugam, Ashokan; Sandlund, Marlene; Brandal, Anna; Hager, Charlotte K.</t>
  </si>
  <si>
    <t>Effect of robotic-assisted gait training on objective biomechanical measures of gait in persons post-stroke: a systematic review and meta-analysis</t>
  </si>
  <si>
    <t>Cerebrovascular accident; Powered exoskeleton; Walk; Rehabilitation; Literature synthesis</t>
  </si>
  <si>
    <t>STROKE REHABILITATION; HEMIPLEGIC PATIENTS; WALKING; EXOSKELETONS; COORDINATION; LOCOMOTION; RECOVERY; DEVICES; IMPACT</t>
  </si>
  <si>
    <t>Background Robotic-Assisted Gait Training (RAGT) may enable high-intensive and task-specific gait training post-stroke. The effect of RAGT on gait movement patterns has however not been comprehensively reviewed. The purpose of this review was to summarize the evidence for potentially superior effects of RAGT on biomechanical measures of gait post-stroke when compared with non-robotic gait training alone. Methods Nine databases were searched using database-specific search terms from their inception until January 2021. We included randomized controlled trials investigating the effects of RAGT (e.g., using exoskeletons or end-effectors) on spatiotemporal, kinematic and kinetic parameters among adults suffering from any stage of stroke. Screening, data extraction and judgement of risk of bias (using the Cochrane Risk of bias 2 tool) were performed by 2-3 independent reviewers. The Grading of Recommendations Assessment Development and Evaluation (GRADE) criteria were used to evaluate the certainty of evidence for the biomechanical gait measures of interest. Results Thirteen studies including a total of 412 individuals (mean age: 52-69 years; 264 males) met eligibility criteria and were included. RAGT was employed either as monotherapy or in combination with other therapies in a subacute or chronic phase post-stroke. The included studies showed a high risk of bias (n = 6), some concerns (n = 6) or a low risk of bias (n = 1). Meta-analyses using a random-effects model for gait speed, cadence, step length (non-affected side) and spatial asymmetry revealed no significant differences between the RAGT and comparator groups, while stride length (mean difference [MD] 2.86 cm), step length (affected side; MD 2.67 cm) and temporal asymmetry calculated in ratio-values (MD 0.09) improved slightly more in the RAGT groups. There were serious weaknesses with almost all GRADE domains (risk of bias, consistency, directness, or precision of the findings) for the included outcome measures (spatiotemporal and kinematic gait parameters). Kinetic parameters were not reported at all. Conclusion There were few relevant studies and the review synthesis revealed a very low certainty in current evidence for employing RAGT to improve gait biomechanics post-stroke. Further high-quality, robust clinical trials on RAGT that complement clinical data with biomechanical data are thus warranted to disentangle the potential effects of such interventions on gait biomechanics post-stroke.</t>
  </si>
  <si>
    <t>[Nedergard, Heidi; Sandlund, Marlene; Brandal, Anna; Hager, Charlotte K.] Umea Univ, Dept Community Med &amp; Rehabil, Physiotherapy, Umea, Sweden; [Arumugam, Ashokan] Univ Sharjah, Coll Hlth Sci, Dept Physiotherapy, Sharjah, U Arab Emirates</t>
  </si>
  <si>
    <t>Umea University; University of Sharjah</t>
  </si>
  <si>
    <t>Nedergård, H (corresponding author), Umea Univ, Dept Community Med &amp; Rehabil, Physiotherapy, Umea, Sweden.</t>
  </si>
  <si>
    <t>heidi.nedergard@umu.se</t>
  </si>
  <si>
    <t>Häger, Charlotte/ACG-7979-2022; Arumugam, Ashokan/ABA-4953-2022</t>
  </si>
  <si>
    <t>Hager, Charlotte/0000-0002-0366-4609; Arumugam, Ashokan/0000-0001-5795-3812</t>
  </si>
  <si>
    <t>Umea University; Swedish Brain Foundation; Umea university Foundation for Medical Research; Strategic Funding in Caring Science for Umea University; Strategic Funding in Caring Science for Karolinska Institute; Region Vasterbotten County Council; Foundation for Stroke Research in Norrland; Nils Erik Holmsten Foundation; King Gustaf V and Queen Victoria's Foundation of Freemasons</t>
  </si>
  <si>
    <t>Open access funding provided by Umea University. The research was supported by The Swedish Brain Foundation; Umea university Foundation for Medical Research; Strategic Funding in Caring Science for Umea University and Karolinska Institute; The Region Vasterbotten County Council; The Foundation for Stroke Research in Norrland, The Nils Erik Holmsten Foundation; and King Gustaf V and Queen Victoria's Foundation of Freemasons. None of the funding bodies had any influence on the design of the study, data collection, analysis, interpretation of data or writing of the manuscript.</t>
  </si>
  <si>
    <t>APR 16</t>
  </si>
  <si>
    <t>10.1186/s12984-021-00857-9</t>
  </si>
  <si>
    <t>RO0ZM</t>
  </si>
  <si>
    <t>WOS:000640778700001</t>
  </si>
  <si>
    <t>Atashzar, SF; Carriere, J; Tavakoli, M</t>
  </si>
  <si>
    <t>Atashzar, S. Farokh; Carriere, Jay; Tavakoli, Mahdi</t>
  </si>
  <si>
    <t>Review: How Can Intelligent Robots and Smart Mechatronic Modules Facilitate Remote Assessment, Assistance, and Rehabilitation for Isolated Adults With Neuro-Musculoskeletal Conditions?</t>
  </si>
  <si>
    <t>COVID19; Medical Robotics; neuro-musculoskeletal disorders; telerehabilitation; smart digital health</t>
  </si>
  <si>
    <t>OF-THE-ART; EARLY MOBILIZATION; PARKINSONS-DISEASE; HEALTH-CARE; STROKE; EXOSKELETON; SYSTEMS; TECHNOLOGY; DEVICES; DESIGN</t>
  </si>
  <si>
    <t>Worldwide, at the time this article was written, there are over 127 million cases of patients with a confirmed link to COVID-19 and about 2.78 million deaths reported. With limited access to vaccine or strong antiviral treatment for the novel coronavirus, actions in terms of prevention and containment of the virus transmission rely mostly on social distancing among susceptible and high-risk populations. Aside from the direct challenges posed by the novel coronavirus pandemic, there are serious and growing secondary consequences caused by the physical distancing and isolation guidelines, among vulnerable populations. Moreover, the healthcare system's resources and capacity have been focused on addressing the COVID-19 pandemic, causing less urgent care, such as physical neurorehabilitation and assessment, to be paused, canceled, or delayed. Overall, this has left elderly adults, in particular those with neuromusculoskeletal (NMSK) conditions, without the required service support. However, in many cases, such as stroke, the available time window of recovery through rehabilitation is limited since neural plasticity decays quickly with time. Given that future waves of the outbreak are expected in the coming months worldwide, it is important to discuss the possibility of using available technologies to address this issue, as societies have a duty to protect the most vulnerable populations. In this perspective review article, we argue that intelligent robotics and wearable technologies can help with remote delivery of assessment, assistance, and rehabilitation services while physical distancing and isolation measures are in place to curtail the spread of the virus. By supporting patients and medical professionals during this pandemic, robots, and smart digital mechatronic systems can reduce the non-COVID-19 burden on healthcare systems. Digital health and cloud telehealth solutions that can complement remote delivery of assessment and physical rehabilitation services will be the subject of discussion in this article due to their potential in enabling more effective and safer NMSDK rehabilitation, assistance, and assessment service delivery. This article will hopefully lead to an interdisciplinary dialogue between the medical and engineering sectors, stake holders, and policy makers for a better delivery of care for those with NMSK conditions during a global health crisis including future pandemics.</t>
  </si>
  <si>
    <t>[Atashzar, S. Farokh] NYU, Dept Mech &amp; Aerosp Engn, Dept Elect &amp; Comp Engn, New York, NY 10003 USA; [Carriere, Jay; Tavakoli, Mahdi] Univ Alberta, Dept Elect &amp; Comp Engn, Edmonton, AB, Canada</t>
  </si>
  <si>
    <t>New York University; University of Alberta</t>
  </si>
  <si>
    <t>Atashzar, SF (corresponding author), NYU, Dept Mech &amp; Aerosp Engn, Dept Elect &amp; Comp Engn, New York, NY 10003 USA.</t>
  </si>
  <si>
    <t>f.atashzar@nyu.edu</t>
  </si>
  <si>
    <t>Tavakoli/I-7778-2012; Atashzar, Seyed/AAB-8243-2019</t>
  </si>
  <si>
    <t>Atashzar, Seyed Farokh/0000-0001-8495-8440</t>
  </si>
  <si>
    <t>United States National Science Foundation [2031594, 2037878]; Div Of Chem, Bioeng, Env, &amp; Transp Sys; Directorate For Engineering [2037878] Funding Source: National Science Foundation</t>
  </si>
  <si>
    <t>United States National Science Foundation(National Science Foundation (NSF)); Div Of Chem, Bioeng, Env, &amp; Transp Sys; Directorate For Engineering(National Science Foundation (NSF)NSF - Directorate for Engineering (ENG))</t>
  </si>
  <si>
    <t>This study is supported by United States National Science Foundation: Awards 2031594, and 2037878.</t>
  </si>
  <si>
    <t>APR 12</t>
  </si>
  <si>
    <t>10.3389/frobt.2021.610529</t>
  </si>
  <si>
    <t>RS3SS</t>
  </si>
  <si>
    <t>WOS:000643702500001</t>
  </si>
  <si>
    <t>Khalid, S; Alnajjar, F; Gochoo, M; Shimoda, S</t>
  </si>
  <si>
    <t>Khalid, Sumayya; Alnajjar, Fady; Gochoo, Munkhjargal; Shimoda, Shingo</t>
  </si>
  <si>
    <t>Robotic assistive and rehabilitation devices leading to motor recovery in upper limb: a systematic review</t>
  </si>
  <si>
    <t>Motor disorders; rehabilitation; robotics; spinal cord injury; stroke; upper limb</t>
  </si>
  <si>
    <t>THERAPY; STROKE; CHILDREN; ARM</t>
  </si>
  <si>
    <t>Purpose Stroke, spinal cord injury and other neuromuscular disorders lead to impairments in the human body. Upper limb impairments, especially hand impairments affect activities of daily living (ADL) and reduce the quality of life. The purpose of this review is to compare and evaluate the available robotic rehabilitation and assistive devices that can lead to motor recovery or maintain the current motor functional level. Methods A systematic review was conducted of the literature published in the years from 2016-2021, to focus on the most recent rehabilitation and assistive devices available in the market or research environments. Results A total of 230 studies published between 2016 and 2021 were identified from various databases. 107 were excluded with various reasons. Twenty-eight studies were taken into detailed review, to determine the efficacy of robotic devices in improving upper limb impairments or maintaining the current level from getting worse. Conclusion It was concluded that with a good strategy and treatment plan; appropriate and regular use of these robotic rehabilitation and assistive devices do lead to improvements in current conditions of most of the subjects and prolonged use may lead to motor recovery.</t>
  </si>
  <si>
    <t>[Khalid, Sumayya; Alnajjar, Fady; Gochoo, Munkhjargal] United Arab Emirates Univ, Coll Informat Technol, Al Ain, U Arab Emirates; [Alnajjar, Fady; Shimoda, Shingo] RIKEN, CBS TOYOTA Collaborat Ctr, Intelligent Behav Control Unit, Nagoya, Aichi, Japan; [Gochoo, Munkhjargal] Sch Informat &amp; Commun Technol, Ulan Bator, Mongolia</t>
  </si>
  <si>
    <t>United Arab Emirates University; RIKEN</t>
  </si>
  <si>
    <t>Alnajjar, F (corresponding author), United Arab Emirates Univ, Coll Informat Technol, Al Ain, U Arab Emirates.</t>
  </si>
  <si>
    <t>fady.alnajjar@uaeu.ac.ae</t>
  </si>
  <si>
    <t>Gochoo, Munkhjargal/AAB-1196-2022; Alnajjar, Fady/GRX-4246-2022</t>
  </si>
  <si>
    <t>Renawi, Abdulrahman/0000-0001-9620-4566; Alnajjar, Fady/0000-0001-6102-3765; Khalid, Sumayya/0000-0003-4682-3419; Gochoo, Munkhjargal/0000-0002-6613-7435</t>
  </si>
  <si>
    <t>United Arab Emirates University [31T127]</t>
  </si>
  <si>
    <t>This work was supported by the United Arab Emirates University (31T127).</t>
  </si>
  <si>
    <t>10.1080/17483107.2021.1906960</t>
  </si>
  <si>
    <t>L1GZ9</t>
  </si>
  <si>
    <t>WOS:000641348900001</t>
  </si>
  <si>
    <t>Choukou, MA; Mbabaali, S; Hani, JB; Cooke, C</t>
  </si>
  <si>
    <t>Choukou, Mohamed-Amine; Mbabaali, Sophia; Bani Hani, Jasem; Cooke, Carol</t>
  </si>
  <si>
    <t>Haptic-Enabled Hand Rehabilitation in Stroke Patients: A Scoping Review</t>
  </si>
  <si>
    <t>hand; neurologic; rehabilitation; sensory integration; haptic; tactile; robotic; virtual reality; augmented reality</t>
  </si>
  <si>
    <t>UPPER EXTREMITY HEMIPARESIS; VIRTUAL-REALITY; MOTOR REHABILITATION; FUNCTIONAL RECOVERY; GLOBAL BURDEN; ARM RECOVERY; INDIVIDUALS; FEEDBACK; SYSTEM; TELEREHABILITATION</t>
  </si>
  <si>
    <t>There is a plethora of technology-assisted interventions for hand therapy, however, less is known about the effectiveness of these interventions. This scoping review aims to explore studies about technology-assisted interventions targeting hand rehabilitation to identify the most effective interventions. It is expected that multifaceted interventions targeting hand rehabilitation are more efficient therapeutic approaches than mono-interventions. The scoping review will aim to map the existing haptic-enabled interventions for upper limb rehabilitation and investigates their effects on motor and functional recovery in patients with stroke. The methodology used in this review is based on the Arksey and O'Malley framework, which includes the following stages: identifying the research question, identifying relevant studies, study selection, charting the data, and collating, summarizing, and reporting the results. Results show that using three or four different technologies was more positive than using two technologies (one technology + haptics). In particular, when standardized as a percentage of outcomes, the combination of three technologies showed better results than the combination of haptics with one technology or with three other technologies. To conclude, this study portrayed haptic-enabled rehabilitation approaches that could help therapists decide which technology-enabled hand therapy approach is best suited to their needs. Those seeking to undertake research and development anticipate further opportunities to develop haptic-enabled hand telerehabilitation platforms.</t>
  </si>
  <si>
    <t>[Choukou, Mohamed-Amine; Mbabaali, Sophia; Bani Hani, Jasem] Univ Manitoba, Coll Rehabil Sci, Winnipeg, MB R3E 0T6, Canada; [Choukou, Mohamed-Amine] Riverview Hlth Ctr, Winnipeg, MB R3L 2P4, Canada; [Choukou, Mohamed-Amine] Univ Manitoba, Ctr Aging, Winnipeg, MB R3T 2N2, Canada; [Cooke, Carol] Univ Manitoba, Neil John Maclean Hlth Sci Lib, Winnipeg, MB R3T 2N2, Canada</t>
  </si>
  <si>
    <t>Choukou, MA (corresponding author), Univ Manitoba, Coll Rehabil Sci, Winnipeg, MB R3E 0T6, Canada.;Choukou, MA (corresponding author), Riverview Hlth Ctr, Winnipeg, MB R3L 2P4, Canada.;Choukou, MA (corresponding author), Univ Manitoba, Ctr Aging, Winnipeg, MB R3T 2N2, Canada.</t>
  </si>
  <si>
    <t>Amine.Choukou@Umanitoba.ca; mbabaal3@myumanitoba.ca; banihanj@myumanitoba.ca; Carol.Cooke@umanitoba.ca</t>
  </si>
  <si>
    <t>Choukou, Mohamed-Amine/ADD-2601-2022; Banihani, Jasem/GRS-9930-2022; Cooke, Carol/E-2887-2015</t>
  </si>
  <si>
    <t>Cooke, Carol/0000-0002-6852-4068; Choukou, Mohamed-Amine/0000-0001-9477-2412</t>
  </si>
  <si>
    <t>College of Rehabilitation Science, University of Manitoba</t>
  </si>
  <si>
    <t>This project and the APC are supported by M.-A.C.'s start-up funds, provided by the College of Rehabilitation Science, University of Manitoba.</t>
  </si>
  <si>
    <t>10.3390/app11083712</t>
  </si>
  <si>
    <t>RS7TN</t>
  </si>
  <si>
    <t>WOS:000643977600001</t>
  </si>
  <si>
    <t>Morone, G; Palomba, A; Cinnera, AM; Agostini, M; Aprile, I; Arienti, C; Paci, M; Casanova, E; Marino, D; La Rosa, G; Bressi, F; Sterzi, S; Gandolfi, M; Giansanti, D; Perrero, L; Battistini, A; Miccinilli, S; Filoni, S; Sicari, M; Petrozzino, S; Solaro, CM; Gargano, S; Benanti, P; Boldrini, P; Bonaiuti, D; Castelli, E; Draicchio, F; Falabella, V; Galeri, S; Gimigliano, F; Grigioni, M; Mazzoleni, S; Mazzon, S; Molteni, F; Petrarca, M; Picelli, A; Posteraro, F; Senatore, M; Turchetti, G; Straudi, S</t>
  </si>
  <si>
    <t>Morone, Giovanni; Palomba, Angela; Cinnera, Alex Martino; Agostini, Michela; Aprile, Irene; Arienti, Chiara; Paci, Matteo; Casanova, Emanuela; Marino, Dario; La Rosa, Giuseppe; Bressi, Federica; Sterzi, Silvia; Gandolfi, Marialuisa; Giansanti, Daniele; Perrero, Luca; Battistini, Alberto; Miccinilli, Sandra; Filoni, Serena; Sicari, Monica; Petrozzino, Salvatore; Solaro, Claudio Marcello; Gargano, Stefano; Benanti, Paolo; Boldrini, Paolo; Bonaiuti, Donatella; Castelli, Enrico; Draicchio, Francesco; Falabella, Vincenzo; Galeri, Silvia; Gimigliano, Francesca; Grigioni, Mauro; Mazzoleni, Stefano; Mazzon, Stefano; Molteni, Franco; Petrarca, Maurizio; Picelli, Alessandro; Posteraro, Federico; Senatore, Michele; Turchetti, Giuseppe; Straudi, Sofia</t>
  </si>
  <si>
    <t>CICERONE Italian Consensus Conf</t>
  </si>
  <si>
    <t>Systematic review of guidelines to identify recommendations for upper limb robotic rehabilitation after stroke</t>
  </si>
  <si>
    <t>Rehabilitation; Robotic surgical procedures; Upper extremity; Stroke; Guideline</t>
  </si>
  <si>
    <t>CLINICAL GUIDELINES; QUALITY; BURDEN</t>
  </si>
  <si>
    <t>INTRODUCTION: Upper limb motor impairment is one of the most frequent stroke consequences. Robot therapy may represent a valid option for upper limb stroke rehabilitation, but there are still gaps between research evidence and their use in clinical practice. The aim of this study was to determine the quality, scope, and consistency of guidelines clinical practice recommendations for upper limb robotic rehabilitation in stroke populations. EVIDENCE ACQUISITION: We searched for guideline recommendations on stroke published between January 1st, 2010 and January 1st, 2020. Only the most recent guidelines for writing group were selected. Electronic databases (N.=4), guideline repertories and professional rehabilitation networks (N.=12) were searched. We systematically reviewed and assessed guidelines containing recommendation statements about upper limb robotic rehabilitation for adults with stroke (PROSPERO registration number: CRD42020173386). EVIDENCE SYNTHESIS: Four independent reviewers used the Appraisal of Guidelines for Research and Evaluation (AGREE) II instrument, and textual syntheses were used to appraise and compare recommendations. From 1324 papers that were screened, eight eligible guidelines were identified from six different regions/countries. Half of the included guidelines focused on stroke management, the other half on stroke rehabilitation. Rehabilitation assisted by robotic devices is generally recommended to improve upper limb motor function and strength. The exact characteristics of patients who could benefit from this treatment as well as the correct timing to use it are not known. CONCLUSIONS: This systematic review has identified many opportunities to modernize and otherwise improve stroke patients' upper limb robotic therapy. Rehabilitation assisted by robot or electromechanical devices for stroke needs to be improved in clinical practice guidelines in particular in terms of applicability.</t>
  </si>
  <si>
    <t>[Morone, Giovanni; Cinnera, Alex Martino] IRCCS Santa Lucia Fdn, Via Ardeatina 306, I-00179 Rome, Italy; [Palomba, Angela] Luigi Vanvitelli Univ Campania, Multidisciplinary Dept Med Surg &amp; Orthodont, Naples, Italy; [Agostini, Michela] IRCCS San Camillo, Venice, Italy; [Aprile, Irene] IRCCS Don Carlo Gnocchi Fdn, Florence, Italy; [Arienti, Chiara; Galeri, Silvia] IRCCS Don Carlo Gnocchi Fdn, Milan, Italy; [Paci, Matteo] AUSL Dist Cent Tuscany, Florence, Italy; [Casanova, Emanuela] IRCCS Ist Sci Neurol, Unit Rehabil &amp; Neurorehabil Med, Bologna, Italy; [Marino, Dario] IRCCS Neurolysis Ctr Bonino Pulejo, Messina, Italy; [La Rosa, Giuseppe] Univ Catania, Dept Biomed &amp; Biotechnol Sci, Catania, Italy; [Bressi, Federica; Sterzi, Silvia; Miccinilli, Sandra] Biomed Campus Univ Fdn, Rome, Italy; [Gandolfi, Marialuisa; Picelli, Alessandro] Univ Verona, Dept Neurosci Biomed &amp; Movement Sci, Verona, Italy; [Giansanti, Daniele; Grigioni, Mauro] Italian Natl Inst Hlth, Natl Ctr Innovat Technol Publ Hlth, Rome, Italy; [Perrero, Luca] SS Antonio E Biagio E Cesare Anigo Univ Hosp, Unit Neurorehabil, Alessandria, Italy; [Battistini, Alberto] IRCCS Ist Sci Neurol Bologna, Bologna, Italy; [Filoni, Serena] Padre Pio Fdn &amp; Rehabil Ctr, Foggia, Italy; [Sicari, Monica; Petrozzino, Salvatore] Citta Salute &amp; Sci, Turin, Italy; [Solaro, Claudio Marcello] CRRF Mons Luigi Novarese, Vercelli, Italy; [Gargano, Stefano] Fdn Don Carlo Gnocchi, Turin, Italy; [Benanti, Paolo] Pontifical Gregorian Univ, Rome, Italy; [Boldrini, Paolo] Soc Italiana Med Fis &amp; Riabilitat SIMFER, Milan, Italy; [Bonaiuti, Donatella] Piero Redaelli Geriatr Inst, Milan, Italy; [Castelli, Enrico] Bambino Gesu Pediat Hosp, Unit Pediat Neurorehabil, Rome, Italy; [Draicchio, Francesco] INAIL, Dept Occupat &amp; Environm Med, Epidemiol &amp; Hyg, Rome, Italy; [Falabella, Vincenzo] Italian Federat Persons Spinal Cord Injuries Faip, Rome, Italy; [Gimigliano, Francesca] Luigi Vanvitelli Univ Campania, Dept Mental &amp; Phys Hlth &amp; Prevent Med, Naples, Italy; [Mazzoleni, Stefano] Politecn Bari, Dept Elect &amp; Informat Engn, Bari, Italy; [Mazzon, Stefano] AULSS6 Euganea Padova Distretto 4, Padua, Italy; [Molteni, Franco] Villa Beretta, Costa Masnaga, Lecco, Italy; [Petrarca, Maurizio] Bambino Gesu Pediat Hosp, Movement Anal &amp; Robot Lab, Rome, Italy; [Posteraro, Federico] AUSL Toscana Nord Ovest, Versilia Hosp, Pisa, Italy; [Senatore, Michele] AITO Assoc Italiana Terapisti Occupazionali, Rome, Italy; [Turchetti, Giuseppe] St Anna Sch Adv Studies, Management Inst, Pisa, Italy; [Straudi, Sofia] Ferrara Univ Hosp, Dept Neurosci &amp; Rehabil, Ferrara, Italy</t>
  </si>
  <si>
    <t>IRCCS Santa Lucia; Universita della Campania Vanvitelli; IRCCS Ospedale San Camillo; IRCCS Istituto delle Scienze Neurologiche di Bologna (ISNB); University of Catania; University of Verona; Istituto Superiore di Sanita (ISS); IRCCS Istituto delle Scienze Neurologiche di Bologna (ISNB); A.O.U. Citta della Salute e della Scienza di Torino; IRCCS Fondazione Don Carlo Gnocchi Onlus; IRCCS Bambino Gesu; Istituto Nazionale per l'Assicurazione Contro gli Infortuni sul Lavoro (INAIL); Universita della Campania Vanvitelli; Politecnico di Bari; IRCCS Bambino Gesu; Ospedale Versilia; Scuola Superiore Sant'Anna; University of Ferrara; Arcispedale Sant'Anna</t>
  </si>
  <si>
    <t>Morone, G (corresponding author), IRCCS Santa Lucia Fdn, Via Ardeatina 306, I-00179 Rome, Italy.</t>
  </si>
  <si>
    <t>aprile, irene/AAC-4986-2022; Sterzi, Silvia/AAJ-3940-2020; Solaro, Claudio/AAL-2402-2021; Francesco, Draicchio/AAC-7681-2022; GIANSANTI, DANIELE/IWL-9175-2023; Mazzoleni, Stefano/AAM-8581-2020; Morone, Giovanni/AAN-2666-2020; Gandolfi, Marialuisa/J-7033-2018; Petrarca, Maurizio/B-4181-2019; Molteni, Franco/J-4455-2016; Casanova, Emanuela/AAD-3643-2022; Paci, matteo/C-5267-2015; Gimigliano, Francesca/B-6735-2013; Picelli, Alessandro/K-5610-2016; MIccinilli, Sandra/AAC-3628-2022; Marino, Dario/AAA-7195-2022; Straudi, Sofia/AAI-6971-2021; Palomba, Angela/AAI-9534-2021; Mazzoleni, Stefano/B-5875-2011; Martino Cinnera, Alex/K-4259-2018; Arienti, Chiara/AAC-5302-2022; Santacaterina, Fabio/AFK-0797-2022; La Rosa, Giuseppe/ITU-7690-2023; Turchetti, Giuseppe/K-5393-2018; Morone, Giovanni/A-9561-2013</t>
  </si>
  <si>
    <t>Mazzoleni, Stefano/0000-0002-9528-3239; Lippi, Lorenzo/0000-0001-9035-1485; Martino Cinnera, Alex/0000-0001-7267-3253; Giansanti, Daniele/0000-0002-8904-0847; Petrarca, Maurizio/0000-0002-7330-3569; Bravi, Marco/0000-0002-3396-4100; Francesco, Draicchio/0000-0003-0677-2573; Sterzi, Silvia/0000-0002-2347-7544; Boetto, Valentina/0000-0003-2192-2736; Arienti, Chiara/0000-0003-0787-6075; Solaro, Claudio Marcello/0000-0002-6713-4623; Miccinilli, Sandra/0000-0002-8485-8658; Santacaterina, Fabio/0000-0002-6142-3096; La Rosa, Giuseppe/0000-0003-0287-1267; Gimigliano, Francesca/0000-0002-1905-6405; Russo, Emanuele Francesco/0009-0005-2958-602X; Palomba, Angela/0000-0003-3736-0491; Turchetti, Giuseppe/0000-0002-1877-5459; Paci, Matteo/0000-0002-5180-8355; Morone, Giovanni/0000-0003-3602-4197; Straudi, Sofia/0000-0002-2061-9922; Marino, Dario/0000-0002-4608-9843</t>
  </si>
  <si>
    <t>10.23736/S1973-9087.21.06625-9</t>
  </si>
  <si>
    <t>WOS:000650215100008</t>
  </si>
  <si>
    <t>Torabi, A; Nazari, AA; Conrad-Baldwin, E; Zareinia, K; Tavakoli, M</t>
  </si>
  <si>
    <t>Torabi, Ali; Nazari, Ali A.; Conrad-Baldwin, Everly; Zareinia, Kourosh; Tavakoli, Mahdi</t>
  </si>
  <si>
    <t>Kinematic design of linkage-based haptic interfaces for medical applications: a review</t>
  </si>
  <si>
    <t>haptics; haptic interface; user interface; kinematic design; evaluation; redundant haptic interface; medical applications</t>
  </si>
  <si>
    <t>REDUNDANT ROBOT MANIPULATORS; SURGICAL SIMULATION; INVASIVE-SURGERY; PERFORMANCE; TELEOPERATION; DEVICE; OPTIMIZATION; WORKSPACE; TECHNOLOGY; SYSTEM</t>
  </si>
  <si>
    <t>A haptic interface recreates haptic feedback from virtual environments or haptic teleoperation systems that engages the user's sense of touch. High-fidelity haptic feedback is critical to the safety and success of any interaction with human beings. Such interactions can be seen in haptic systems utilized in medical fields, such as for surgical training, robotic tele-surgery, and tele-rehabilitation, which require appropriate haptic interface design and control. In order to recreate high-fidelity soft and stiff contact experiences for the user in the intended application, different designs strike different trade-offs between the desirable characteristics of an interface, such as back-drivability, low apparent inertia and low friction for the best perception of small reflected forces, large intrinsic stiffness and force feedback capability for the best perception of large reflected forces, a large-enough workspace for exploring the remote or virtual environment, and the uniformity of haptic feedback and its adequate sensitivity over the workspace. Meeting all of the requirements simultaneously is impossible, and different application-driven compromises need to be made. This paper reviews how various kinematic designs have helped address these trade-offs in desired specifications. First, we investigate the required characteristics of linkage-based haptic interfaces and inevitable trade-offs between them. Then, we study the state of the art in the kinematic design of haptic interfaces and their advantages and limitations. In all sections, we consider the applications of the intended haptic interfaces in medical scenarios. Non-linkage-based haptic interfaces are also shortly discussed to show the broad range of haptic technologies in the area. The potentials of kinematic redundancy to address the design trade-offs are introduced. Current challenges and future directions of haptic interface designs for medical applications are shortly discussed, which is finally followed by the conclusion.</t>
  </si>
  <si>
    <t>[Torabi, Ali; Tavakoli, Mahdi] Univ Alberta, Dept Elect &amp; Comp Engn, Edmonton, AB, Canada; [Nazari, Ali A.; Conrad-Baldwin, Everly; Zareinia, Kourosh] Ryerson Univ, Dept Mech &amp; Ind Engn, Toronto, ON M5B 2K3, Canada</t>
  </si>
  <si>
    <t>University of Alberta; Toronto Metropolitan University</t>
  </si>
  <si>
    <t>Zareinia, K (corresponding author), Ryerson Univ, Dept Mech &amp; Ind Engn, Toronto, ON M5B 2K3, Canada.</t>
  </si>
  <si>
    <t>kourosh.zareinia@ryerson.ca</t>
  </si>
  <si>
    <t>Nazari, Ali A./AAI-5280-2020; Zareinia, Kourosh/NNG-5634-2025; Tavakoli/I-7778-2012</t>
  </si>
  <si>
    <t>Zareinia, Kourosh/0000-0002-0603-9200; Tavakoli, Mahdi/0000-0002-7427-6961; Torabi, Ali/0000-0001-5090-7856; Nazari, Ali A./0000-0001-6087-4971</t>
  </si>
  <si>
    <t>Canada Foundation for Innovation (CFI); Natural Sciences and Engineering Research Council (NSERC) of Canada; Canadian Institutes of Health Research (CIHR); Alberta Advanced Education Ministry; Alberta Economic Development, and Trade and Tourism Ministry's grant</t>
  </si>
  <si>
    <t>Canada Foundation for Innovation (CFI)(Canada Foundation for Innovation); Natural Sciences and Engineering Research Council (NSERC) of Canada(Natural Sciences and Engineering Research Council of Canada (NSERC)); Canadian Institutes of Health Research (CIHR)(Canadian Institutes of Health Research (CIHR)); Alberta Advanced Education Ministry; Alberta Economic Development, and Trade and Tourism Ministry's grant</t>
  </si>
  <si>
    <t>This work was supported by Canada Foundation for Innovation (CFI), the Natural Sciences and Engineering Research Council (NSERC) of Canada, the Canadian Institutes of Health Research (CIHR), the Alberta Advanced Education Ministry, the Alberta Economic Development, and Trade and Tourism Ministry's grant to Centre for Autonomous Systems in Strengthening Future Communities.</t>
  </si>
  <si>
    <t>10.1088/2516-1091/abee66</t>
  </si>
  <si>
    <t>3M4IH</t>
  </si>
  <si>
    <t>WOS:000835426400001</t>
  </si>
  <si>
    <t>Wang, L; Zheng, Y; Dang, YN; Teng, ML; Zhang, XT; Cheng, YH; Zhang, X; Lu, X</t>
  </si>
  <si>
    <t>Wang, Lu; Zheng, Yu; Dang, Yini; Teng, Meiling; Zhang, Xintong; Cheng, Yihui; Zhang, Xiu; Lu, Xiao</t>
  </si>
  <si>
    <t>EFFECTS OF ROBOT-ASSISTED TRAINING ON BALANCE FUNCTION IN PATIENTS WITH STROKE: A SYSTEMATIC REVIEW AND META-ANALYSIS</t>
  </si>
  <si>
    <t>robot-assisted therapy; stroke; balance function; Berg Balance Scale; meta-analysis</t>
  </si>
  <si>
    <t>UPPER-LIMB REHABILITATION; OF-THE-ART; GAIT; WALKING; FEASIBILITY; INDIVIDUALS; RECOVERY</t>
  </si>
  <si>
    <t>Objective: To investigate the effectiveness of robot-assisted therapy on balance function in stroke survivors. Data sources: PubMed, the Cochrane Library, Embase and China National Knowledge Infrastructure databases were searched systematically for relevant studies. Study selection: Randomized controlled trials reporting robot-assisted therapy on balance function in patients after stroke were included. Data extraction: Information on study characteristics, demographics, interventions strategies and outcome measures were extracted by 2 reviewers. Data synthesis: A total of 19 randomized trials fulfilled the inclusion criteria and 13 out of 19 were included in the meta-analysis. Analysis revealed that robot-assisted therapy significantly improved balance function assessed by berg balance scale (weighted mean difference (WMD) 3.58, 95% confidence interval (95% CI) 1.89-5.28, p &lt; 0.001) compared with conventional therapy. Secondary analysis indicated that there was a significant difference in balance recovery between the conventional therapy and robot-assisted therapy groups in the acute/ subacute stages of stroke (WMD 5.40, 95% CI 3.946.86, p &lt; 0.001), while it was not significant in the chronic stages. With exoskeleton devices, the balance recovery in robot-assisted therapy groups was significantly better than in the conventional therapy groups (WMD 3.73, 95% CI 1.83-5.63, p &lt; 0.001). Analysis further revealed that a total training time of more than 10 h can significantly improve balance function (WMD 4.53, 95% CI 2.31-6.75, p &lt; 0.001). No publication bias or small study effects were observed according to the Cochrane Collaboration tool. Conclusion: These results suggest that robot-assisted therapy is an effective intervention for improving balance function in stroke survivors.</t>
  </si>
  <si>
    <t>[Wang, Lu; Zheng, Yu; Teng, Meiling; Zhang, Xintong; Cheng, Yihui; Zhang, Xiu; Lu, Xiao] Nanjing Med Univ, Affiliated Hosp 1, Dept Rehabil Med, Nanjing 210029, Peoples R China; [Dang, Yini] Nanjing Med Univ, Affiliated Hosp 1, Dept Gastroenterol, Nanjing, Peoples R China</t>
  </si>
  <si>
    <t>Nanjing Medical University; Nanjing Medical University</t>
  </si>
  <si>
    <t>Lu, X (corresponding author), Nanjing Med Univ, Affiliated Hosp 1, Dept Rehabil Med, Nanjing 210029, Peoples R China.</t>
  </si>
  <si>
    <t>luxiao1972@163.com</t>
  </si>
  <si>
    <t>Wang, Lu/0000-0002-3973-2386</t>
  </si>
  <si>
    <t>National Key R&amp;D Program of China [2017YFB1303200]; Nanjing Municipal Science and Technology Bureau [2019060002]</t>
  </si>
  <si>
    <t>National Key R&amp;D Program of China; Nanjing Municipal Science and Technology Bureau</t>
  </si>
  <si>
    <t>This work was funded by the National Key R&amp;D Program of China (grant number 2017YFB1303200) and the Nanjing Municipal Science and Technology Bureau (grant number 2019060002). The funding bodies had no role in the study design, data collection, analysis, or the interpretation of data.</t>
  </si>
  <si>
    <t>jrm0000X</t>
  </si>
  <si>
    <t>10.2340/16501977-2815</t>
  </si>
  <si>
    <t>RJ0JL</t>
  </si>
  <si>
    <t>WOS:000637289500001</t>
  </si>
  <si>
    <t>Bessler, J; Prange-Lasonder, GB; Schaake, L; Saenz, JF; Bidard, C; Fassi, I; Valori, M; Lassen, AB; Buurke, JH</t>
  </si>
  <si>
    <t>Bessler, Jule; Prange-Lasonder, Gerdienke B.; Schaake, Leendert; Saenz, Jose F.; Bidard, Catherine; Fassi, Irene; Valori, Marcello; Lassen, Aske Bach; Buurke, Jaap H.</t>
  </si>
  <si>
    <t>Safety Assessment of Rehabilitation Robots: A Review Identifying Safety Skills and Current Knowledge Gaps</t>
  </si>
  <si>
    <t>rehabilitation robots; physical human-robot interaction; safety assessment; hazards; regulation; standardization; mechanical safety; development phase</t>
  </si>
  <si>
    <t>CIRCUMFERENTIAL TISSUE COMPRESSION; CUFF PRESSURE ALGOMETRY; SHEAR SENSOR SYSTEM; LOWER-LIMB; INTERFACE PRESSURE; INTERACTION FORCES; JOINT TORQUE; SKIN; EXOSKELETONS; CONTACT</t>
  </si>
  <si>
    <t>The assessment of rehabilitation robot safety is a vital aspect of the development process, which is often experienced as difficult. There are gaps in best practices and knowledge to ensure safe usage of rehabilitation robots. Currently, safety is commonly assessed by monitoring adverse events occurrence. The aim of this article is to explore how safety of rehabilitation robots can be assessed early in the development phase, before they are used with patients. We are suggesting a uniform approach for safety validation of robots closely interacting with humans, based on safety skills and validation protocols. Safety skills are an abstract representation of the ability of a robot to reduce a specific risk or deal with a specific hazard. They can be implemented in various ways, depending on the application requirements, which enables the use of a single safety skill across a wide range of applications and domains. Safety validation protocols have been developed that correspond to these skills and consider domain-specific conditions. This gives robot users and developers concise testing procedures to prove the mechanical safety of their robotic system, even when the applications are in domains with a lack of standards and best practices such as the healthcare domain. Based on knowledge about adverse events occurring in rehabilitation robot use, we identified multi-directional excessive forces on the soft tissue level and musculoskeletal level as most relevant hazards for rehabilitation robots and related them to four safety skills, providing a concrete starting point for safety assessment of rehabilitation robots. We further identified a number of gaps which need to be addressed in the future to pave the way for more comprehensive guidelines for rehabilitation robot safety assessments. Predominantly, besides new developments of safety by design features, there is a strong need for reliable measurement methods as well as acceptable limit values for human-robot interaction forces both on skin and joint level.</t>
  </si>
  <si>
    <t>[Bessler, Jule; Prange-Lasonder, Gerdienke B.; Schaake, Leendert; Buurke, Jaap H.] Roessingh Res &amp; Dev, Enschede, Netherlands; [Bessler, Jule; Buurke, Jaap H.] Univ Twente, Dept Biomed Signals &amp; Syst, Enschede, Netherlands; [Prange-Lasonder, Gerdienke B.] Univ Twente, Dept Biomech Engn, Enschede, Netherlands; [Saenz, Jose F.] Fraunhofer Inst Factory Operat &amp; Automat, Magdeburg, Germany; [Bidard, Catherine] CEA LIST, Interact Robot Lab, Palaiseau, France; [Fassi, Irene; Valori, Marcello] Natl Res Council Italy, Milan, Italy; [Lassen, Aske Bach] Danish Technol Inst, Dept Robot Technol, Odense, Denmark</t>
  </si>
  <si>
    <t>University of Twente; University of Twente; Fraunhofer Gesellschaft; Fraunhofer Germany; Fraunhofer Factory Operation &amp; Automation; CEA; Consiglio Nazionale delle Ricerche (CNR); Danish Technological Institute</t>
  </si>
  <si>
    <t>Bessler, J (corresponding author), Roessingh Res &amp; Dev, Enschede, Netherlands.;Bessler, J (corresponding author), Univ Twente, Dept Biomed Signals &amp; Syst, Enschede, Netherlands.</t>
  </si>
  <si>
    <t>j.bessler@rrd.nl</t>
  </si>
  <si>
    <t>fassi, irene/E-9648-2013; Bessler, Jule/KYB-5842-2024; Bidard, Catherine/B-4737-2012; VALORI, MARCELLO/AGZ-0426-2022; VALORI, MARCELLO/Q-2672-2018</t>
  </si>
  <si>
    <t>Schaake, Leendert/0000-0002-9288-4434; Saenz, Jose/0000-0002-5746-9200; VALORI, MARCELLO/0000-0003-4663-9865; Bessler, Jule/0000-0001-7283-917X</t>
  </si>
  <si>
    <t>European Union [779966]; H2020 - Industrial Leadership [779966] Funding Source: H2020 - Industrial Leadership</t>
  </si>
  <si>
    <t>European Union(European Union (EU)); H2020 - Industrial Leadership(European Union (EU)H2020 - Industrial Leadership)</t>
  </si>
  <si>
    <t>This work as part of the COVR project has received funding from the European Union's Horizon 2020 research and innovation program under grant agreement No. 779966.</t>
  </si>
  <si>
    <t>MAR 22</t>
  </si>
  <si>
    <t>10.3389/frobt.2021.602878</t>
  </si>
  <si>
    <t>RU1YM</t>
  </si>
  <si>
    <t>WOS:000644946300001</t>
  </si>
  <si>
    <t>Dong, MJ; Zhou, Y; Li, JF; Rong, X; Fan, WP; Zhou, XD; Kong, Y</t>
  </si>
  <si>
    <t>Dong, Mingjie; Zhou, Yu; Li, Jianfeng; Rong, Xi; Fan, Wenpei; Zhou, Xiaodong; Kong, Yuan</t>
  </si>
  <si>
    <t>State of the art in parallel ankle rehabilitation robot: a systematic review</t>
  </si>
  <si>
    <t>Parallel ankle rehabilitation robot; Mechanism configurations; Trajectory tracking control; Rehabilitation training</t>
  </si>
  <si>
    <t>DESIGN; OPTIMIZATION; MECHANISM; MANIPULATOR; KINEMATICS; PLATFORM; JOINTS</t>
  </si>
  <si>
    <t>Background The ankle joint complex (AJC) is of fundamental importance for balance, support, and propulsion. However, it is particularly susceptible to musculoskeletal and neurological injuries, especially neurological injuries such as drop foot following stroke. An important factor in ankle dysfunction is damage to the central nervous system (CNS). Correspondingly, the fundamental goal of rehabilitation training is to stimulate the reorganization and compensation of the CNS, and to promote the recovery of the motor system's motor perception function. Therefore, an increasing number of ankle rehabilitation robots have been developed to provide long-term accurate and uniform rehabilitation training of the AJC, among which the parallel ankle rehabilitation robot (PARR) is the most studied. The aim of this study is to provide a systematic review of the state of the art in PARR technology, with consideration of the mechanism configurations, actuator types with different trajectory tracking control techniques, and rehabilitation training methods, thus facilitating the development of new and improved PARRs as a next step towards obtaining clinical proof of their rehabilitation benefits. Methods A literature search was conducted on PubMed, Scopus, IEEE Xplore, and Web of Science for articles related to the design and improvement of PARRs for ankle rehabilitation from each site's respective inception from January 1999 to September 2020 using the keywords  parallel,  ankle, and  robot. Appropriate syntax using Boolean operators and wildcard symbols was utilized for each database to include a wider range of articles that may have used alternate spellings or synonyms, and the references listed in relevant publications were further screened according to the inclusion criteria and exclusion criteria. Results and discussion Ultimately, 65 articles representing 16 unique PARRs were selected for review, all of which have developed the prototypes with experiments designed to verify their usability and feasibility. From the comparison among these PARRs, we found that there are three main considerations for the mechanical design and mechanism optimization of PARRs, the choice of two actuator types including pneumatic and electrically driven control, the covering of the AJC's motion space, and the optimization of the kinematic design, actuation design and structural design. The trajectory tracking accuracy and interactive control performance also need to be guaranteed to improve the effect of rehabilitation training and stimulate a patient's active participation. In addition, the parameters of the reviewed 16 PARRs are summarized in detail with their differences compared by using figures and tables in the order they appeared, showing their differences in the two main actuator types, four exercise modes, fifteen control strategies, etc., which revealed the future research trends related to the improvement of the PARRs. Conclusion The selected studies showed the rapid development of PARRs in terms of their mechanical designs, control strategies, and rehabilitation training methods over the last two decades. However, the existing PARRs all have their own pros and cons, and few of the developed devices have been subjected to clinical trials. Designing a PARR with three degrees of freedom (DOFs) and whereby the mechanism's rotation center coincides with the AJC rotation center is of vital importance in the mechanism design and optimization of PARRs. In addition, the design of actuators combining the advantages of the pneumatic-driven and electrically driven ones, as well as some new other actuators, will be a research hotspot for the development of PARRs. For the control strategy, compliance control with variable parameters should be further studied, with sEMG signal included to improve the real-time performance. Multimode rehabilitation training methods with multimodal motion intention recognition, real-time online detection and evaluation system should also be further developed to meet the needs of different ankle disability and rehabilitation stages. In addition, the clinical trials are in urgent need to help the PARRs be implementable as an intervention in clinical practice.</t>
  </si>
  <si>
    <t>[Dong, Mingjie; Zhou, Yu; Li, Jianfeng; Fan, Wenpei; Kong, Yuan] Beijing Univ Technol, Fac Mat &amp; Mfg, Beijing Key Lab Adv Mfg Technol, 100 Pingleyuan, Beijing 100124, Peoples R China; [Rong, Xi] Qingdao Univ, Affiliated Hosp, Dept Neurol, 59 Haier Rd, Qingdao 266000, Peoples R China; [Zhou, Xiaodong] Beijing Inst Control Engn, Beijing 100094, Peoples R China</t>
  </si>
  <si>
    <t>Beijing University of Technology; Qingdao University</t>
  </si>
  <si>
    <t>Li, JF (corresponding author), Beijing Univ Technol, Fac Mat &amp; Mfg, Beijing Key Lab Adv Mfg Technol, 100 Pingleyuan, Beijing 100124, Peoples R China.</t>
  </si>
  <si>
    <t>lijianfeng@bjut.edu.cn</t>
  </si>
  <si>
    <t>Zhou, Yu/GRE-8574-2022</t>
  </si>
  <si>
    <t>Zhou, Yu/0000-0003-4036-9518</t>
  </si>
  <si>
    <t>Beijing Natural Science Foundation [3204036]; General Program of Science and Technology Development Project of Beijing Municipal Education Commission [KM202010005021]; National Natural Science Foundation of China [61903011, 51675008, 51805025]; National Key R&amp;D Program of China [2018YFB1307004, 2020YFC2004200]</t>
  </si>
  <si>
    <t>Beijing Natural Science Foundation(Beijing Natural Science Foundation); General Program of Science and Technology Development Project of Beijing Municipal Education Commission; National Natural Science Foundation of China(National Natural Science Foundation of China (NSFC)); National Key R&amp;D Program of China</t>
  </si>
  <si>
    <t>This work was supported in part by Beijing Natural Science Foundation under grant No.3204036, in part by the General Program of Science and Technology Development Project of Beijing Municipal Education Commission under Grant No.KM202010005021, in part by the National Natural Science Foundation of China under grant Nos.61903011, 51675008, and 51805025, and in part by the National Key R&amp;D Program of China under grant Nos.2018YFB1307004 and 2020YFC2004200.</t>
  </si>
  <si>
    <t>10.1186/s12984-021-00845-z</t>
  </si>
  <si>
    <t>QZ6VB</t>
  </si>
  <si>
    <t>WOS:000630860000001</t>
  </si>
  <si>
    <t>Gabel, CP; Guy, B; Mokhtarinia, HR; Melloh, M</t>
  </si>
  <si>
    <t>Gabel, Charles Philip; Guy, Bernard; Mokhtarinia, Hamid Reza; Melloh, Markus</t>
  </si>
  <si>
    <t>Slacklining: An explanatory multi-dimensional model considering classical mechanics, biopsychosocial health and time</t>
  </si>
  <si>
    <t>WORLD JOURNAL OF ORTHOPEDICS</t>
  </si>
  <si>
    <t>Slacklining; Model; Human movement; Biopsychosocial; Time</t>
  </si>
  <si>
    <t>BRAIN STRUCTURE; BALANCE; PLASTICITY; NEUROPLASTICITY; COORDINATION; INSTABILITY; ADAPTATIONS; INTEGRATION; PEOPLE; INJURY</t>
  </si>
  <si>
    <t>This paper aims to overcome slacklining's limited formulated explanatory models. Slacklining is an activity with increasing recreational use, but also has progressive adoption into prehabilitation and rehabilitation. Slacklining is achieved through self-learned strategies that optimize energy expenditure without conceding dynamic stability, during the neuromechanical action of balance retention on a tightened band. Evolved from rope-walking or 'Funambulus', slacklining has an extensive history, yet limited and only recent published research, particularly for clinical interventions and in-depth hypothesized multi-dimensional models describing the neuromechanical control strategies. These 'knowledge-gaps' can be overcome by providing an, explanatory model, that evolves and progresses existing standards, and explains the broader circumstances of slacklining's use. This model details the individual's capacity to employ control strategies that achieve stability, functional movement and progressive technical ability. The model considers contributing entities derived from: Self-learned control of movement patterns; subjected to classical mechanical forces governed by Newton's physical laws; influenced by biopsychosocial health factors; and within time's multi-faceted perspectives, including as a quantified unit and as a spatial and cortical experience. Consequently, specific patient and situational uses may be initiated within the framework of evidence based medicine that ensures a multi-tiered context of slacklining applications in movement, balance and stability. Further research is required to investigate and mathematically define this proposed model and potentially enable an improved understanding of human functional movement. This will include its application in other diverse constructed and mechanical applications in varied environments, automation levels, robotics, mechatronics and artificial-intelligence factors, including machine learning related to movement phenotypes and applications.</t>
  </si>
  <si>
    <t>[Gabel, Charles Philip] Access Physiotherapy, Dept Physiotherapy, 12 Grandview Dye, Coolum Beach 4573, Australia; [Guy, Bernard] Ecole Mines St Etienne, Ind &amp; Nat Proc Div, F-4200 St Etienne, Loire, France; [Mokhtarinia, Hamid Reza] Univ Social Welf &amp; Rehabil Sci, Dept Ergon, Tehran 12345, Iran; [Melloh, Markus] Zurich Univ Appl Sci, Sch Hlth Profess, Inst Hlth Sci, CH-8400 Winterthur, Switzerland</t>
  </si>
  <si>
    <t>IMT - Institut Mines-Telecom; Mines Saint-Etienne; Zurich University of Applied Sciences</t>
  </si>
  <si>
    <t>Gabel, CP (corresponding author), Access Physiotherapy, Dept Physiotherapy, 12 Grandview Dye, Coolum Beach 4573, Australia.</t>
  </si>
  <si>
    <t>cp.gabel@bigpond.com</t>
  </si>
  <si>
    <t>Melloh, Markus/H-5433-2014; , hamidreza/AAB-5672-2021</t>
  </si>
  <si>
    <t>Melloh, Markus/0000-0002-8819-799X</t>
  </si>
  <si>
    <t>2218-5836</t>
  </si>
  <si>
    <t>WORLD J ORTHOP</t>
  </si>
  <si>
    <t>World J. Orthop.</t>
  </si>
  <si>
    <t>MAR 18</t>
  </si>
  <si>
    <t>10.5312/wjo.v12.i3.102</t>
  </si>
  <si>
    <t>RH5AX</t>
  </si>
  <si>
    <t>WOS:000636232400002</t>
  </si>
  <si>
    <t>Duan, RM; Qu, MJ; Yuan, YS; Lin, MM; Liu, T; Huang, W; Gao, JX; Zhang, M; Yu, XB</t>
  </si>
  <si>
    <t>Duan, Ruimeng; Qu, Mingjia; Yuan, Yashuai; Lin, Miaoman; Liu, Tao; Huang, Wei; Gao, Junxiao; Zhang, Meng; Yu, Xiaobing</t>
  </si>
  <si>
    <t>Clinical Benefit of Rehabilitation Training in Spinal Cord Injury A Systematic Review and Meta-Analysis</t>
  </si>
  <si>
    <t>SPINE</t>
  </si>
  <si>
    <t>activity-based intervention; functional electrical stimulation; lower extremity function; randomized controlled trials; rehabilitation; robotic-assisted treadmill training; spinal cord injury; transcranial magnetic stimulation; upper extremity functional; walking function</t>
  </si>
  <si>
    <t>FUNCTIONAL ELECTRICAL-STIMULATION; WEIGHT-SUPPORTED TREADMILL; MASSED PRACTICE; WALKING; INDIVIDUALS; THERAPY; PEOPLE; RECOVERY; INTERVENTIONS; SPASTICITY</t>
  </si>
  <si>
    <t>Study Design. A systematic review and meta-analysis. Objective. This study was performed to evaluate the effects of different rehabilitation interventions in spinal cord injury. Summary of Background Data. Several activity-based interventions have been widely applied in spinal cord injury in the past, but the effects of these rehabilitation exercises are controversial. Methods. Publications were searched from databases (PubMed, Embase, Cochrane, the database of the U.S. National Institutes of Health and World Health Organization International Clinical Trials Registry Platform) using the searching terms like spinal cord injury, transcranial magnetic stimulation, functional electrical stimulation, activity-based therapy, and robotic-assisted locomotor training. Randomized controlled trials and controlled trials were included. The primary outcomes included functional upper/lower extremity independence, walking capacity, spasticity, and life quality of individuals with spinal cord injury. Meta-analysis was performed using Revman 5.0 software. Results. Thirty-one articles were included. Meta-analysis showed that transcranial magnetic stimulation improved walking speed (95% confidence interval [CI] 0.01, 0.16) and lower extremity function (95% CI 1.55, 7.27); functional electrical stimulation significantly increased upper extremity independence (95% CI 0.37, 5.48). Robotic-assisted treadmill training improved lower extremity function (95% CI 3.44, 6.56) compared with related controls. Conclusion. Activity-based intervention like transcranial magnetic stimulation, functional electrical stimulation, and robotic-assisted treadmill training are effective in improving function in individuals with spinal cord injury.</t>
  </si>
  <si>
    <t>[Duan, Ruimeng; Qu, Mingjia; Yuan, Yashuai; Lin, Miaoman; Liu, Tao; Huang, Wei; Gao, Junxiao; Zhang, Meng; Yu, Xiaobing] Dalian Univ, Dept Orthopaed, Affiliated Zhongshan Hosp, Dalian, Peoples R China; [Qu, Mingjia] Dalian Med Univ, Grad Sch, Dalian, Peoples R China</t>
  </si>
  <si>
    <t>Dalian University; Dalian Medical University</t>
  </si>
  <si>
    <t>Yu, XB (corresponding author), 6 Jiefang St, Dalian 116001, Liaoning, Peoples R China.</t>
  </si>
  <si>
    <t>dldxyxb@163.com</t>
  </si>
  <si>
    <t>Huang, Wei/JPY-0146-2023; Liu, Tao/A-3922-2015</t>
  </si>
  <si>
    <t>Lin, Miaoman/0000-0003-3046-6242</t>
  </si>
  <si>
    <t>0362-2436</t>
  </si>
  <si>
    <t>1528-1159</t>
  </si>
  <si>
    <t>E398</t>
  </si>
  <si>
    <t>E410</t>
  </si>
  <si>
    <t>10.1097/BRS.0000000000003789</t>
  </si>
  <si>
    <t>SV3LY</t>
  </si>
  <si>
    <t>WOS:000663725200012</t>
  </si>
  <si>
    <t>du Plessis, T; Djouani, K; Oosthuizen, C</t>
  </si>
  <si>
    <t>du Plessis, Tiaan; Djouani, Karim; Oosthuizen, Christiaan</t>
  </si>
  <si>
    <t>A Review of Active Hand Exoskeletons for Rehabilitation and Assistance</t>
  </si>
  <si>
    <t>hand exoskeletons; rehabilitation; active assistive devices; robotic orthosis; hand exoskeleton requirements</t>
  </si>
  <si>
    <t>SERIES ELASTIC ACTUATION; FINGER EXOSKELETON; DESIGN; GLOVE; SYSTEM; DRIVEN</t>
  </si>
  <si>
    <t>Disabilities are a global issue due to the decrease in life quality and mobility of patients, especially people suffering from hand disabilities. This paper presents a review of active hand exoskeleton technologies, over the past decade, for rehabilitation, assistance, augmentation, and haptic devices. Hand exoskeletons are still an active research field due to challenges that engineers face and are trying to solve. Each hand exoskeleton has certain requirements to fulfil to achieve their aims. These requirements have been extracted and categorized into two sections: general and specific, to give a common platform for developing future devices. Since this is still a developing area, the requirements are also shaped according to the advances in the field. Technical challenges, such as size requirements, weight, ergonomics, rehabilitation, actuators, and sensors are all due to the complex anatomy and biomechanics of the hand. The hand is one of the most complex structures in the human body; therefore, to understand certain design approaches, the anatomy and biomechanics of the hand are addressed in this paper. The control of these devices is also an arising challenge due to the implementation of intelligent systems and new rehabilitation techniques. This includes intention detection techniques (electroencephalography (EEG), electromyography (EMG), admittance) and estimating applied assistance. Therefore, this paper summarizes the technology in a systematic approach and reviews the state of the art of active hand exoskeletons with a focus on rehabilitation and assistive devices.</t>
  </si>
  <si>
    <t>[du Plessis, Tiaan; Oosthuizen, Christiaan] Tshwane Univ Technol, Dept Mech &amp; Mechatron Engn, ZA-0001 Pretoria, South Africa; [Djouani, Karim] Tshwane Univ Technol, Dept Elect Engn, FSATI, Staatsartillerie Rd, ZA-0183 Pretoria, South Africa; [Djouani, Karim] Univ Paris Est Creteil, LISSI LAB, Ave Gen Gaulle, F-9400 Creteil, France</t>
  </si>
  <si>
    <t>Tshwane University of Technology; Tshwane University of Technology; Universite Paris-Est-Creteil-Val-de-Marne (UPEC)</t>
  </si>
  <si>
    <t>du Plessis, T (corresponding author), Tshwane Univ Technol, Dept Mech &amp; Mechatron Engn, ZA-0001 Pretoria, South Africa.</t>
  </si>
  <si>
    <t>215661695@tut4life.ac.za; djouanik@tut.ac.za; oosthuizencc@tut.ac.za</t>
  </si>
  <si>
    <t>Djouani, Karim/F-6476-2012</t>
  </si>
  <si>
    <t>Djouani, Karim/0000-0001-6060-8200; Du Plessis, Tiaan/0000-0001-5574-4064; Oosthuizen, Christiaan/0000-0002-2012-6765</t>
  </si>
  <si>
    <t>National Research Foundation (NRF) of South Africa [90604]; NRF</t>
  </si>
  <si>
    <t>National Research Foundation (NRF) of South Africa(National Research Foundation - South Africa); NRF</t>
  </si>
  <si>
    <t>This research was funded by the National Research Foundation (NRF) of South Africa (Grant Number: 90604). Opinions, findings, and conclusions or recommendations expressed in any publication generated by the NRF supported research are those of the author(s) alone, and the NRF accepts no liability whatsoever in this regard.</t>
  </si>
  <si>
    <t>10.3390/robotics10010040</t>
  </si>
  <si>
    <t>RC9BJ</t>
  </si>
  <si>
    <t>WOS:000633086900001</t>
  </si>
  <si>
    <t>Hoffmann, TK</t>
  </si>
  <si>
    <t>Hoffmann, Thomas K.</t>
  </si>
  <si>
    <t>Total Laryngectomy-Still Cutting-Edge?</t>
  </si>
  <si>
    <t>total laryngectomy; carcinoma; tracheostomy; voice; radiochemotherapy</t>
  </si>
  <si>
    <t>SQUAMOUS-CELL CARCINOMA; QUALITY-OF-LIFE; LOCALLY ADVANCED HEAD; ORGAN-PRESERVATION THERAPY; NECK-CANCER PATIENTS; RADIATION-THERAPY; SALVAGE LARYNGECTOMY; LARYNX-PRESERVATION; CONCURRENT CHEMORADIOTHERAPY; PRIMARY RADIOTHERAPY</t>
  </si>
  <si>
    <t>Simple Summary Complete removal of the larynx (total laryngectomy) offers a curative approach for advanced laryngeal and pharyngeal cancer. If the operation is performed after radiotherapy wound healing problems have to be taken into account which can be managed by adapted reconstructive techniques. Laryngectomy results in the loss of voice which can be managed e.g., by using a voice prosthesis with a significant increase in quality of life. Total laryngectomy still represents a relevant surgical procedure in modern head and neck oncology. Surgical removal of the larynx (total laryngectomy) offers a curative approach to patients with advanced laryngeal and hypopharyngeal (squamous cell) cancer without distant metastases. Particularly in T4a carcinoma, laryngectomy seems prognostically superior to primary radio(chemo)therapy. Further relevant indications for laryngectomy include massive laryngeal dysfunction associated with aspiration and recurrence after radio(chemo)therapy, resulting in salvage surgery. The surgical procedure including neck dissection is highly standardised and safe. The resulting aphonia can be compensated by functional rehabilitation (e.g., voice prosthesis) associated with a significant quality of life improvement. This article presents an overview of indications, preoperative diagnostics, surgical procedures, including new developments (robotics), possible complications, the choice of adjuvant treatment, alternative therapeutic approaches, rehabilitation and prognosis. In summary, total laryngectomy still represents a relevant surgical procedure in modern head and neck oncology.</t>
  </si>
  <si>
    <t>[Hoffmann, Thomas K.] Ulm Univ Hosp, Dept Otorhinolaryngol Head &amp; Neck Surg, D-89070 Ulm, Germany</t>
  </si>
  <si>
    <t>Ulm University</t>
  </si>
  <si>
    <t>Hoffmann, TK (corresponding author), Ulm Univ Hosp, Dept Otorhinolaryngol Head &amp; Neck Surg, D-89070 Ulm, Germany.</t>
  </si>
  <si>
    <t>t.hoffmann@uniklinik-ulm.de</t>
  </si>
  <si>
    <t>Hoffmann, Thomas/HPE-6581-2023</t>
  </si>
  <si>
    <t>10.3390/cancers13061405</t>
  </si>
  <si>
    <t>RE7NN</t>
  </si>
  <si>
    <t>WOS:000634336000001</t>
  </si>
  <si>
    <t>Kyrarini, M; Lygerakis, F; Rajavenkatanarayanan, A; Sevastopoulos, C; Nambiappan, HR; Chaitanya, KK; Babu, AR; Mathew, J; Makedon, F</t>
  </si>
  <si>
    <t>Kyrarini, Maria; Lygerakis, Fotios; Rajavenkatanarayanan, Akilesh; Sevastopoulos, Christos; Nambiappan, Harish Ram; Chaitanya, Kodur Krishna; Babu, Ashwin Ramesh; Mathew, Joanne; Makedon, Fillia</t>
  </si>
  <si>
    <t>A Survey of Robots in Healthcare</t>
  </si>
  <si>
    <t>healthcare; robotics; care robots; nursing robots; hospital robots; assistive robots; rehabilitation robots; walking assisting robots</t>
  </si>
  <si>
    <t>UPPER-LIMB REHABILITATION; SOCIALLY-ASSISTIVE ROBOTS; DUTCH NURSING-HOMES; OLDER-ADULTS; EXOSKELETON; STROKE; WALKING; DESIGN; PEOPLE; IMPAIRMENTS</t>
  </si>
  <si>
    <t>In recent years, with the current advancements in Robotics and Artificial Intelligence (AI), robots have the potential to support the field of healthcare. Robotic systems are often introduced in the care of the elderly, children, and persons with disabilities, in hospitals, in rehabilitation and walking assistance, and other healthcare situations. In this survey paper, the recent advances in robotic technology applied in the healthcare domain are discussed. The paper provides detailed information about state-of-the-art research in care, hospital, assistive, rehabilitation, and walking assisting robots. The paper also discusses the open challenges healthcare robots face to be integrated into our society.</t>
  </si>
  <si>
    <t>[Kyrarini, Maria; Lygerakis, Fotios; Rajavenkatanarayanan, Akilesh; Sevastopoulos, Christos; Nambiappan, Harish Ram; Chaitanya, Kodur Krishna; Babu, Ashwin Ramesh; Mathew, Joanne; Makedon, Fillia] Univ Texas Arlington, Heracleia Human Ctr Comp Lab, Dept Comp Sci &amp; Engn, Arlington, TX 76019 USA</t>
  </si>
  <si>
    <t>University of Texas System; University of Texas Arlington</t>
  </si>
  <si>
    <t>Kyrarini, M (corresponding author), Univ Texas Arlington, Heracleia Human Ctr Comp Lab, Dept Comp Sci &amp; Engn, Arlington, TX 76019 USA.</t>
  </si>
  <si>
    <t>maria.kyrarini@uta.edu; fotios.lygerakis@mavs.uta.edu; akilesh.rajavenkatanarayanan@mavs.uta.edu; christos.sevastopoulos@mavs.uta.edu; harishram.nambiappan@mavs.uta.edu; kck8298@mavs.uta.edu; ashwin.rameshbabu@mavs.uta.edu; joanne.mathew@mavs.uta.edu; makedon@uta.edu</t>
  </si>
  <si>
    <t>Kyrarini, Maria/AAE-2453-2019; Ramesh Babu, Ashwin/AHB-4406-2022; Rajavenkatanarayanan, Akilesh/T-8291-2019</t>
  </si>
  <si>
    <t>Nambiappan, Harish Ram/0000-0002-9894-0150; Kyrarini, Maria/0000-0003-0968-2477; Lygerakis, Fotios/0000-0001-8044-3511</t>
  </si>
  <si>
    <t>NSF [NSF-CHS 1565328, NSF-PFI 1719031]</t>
  </si>
  <si>
    <t>NSF(National Science Foundation (NSF))</t>
  </si>
  <si>
    <t>This work is based upon research supported by the NSF under award numbers NSF-CHS 1565328 and NSF-PFI 1719031.</t>
  </si>
  <si>
    <t>10.3390/technologies9010008</t>
  </si>
  <si>
    <t>RC9DL</t>
  </si>
  <si>
    <t>WOS:000633092300001</t>
  </si>
  <si>
    <t>Nizamis, K; Athanasiou, A; Almpani, S; Dimitrousis, C; Astaras, A</t>
  </si>
  <si>
    <t>Nizamis, Kostas; Athanasiou, Alkinoos; Almpani, Sofia; Dimitrousis, Christos; Astaras, Alexander</t>
  </si>
  <si>
    <t>Converging Robotic Technologies in Targeted Neural Rehabilitation: A Review of Emerging Solutions and Challenges</t>
  </si>
  <si>
    <t>artificial intelligence; brain-computer interfaces; exoskeleton; human-robot interaction; neurological disability; neurorehabilitation; robotics; neural interfaces</t>
  </si>
  <si>
    <t>DUCHENNE MUSCULAR-DYSTROPHY; SPINAL-CORD-INJURY; BRAIN-COMPUTER INTERFACES; FUNCTIONAL ELECTRICAL-STIMULATION; MULTI-PAD ELECTRODE; VIRTUAL-REALITY; ASSISTED REHABILITATION; MOTOR REHABILITATION; CLINICAL-PRACTICE; UPPER-EXTREMITY</t>
  </si>
  <si>
    <t>Recent advances in the field of neural rehabilitation, facilitated through technological innovation and improved neurophysiological knowledge of impaired motor control, have opened up new research directions. Such advances increase the relevance of existing interventions, as well as allow novel methodologies and technological synergies. New approaches attempt to partially overcome long-term disability caused by spinal cord injury, using either invasive bridging technologies or noninvasive human-machine interfaces. Muscular dystrophies benefit from electromyography and novel sensors that shed light on underlying neuromotor mechanisms in people with Duchenne. Novel wearable robotics devices are being tailored to specific patient populations, such as traumatic brain injury, stroke, and amputated individuals. In addition, developments in robot-assisted rehabilitation may enhance motor learning and generate movement repetitions by decoding the brain activity of patients during therapy. This is further facilitated by artificial intelligence algorithms coupled with faster electronics. The practical impact of integrating such technologies with neural rehabilitation treatment can be substantial. They can potentially empower nontechnically trained individuals-namely, family members and professional carers-to alter the programming of neural rehabilitation robotic setups, to actively get involved and intervene promptly at the point of care. This narrative review considers existing and emerging neural rehabilitation technologies through the perspective of replacing or restoring functions, enhancing, or improving natural neural output, as well as promoting or recruiting dormant neuroplasticity. Upon conclusion, we discuss the future directions for neural rehabilitation research, diagnosis, and treatment based on the discussed technologies and their major roadblocks. This future may eventually become possible through technological evolution and convergence of mutually beneficial technologies to create hybrid solutions.</t>
  </si>
  <si>
    <t>[Nizamis, Kostas] Univ Twente, Dept Design Prod &amp; Management, NL-7522 NB Enschede, Netherlands; [Athanasiou, Alkinoos; Astaras, Alexander] Aristotle Univ Thessaloniki, Sch Med, Lab Med Phys, Fac Hlth Sci, Thessaloniki 54124, Greece; [Almpani, Sofia] Natl Tech Univ Athens, Sch Elect &amp; Comp Engn, Athens 15773, Greece; [Dimitrousis, Christos; Astaras, Alexander] Amer Coll Thessaloniki, Dept Comp Sci, Thessaloniki 55535, Greece</t>
  </si>
  <si>
    <t>University of Twente; Aristotle University of Thessaloniki; National Technical University of Athens</t>
  </si>
  <si>
    <t>Nizamis, K (corresponding author), Univ Twente, Dept Design Prod &amp; Management, NL-7522 NB Enschede, Netherlands.</t>
  </si>
  <si>
    <t>k.nizamis@utwente.nl; athalkinoos@auth.gr; salmpani@mail.ntua.gr; c.dimitrousis@gmail.com; astaras@act.edu</t>
  </si>
  <si>
    <t>Nizamis, Kostas/I-2830-2019; Athanasiou, Alkinoos/C-8418-2016</t>
  </si>
  <si>
    <t>Athanasiou, Alkinoos/0000-0002-0269-4195; Almpani, Sofia/0000-0003-4823-479X; Nizamis, Kostas/0000-0002-6965-0242</t>
  </si>
  <si>
    <t>COST Action Wearable Robots for augmentation, assistance or substitution of human motor functions [CA 16116]; EUROSPINE TFR</t>
  </si>
  <si>
    <t>COST Action Wearable Robots for augmentation, assistance or substitution of human motor functions; EUROSPINE TFR</t>
  </si>
  <si>
    <t>The authors would like to thank COST Action CA 16116, Wearable Robots for augmentation, assistance or substitution of human motor functions for creating the opportunity for this collaborative work. The authors would also like to thank EUROSPINE TFR for a 2019 Grant awarded for network and capacity building.</t>
  </si>
  <si>
    <t>10.3390/s21062084</t>
  </si>
  <si>
    <t>SF4NA</t>
  </si>
  <si>
    <t>WOS:000652733400001</t>
  </si>
  <si>
    <t>Nudi, R; Campagna, M; Parma, A; Nudi, A; Zoccai, GB</t>
  </si>
  <si>
    <t>Nudi, Raffaele; Campagna, Marco; Parma, Alessio; Nudi, Andrea; Zoccai, Giuseppe Biondi</t>
  </si>
  <si>
    <t>Breakthrough healthcare technologies in the COVID-19 era: a unique opportunity for cardiovascular practitioners and patients</t>
  </si>
  <si>
    <t>PANMINERVA MEDICA</t>
  </si>
  <si>
    <t>Cardiovascular diseases; Cardiology; COVID-19; Prevention and technology; Technology</t>
  </si>
  <si>
    <t>CORONARY; RATES</t>
  </si>
  <si>
    <t>INTRODUCTION: The Coronavirus disease 2019 (COVID-19) pandemic, caused by symptomatic severe acute respiratory syndrome-Coronavirus-2 (SARS-CoV-2) infection, has wreaked havoc globally, challenging the healthcare, economical, technological and social status quo of developing but also developed countries. For instance, the COVID-19 scare has reduced timely hospital admissions for ST-elevation myocardial infarction in Europe and the USA, causing unnecessary deaths and disabilities. While the emergency is still ongoing, enough efforts have been put to study and tackle this condition such that a comprehensive perspective and synthesis on the potential role of breakthrough healthcare technologies is possible. Indeed, current state-of-the-art information technologies can provide a unique opportunity to adapt and adjust to the current healthcare needs associated with COVID-19, either directly or indirectly, and in particular those of cardiovascular patients and practitioners. EVIDENCE ACQUISITION: We searched several biomedical databases, websites and social media, including PubMed, Medscape, and Twitter, for smartcare approaches suitable for application in the COVID-19 pandemic. EVIDENCE SYNTHESIS: We retrieved details on several promising avenues for present and future healthcare technologies, capable of substantially reduce the mortality, morbidity, and resource use burden of COVID-19 as well as that of cardiovascular disease. In particular, we have found data supporting the importance of data sharing, model sharing, preprint archiving, social media, medical case sharing, distance learning and continuous medical education, smartphone apps, telemedicine, robotics, big data analysis, machine learning, and deep learning, with the ultimate goal of optimization of individual prevention, diagnosis, tracing, risk-stratification, treatment and rehabilitation. CONCLUSIONS: We are confident that refinement and command of smartcare technologies will prove extremely beneficial in the short-term, but also dramatically reshape cardiovascular practice and healthcare delivery in the long-term future, for COVID-19 as well as other diseases.</t>
  </si>
  <si>
    <t>[Nudi, Raffaele] Madonna Fiducia Clin, Serv Hybrid Cardio Imaging, Rome, Italy; [Nudi, Raffaele] Ostia Radiol, Rome, Italy; [Campagna, Marco; Parma, Alessio] Finsa, Turin, Italy; [Nudi, Andrea] Replycare, Rome, Italy; [Nudi, Andrea] ETISAN, Rome, Italy; [Zoccai, Giuseppe Biondi] Sapienza Univ, Dept Med Surg Sci &amp; Biotechnol, Corso Repubbl 74, I-04100 Rome, Italy; [Zoccai, Giuseppe Biondi] Mediterraneo Cardioctr, Naples, Italy</t>
  </si>
  <si>
    <t>Sapienza University Rome</t>
  </si>
  <si>
    <t>Zoccai, GB (corresponding author), Sapienza Univ, Dept Med Surg Sci &amp; Biotechnol, Corso Repubbl 74, I-04100 Rome, Italy.</t>
  </si>
  <si>
    <t>giuseppe.biondizoccai@uniroma1.it</t>
  </si>
  <si>
    <t>Biondi-Zoccai, Giuseppe/C-9670-2012</t>
  </si>
  <si>
    <t>Biondi-Zoccai, Giuseppe/0000-0001-6103-8510</t>
  </si>
  <si>
    <t>Replycare, Rome, Italy</t>
  </si>
  <si>
    <t>This work was supported by Replycare, Rome, Italy, and Etisan, Rome, Italy.</t>
  </si>
  <si>
    <t>0031-0808</t>
  </si>
  <si>
    <t>1827-1898</t>
  </si>
  <si>
    <t>PANMINERVA MED</t>
  </si>
  <si>
    <t>Panminerva Medica</t>
  </si>
  <si>
    <t>10.23736/S0031-0808.20.04188-9</t>
  </si>
  <si>
    <t>RR5EN</t>
  </si>
  <si>
    <t>WOS:000643121300009</t>
  </si>
  <si>
    <t>Tan, K; Koyama, S; Sakurai, H; Teranishi, T; Kanada, Y; Tanabe, S</t>
  </si>
  <si>
    <t>Tan, Koki; Koyama, Soichiro; Sakurai, Hiroaki; Teranishi, Toshio; Kanada, Yoshikiyo; Tanabe, Shigeo</t>
  </si>
  <si>
    <t>Wearable robotic exoskeleton for gait reconstruction in patients with spinal cord injury: A literature review</t>
  </si>
  <si>
    <t>Gait reconstruction; Paraplegia; Tetraplegia; Wearable robotic exoskeleton</t>
  </si>
  <si>
    <t>ASSIST LOCOMOTOR WPAL; SINGLE HIP-JOINT; POWERED EXOSKELETON; PHYSICAL-ACTIVITY; WALKING; ORTHOSIS; REHABILITATION; OSTEOPOROSIS; INDIVIDUALS; MULTICENTER</t>
  </si>
  <si>
    <t>Objectives: Wearable robotic exoskeletons (WREs) have been globally developed to achieve gait reconstruction in patients with spinal cord injury (SCI). The present study aimed to enable evidence-based decision-making in selecting the optimal WRE according to residual motor function and to provide a new perspective on further development of appropriate WREs. Methods: The current review was conducted by searching PubMed, Web of Science, and Google Scholar for relevant studies published from April 2015 to February 2020. Selected studies were analysed with a focus on the participants' neurological level of SCI, amount of training (number of training sessions and duration of the total training period), gait speed and endurance achieved, and subgroup exploration of the number of persons for assistance and the walking aid used among patients with cervical level injury. Results: A total of 28 articles (nine using Ekso, three using Indego, ten using ReWalk, one using REX, five using Wearable Power-Assist Locomotor) involving 228 patients were included in the analysis. Across all WREs, T6 was the most frequently reported level of SCI. The amount of training showed a wide distribution (number of training sessions: 2-230 sessions [30-120 min per session]; duration of the total training period: 1-24 weeks [1-5 times per week]). The mean gait speed was 0.31 m/s (standard deviation [SD] 0.14), and the mean distance on the 6min walking test as a measure of endurance was 108.9m (SD 46.7). The subgroup exploration aimed at patients with cervical level injury indicated that 59.2% of patients were able to ambulate with no physical assistance and several patients used a walker as a walking aid. Conclusion: The number of cervical level injury increased, as compared to the number previously indicated by a prior similar review. Training procedure was largely different among studies. Further improvement based on gait performance is required for use and dissemination in daily life. The translational potential of this article: The present review reveals the current state of the clinical effectiveness of WREs for gait reconstruction in patients with SCI, contributing to evidence-based device application and further development.</t>
  </si>
  <si>
    <t>[Tan, Koki] Fujita Hlth Univ, Grad Sch Hlth Sci, Toyoake, Aichi, Japan; [Koyama, Soichiro; Sakurai, Hiroaki; Teranishi, Toshio; Kanada, Yoshikiyo; Tanabe, Shigeo] Fujita Hlth Univ, Fac Rehabil, Sch Hlth Sci, Toyoake, Aichi, Japan</t>
  </si>
  <si>
    <t>Fujita Health University; Fujita Health University</t>
  </si>
  <si>
    <t>Tanabe, S (corresponding author), Fujita Hlth Univ, Fac Rehabil, Sch Hlth Sci, Toyoake, Aichi, Japan.</t>
  </si>
  <si>
    <t>tanabes@fujita-hu.ac.jp</t>
  </si>
  <si>
    <t>JSPS KAKENHI [19K19810]; Grants-in-Aid for Scientific Research [19K19810] Funding Source: KAKEN</t>
  </si>
  <si>
    <t>This review was supported by JSPS KAKENHI Grant Number 19K19810.</t>
  </si>
  <si>
    <t>10.1016/j.jot.2021.01.001</t>
  </si>
  <si>
    <t>SO1CG</t>
  </si>
  <si>
    <t>WOS:000658716900008</t>
  </si>
  <si>
    <t>Vélez-Guerrero, MA; Callejas-Cuervo, M; Mazzoleni, S</t>
  </si>
  <si>
    <t>Velez-Guerrero, Manuel Andres; Callejas-Cuervo, Mauro; Mazzoleni, Stefano</t>
  </si>
  <si>
    <t>Artificial Intelligence-Based Wearable Robotic Exoskeletons for Upper Limb Rehabilitation: A Review</t>
  </si>
  <si>
    <t>robotic exoskeletons; wearable devices; artificial intelligence (AI); artificial neural networks (ANN); adaptive algorithms; upper limbs; rehabilitation; healthcare; control strategies</t>
  </si>
  <si>
    <t>ACTIVE EXOSKELETONS; CONTROL STRATEGIES; DESIGN; SYSTEMS; CHALLENGES; DEVICES</t>
  </si>
  <si>
    <t>Processing and control systems based on artificial intelligence (AI) have progressively improved mobile robotic exoskeletons used in upper-limb motor rehabilitation. This systematic review presents the advances and trends of those technologies. A literature search was performed in Scopus, IEEE Xplore, Web of Science, and PubMed using the PRISMA (Preferred Reporting Items for Systematic Reviews and Meta-Analyses) methodology with three main inclusion criteria: (a) motor or neuromotor rehabilitation for upper limbs, (b) mobile robotic exoskeletons, and (c) AI. The period under investigation spanned from 2016 to 2020, resulting in 30 articles that met the criteria. The literature showed the use of artificial neural networks (40%), adaptive algorithms (20%), and other mixed AI techniques (40%). Additionally, it was found that in only 16% of the articles, developments focused on neuromotor rehabilitation. The main trend in the research is the development of wearable robotic exoskeletons (53%) and the fusion of data collected from multiple sensors that enrich the training of intelligent algorithms. There is a latent need to develop more reliable systems through clinical validation and improvement of technical characteristics, such as weight/dimensions of devices, in order to have positive impacts on the rehabilitation process and improve the interactions among patients, teams of health professionals, and technology.</t>
  </si>
  <si>
    <t>[Velez-Guerrero, Manuel Andres] Univ Pedag &amp; Tecnol Colombia, Software Res Grp, Tunja 150002, Colombia; [Callejas-Cuervo, Mauro] Univ Pedag &amp; Tecnol Colombia, Sch Comp Sci, Tunja 150002, Colombia; [Mazzoleni, Stefano] Polytech Univ Bari, Dept Elect &amp; Informat Engn, I-70126 Bari, Italy</t>
  </si>
  <si>
    <t>Universidad Pedagogica y Tecnologica de Colombia (UPTC); Universidad Pedagogica y Tecnologica de Colombia (UPTC); Politecnico di Bari</t>
  </si>
  <si>
    <t>Vélez-Guerrero, MA (corresponding author), Univ Pedag &amp; Tecnol Colombia, Software Res Grp, Tunja 150002, Colombia.</t>
  </si>
  <si>
    <t>manuel.velez@uptc.edu.co; mauro.callejas@uptc.edu.co; stefano.mazzoleni@poliba.it</t>
  </si>
  <si>
    <t>Velez, Manuel/AAR-4446-2021; Mazzoleni, Stefano/AAM-8581-2020; Callejas Cuervo, Mauro/Q-6848-2019; Mazzoleni, Stefano/B-5875-2011</t>
  </si>
  <si>
    <t>Velez-Guerrero, Manuel Andres/0000-0002-2105-1742; Callejas Cuervo, Mauro/0000-0001-9894-8737; Mazzoleni, Stefano/0000-0002-9528-3239</t>
  </si>
  <si>
    <t>Universidad Pedagogica y Tecnologica de Colombia [SGI 2567]</t>
  </si>
  <si>
    <t>Universidad Pedagogica y Tecnologica de Colombia</t>
  </si>
  <si>
    <t>This study was funded by Universidad Pedagogica y Tecnologica de Colombia (project number SGI 2567) and the APC was funded by the same institution.</t>
  </si>
  <si>
    <t>10.3390/s21062146</t>
  </si>
  <si>
    <t>SF4RJ</t>
  </si>
  <si>
    <t>WOS:000652744700001</t>
  </si>
  <si>
    <t>Saha, S; Mamun, KA; Ahmed, K; Mostafa, R; Naik, GR; Darvishi, S; Khandoker, AH; Baumert, M</t>
  </si>
  <si>
    <t>Saha, Simanto; Mamun, Khondaker A.; Ahmed, Khawza; Mostafa, Raqibul; Naik, Ganesh R.; Darvishi, Sam; Khandoker, Ahsan H.; Baumert, Mathias</t>
  </si>
  <si>
    <t>Progress in Brain Computer Interface: Challenges and Opportunities</t>
  </si>
  <si>
    <t>FRONTIERS IN SYSTEMS NEUROSCIENCE</t>
  </si>
  <si>
    <t>brain computer interface; hybrid; multimodal BCI; neuroimaging techniques; neurosensors; electrical; hemodynamic brain signals; cognitive rehabilitation</t>
  </si>
  <si>
    <t>SOMATOSENSORY-EVOKED POTENTIALS; SINGLE-TRIAL EEG; MOTOR-IMAGERY; VIRTUAL-REALITY; MACHINE INTERFACES; COGNITIVE NEUROTECHNOLOGY; DROWSINESS DETECTION; RIEMANNIAN GEOMETRY; ACTUATED WHEELCHAIR; SOURCE LOCALIZATION</t>
  </si>
  <si>
    <t>Brain computer interfaces (BCI) provide a direct communication link between the brain and a computer or other external devices. They offer an extended degree of freedom either by strengthening or by substituting human peripheral working capacity and have potential applications in various fields such as rehabilitation, affective computing, robotics, gaming, and neuroscience. Significant research efforts on a global scale have delivered common platforms for technology standardization and help tackle highly complex and non-linear brain dynamics and related feature extraction and classification challenges. Time-variant psycho-neurophysiological fluctuations and their impact on brain signals impose another challenge for BCI researchers to transform the technology from laboratory experiments to plug-and-play daily life. This review summarizes state-of-the-art progress in the BCI field over the last decades and highlights critical challenges.</t>
  </si>
  <si>
    <t>[Saha, Simanto; Darvishi, Sam; Baumert, Mathias] Univ Adelaide, Sch Elect &amp; Elect Engn, Adelaide, SA, Australia; [Saha, Simanto; Ahmed, Khawza; Mostafa, Raqibul] United Int Univ, Dept Elect &amp; Elect Engn, Dhaka, Bangladesh; [Mamun, Khondaker A.] United Int Univ, Dept Comp Sci &amp; Engn, Adv Intelligent Multidisciplinary Syst AIMS Lab, Dhaka, Bangladesh; [Naik, Ganesh R.] Flinders Univ S Australia, Coll Med &amp; Publ Hlth, Adelaide Inst Sleep Hlth, Adelaide, SA, Australia; [Khandoker, Ahsan H.] Khalifa Univ Sci &amp; Technol, Dept Biomed Engn, Healthcare Engn Innovat Ctr, Abu Dhabi, U Arab Emirates</t>
  </si>
  <si>
    <t>University of Adelaide; United International University (UIU); United International University (UIU); Adelaide Institute for Sleep Health; Flinders University South Australia; Khalifa University of Science &amp; Technology</t>
  </si>
  <si>
    <t>Saha, S; Baumert, M (corresponding author), Univ Adelaide, Sch Elect &amp; Elect Engn, Adelaide, SA, Australia.;Saha, S (corresponding author), United Int Univ, Dept Elect &amp; Elect Engn, Dhaka, Bangladesh.</t>
  </si>
  <si>
    <t>simanto.saha@ieee.org; mathias.baumert@adelaide.edu.au</t>
  </si>
  <si>
    <t>Baumert, Mathias/A-8324-2008; Khandoker, Ahsan/B-3754-2013; Naik, Ganesh/G-5538-2011; Saha, Simanto/D-4549-2019</t>
  </si>
  <si>
    <t>Naik, Ganesh/0000-0003-1790-9838; Saha, Simanto/0000-0001-5473-3662</t>
  </si>
  <si>
    <t>Khalifa University, Abu Dhabi, UAE [RC2-2018022, KKJRC-2019-Health 2]</t>
  </si>
  <si>
    <t>Khalifa University, Abu Dhabi, UAE(Khalifa University of Science &amp; Technology)</t>
  </si>
  <si>
    <t>This manuscript has been released as a pre-print at https://arxiv.org/(Saha et al., 2019b). Authors would like to thank Prof. MoritzGrosse-Wentrup for providing his valuable feedback. This work was partially supported by a grant (Award No. RC2-2018022 (HEIC) and KKJRC-2019-Health 2) from Khalifa University, Abu Dhabi, UAE.</t>
  </si>
  <si>
    <t>1662-5137</t>
  </si>
  <si>
    <t>FRONT SYST NEUROSCI</t>
  </si>
  <si>
    <t>Front. Syst. Neurosci.</t>
  </si>
  <si>
    <t>FEB 25</t>
  </si>
  <si>
    <t>10.3389/fnsys.2021.578875</t>
  </si>
  <si>
    <t>QU5KO</t>
  </si>
  <si>
    <t>WOS:000627319900001</t>
  </si>
  <si>
    <t>Thomas, SM; Delanni, E; Christophe, B; Connolly, ES</t>
  </si>
  <si>
    <t>Thomas, Steven Mulackal; Delanni, Ellie; Christophe, Brandon; Connolly, Edward Sander</t>
  </si>
  <si>
    <t>Systematic review of novel technology-based interventions for ischemic stroke</t>
  </si>
  <si>
    <t>Ischemic stroke; Novel intervention; Technology; Devices</t>
  </si>
  <si>
    <t>RISK-ASSESSMENT TOOL; LESION SEGMENTATION; ATRIAL-FIBRILLATION; IMAGING EVALUATION; MUSCLE-ACTIVITY; CELL THERAPY; MINOR STROKE; EFFICACY; TRIAL; MRI</t>
  </si>
  <si>
    <t>Purpose To identify novel technologies pertinent to the prevention, diagnosis, treatment, and rehabilitation of ischemic stroke, and recommend the technologies that show the most promise in advancing ischemic stroke care. Method A systematic literature search on PubMed and Medscape was performed. Articles were assessed based on pre-determined criteria. Included journal articles were evaluated for specific characteristics and reviewed according to a structured paradigm. A search on was performed to identify pre-clinical ischemic stroke technological interventions. All clinical trial results were included. An additional search on PubMed was conducted to identify studies on robotic neuroendovascular procedures. Results Thirty journal articles and five clinical trials were analyzed. Articles were categorized as follows: six studies pertinent to pre-morbidity and prevention of ischemic stroke, three studies relevant to the diagnosis of ischemic stroke, 16 studies about post-ischemic stroke rehabilitation, and five studies on robotic neuroendovascular interventions. Conclusions Novel technologies across the spectrum of ischemic stroke care were identified, and the ones that appear to have the most clinical utility are recommended. Future investigation of the feasibility and long-term efficacy of the recommended technologies in clinical settings is warranted.</t>
  </si>
  <si>
    <t>[Thomas, Steven Mulackal; Delanni, Ellie; Christophe, Brandon; Connolly, Edward Sander] Columbia Univ, Irving Med Ctr, Dept Neurol Surg, 710 West 168th St, New York, NY 10032 USA</t>
  </si>
  <si>
    <t>Columbia University; NewYork-Presbyterian Hospital</t>
  </si>
  <si>
    <t>Thomas, SM (corresponding author), Columbia Univ, Irving Med Ctr, Dept Neurol Surg, 710 West 168th St, New York, NY 10032 USA.</t>
  </si>
  <si>
    <t>smt2179@cumc.columbia.edu</t>
  </si>
  <si>
    <t>Thomas, Steven/0000-0002-2626-6291</t>
  </si>
  <si>
    <t>10.1007/s10072-021-05126-0</t>
  </si>
  <si>
    <t>FEB 2021</t>
  </si>
  <si>
    <t>RM8QH</t>
  </si>
  <si>
    <t>WOS:000619377100002</t>
  </si>
  <si>
    <t>de Brouwer, AJ; Flanagan, JR; Spering, M</t>
  </si>
  <si>
    <t>de Brouwer, Anouk J.; Flanagan, J. Randall; Spering, Miriam</t>
  </si>
  <si>
    <t>Functional Use of Eye Movements for an Acting System</t>
  </si>
  <si>
    <t>TRENDS IN COGNITIVE SCIENCES</t>
  </si>
  <si>
    <t>Movements of the eyes assist vision and support hand and body movements in a cooperative way. Despite their strong functional coupling, different types of movements are usually studied independently. We integrate knowledge from behavioral, neurophysiological, and clinical studies on how eye movements are coordinated with goal-directed hand movements and how they facilitate motor learning. Understanding the coordinated control of eye and hand movements can provide important insights into brain functions that are essential for performing or learning daily tasks in health and disease. This knowledge can also inform applications such as robotic manipulation and clinical rehabilitation.</t>
  </si>
  <si>
    <t>[de Brouwer, Anouk J.; Spering, Miriam] Univ British Columbia, Dept Ophthalmol &amp; Visual Sci, Vancouver, BC, Canada; [Flanagan, J. Randall] Queens Univ, Ctr Neurosci Studies, Kingston, ON, Canada; [Flanagan, J. Randall] Queens Univ, Dept Psychol, Kingston, ON, Canada; [Spering, Miriam] Univ British Columbia, Djavad Mowafaghian Ctr Brain Hlth, Vancouver, BC, Canada</t>
  </si>
  <si>
    <t>University of British Columbia; Queens University - Canada; Queens University - Canada; University of British Columbia</t>
  </si>
  <si>
    <t>de Brouwer, AJ (corresponding author), Univ British Columbia, Dept Ophthalmol &amp; Visual Sci, Vancouver, BC, Canada.</t>
  </si>
  <si>
    <t>ajdebrouwer@gmail.com</t>
  </si>
  <si>
    <t>Natural Sciences and Engineering Research Council of Canada (NSERC)</t>
  </si>
  <si>
    <t>Natural Sciences and Engineering Research Council of Canada (NSERC)(Natural Sciences and Engineering Research Council of Canada (NSERC))</t>
  </si>
  <si>
    <t>This work was supported by a Natural Sciences and Engineering Research Council of Canada (NSERC) Discovery Grant and Accelerator Supplement to M.S., and a Natural Sciences and Engineering Research Council of Canada (NSERC) Discovery Grant to J.R.F.</t>
  </si>
  <si>
    <t>1364-6613</t>
  </si>
  <si>
    <t>1879-307X</t>
  </si>
  <si>
    <t>TRENDS COGN SCI</t>
  </si>
  <si>
    <t>TRENDS COGN. SCI.</t>
  </si>
  <si>
    <t>10.1016/j.tics.2020.12.006</t>
  </si>
  <si>
    <t>Behavioral Sciences; Neurosciences; Psychology, Experimental</t>
  </si>
  <si>
    <t>Behavioral Sciences; Neurosciences &amp; Neurology; Psychology</t>
  </si>
  <si>
    <t>QG0NE</t>
  </si>
  <si>
    <t>WOS:000617282300008</t>
  </si>
  <si>
    <t>Alexander, J; Dawson, J; Langhorne, P</t>
  </si>
  <si>
    <t>Alexander, Jen; Dawson, Jesse; Langhorne, Peter</t>
  </si>
  <si>
    <t>Dynamic hand orthoses for the recovery of hand and arm function in adults after stroke: A systematic review and meta-analysis of randomised controlled trials</t>
  </si>
  <si>
    <t>Stroke; upper limb; hand; rehabilitation; dynamic hand orthosis; randomized-controlled trial; systematic review</t>
  </si>
  <si>
    <t>Background: Repetitive, functional-based rehabilitation is recommended after stroke. However, impaired active digital extension is common after stroke, which limits functional-based rehabilitation and recovery. Non-robotic dynamic hand orthoses (DHOs) may address this. Objectives: We did a systematic review and meta-analysis to determine whether non-robotic DHOs improve upper limb recovery after stroke in comparison to i)placebo or no intervention and ii)usual care. Methods: We followed PRISMA guidelines. We included randomized controlled trials (RCTs) assessing upper limb recovery associated with the use of non-robotic DHOs in adults after stroke. Outcomes of interest were functional upper limb movement and activities of daily living. We performed searches on 27 September 2019 in 10 bibliographic databases including Cochrane Stroke Groups Specialized Trials Register and Cochrane Central Register of Controlled Trials. We also searched gray literature and citations from included studies. Two reviewers independently screened abstracts and full text, extracted data and assessed risk of bias using a Cochrane risk of bias tool. Results: We reviewed 7225 titles and included four studies involving 56 randomized participants, all with a high risk of bias. A positive effect in favor of non-robotic DHOs was observed for two outcomes; upper limb function (mean difference (MD) 6.23, 95% confidence interval (CI) 0.28-12.19 (p = 0.04)) and dexterity (MD 2.99, 95% CI 0.39-5.60 (p = 0.02). Conclusions: The results are encouraging but included studies were small with high risk of bias meaning there is currently insufficient evidence that non-robotic DHOs improve upper limb recovery after stroke. Review Registration: PROSPERO, CRD42020179180. Registered on 20 May 2020.</t>
  </si>
  <si>
    <t>[Alexander, Jen; Dawson, Jesse] Univ Glasgow, Coll Med Vet &amp; Life Sci, Inst Cardiovasc &amp; Med Sci, Glasgow, Lanark, Scotland; [Langhorne, Peter] Univ Glasgow, Coll Med Vet &amp; Life Sci, Inst Cardiovasc &amp; Med Sci, Acad Sect Geriatr Med, Glasgow, Lanark, Scotland</t>
  </si>
  <si>
    <t>University of Glasgow; University of Glasgow</t>
  </si>
  <si>
    <t>Alexander, J (corresponding author), Glasgow Univ, Queen Elizabeth Univ Hosp, Inst Cardiovasc &amp; Med Sci, Off Block,Ground Floor,Zone 0-01,Off M0-08, Glasgow G51 4TF, Lanark, Scotland.</t>
  </si>
  <si>
    <t>jen.alexander@ggc.scot.nhs.uk</t>
  </si>
  <si>
    <t>Langhorne, Peter/0000-0001-8185-2659; Dawson, Jesse/0000-0001-7532-2475</t>
  </si>
  <si>
    <t>Chest Heart and Stroke Scotland [ResFell19/173]</t>
  </si>
  <si>
    <t>Chest Heart and Stroke Scotland</t>
  </si>
  <si>
    <t>This work was supported by Chest Heart and Stroke Scotland [ResFell19/173].</t>
  </si>
  <si>
    <t>10.1080/10749357.2021.1878669</t>
  </si>
  <si>
    <t>ZE9EZ</t>
  </si>
  <si>
    <t>WOS:000613396900001</t>
  </si>
  <si>
    <t>Blankenship, MM; Bodine, C</t>
  </si>
  <si>
    <t>Blankenship, Madeline M.; Bodine, Cathy</t>
  </si>
  <si>
    <t>Socially Assistive Robots for Children With Cerebral Palsy: A Meta-Analysis</t>
  </si>
  <si>
    <t>Socially assistive robot; cerebral palsy; child-robot interaction; therapy</t>
  </si>
  <si>
    <t>EARLY INTERVENTION; CLASSIFICATION; DIAGNOSIS; PLATFORM; SYSTEM</t>
  </si>
  <si>
    <t>Cerebral Palsy (CP) is the most common pediatric neurodevelopmental condition in the world. Socially assistive robots (SARs) are supportive rehabilitation tools for children with developmental disabilities. The purpose of this meta-analysis was to evaluate the effectiveness of SARs at engaging children with CP during therapeutic interventions. A search through WoS, IEEE, PubMed, EMBASE, and ACM DL yielded 583 results, of which 9 met the inclusion criteria. Of the 9 studies, 5 unique SARs were evaluated across 24 participants. In general, the meta-analysis suggested that SARs can be effectively used to engage children in therapeutic interventions. However, there is a clear need for future work so that SAR designs can more accurately meet this population's needs.</t>
  </si>
  <si>
    <t>[Blankenship, Madeline M.; Bodine, Cathy] Univ Colorado Denver, Dept Bioengn, Anschutz Med Campus, Aurora, CO 80045 USA</t>
  </si>
  <si>
    <t>University of Colorado System; University of Colorado Anschutz Medical Campus; Children's Hospital Colorado</t>
  </si>
  <si>
    <t>Blankenship, MM (corresponding author), Univ Colorado Denver, Dept Bioengn, Anschutz Med Campus, Aurora, CO 80045 USA.</t>
  </si>
  <si>
    <t>madeline.blankenship@cuanschutz.edu; cathy.bodine@cuanschutz.edu</t>
  </si>
  <si>
    <t>Blankenship, Madeline/0000-0003-0750-5469</t>
  </si>
  <si>
    <t>10.1109/TMRB.2020.3038117</t>
  </si>
  <si>
    <t>WOS:000896660300003</t>
  </si>
  <si>
    <t>Huo, CC; Zheng, Y; Lu, WW; Zhang, TY; Wang, DF; Xu, DS; Li, ZY</t>
  </si>
  <si>
    <t>Huo, Cong-Cong; Zheng, Ya; Lu, Wei-Wei; Zhang, Teng-Yu; Wang, Dai-Fa; Xu, Dong-Sheng; Li, Zeng-Yong</t>
  </si>
  <si>
    <t>Prospects for intelligent rehabilitation techniques to treat motor dysfunction</t>
  </si>
  <si>
    <t>brain; central nerve; injury; nerve; nerve function; neurogenesis; plasticity; repair; spinal cord</t>
  </si>
  <si>
    <t>TRANSCRANIAL MAGNETIC STIMULATION; INDUCED MOVEMENT THERAPY; COMPUTER-INTERFACE BCI; ELECTRICAL-STIMULATION; STROKE; RECOVERY; POSTSTROKE; NEUROPLASTICITY; HEMIPARESIS; MODULATION</t>
  </si>
  <si>
    <t>More than half of stroke patients live with different levels of motor dysfunction after receiving routine rehabilitation treatments. Therefore, new rehabilitation technologies are urgently needed as auxiliary treatments for motor rehabilitation. Based on routine rehabilitation treatments, a new intelligent rehabilitation platform has been developed for accurate evaluation of function and rehabilitation training. The emerging intelligent rehabilitation techniques can promote the development of motor function rehabilitation in terms of informatization, standardization, and intelligence. Traditional assessment methods are mostly subjective, depending on the experience and expertise of clinicians, and lack standardization and precision. It is therefore difficult to track functional changes during the rehabilitation process. Emerging intelligent rehabilitation techniques provide objective and accurate functional assessment for stroke patients that can promote improvement of clinical guidance for treatment. Artificial intelligence and neural networks play a critical role in intelligent rehabilitation. Multiple novel techniques, such as brain-computer interfaces, virtual reality, neural circuit-magnetic stimulation, and robot-assisted therapy, have been widely used in the clinic. This review summarizes the emerging intelligent rehabilitation techniques for the evaluation and treatment of motor dysfunction caused by nervous system diseases.</t>
  </si>
  <si>
    <t>[Huo, Cong-Cong; Wang, Dai-Fa] Beihang Univ, Sch Biol Sci &amp; Med Engn, Minist Educ, Key Lab Biomech &amp; Mechanobiol, Beijing, Peoples R China; [Zheng, Ya; Lu, Wei-Wei] Tongji Univ, Sch Med, Tongji Hosp, Spine Surg Div,Dept Orthoped,Rehabil Sect, Shanghai, Peoples R China; [Huo, Cong-Cong; Zhang, Teng-Yu; Li, Zeng-Yong] Natl Res Ctr Rehabil Tech Aids, Beijing Key Lab Rehabil Tech Aids Old Age Disabil, Beijing, Peoples R China; [Huo, Cong-Cong; Zhang, Teng-Yu; Li, Zeng-Yong] Minist Civil Affairs, Key Lab Neurofunct Informat &amp; Rehabil Engn, Beijing, Peoples R China; [Xu, Dong-Sheng] Yueyang Hosp Integrated Tradit Chinese &amp; Western, Dept Rehabil Med, Shanghai, Peoples R China; [Xu, Dong-Sheng] Shanghai Univ Tradit Chinese Med, Sch Rehabil Sci, Shanghai, Peoples R China; [Xu, Dong-Sheng] Shanghai Univ Tradit Chinese Med, Inst Rehabil Med, Shanghai, Peoples R China</t>
  </si>
  <si>
    <t>Beihang University; Ministry of Education - China; Tongji University; Shanghai University of Traditional Chinese Medicine; Shanghai University of Traditional Chinese Medicine</t>
  </si>
  <si>
    <t>Wang, DF (corresponding author), Beihang Univ, Sch Biol Sci &amp; Med Engn, Minist Educ, Key Lab Biomech &amp; Mechanobiol, Beijing, Peoples R China.;Li, ZY (corresponding author), Natl Res Ctr Rehabil Tech Aids, Beijing Key Lab Rehabil Tech Aids Old Age Disabil, Beijing, Peoples R China.;Li, ZY (corresponding author), Minist Civil Affairs, Key Lab Neurofunct Informat &amp; Rehabil Engn, Beijing, Peoples R China.;Xu, DS (corresponding author), Yueyang Hosp Integrated Tradit Chinese &amp; Western, Dept Rehabil Med, Shanghai, Peoples R China.;Xu, DS (corresponding author), Shanghai Univ Tradit Chinese Med, Sch Rehabil Sci, Shanghai, Peoples R China.;Xu, DS (corresponding author), Shanghai Univ Tradit Chinese Med, Inst Rehabil Med, Shanghai, Peoples R China.</t>
  </si>
  <si>
    <t>daifa.wang@buaa.edu.cn; dxu0927@tongji.edu.cn; lizengyong@nrcrta.cn</t>
  </si>
  <si>
    <t>li, zengyong/B-7760-2014</t>
  </si>
  <si>
    <t>Reis, AlessanRSS/0000-0001-8486-7469</t>
  </si>
  <si>
    <t>National Key Research and Development Project of China [2020YFC2004200]; National Natural Science Foundation of China [61761166007, 81772453, 81974358, 31771071]; Fundamental Research Funds for Central Public Welfare Research Institutes [118009001000160001]</t>
  </si>
  <si>
    <t>National Key Research and Development Project of China(National Key Research &amp; Development Program of China); National Natural Science Foundation of China(National Natural Science Foundation of China (NSFC)); Fundamental Research Funds for Central Public Welfare Research Institutes</t>
  </si>
  <si>
    <t>This work was supported by the National Key Research and Development Project of China, No. 2020YFC2004200 (to ZYL), the National Natural Science Foundation of China, Nos. 61761166007 (to ZYL), 81772453 (to DSX), 81974358 (to DSX), 31771071 (to ZYL), and Fundamental Research Funds for Central Public Welfare Research Institutes, No. 118009001000160001 (to ZYL).</t>
  </si>
  <si>
    <t>PMID 32859773</t>
  </si>
  <si>
    <t>10.4103/1673-5374.290884</t>
  </si>
  <si>
    <t>NU5DI</t>
  </si>
  <si>
    <t>WOS:000573661500009</t>
  </si>
  <si>
    <t>Nakamura, K; Saga, N</t>
  </si>
  <si>
    <t>Nakamura, Kensuke; Saga, Norihiko</t>
  </si>
  <si>
    <t>Current Status and Consideration of Support/Care Robots for Stand-Up Motion</t>
  </si>
  <si>
    <t>rehabilitation; support; care; robot; stand-up motion</t>
  </si>
  <si>
    <t>SIT-TO-STAND; LOWER-LIMB EXOSKELETON; STROKE PATIENTS; DESIGN; SYSTEM; MECHANISM; MOVEMENT; POWER; SUIT</t>
  </si>
  <si>
    <t>In order to make robots, which are expected to play an active role in the medical and nursing care fields in the future, more practical for use in rehabilitation, it is necessary to evaluate the current status of the design of these robots. Therefore, this paper aims to investigate the existing literature on standing motion assistance robots developed and reported to date and investigate each existing design technique from the perspectives of Functions and Effects and Assist form and control. Then, we search and investigate papers written in English on standing motion assistance robots reported from 2008 to 2019 and organize the contents of the relevant papers into their different assistance modes and four categories related to design. As a result, the standing motion assistance robots are classified into three assist modes: partial assistance, total assistance, and both. The assistance forms are roughly divided into two types: a wearable type and a non-wearable type. It is also demonstrated that both the assistance forms adopt the same trends in terms of the control strategy design and system I/O relationships. On the other hand, power equipment tends to be different between the two forms.</t>
  </si>
  <si>
    <t>[Nakamura, Kensuke] Amagasaki Med Hlth Coop Hosp, Rehabil Dept, Amagasaki, Hyogo 6610033, Japan; [Nakamura, Kensuke; Saga, Norihiko] Kwansei Gakuin Univ, Sch Sci &amp; Technol, Dept Human Syst Interact, Nishinomiya, Hyogo 6691337, Japan</t>
  </si>
  <si>
    <t>Kwansei Gakuin University</t>
  </si>
  <si>
    <t>Saga, N (corresponding author), Kwansei Gakuin Univ, Sch Sci &amp; Technol, Dept Human Syst Interact, Nishinomiya, Hyogo 6691337, Japan.</t>
  </si>
  <si>
    <t>nakamura.kensuke@kwansei.ac.jp; saga@kwansei.ac.jp</t>
  </si>
  <si>
    <t>Saga, Norihiko/AAJ-9969-2020</t>
  </si>
  <si>
    <t>Saga, Norihiko/0000-0003-2415-7240</t>
  </si>
  <si>
    <t>Kwansei Gakuin University(Kwansei Gakuin University)</t>
  </si>
  <si>
    <t>This research ware funded partially by Kwansei Gakuin University.</t>
  </si>
  <si>
    <t>10.3390/app11041711</t>
  </si>
  <si>
    <t>RB4QV</t>
  </si>
  <si>
    <t>WOS:000632098100001</t>
  </si>
  <si>
    <t>Preum, SM; Munir, S; Ma, MY; Yasar, MS; Stone, DJ; Williams, R; Alemzadeh, H; Stankovic, JA</t>
  </si>
  <si>
    <t>Preum, Sarah Masud; Munir, Sirajum; Ma, Meiyi; Yasar, Mohammad Samin; Stone, David J.; Williams, Ronald; Alemzadeh, Homa; Stankovic, John A.</t>
  </si>
  <si>
    <t>A Review of Cognitive Assistants for Healthcare: Trends, Prospects, and Future Directions</t>
  </si>
  <si>
    <t>ACM COMPUTING SURVEYS</t>
  </si>
  <si>
    <t>Cognitive assistant; agent based systems for healthcare; smart health; intelligent agent; intelligent assistant; virtual assistant; virtual agent; personal assistant; healthcare application</t>
  </si>
  <si>
    <t>KINECT-BASED SYSTEM; AUGMENTED REALITY; VIRTUAL-REALITY; CONTEXT AWARENESS; NAVIGATION SYSTEM; REHABILITATION; DISPLAY; PEOPLE; BLIND; AID</t>
  </si>
  <si>
    <t>Healthcare cognitive assistants (HCAs) are intelligent systems or agents that interact with users in a context-aware and adaptive manner to improve their health outcomes by augmenting their cognitive abilities or complementing a cognitive impairment. They assist a wide variety of users ranging from patients to their healthcare providers (e.g., general practitioner, specialist, surgeon) in several situations (e.g., remote patient monitoring, emergency response, robotic surgery). While HCAs are critical to ensure personalized, scalable, and efficient healthcare, there exists a knowledge gap in finding the emerging trends, key challenges, design guidelines, and state-of-the-art technologies suitable for developing HCAs. This survey aims to bridge this gap for researchers from multiple domains, including but not limited to cyber-physical systems, artificial intelligence, human-computer interaction, robotics, and smart health. It provides a comprehensive definition of HCAs and outlines a novel, practical categorization of existing HCAs according to their target user role and the underlying application goals. This survey summarizes and assorts existing HCAs based on their characteristic features (i.e., interactive, context-aware, and adaptive) and enabling technological aspects (i.e., sensing, actuation, control, and computation). Finally, it identifies critical research questions and design recommendations to accelerate the development of the next generation of cognitive assistants for healthcare.</t>
  </si>
  <si>
    <t>[Preum, Sarah Masud; Ma, Meiyi; Stankovic, John A.] Univ Virginia, Dept Comp Sci, Charlottesville, VA 22904 USA; [Munir, Sirajum] Bosch Res &amp; Technol Ctr, Pittsburgh, PA 15222 USA; [Yasar, Mohammad Samin; Williams, Ronald; Alemzadeh, Homa] Univ Virginia, Dept Elect &amp; Comp Engn, Charlottesville, VA 22904 USA; [Stone, David J.] Univ Virginia, Sch Med, Dept Anesthesiol, Charlottesville, VA USA; [Stone, David J.] Univ Virginia, Sch Med, Dept Neurosurg, Charlottesville, VA USA; [Stone, David J.] Univ Virginia, Sch Med, Ctr Adv Med Analyt, Charlottesville, VA USA; [Stone, David J.] MIT, MIT Crit Data, Lab Computat Physiol, Harvard MIT Hlth Sci &amp; Technol, Charlottesville, VA 22904 USA</t>
  </si>
  <si>
    <t>University of Virginia; Bosch; University of Virginia; University of Virginia; University of Virginia; University of Virginia</t>
  </si>
  <si>
    <t>Preum, SM (corresponding author), Dartmouth Coll, Dept Comp Sci, Hanover, NH 03755 USA.</t>
  </si>
  <si>
    <t>spreum@dartmouth.edu; sirajum.munir@us.bosch.com; mm5tk@virginia.edu; msy9an@virginia.edu; djs4v@hscmail.mcc.virginia.edu; rdw@virginia.edu; ha4d@virginia.edu; jas9f@virginia.edu</t>
  </si>
  <si>
    <t>Yasar, Mohammad/HHD-1932-2022</t>
  </si>
  <si>
    <t>Alemzadeh, Homa/0000-0001-5279-842X</t>
  </si>
  <si>
    <t>0360-0300</t>
  </si>
  <si>
    <t>1557-7341</t>
  </si>
  <si>
    <t>ACM COMPUT SURV</t>
  </si>
  <si>
    <t>ACM Comput. Surv.</t>
  </si>
  <si>
    <t>10.1145/3419368</t>
  </si>
  <si>
    <t>Computer Science, Theory &amp; Methods</t>
  </si>
  <si>
    <t>QH3QK</t>
  </si>
  <si>
    <t>WOS:000618191200019</t>
  </si>
  <si>
    <t>Reis, SB; Bernardo, WM; Oshiro, CA; Krebs, HI; Conforto, AB</t>
  </si>
  <si>
    <t>Reis, Suzana Bleckmann; Bernardo, Wanderley Marques; Oshiro, Carlos Andre; Krebs, Hermano Igo; Conforto, Adriana Bastos</t>
  </si>
  <si>
    <t>Effects of Robotic Therapy Associated With Noninvasive Brain Stimulation on Upper-Limb Rehabilitation After Stroke: Systematic Review and Meta-analysis of Randomized Clinical Trials</t>
  </si>
  <si>
    <t>stroke; robotics; upper extremity; transcranial direct current stimulation; transcranial magnetic stimulation; meta-analysis</t>
  </si>
  <si>
    <t>HEALTH-RELATED-QUALITY; ASSISTED THERAPY; SUBACUTE; RECOVERY; TDCS; IMPAIRMENTS; COMBINATION; MODEL; LIFE</t>
  </si>
  <si>
    <t>Background Robot-assisted therapy and noninvasive brain stimulation (NIBS) are promising strategies for stroke rehabilitation. Objective This systematic review and meta-analysis aims to evaluate the evidence of NIBS as an add-on intervention to robotic therapy in order to improve outcomes of upper-limb motor impairment or activity in individuals with stroke. Methods This study was performed according to the PRISMA Protocol and was previously registered on the PROSPERO Platform (CRD42017054563). Seven databases and gray literature were systematically searched by 2 reviewers, and 1176 registers were accessed. Eight randomized clinical trials with upper-limb body structure/function or activity limitation outcome measures were included. Subgroup analyses were performed according to phase poststroke, device characteristics (ie, arm support, joints involved, unimanual or bimanual training), NIBS paradigm, timing of stimulation, and number of sessions. The Grade-Pro Software was used to assess quality of the evidence. Results A nonsignificant homogeneous summary effect size was found both for body structure function domain (mean difference [MD] = 0.15; 95% CI = -3.10 to 3.40; P = 0.93; I-2 = 0%) and activity limitation domain (standard MD = 0.03; 95% CI = -0.28 to 0.33; P = 0.87; I-2 = 0%). Conclusions According to this systematic review and meta-analysis, at the moment, there are not enough data about the benefits of NIBS as an add-on intervention to robot-assisted therapy on upper-limb motor function or activity in individuals with stroke.</t>
  </si>
  <si>
    <t>[Reis, Suzana Bleckmann; Oshiro, Carlos Andre; Conforto, Adriana Bastos] Univ Sao Paulo, Hosp Clin, Sao Paulo, SP, Brazil; [Bernardo, Wanderley Marques] Univ Sao Paulo, Med Sch, Sao Paulo, Brazil; [Krebs, Hermano Igo] MIT, 77 Massachusetts Ave, Cambridge, MA 02139 USA</t>
  </si>
  <si>
    <t>Universidade de Sao Paulo; Universidade de Sao Paulo; Massachusetts Institute of Technology (MIT)</t>
  </si>
  <si>
    <t>Conforto, AB (corresponding author), Univ Sao Paulo, Hosp Clin, Neurol Clin Div, Av Dr Eneas de Carvalho Aguiar 255-5084, BR-05403000 Sao Paulo, SP, Brazil.</t>
  </si>
  <si>
    <t>adriana.conforto@hc.fm.usp.br</t>
  </si>
  <si>
    <t>Marie, Suely/D-1870-2012</t>
  </si>
  <si>
    <t>Conforto, Adriana/0000-0001-7869-3490; Bleckmann Reis, Suzana/0000-0001-7215-5560</t>
  </si>
  <si>
    <t>MIT International Science and Technology Initiatives (MISTI Brazil) [2160714]</t>
  </si>
  <si>
    <t>MIT International Science and Technology Initiatives (MISTI Brazil)</t>
  </si>
  <si>
    <t>The author(s) disclosed receipt of the following financial support for the research, authorship, and/or publication of this article: This study was supported in part by the MIT International Science and Technology Initiatives (MISTI Brazil TVLM), under grant number 2160714.</t>
  </si>
  <si>
    <t>10.1177/1545968321989353</t>
  </si>
  <si>
    <t>QR8TX</t>
  </si>
  <si>
    <t>WOS:000626224000001</t>
  </si>
  <si>
    <t>Rodríguez-Fernández, A; Lobo-Prat, J; Font-Llagunes, JM</t>
  </si>
  <si>
    <t>Rodriguez-Fernandez, Antonio; Lobo-Prat, Joan; Font-Llagunes, Josep M.</t>
  </si>
  <si>
    <t>Systematic review on wearable lower-limb exoskeletons for gait training in neuromuscular impairments</t>
  </si>
  <si>
    <t>Wearable exoskeleton; Lower-limb; Neuromuscular impairment; Gait rehabilitation; Spinal cord injury; Stroke</t>
  </si>
  <si>
    <t>SPINAL-CORD-INJURY; ANKLE-FOOT ORTHOSIS; OF-THE-ART; ROBOTIC EXOSKELETON; STROKE PATIENTS; ASSISTED GAIT; POWERED EXOSKELETON; CEREBRAL-PALSY; SOFT EXOSUIT; REHABILITATION</t>
  </si>
  <si>
    <t>Gait disorders can reduce the quality of life for people with neuromuscular impairments. Therefore, walking recovery is one of the main priorities for counteracting sedentary lifestyle, reducing secondary health conditions and restoring legged mobility. At present, wearable powered lower-limb exoskeletons are emerging as a revolutionary technology for robotic gait rehabilitation. This systematic review provides a comprehensive overview on wearable lower-limb exoskeletons for people with neuromuscular impairments, addressing the following three questions: (1) what is the current technological status of wearable lower-limb exoskeletons for gait rehabilitation?, (2) what is the methodology used in the clinical validations of wearable lower-limb exoskeletons?, and (3) what are the benefits and current evidence on clinical efficacy of wearable lower-limb exoskeletons? We analyzed 87 clinical studies focusing on both device technology (e.g., actuators, sensors, structure) and clinical aspects (e.g., training protocol, outcome measures, patient impairments), and make available the database with all the compiled information. The results of the literature survey reveal that wearable exoskeletons have potential for a number of applications including early rehabilitation, promoting physical exercise, and carrying out daily living activities both at home and the community. Likewise, wearable exoskeletons may improve mobility and independence in non-ambulatory people, and may reduce secondary health conditions related to sedentariness, with all the advantages that this entails. However, the use of this technology is still limited by heavy and bulky devices, which require supervision and the use of walking aids. In addition, evidence supporting their benefits is still limited to short-intervention trials with few participants and diversity among their clinical protocols. Wearable lower-limb exoskeletons for gait rehabilitation are still in their early stages of development and randomized control trials are needed to demonstrate their clinical efficacy.</t>
  </si>
  <si>
    <t>[Rodriguez-Fernandez, Antonio; Lobo-Prat, Joan; Font-Llagunes, Josep M.] Univ Politecn Cataluna, Biomech Engn Lab, Dept Mech Engn, Diagonal 647, Barcelona 08028, Spain; [Rodriguez-Fernandez, Antonio; Lobo-Prat, Joan; Font-Llagunes, Josep M.] Univ Politecn Cataluna, Res Ctr Biomed Engn, Diagonal 647, Barcelona 08028, Spain; [Rodriguez-Fernandez, Antonio; Lobo-Prat, Joan; Font-Llagunes, Josep M.] Inst Recerca St Joan Deu, Santa Rosa 39-57, Esplugas de Llobregat 08950, Spain; [Lobo-Prat, Joan; Font-Llagunes, Josep M.] ABLE Human Mot, Diagonal 647, Barcelona 08028, Spain; [Lobo-Prat, Joan] UPC, CSIC, Inst Robot &amp; Informat Ind, Llorens i Artigas 4-6, Barcelona 08028, Spain</t>
  </si>
  <si>
    <t>Universitat Politecnica de Catalunya; Universitat Politecnica de Catalunya; Universitat Politecnica de Catalunya; Consejo Superior de Investigaciones Cientificas (CSIC); CSIC - Institut de Robotica i Informatica Industrial (IRII)</t>
  </si>
  <si>
    <t>Rodríguez-Fernández, A (corresponding author), Univ Politecn Cataluna, Biomech Engn Lab, Dept Mech Engn, Diagonal 647, Barcelona 08028, Spain.</t>
  </si>
  <si>
    <t>antonio.rodriguez.fernandez@upc.edu</t>
  </si>
  <si>
    <t>Lobo-Prat, Joan/C-9754-2019; Rodriguez Fernandez, Antonio/JCP-4429-2023; Font-Llagunes, Josep Maria/C-8665-2014</t>
  </si>
  <si>
    <t>Lobo-Prat, Joan/0000-0003-4197-1391; Rodriguez, Antonio/0000-0002-6272-8326; Font-Llagunes, Josep Maria/0000-0002-7192-2980</t>
  </si>
  <si>
    <t>Agency for Management of University and Research Grants (AGAUR) [2020 FI_B1 00195]; Secretariat of Universities and Research of the Catalan Ministry of Business and Knowledge; European Social Fund (ESF); Spanish Ministry of Science and Innovation (MCI) -Agencia Estatal de Investigacion (AEI) [RTI2018-097290-B-C33, PTQ2018-010227]; European Regional Development Fund (ERDF)</t>
  </si>
  <si>
    <t>Agency for Management of University and Research Grants (AGAUR)(Agencia de Gestio D'Ajuts Universitaris de Recerca Agaur (AGAUR)); Secretariat of Universities and Research of the Catalan Ministry of Business and Knowledge; European Social Fund (ESF)(European Social Fund (ESF)); Spanish Ministry of Science and Innovation (MCI) -Agencia Estatal de Investigacion (AEI)(Spanish Government); European Regional Development Fund (ERDF)(European Union (EU))</t>
  </si>
  <si>
    <t>This research has been partially supported by PhD grant No. 2020 FI_B1 00195 funded by the Agency for Management of University and Research Grants (AGAUR) along with the Secretariat of Universities and Research of the Catalan Ministry of Business and Knowledge and the European Social Fund (ESF), and by grants RTI2018-097290-B-C33 and PTQ2018-010227 funded by the Spanish Ministry of Science and Innovation (MCI) -Agencia Estatal de Investigacion (AEI) along with the European Regional Development Fund (ERDF).</t>
  </si>
  <si>
    <t>10.1186/s12984-021-00815-5</t>
  </si>
  <si>
    <t>QF1AP</t>
  </si>
  <si>
    <t>WOS:000616632000003</t>
  </si>
  <si>
    <t>Zhao, WC; Zhang, Y; Wang, N</t>
  </si>
  <si>
    <t>Zhao, Wenchuan; Zhang, Yu; Wang, Ning</t>
  </si>
  <si>
    <t>Soft Robotics: Research, Challenges, and Prospects</t>
  </si>
  <si>
    <t>soft robots; key technologies; application fields; main challenges; development trend</t>
  </si>
  <si>
    <t>OBJECT MANIPULATION; ARTIFICIAL MUSCLE; DESIGN; DRIVEN; FABRICATION; FISH; ACTUATORS; POLYMER; GRIPPER; STRATEGIES</t>
  </si>
  <si>
    <t>The soft robot is a kind of continuum robot, which is mainly made of soft elastic material or malleable material. It can be continuously deformed in a limited space, and can obtain energy in large bending or high curvature distortion. It has obvious advantages such as high security of human-computer interaction, strong adaptability of unstructured environment, high driving efficiency, low maintenance cost, etc. It has wide application prospects in the fields of industrial production, defense military, medical rehabilitation, exploration, and so on. From the perspective of the bionic mechanism, this paper introduces the soft robots corresponding to insect crawling, snake crawling, fish swimming, elephant trunk, arm, etc. According to different driving modes, the soft robots can be classified into pneumatic-hydraulic driven, intelligent material driven, chemical reaction driven, and so on. The mechanical modeling, control strategy, material, and manufacturing methods of soft robot are summarized, and the application fields of soft robot are introduced. This paper analyzes the main challenges faced by the research on the key technologies of soft robots, summarizes and analyzes them, and puts forward the prospects for the future research of soft robots. The development trend of the future is to develop the soft robot with the characteristics of microscale, rigid-flexible coupling, variable stiffness, multifunctional, high integration, and intelligence of driving sensor control.</t>
  </si>
  <si>
    <t>[Zhao, Wenchuan; Zhang, Yu; Wang, Ning] Shenyang Univ Technol, Sch Mech Engn, 111 Shenliao West Rd, Shenyang 110870, Peoples R China</t>
  </si>
  <si>
    <t>Shenyang University of Technology</t>
  </si>
  <si>
    <t>Zhao, WC (corresponding author), Shenyang Univ Technol, Sch Mech Engn, 111 Shenliao West Rd, Shenyang 110870, Peoples R China.</t>
  </si>
  <si>
    <t>zhao_wenchuan@126.com; zhangyu_nt@163.com; sut_wangning@126.com</t>
  </si>
  <si>
    <t>National Natural Science Foundation of China (General Program) [51775354]</t>
  </si>
  <si>
    <t>National Natural Science Foundation of China (General Program)(National Natural Science Foundation of China (NSFC))</t>
  </si>
  <si>
    <t>This project was supported by the National Natural Science Foundation of China (General Program) [grant numbers 51775354].</t>
  </si>
  <si>
    <t>1-15-7, UCHIKANDA, CHIYODA-KU, UNIZO UCHIKANDA 1-CHOME BLDG 2F, TOKYO, 101-0047, JAPAN</t>
  </si>
  <si>
    <t>QL9LI</t>
  </si>
  <si>
    <t>WOS:000621401900005</t>
  </si>
  <si>
    <t>Parre, MD; Sujatha, B</t>
  </si>
  <si>
    <t>Parre, Meenakshi Devi; Sujatha, B.</t>
  </si>
  <si>
    <t>Novel Human-Centered Robotics: Towards an Automated Process for Neurorehabilitation</t>
  </si>
  <si>
    <t>The global requirement of patient rehabilitation has surged with time due to the growing number of accidents, injuries, age-related issues, and other aspects. Parallelly, the cost of treatment and patient care also increased in a manifold. Moreover, constant monitoring and support for the patients having physical disabilities have become an ongoing challenge to the medical system. Robotics-based neurorehabilitation has reduced the human error while assisting such patients, precisely interpreting the signals, and communicating to the patient. Gradual precise application and improvement of the technology with time yielded a novel direction for patient care and support. The interdisciplinary contribution of many advanced technical branches allowed us to develop robotics-based assistance with high precision for the upper limb and the lower limb impairments. The present review summarizes the generation and background of robotic implementation for patient support, progress, present status, and future requirements.</t>
  </si>
  <si>
    <t>[Parre, Meenakshi Devi] RGUKT, IIIT, Dept Mech Engn, Kadapa, Andhra Pradesh, India; [Sujatha, B.] Rayalaseema Univ, Dept Zool, GDC, Kurnool, Andhra Pradesh, India</t>
  </si>
  <si>
    <t>Rayalaseema University</t>
  </si>
  <si>
    <t>Parre, MD (corresponding author), RGUKT, IIIT, Dept Mech Engn, Kadapa, Andhra Pradesh, India.</t>
  </si>
  <si>
    <t>pmeenakshidevi@gmail.com; bhasujatha@gmail.com</t>
  </si>
  <si>
    <t>Parre, Meenakshi/AEX-0449-2022</t>
  </si>
  <si>
    <t>PARRE, MEENAKSHI DEVI/0000-0002-7065-0565</t>
  </si>
  <si>
    <t>10.1155/2021/6690715</t>
  </si>
  <si>
    <t>QG5HO</t>
  </si>
  <si>
    <t>WOS:000617616400001</t>
  </si>
  <si>
    <t>Pizzolato, C; Gunduz, MA; Palipana, D; Wu, JN; Grant, G; Hall, S; Dennison, R; Zafonte, RD; Lloyd, DG; Teng, YD</t>
  </si>
  <si>
    <t>Pizzolato, Claudio; Gunduz, Mehmet A.; Palipana, Dinesh; Wu, Jingnan; Grant, Gary; Hall, Susan; Dennison, Rachel; Zafonte, Ross D.; Lloyd, David G.; Teng, Yang D.</t>
  </si>
  <si>
    <t>Non-invasive approaches to functional recovery after spinal cord injury: Therapeutic targets and multimodal device interventions</t>
  </si>
  <si>
    <t>Brain-computer interface; Buspirone; Multimodal device; Neurobiology; Neuromodulation; Non-invasive therapy; Pharmacology; Prosthesis; Rehabilitation; Serotonin; Spinal cord injury</t>
  </si>
  <si>
    <t>HIGH-DOSE METHYLPREDNISOLONE; NOGO-66 RECEPTOR ANTAGONIST; WHITE-MATTER PATHOLOGY; LONG-TERM; ELECTRICAL-STIMULATION; EPIDURAL STIMULATION; LOCOMOTOR RECOVERY; DOUBLE-BLIND; BETA(2)-ADRENOCEPTOR AGONIST; RESPIRATORY ABNORMALITIES</t>
  </si>
  <si>
    <t>This paper is an interdisciplinary narrative review of efficacious non-invasive therapies that are increasingly used to restore function in people with chronic spinal cord injuries (SCI). First presented are the secondary injury cascade set in motion by the primary lesion and highlights in therapeutic development for mitigating the acute pathophysiologic process. Then summarized are current pharmacological strategies for modulation of norad-renergic, serotonergic, and dopaminergic neurotransmission to enhance recovery in bench and clinical studies of subacute and chronic SCI. Last examined is how neuromechanical devices (i.e., electrical stimulation, robotic assistance, brain-computer interface, and augmented sensory feedback) could be comprehensively engineered to engage efferent and afferent motosensory pathways to induce neuroplasticity-based neural pattern generation. Emerging evidence shows that computational models of the human neuromusculoskeletal system (i.e., human digital twins) can serve as functionalized anchors to integrate different neuromechanical and pharmacological interventions into a single multimodal prothesis. The system, if appropriately built, may cybernetically optimize treatment outcomes via coordination of heterogeneous biosensory, system output, and control signals. Overall, these rehabilitation protocols involved neuromodulation to evoke beneficial adaptive changes within spared supraspinal, intracord, and peripheral neuromuscular circuits to elicit neurological improvement. Therefore, qualitatively advancing the theoretical understanding of spinal cord neurobiology and neuromechanics is pivotal to designing new ways to reinstate locomotion after SCI. Future research efforts should concentrate on personalizing combination therapies consisting of pharmacological adjuncts, targeted neurobiological and neuromuscular repairs, and brain-computer interfaces, which follow multimodal neuromechanical principles.</t>
  </si>
  <si>
    <t>[Pizzolato, Claudio; Lloyd, David G.] Griffith Univ, Sch Allied Hlth Sci, Gold Coast, Qld, Australia; [Pizzolato, Claudio; Palipana, Dinesh; Lloyd, David G.] Griffith Univ, Griffith Ctr Biomed &amp; Rehabil Engn, Menzies Hlth Inst Queensland, Adv Design &amp; Prototyping Technol Inst ADAPT, Gold Coast, Qld, Australia; [Palipana, Dinesh] Griffith Univ, Hopkins Ctr, Menzies Hlth Inst Queensland, Gold Coast, Qld, Australia; [Palipana, Dinesh] Gold Coast Hosp &amp; Hlth Serv, Gold Coast, Qld, Australia; [Palipana, Dinesh] Griffith Univ, Sch Med, Gold Coast, Qld, Australia; [Grant, Gary; Hall, Susan] Griffith Univ, Sch Pharm &amp; Pharmacol, Gold Coast, Australia; [Gunduz, Mehmet A.; Wu, Jingnan; Dennison, Rachel; Zafonte, Ross D.; Teng, Yang D.] Mass Gen Brigham, Spaulding Rehabil Hosp, Dept Phys Med &amp; Rehabil, Boston, MA 02199 USA; [Gunduz, Mehmet A.; Wu, Jingnan; Dennison, Rachel; Zafonte, Ross D.; Teng, Yang D.] Harvard Med Sch, Boston, MA 02115 USA</t>
  </si>
  <si>
    <t>Griffith University; Griffith University - Gold Coast Campus; Griffith University; Griffith University - Gold Coast Campus; Menzies Health Institute Queensland; Menzies Health Institute Queensland; Griffith University; Griffith University - Gold Coast Campus; Gold Coast University Hospital; Griffith University; Griffith University - Gold Coast Campus; Griffith University; Griffith University - Gold Coast Campus; Harvard University; Harvard Medical School; Harvard University Medical Affiliates; Spaulding Rehabilitation Hospital; Harvard University; Harvard Medical School</t>
  </si>
  <si>
    <t>Teng, YD (corresponding author), Mass Gen Brigham, Spaulding Rehabil Hosp, Dept Phys Med &amp; Rehabil, Boston, MA 02199 USA.;Teng, YD (corresponding author), Harvard Med Sch, Boston, MA 02115 USA.</t>
  </si>
  <si>
    <t>yang_teng@hms.harvard.edu</t>
  </si>
  <si>
    <t>Wu, Jingnan/MGT-7744-2025; Pizzolato, Claudio/R-6215-2019; Gündüz, Mehmet/AAY-7367-2020; Lloyd, David/AAH-6066-2020</t>
  </si>
  <si>
    <t>Palipana, Dinesh/0000-0002-9150-097X; Hall, Susan/0000-0002-8564-0466; Pizzolato, Claudio/0000-0002-0292-2776; Grant, Gary/0000-0002-2574-5442</t>
  </si>
  <si>
    <t>Motor Accident Insurance Commission, Queensland Government, Australia; Perpetual IMPACT; Griffith University; US AMRMC [W81XWH-15-1-0621]; SCI Trust Fund of The Commonwealth of Massachusetts; Gordon Project to Cure Clinical Paralysis; Cele H. and William B. Rubin Family Fund; Roosevelt Warm Springs Foundation; Australia-Harvard Fellowship (2020); BAU Medical School, Turkey; Wuhan Union Hospital, Tongji Medical College/HZUST, PRC</t>
  </si>
  <si>
    <t>Motor Accident Insurance Commission, Queensland Government, Australia; Perpetual IMPACT; Griffith University(Griffith University - Gold Coast Campus); US AMRMC(United States Department of DefenseUnited States ArmyU.S. Army Medical Research &amp; Materiel Command (USAMRMC)); SCI Trust Fund of The Commonwealth of Massachusetts; Gordon Project to Cure Clinical Paralysis; Cele H. and William B. Rubin Family Fund; Roosevelt Warm Springs Foundation; Australia-Harvard Fellowship (2020); BAU Medical School, Turkey; Wuhan Union Hospital, Tongji Medical College/HZUST, PRC</t>
  </si>
  <si>
    <t>C.P., D.P., G.G., S.H. and D.G.L. have been supported by funds from Motor Accident Insurance Commission, Queensland Government, Australia, Perpetual IMPACT and Griffith University. Teng Laboratory is currently supported by The US AMRMC (W81XWH-15-1-0621), The SCI Trust Fund of The Commonwealth of Massachusetts, The Gordon Project to Cure Clinical Paralysis, The Cele H. and William B. Rubin Family Fund, and The Roosevelt Warm Springs Foundation. Y.D.T. was a recipient of the Australia-Harvard Fellowship (2020). With Dr. Teng's joint sponsorship, M.A.G. and J.W. were additionally supported by BAU Medical School, Turkey, and Wuhan Union Hospital, Tongji Medical College/HZUST, PRC, respectively. R.D., whose thesis research was promoted by Y.D.T., was a student at The University of Nottingham, UK.</t>
  </si>
  <si>
    <t>10.1016/j.expneurol.2021.113612</t>
  </si>
  <si>
    <t>RF4OO</t>
  </si>
  <si>
    <t>WOS:000634819800005</t>
  </si>
  <si>
    <t>Richardson, MC; Tears, C; Morris, A; Alexanders, J</t>
  </si>
  <si>
    <t>Richardson, Mark C.; Tears, Craig; Morris, Anna; Alexanders, Jenny</t>
  </si>
  <si>
    <t>The Effects of Unilateral Versus Bilateral Motor Training on Upper Limb Function in Adults with Chronic Stroke: A Systematic Review</t>
  </si>
  <si>
    <t>JOURNAL OF STROKE &amp; CEREBROVASCULAR DISEASES</t>
  </si>
  <si>
    <t>Chronic stroke; Upper limb function; Unilateral training; Bilateral training; FUGL Meyer Assessment</t>
  </si>
  <si>
    <t>INDUCED MOVEMENT THERAPY; CONSTRAINT-INDUCED THERAPY; ROBOT-ASSISTED THERAPY; EXTREMITY FUNCTION; ARM; REHABILITATION; IMPAIRMENT; PERFORMANCE; RECOVERY</t>
  </si>
  <si>
    <t>Objectives: Rehabilitation goals for chronic stroke patients are largely focused around regaining functional ability and independence, with particular focus on upper limb motor function. Unilateral and Bilateral motor training may help achieve this. Our objective was to evaluate and compare the effects of unilateral and bilateral motor training on upper limb motor function in chronic stroke patients. Materials and Methods: A comprehensive literature search was conducted until June 2020 through several electronic databases (CENTRAL, Medline, CINAHL, EBSCO, AMED and PEDro) to identify relevant studies. Studies that used the Fugl Meyer Assessment (FMA) as a minimum, to assess upper limb motor function following unilateral ver-sus bilateral training in chronic stroke patients, qualified for inclusion within the review. Randomised controlled trial (RCT), cohort study and cross-sectional study designs were considered. The Cochrane risk of bias tool was used to assess Rando-mised Controlled Trials (RCTs). The findings were qualitatively synthesised. Results: From a total of 838 studies identified, 7 RCTs were included in this review. All except one of the studies included reported an unclear risk of bias, with one low risk of bias reported. Overall, the studies reported that unilateral and bilateral train-ing improved upper limb function in chronic stroke patients. Improvements between interventions were equivocal. Bilateral upper limb training however may be more efficacious for increasing upper limb strength and quality of movement, with unilat-eral training more beneficial for recovering functional ability for activities of daily liv-ing. Conclusion: While the findings of the included studies support the use of unilateral and bilateral motor training post chronic stroke, the seven studies that were included methodologically all presented with limitations, hence strong conclu-sions cannot be drawn and further research is warranted.</t>
  </si>
  <si>
    <t>[Richardson, Mark C.; Tears, Craig; Morris, Anna; Alexanders, Jenny] Teesside Univ, Dept Allied Hlth Profess, Middlesbrough, Cleveland, England</t>
  </si>
  <si>
    <t>University of Teesside</t>
  </si>
  <si>
    <t>Richardson, MC (corresponding author), Teesside Univ, Dept Allied Hlth Profess, Middlesbrough, Cleveland, England.</t>
  </si>
  <si>
    <t>m.c.richardson@tees.ac.uk</t>
  </si>
  <si>
    <t>Richardson, Mark/AFJ-8417-2022</t>
  </si>
  <si>
    <t>Alexanders, Dr Jenny/0000-0001-5519-3311; Tears, Craig/0000-0002-8391-3440; Richardson, Mark/0000-0003-1484-5218</t>
  </si>
  <si>
    <t>1052-3057</t>
  </si>
  <si>
    <t>1532-8511</t>
  </si>
  <si>
    <t>J STROKE CEREBROVASC</t>
  </si>
  <si>
    <t>J. Stroke Cerebrovasc. Dis.</t>
  </si>
  <si>
    <t>10.1016/j.jstrokecerebrovasdis.2021.105617</t>
  </si>
  <si>
    <t>Neurosciences; Peripheral Vascular Disease</t>
  </si>
  <si>
    <t>RC2DP</t>
  </si>
  <si>
    <t>WOS:000632614500050</t>
  </si>
  <si>
    <t>Turpin, NA; Uriac, S; Dalleau, G</t>
  </si>
  <si>
    <t>Turpin, Nicolas A.; Uriac, Stephane; Dalleau, Georges</t>
  </si>
  <si>
    <t>How to improve the muscle synergy analysis methodology?</t>
  </si>
  <si>
    <t>EUROPEAN JOURNAL OF APPLIED PHYSIOLOGY</t>
  </si>
  <si>
    <t>Matrix factorization; Model selection; EMG processing; Motor module; Primitives</t>
  </si>
  <si>
    <t>Muscle synergy analysis is increasingly used in domains such as neurosciences, robotics, rehabilitation or sport sciences to analyze and better understand motor coordination. The analysis uses dimensionality reduction techniques to identify regularities in spatial, temporal or spatio-temporal patterns of multiple muscle activation. Recent studies have pointed out variability in outcomes associated with the different methodological options available and there was a need to clarify several aspects of the analysis methodology. While synergy analysis appears to be a robust technique, it remain a statistical tool and is, therefore, sensitive to the amount and quality of input data (EMGs). In particular, attention should be paid to EMG amplitude normalization, baseline noise removal or EMG filtering which may diminish or increase the signal-to-noise ratio of the EMG signal and could have major effects on synergy estimates. In order to robustly identify synergies, experiments should be performed so that the groups of muscles that would potentially form a synergy are activated with a sufficient level of activity, ensuring that the synergy subspace is fully explored. The concurrent use of various synergy formulations-spatial, temporal and spatio-temporal synergies- should be encouraged. The number of synergies represents either the dimension of the spatial structure or the number of independent temporal patterns, and we observed that these two aspects are often mixed in the analysis. To select a number, criteria based on noise estimates, reliability of analysis results, or functional outcomes of the synergies provide interesting substitutes to criteria solely based on variance thresholds.</t>
  </si>
  <si>
    <t>[Turpin, Nicolas A.; Uriac, Stephane; Dalleau, Georges] Univ La Reunion, UFR SHE STAPS Dept, IRISSE EA 4075, 117 Rue Gen Ailleret, F-97430 Le Tampon, France</t>
  </si>
  <si>
    <t>University of La Reunion</t>
  </si>
  <si>
    <t>Turpin, NA (corresponding author), Univ La Reunion, UFR SHE STAPS Dept, IRISSE EA 4075, 117 Rue Gen Ailleret, F-97430 Le Tampon, France.</t>
  </si>
  <si>
    <t>nicolas.turpin@univ.reunion.fr; stephane.uriac@univ.reunion.fr; georges.dalleau@univ.reunion.fr</t>
  </si>
  <si>
    <t>Turpin, Nicolas/AAE-3129-2021</t>
  </si>
  <si>
    <t>Turpin, Nicolas, Alain/0000-0001-7046-110X</t>
  </si>
  <si>
    <t>1439-6319</t>
  </si>
  <si>
    <t>1439-6327</t>
  </si>
  <si>
    <t>EUR J APPL PHYSIOL</t>
  </si>
  <si>
    <t>Eur. J. Appl. Physiol.</t>
  </si>
  <si>
    <t>10.1007/s00421-021-04604-9</t>
  </si>
  <si>
    <t>Physiology; Sport Sciences</t>
  </si>
  <si>
    <t>QX8QN</t>
  </si>
  <si>
    <t>WOS:000611926500001</t>
  </si>
  <si>
    <t>Baniqued, PDE; Stanyer, EC; Awais, M; Alazmani, A; Jackson, AE; Mon-Williams, MA; Mushtaq, F; Holt, RJ</t>
  </si>
  <si>
    <t>Baniqued, Paul Dominick E.; Stanyer, Emily C.; Awais, Muhammad; Alazmani, Ali; Jackson, Andrew E.; Mon-Williams, Mark A.; Mushtaq, Faisal; Holt, Raymond J.</t>
  </si>
  <si>
    <t>Brain-computer interface robotics for hand rehabilitation after stroke: a systematic review</t>
  </si>
  <si>
    <t>Brain-computer interface; EEG; Robotics; Rehabilitation; Motor imagery; Stroke</t>
  </si>
  <si>
    <t>MOTOR IMAGERY; UPPER-LIMB; MENTAL REPRESENTATION; MACHINE INTERFACE; EXOSKELETON; RECOVERY; PLASTICITY; PATTERNS; THERAPY; DESYNCHRONIZATION</t>
  </si>
  <si>
    <t>BackgroundHand rehabilitation is core to helping stroke survivors regain activities of daily living. Recent studies have suggested that the use of electroencephalography-based brain-computer interfaces (BCI) can promote this process. Here, we report the first systematic examination of the literature on the use of BCI-robot systems for the rehabilitation of fine motor skills associated with hand movement and profile these systems from a technical and clinical perspective.MethodsA search for January 2010-October 2019 articles using Ovid MEDLINE, Embase, PEDro, PsycINFO, IEEE Xplore and Cochrane Library databases was performed. The selection criteria included BCI-hand robotic systems for rehabilitation at different stages of development involving tests on healthy participants or people who have had a stroke. Data fields include those related to study design, participant characteristics, technical specifications of the system, and clinical outcome measures.Results30 studies were identified as eligible for qualitative review and among these, 11 studies involved testing a BCI-hand robot on chronic and subacute stroke patients. Statistically significant improvements in motor assessment scores relative to controls were observed for three BCI-hand robot interventions. The degree of robot control for the majority of studies was limited to triggering the device to perform grasping or pinching movements using motor imagery. Most employed a combination of kinaesthetic and visual response via the robotic device and display screen, respectively, to match feedback to motor imagery.Conclusion19 out of 30 studies on BCI-robotic systems for hand rehabilitation report systems at prototype or pre-clinical stages of development. We identified large heterogeneity in reporting and emphasise the need to develop a standard protocol for assessing technical and clinical outcomes so that the necessary evidence base on efficiency and efficacy can be developed.</t>
  </si>
  <si>
    <t>[Baniqued, Paul Dominick E.; Alazmani, Ali; Jackson, Andrew E.; Holt, Raymond J.] Univ Leeds, Sch Mech Engn, Leeds LS2 9JT, W Yorkshire, England; [Stanyer, Emily C.; Awais, Muhammad; Mon-Williams, Mark A.; Mushtaq, Faisal] Univ Leeds, Sch Psychol, Leeds LS2 9JZ, W Yorkshire, England</t>
  </si>
  <si>
    <t>University of Leeds; University of Leeds</t>
  </si>
  <si>
    <t>Mushtaq, F (corresponding author), Univ Leeds, Sch Psychol, Leeds LS2 9JZ, W Yorkshire, England.</t>
  </si>
  <si>
    <t>f.mushtaq@leeds.ac.uk</t>
  </si>
  <si>
    <t>Awais, Muhammad/HCI-3725-2022; Mushtaq, Faisal/H-4800-2019; Jackson, Andrew/MZQ-3462-2025; Stanyer, Emily Charlotte/JEZ-3303-2023</t>
  </si>
  <si>
    <t>Awais, Muhammad/0000-0001-6421-9245; Stanyer, Emily Charlotte/0000-0002-7672-5652; Mon-Williams, Mark/0000-0001-7595-8545</t>
  </si>
  <si>
    <t>Newton Fund PhD grant under the Newton-Agham partnership [331486777]; UK Department for Business, Energy and Industrial Strategy; Philippine Commission on Higher Education; Alan Turing Institute; EPSRC [EP/R031193/1]; EPSRC [EP/R031193/1] Funding Source: UKRI</t>
  </si>
  <si>
    <t>Newton Fund PhD grant under the Newton-Agham partnership; UK Department for Business, Energy and Industrial Strategy; Philippine Commission on Higher Education(Commission on Higher Education (CHED), Philippines); Alan Turing Institute; EPSRC(UK Research &amp; Innovation (UKRI)Engineering &amp; Physical Sciences Research Council (EPSRC)); EPSRC(UK Research &amp; Innovation (UKRI)Engineering &amp; Physical Sciences Research Council (EPSRC))</t>
  </si>
  <si>
    <t>This work was supported by a Newton Fund PhD grant, ID 331486777, under the Newton-Agham partnership. The grant is funded by the UK Department for Business, Energy and Industrial Strategy and the Philippine Commission on Higher Education and delivered by the British Council. For further information, please visit www.newtonfund.ac.uk.Authors F.M and M.M-W were supported by Fellowships from the Alan Turing Institute and a Research Grant from the EPSRC (EP/R031193/1).</t>
  </si>
  <si>
    <t>10.1186/s12984-021-00820-8</t>
  </si>
  <si>
    <t>QA3TX</t>
  </si>
  <si>
    <t>WOS:000613370800002</t>
  </si>
  <si>
    <t>Dijkers, MP; Akers, KG; Dieffenbach, S; Galen, SS</t>
  </si>
  <si>
    <t>Dijkers, Marcel P.; Akers, Katherine G.; Dieffenbach, Sabrina; Galen, Sujay S.</t>
  </si>
  <si>
    <t>Systematic Reviews of Clinical Benefits of Exoskeleton Use for Gait and Mobility in Neurologic Disorders: A Tertiary Study</t>
  </si>
  <si>
    <t>Exoskeleton device; Nervous system diseases; Patient outcome assessment; Rehabilitation; Review; Review literature as topic; Spinal cord injuries; Stroke; Treatment outcome</t>
  </si>
  <si>
    <t>SPINAL-CORD-INJURY; POWERED ROBOTIC EXOSKELETONS; DUPLICATE PUBLICATION; REHABILITATION; WALKING; USABILITY; SAFETY; TOOL</t>
  </si>
  <si>
    <t>Objective: To describe systematic reviews (SRs) of the use of exoskeletons for gait and mobility by persons with neurologic disorders and to evaluate their quality as guidance for research and clinical practice. Data Sources: PubMed, EMBASE, Web of Science, CINAHL Complete, PsycINFO, Cochrane Database of Systematic Reviews, PEDro, and Google Scholar were searched from database inception to January 23, 2018. Study Selection: A total of 331 deduplicated abstracts from bibliographic database and ancestor searching were independently screened by 2 reviewers, resulting in 109 articles for which full text was obtained. Independent screening of those 109 articles by 2 reviewers resulted in a final selection of 17 SRs. Data Extraction: Data were extracted by 1 reviewer using a pretested Excel form with 158 fields and checked by a second reviewer. Key data included the purpose of the SR, methods used, outcome measures presented, and conclusions. The Preferred Reporting Items for Systematic Reviews and Meta-Analyses and A MeaSurement Tool to Assess Systematic Reviews version 2 were used to evaluate reporting and methodological quality, respectively, of the SRs. Data Synthesis: The SRs generally were of poor methodological and reporting quality. They failed to report some information on patients (eg, height, weight, baseline ambulatory status) and interventions (eg, treatment hours or sessions planned and delivered) that clinicians and other stakeholders might want to have, and often failed to notice that the primary studies duplicated subjects. Conclusions: Published SRs on exoskeletons have many weaknesses in design and execution; clinicians, researchers, and other stakeholders should be cautious in relying on them to make decisions on the use of this technology. Future primary and secondary studies need to address the multiple methodological limitations. (C) 2020 by the American Congress of Rehabilitation Medicine</t>
  </si>
  <si>
    <t>[Dijkers, Marcel P.] Wayne State Univ, Dept Phys Med &amp; Rehabil, Detroit, MI USA; [Akers, Katherine G.] Wayne State Univ, Shiffman Med Lib, Detroit, MI USA; [Dieffenbach, Sabrina] Wayne State Univ, Sch Med, Detroit, MI USA; [Galen, Sujay S.] Wayne State Univ, Phys Therapy Program, Detroit, MI USA; [Galen, Sujay S.] Georgia State Univ, Dept Phys Therapy, Atlanta, GA 30303 USA</t>
  </si>
  <si>
    <t>Wayne State University; Wayne State University; Wayne State University; Wayne State University; University System of Georgia; Georgia State University</t>
  </si>
  <si>
    <t>Dijkers, MP (corresponding author), Rehabil Inst Michigan, 261 Mack Ave, Detroit, MI 48201 USA.</t>
  </si>
  <si>
    <t>aidijkers@med.wayne.edu</t>
  </si>
  <si>
    <t>Akers, Katherine/A-4537-2013</t>
  </si>
  <si>
    <t>Dijkers, Marcel/0000-0002-8362-5596; Galen, Sujay/0009-0001-8809-2960; Akers, Katherine/0000-0002-4578-6575; Dieffenbach, MD, Sabrina/0009-0009-0629-6862</t>
  </si>
  <si>
    <t>10.1016/j.apmr.2019.01.025</t>
  </si>
  <si>
    <t>QC0RY</t>
  </si>
  <si>
    <t>WOS:000614543000014</t>
  </si>
  <si>
    <t>Wu, JY; Cheng, H; Zhang, JQ; Yang, SL; Cai, SF</t>
  </si>
  <si>
    <t>Wu, Jingyi; Cheng, Hao; Zhang, Jiaqi; Yang, Shanli; Cai, Sufang</t>
  </si>
  <si>
    <t>Robot-Assisted Therapy for Upper Extremity Motor Impairment After Stroke: A Systematic Review and Meta-Analysis</t>
  </si>
  <si>
    <t>Stroke; Upper Extremity; Unilateral; Bilateral Robot-Assisted Therapy; Meta-Analysis; Randomized Controlled Trial</t>
  </si>
  <si>
    <t>INDUCED MOVEMENT THERAPY; OF-THE-ART; UPPER-LIMB; REHABILITATION; RECOVERY; TRIAL; PERFORMANCE; GRAVITY; QUALITY; DEVICE</t>
  </si>
  <si>
    <t>Objective. The purpose of this study was to review the effects of robot-assisted therapy (RT) for improving poststroke upper extremity motor impairment. Methods. The PubMed, Embase, Medline, and Web of Science databases were searched from inception to April 8, 2020. Randomized controlled trials that were conducted to evaluate the effects of RT on upper extremity motor impairment poststroke and that used Fugl-Meyer assessment for upper extremity scores as an outcome were included. Two authors independently screened articles, extracted data, and assessed the methodological quality of the included studies using the Physiotherapy Evidence Database (PEDro) scale. A random-effects meta-analysis was performed to pool the effect sizes across the studies. Results. Forty-one randomized controlled trials with 1916 stroke patients were included. Compared with dose-matched conventional rehabilitation, RT significantly improved the Fugl-Meyer assessment for upper extremity scores of the patients with stroke, with a small effect size (Hedges g = 0.25; 95% CI, 0.11-0.38; I-2 = 45.9%). The subgroup analysis revealed that the effects of unilateral RT, but not that of bilateral RT, were superior to conventional rehabilitation (Hedges g = 0.32; 95% CI, 0.15-0.50; I-2 = 55.9%). Regarding the type of robot devices, the effects of the end effector device (Hedges g = 0.22; 95% CI, 0.09-0.36; I-2 = 35.4%), but not the exoskeleton device, were superior to conventional rehabilitation. Regarding the stroke stage, the between-group difference (ie, RT vs convention rehabilitation) was significant only for people with late subacute or chronic stroke (Hedges g = 0.33; 95% CI, 0.16-0.50; I-2 = 34.2%). Conclusion. RT might be superior to conventional rehabilitation in improving upper extremity motor impairment in people after stroke with notable upper extremity hemiplegia and limited potential for spontaneous recovery.</t>
  </si>
  <si>
    <t>[Wu, Jingyi; Cheng, Hao; Yang, Shanli; Cai, Sufang] Fujian Univ Tradit Chines, Rehabil Hosp, Fuzhou, Fujian, Peoples R China; [Wu, Jingyi; Cheng, Hao; Yang, Shanli; Cai, Sufang] Fujian Key Lab Rehabil Technol, Fuzhou, Fujian, Peoples R China; [Zhang, Jiaqi] Hong Kong Polytech Univ, Dept Rehabil Sci, Hong Kong, Peoples R China</t>
  </si>
  <si>
    <t>Cai, SF (corresponding author), Fujian Univ Tradit Chines, Rehabil Hosp, Fuzhou, Fujian, Peoples R China.;Cai, SF (corresponding author), Fujian Key Lab Rehabil Technol, Fuzhou, Fujian, Peoples R China.;Zhang, JQ (corresponding author), Hong Kong Polytech Univ, Dept Rehabil Sci, Hong Kong, Peoples R China.</t>
  </si>
  <si>
    <t>jack-jq.zhang@connect.polyu.hk; sufang_kangfu01@163.com</t>
  </si>
  <si>
    <t>ZHANG, Jack Jiaqi/GNP-0712-2022</t>
  </si>
  <si>
    <t>ZHANG, Jack Jiaqi/0000-0002-4656-1909; WU, JINGYI/0000-0001-7391-7547</t>
  </si>
  <si>
    <t>Central Guide to Local Science and Technology Development [2018 L3009]; Science and Technology Platform Construction Project of the Fujian Science and Technology Department [2015Y2001-40]</t>
  </si>
  <si>
    <t>Central Guide to Local Science and Technology Development; Science and Technology Platform Construction Project of the Fujian Science and Technology Department</t>
  </si>
  <si>
    <t>This work was supported by the Central Guide to Local Science and Technology Development (grant no. 2018 L3009) and the Science and Technology Platform Construction Project of the Fujian Science and Technology Department (grant no. 2015Y2001-40).</t>
  </si>
  <si>
    <t>pzab010</t>
  </si>
  <si>
    <t>10.1093/ptj/pzab010</t>
  </si>
  <si>
    <t>RT5YW</t>
  </si>
  <si>
    <t>WOS:000644537200004</t>
  </si>
  <si>
    <t>Siddiqi, A; Mont, MA; Krebs, VE; Piuzzi, NS</t>
  </si>
  <si>
    <t>Siddiqi, Ahmed; Mont, Michael A.; Krebs, Viktor E.; Piuzzi, Nicolas S.</t>
  </si>
  <si>
    <t>Not All Robotic-assisted Total Knee Arthroplasty Are the Same</t>
  </si>
  <si>
    <t>JOURNAL OF THE AMERICAN ACADEMY OF ORTHOPAEDIC SURGEONS</t>
  </si>
  <si>
    <t>TECHNOLOGY; ACCURACY; OUTCOMES</t>
  </si>
  <si>
    <t>Because value in healthcare has shifted to a measurement of quality relative to the cost, a greater emphasis exists on improving clinical and functional outcomes and patient satisfaction. Despite advances in implant design, surgical technique, and postoperative rehabilitation, multiple studies demonstrate that nearly 20% of patients remain dissatisfied with their overall outcomes after primary total knee arthroplasty (TKA). Because implant positioning, alignment, and equal soft-tissue balance are critical for a successful TKA, malalignment in the coronal, sagittal, and rotational planes continue to increase failure rates and cause poor clinical outcomes. Robotic-assisted TKA has gained momentum within the past 10 years to better control surgical variables by mitigating technical errors caused by insecure cutting guides and imprecise bone cuts. Contemporary robotic platforms have evolved along with our ability to collect high-quality patient-reported outcome measures data, and this combination is proving the clinical effectiveness. This comprehensive review investigates the advent of robotic-assisted TKA including advantages, disadvantages, historical, and commercially available newer generation systems, clinical outcomes, and cost analysis to better understand the potential added value of this technology.</t>
  </si>
  <si>
    <t>[Siddiqi, Ahmed; Krebs, Viktor E.; Piuzzi, Nicolas S.] Cleveland Clin Fdn, Dept Orthoped, 9500 Euclid Ave, Cleveland, OH 44195 USA; [Mont, Michael A.] Lenox Hill Hosp, Northwell Hlth, Dept Orthoped, New York, NY 10021 USA</t>
  </si>
  <si>
    <t>Cleveland Clinic Foundation; Northwell Health</t>
  </si>
  <si>
    <t>Siddiqi, A (corresponding author), Cleveland Clin Fdn, Dept Orthoped, 9500 Euclid Ave, Cleveland, OH 44195 USA.</t>
  </si>
  <si>
    <t>Siddiqi, Ahmed/Z-1973-2019</t>
  </si>
  <si>
    <t>SIDDIQI, AHMED/0000-0002-9434-671X; Piuzzi, Nicolas S./0000-0003-3007-7538</t>
  </si>
  <si>
    <t>1067-151X</t>
  </si>
  <si>
    <t>1940-5480</t>
  </si>
  <si>
    <t>J AM ACAD ORTHOP SUR</t>
  </si>
  <si>
    <t>J. Am. Acad. Orthop. Surg.</t>
  </si>
  <si>
    <t>JAN 15</t>
  </si>
  <si>
    <t>10.5435/JAAOS-D-20-00654</t>
  </si>
  <si>
    <t>SO2PO</t>
  </si>
  <si>
    <t>WOS:000658819400001</t>
  </si>
  <si>
    <t>Ali, A; Fontanari, V; Fontana, M; Schmölz, W</t>
  </si>
  <si>
    <t>Ali, Athar; Fontanari, Vigilio; Fontana, Marco; Schmoelz, Werner</t>
  </si>
  <si>
    <t>Spinal Deformities and Advancement in Corrective Orthoses</t>
  </si>
  <si>
    <t>braces; scoliosis; corrective orthosis; wearable robotics; rehabilitation robotics</t>
  </si>
  <si>
    <t>Spinal deformity is an abnormality in the spinal curves and can seriously affect the activities of daily life. The conventional way to treat spinal deformities, such as scoliosis, kyphosis, and spondylolisthesis, is to use spinal orthoses (braces). Braces have been used for centuries to apply corrective forces to the spine to treat spinal deformities or to stabilize the spine during postoperative rehabilitation. Braces have not modernized with advancements in technology, and very few braces are equipped with smart sensory design and active actuation. There is a need to enable the orthotists, ergonomics practitioners, and developers to incorporate new technologies into the passive field of bracing. This article presents a review of the conventional passive braces and highlights the advancements in spinal orthoses in terms of improved sensory designs, active actuation mechanisms, and new construction methods (CAD/CAM, three-dimensional (3D) printing). This review includes 26 spinal orthoses, comprised of passive rigid/soft braces, active dynamics braces, and torso training devices for the rehabilitation of the spine.</t>
  </si>
  <si>
    <t>[Ali, Athar; Fontanari, Vigilio; Fontana, Marco] Univ Trento, Dept Ind Engn, I-38122 Trento, Italy; [Schmoelz, Werner] Med Univ Innsbruck, Dept Trauma Surg, A-6020 Innsbruck, Austria</t>
  </si>
  <si>
    <t>University of Trento; Medical University of Innsbruck</t>
  </si>
  <si>
    <t>Ali, A (corresponding author), Univ Trento, Dept Ind Engn, I-38122 Trento, Italy.</t>
  </si>
  <si>
    <t>athar.ali@unitn.it; vigilio.fontanari@unitn.it; marco.fontana-2@unitn.it; werner.schmoelz@i-med.ac.at</t>
  </si>
  <si>
    <t>Ali, Athar/AAG-5366-2021; Fontanari, Vigilio/V-4497-2019; Schmoelz, Werner/M-6572-2017; Fontana, Marco/L-8467-2015; ALI, ATHAR/I-9023-2018</t>
  </si>
  <si>
    <t>Schmoelz, Werner/0000-0003-2962-2594; Fontana, Marco/0000-0002-5691-8115; ALI, ATHAR/0000-0002-5936-447X; Fontanari, Vigilio/0000-0001-8236-522X</t>
  </si>
  <si>
    <t>Italian Ministry for Education, University, and Research (MIUR) through the Departments of Excellence program</t>
  </si>
  <si>
    <t>Italian Ministry for Education, University, and Research (MIUR) through the Departments of Excellence program(Ministry of Education, Universities and Research (MIUR))</t>
  </si>
  <si>
    <t>This project has received funding from the Italian Ministry for Education, University, and Research (MIUR) through the Departments of Excellence program.</t>
  </si>
  <si>
    <t>10.3390/bioengineering8010002</t>
  </si>
  <si>
    <t>PV1JL</t>
  </si>
  <si>
    <t>WOS:000609750200001</t>
  </si>
  <si>
    <t>Clark, B; Whitall, J; Kwakkel, G; Mehrholz, J; Ewings, S; Burridge, J</t>
  </si>
  <si>
    <t>Clark, Beth; Whitall, Jill; Kwakkel, Gert; Mehrholz, Jan; Ewings, Sean; Burridge, Jane</t>
  </si>
  <si>
    <t>The effect of time spent in rehabilitation on activity limitation and impairment after stroke</t>
  </si>
  <si>
    <t>RANDOMIZED CONTROLLED-TRIAL; CONSTRAINT-INDUCED MOVEMENT; CLINICALLY IMPORTANT DIFFERENCES; AUGMENTED EXERCISE THERAPY; COMMUNITY-DWELLING PEOPLE; EARLY SUPPORTED DISCHARGE; UPPER EXTREMITY MOVEMENT; ROBOT-ASSISTED THERAPY; UPPER-LIMB RECOVERY; DOSE-RESPONSE</t>
  </si>
  <si>
    <t>Background Stroke affects millions of people every year and is a leading cause of disability, resulting in significant financial cost and reduction in quality of life. Rehabilitation after stroke aims to reduce disability by facilitating recovery of impairment, activity, or participation. One aspect of stroke rehabilitation that may affect outcomes is the amount of time spent in rehabilitation, including minutes provided, frequency (i.e. days per week of rehabilitation), and duration (i.e. time period over which rehabilitation is provided). Effect of time spent in rehabilitation after stroke has been explored extensively in the literature, but findings are inconsistent. Previous systematic reviews with meta-analyses have included studies that differ not only in the amount provided, but also type of rehabilitation. Objectives To assess the effect of 1. more time spent in the same type of rehabilitation on activity measures in people with stroke; 2. difference in total rehabilitation time (in minutes) on recovery of activity in people with stroke; and 3. rehabilitation schedule on activity in terms of: a. average time (minutes) per week undergoing rehabilitation, b. frequency (number of sessions per week) of rehabilitation, and c. total duration of rehabilitation. Search methods We searched the Cochrane Stroke Group trials register, CENTRAL, MEDLINE, Embase, eight other databases, and five trials registers to June 2021. We searched reference lists of identified studies, contacted key authors, and undertook reference searching using Web of Science Cited Reference Search. Selection criteria We included randomised controlled trials (RCTs) of adults with stroke that compared different amounts of time spent, greater than zero, in rehabilitation (any non-pharmacological, non-surgical intervention aimed to improve activity after stroke). Studies varied only in the amount of time in rehabilitation between experimental and control conditions. Primary outcome was activities of daily living (ADLs); secondary outcomes were activity measures of upper and lower limbs, motor impairment measures of upper and lower limbs, and serious adverse events (SAE)/death. Data collection and analysis Two review authors independently screened studies, extracted data, assessed methodological quality using the Cochrane RoB 2 tool, and assessed certainty of the evidence using GRADE. For continuous outcomes using different scales, we calculated pooled standardised mean difference (SMDs) and 95% confidence intervals (CIs). We expressed dichotomous outcomes as risk ratios (RR) with 95% CIs. Main results The quantitative synthesis of this review comprised 21 parallel RCTs, involving analysed data from 1412 participants. Time in rehabilitation varied between studies. Minutes provided per week were 90 to 1288. Days per week of rehabilitation were three to seven. Duration of rehabilitation was two weeks to six months. Thirteen studies provided upper limb rehabilitation, five general rehabilitation, two mobilisation training, and one lower limb training. Sixteen studies examined participants in the first six months following stroke; the remaining five included participants more than six months poststroke. Comparison of stroke severity or level of impairment was limited due to variations in measurement. The risk of bias assessment suggests there were issues with the methodological quality of the included studies. There were 76 outcome-level risk of bias assessments: 15 low risk, 37 some concerns, and 24 high risk. When comparing groups that spent more time versus less time in rehabilitation immediately after intervention, we found no difference in rehabilitation for ADL outcomes (SMD 0.13, 95% CI -0.02 to 0.28; P = 0.09; I-2 = 7%; 14 studies, 864 participants; very low-certainty evidence), activity measures of the upper limb (SMD 0.09, 95% CI -0.11 to 0.29; P = 0.36; I-2 = 0%; 12 studies, 426 participants; very low-certainty evidence), and activity measures of the lower limb (SMD 0.25, 95% CI -0.03 to 0.53; P = 0.08; I-2 = 48%; 5 studies, 425 participants; very low-certainty evidence). We found an effect in favour of more time in rehabilitation for motor impairment measures of the upper limb (SMD 0.32, 95% CI 0.06 to 0.58; P = 0.01; I-2 = 10%; 9 studies, 287 participants; low-certainty evidence) and of the lower limb (SMD 0.71, 95% CI 0.15 to 1.28; P = 0.01; 1 study, 51 participants; very low-certainty evidence). There were no intervention-related SAEs. More time in rehabilitation did not affect the risk of SAEs/death (RR 1.20, 95% CI 0.51 to 2.85; P = 0.68; I-2 = 0%; 2 studies, 379 participants; low-certainty evidence), but few studies measured these outcomes. Predefined subgroup analyses comparing studies with a larger difference of total time spent in rehabilitation between intervention groups to studies with a smaller difference found greater improvements for studies with a larger difference. This was statistically significant for ADL outcomes (P = 0.02) and activity measures of the upper limb (P = 0.04), but not for activity measures of the lower limb (P = 0.41) or motor impairment measures of the upper limb (P = 0.06). Authors' conclusions An increase in time spent in the same type of rehabilitation after stroke results in little to no difference in meaningful activities such as activities of daily living and activities of the upper and lower limb but a small benefit in measures of motor impairment (low- to very low-certainty evidence for all findings). If the increase in time spent in rehabilitation exceeds a threshold, this may lead to improved outcomes. There is currently insufficient evidence to recommend a minimum beneficial daily amount in clinical practice. The findings of this study are limited by a lack of studies with a significant contrast in amount of additional rehabilitation provided between control and intervention groups. Large, well-designed, high-quality RCTs that measure time spent in all rehabilitation activities (not just interventional) and provide a large contrast (minimum of 1000 minutes) in amount of rehabilitation between groups would provide further evidence for effect of time spent in rehabilitation.</t>
  </si>
  <si>
    <t>[Clark, Beth] Univ Southampton, Fac Environm &amp; Life Sci, Sch Hlth Sci, Southampton, Hants, England; [Whitall, Jill] Univ Maryland, Dept Phys Therapy &amp; Rehabil Sci, Baltimore, MD 21201 USA; [Kwakkel, Gert] Vrije Univ Amsterdam Med Ctr, Dept Rehabil Med, Amsterdam Neurosci, Amsterdam Movement Sci &amp; Amsterdam, Amsterdam, Netherlands; [Mehrholz, Jan] Tech Univ Dresden, Dresden Med Sch, Dept Publ Hlth, Dresden, Germany; [Ewings, Sean] Univ Southampton, Southampton Stat Sci Res Inst, Southampton, Hants, England; [Burridge, Jane] Univ Southampton, Fac Hlth Sci, Res Grp, Southampton, Hants, England</t>
  </si>
  <si>
    <t>University of Southampton; University System of Maryland; University of Maryland Baltimore; Vrije Universiteit Amsterdam; VU UNIVERSITY MEDICAL CENTER; Technische Universitat Dresden; University of Southampton; University of Southampton</t>
  </si>
  <si>
    <t>Clark, B (corresponding author), Univ Southampton, Fac Environm &amp; Life Sci, Sch Hlth Sci, Southampton, Hants, England.</t>
  </si>
  <si>
    <t>b.a.clark@soton.ac.uk</t>
  </si>
  <si>
    <t>Clark, Beth Alice/0000-0003-4493-166X; Burridge, Jane/0000-0003-3497-6725; Ewings, Sean/0000-0001-7214-4917</t>
  </si>
  <si>
    <t>Health Education Wessex; Poole Hospital NHS Foundation Trust</t>
  </si>
  <si>
    <t>Health Education Wessex: paid tuition fees for academic years 2013/2014, 2014/2015, and 2015/2016, and contributed to tuition fees for academic year 2016/2017 for Doctorate in Clinical Practice Studies at the University of Southampton. Contributed to tuition fees for academic year 2019/2020 for Philosophical doctorate (transferred from Doctorate in Clinical Practice Program) at the University of Southampton (funds paid to institution). * Poole Hospital NHS Foundation Trust: contributed to tuition fees for academic year 2016/2017 for Doctorate in Clinical Practice Studies at the University of Southampton (funds paid to institution). * Elizabeth Casson Trust: contributed to tuition fees for academic year 2016/2017 for Doctorate in Clinical Practice Studies at the University of Southampton. Provided full tuition fees for academic year 2020/2021 for Philosophical doctorate (transferred from Doctorate in Clinical Practice Program) at the University of Southampton (funds paid to institution).</t>
  </si>
  <si>
    <t>CD012612</t>
  </si>
  <si>
    <t>10.1002/14651858.CD012612.pub2</t>
  </si>
  <si>
    <t>WR3WD</t>
  </si>
  <si>
    <t>WOS:000714433300009</t>
  </si>
  <si>
    <t>Cumplido, C; Delgado, E; Ramos, J; Puyuelo, G; Garcés, E; Destarac, MA; Plaza, A; Hernández, M; Gutiérrez, A; García, E</t>
  </si>
  <si>
    <t>Cumplido, Carlos; Delgado, Elena; Ramos, Jaime; Puyuelo, Gonzalo; Garces, Elena; Andre Destarac, Marie; Plaza, Alberto; Hernandez, Mar; Gutierrez, Alba; Garcia, Elena</t>
  </si>
  <si>
    <t>Gait-assisted exoskeletons for children with cerebral palsy or spinal muscular atrophy: A systematic review</t>
  </si>
  <si>
    <t>Cerebral Palsy; exoskeleton; paediatric; rehabilitation; robot-assisted gait training; Spinal Muscular Atrophy</t>
  </si>
  <si>
    <t>REHABILITATION; WALKING; STATEMENT</t>
  </si>
  <si>
    <t>BACKGROUND: Cerebral Palsy (CP) and Spinal Muscular Atrophy (SMA) are common causes of motor disability in childhood. Gait exoskeletons are currently being used as part of rehabilitation for children with walking difficulties. OBJECTIVE: To assess the safety and efficacy and describe the main characteristics of the clinical articles using robot-assisted gait training (RAGT) with exoskeleton for children with CP or SMA. METHODS: A computer search was conducted in five bibliographic databases regarding clinical studies published in the last ten years. In order to be included in this review for further analysis, the studies had to meet the following criteria: (1) assess efficacy or safety of interventions; (2) population had to be children with CP or SMA aged between 3 and 14; (3) exoskeleton must be bilateral and assist lower limbs during walking. RESULTS: Twenty-one articles were selected, of which only five were clinical trials. 108 participants met the inclusion criteria for this study, all with a diagnosis of CP. The evidence level of the selected papers was commonly low. CONCLUSIONS: RAGT therapy seems to be safe for children with CP. However, further investigation is needed to confirm the results related to efficacy. There is no evidence of RAGT therapy for SMA children.</t>
  </si>
  <si>
    <t>[Cumplido, Carlos; Delgado, Elena; Ramos, Jaime; Garces, Elena; Hernandez, Mar; Gutierrez, Alba; Garcia, Elena] Consejo Super Invest Cient CSIC UPM, Ctr Automat &amp; Robot, Madrid, Spain; [Puyuelo, Gonzalo; Garces, Elena; Andre Destarac, Marie; Plaza, Alberto] Marsi Bion SL, Madrid, Spain; [Puyuelo, Gonzalo] Univ Rey Juan Carlos, Escuela Int Doctorado, Madrid, Spain; [Garces, Elena] Univ Alcala, Programa Doctorado Ciencias Salud, Madrid, Spain; [Plaza, Alberto] Univ Politecn Madrid, Madrid, Spain</t>
  </si>
  <si>
    <t>Consejo Superior de Investigaciones Cientificas (CSIC); Universidad Politecnica de Madrid; CSIC-UPM - Centro de Automatica y Robotica; Universidad Rey Juan Carlos; Universidad de Alcala; Universidad Politecnica de Madrid</t>
  </si>
  <si>
    <t>Cumplido, C (corresponding author), Consejo Super Invest Cient CSIC UPM, Ctr Automat &amp; Robot, Madrid, Spain.</t>
  </si>
  <si>
    <t>carlos.cumplido@csic.es</t>
  </si>
  <si>
    <t>Hernández, Mar/HSH-3709-2023; Garcia, Elena/GWR-0291-2022; Gutiérrez, Alba/JHT-4439-2023; Delgado, Elena/MBW-1646-2025; Cumplido Trasmonte, Carlos/HGC-8567-2022</t>
  </si>
  <si>
    <t>Gutierrez Ayala, Alba/0000-0003-0202-8181; Ramos Rojas, Jaime/0000-0002-2370-9640; Delgado, Elena/0000-0003-3773-9178; Hernandez Melero, Mar/0000-0002-2937-1150; Destarac, Marie Andre/0000-0003-0276-7638; Cumplido Trasmonte, Carlos/0000-0002-2878-9272</t>
  </si>
  <si>
    <t>Department of Education and Research from the Community of Madrid; European Social Fund [PEJD-2018-AI/TIC-11333, PEJ-2019-AI/TIC-152 02, IND2017/TIC-7698, IND2018/TIC-9618]; State Investigation Agency, from the Spanish Ministry of Science and Innovation [DI-1608731, PTQ2018-531010119]</t>
  </si>
  <si>
    <t>Department of Education and Research from the Community of Madrid; European Social Fund(European Social Fund (ESF)); State Investigation Agency, from the Spanish Ministry of Science and Innovation(Spanish Government)</t>
  </si>
  <si>
    <t>This work was supported by grants from the Department of Education and Research from the Community of Madrid and European Social Fund (PEJD-2018-AI/TIC-11333, PEJ-2019-AI/TIC-152 02, IND2017/TIC-7698, IND2018/TIC-9618) and the State Investigation Agency, from the Spanish Ministry of Science and Innovation (Ref. DI-1608731, Ref. PTQ2018-531010119).</t>
  </si>
  <si>
    <t>10.3233/NRE-210135</t>
  </si>
  <si>
    <t>WW8PA</t>
  </si>
  <si>
    <t>WOS:000718170100001</t>
  </si>
  <si>
    <t>de la Tejera, JA; Bustamante-Bello, R; Ramirez-Mendoza, RA; Izquierdo-Reyes, J</t>
  </si>
  <si>
    <t>de la Tejera, Javier A.; Bustamante-Bello, Rogelio; Ramirez-Mendoza, Ricardo A.; Izquierdo-Reyes, Javier</t>
  </si>
  <si>
    <t>Systematic Review of Exoskeletons towards a General Categorization Model Proposal</t>
  </si>
  <si>
    <t>exoskeletons; bioengineering; biomechanics; biomechatronics; rehabilitation robotics</t>
  </si>
  <si>
    <t>MECHANICAL DESIGN; ANKLE; REHABILITATION; KNEE; WALKING</t>
  </si>
  <si>
    <t>Exoskeletons are an essential part of humankind's future. The first records regarding the subject were published several decades ago, and the field has been expanding ever since. Their developments will be imperative for humans in the coming decades due to our constant pursuit of physical enhancement, and the physical constraints the human body has. The principal purpose of this article is to formalize research in the field of exoskeletons and introduce the field to more researchers in hopes of expanding research in the area. Exoskeletons can assist and/or aid in the rehabilitation of a person. Recovery exoskeletons are mostly used in medical and research areas; performance exoskeletons can be used in any area. This systematic review explains the precedents of the exoskeletons and gives a general perspective on their general present-day use, and provides a general categorization model with a brief description of each category. Finally, this paper provides a discussion of the state-of-the-art, and the current control techniques used in exoskeletons.</t>
  </si>
  <si>
    <t>[de la Tejera, Javier A.; Bustamante-Bello, Rogelio; Ramirez-Mendoza, Ricardo A.; Izquierdo-Reyes, Javier] Tecnol Monterrey, Sch Engn &amp; Sci, Mexico City 14380, DF, Mexico; [Izquierdo-Reyes, Javier] MIT, Microsyst Technol Labs, Cambridge, MA 02319 USA</t>
  </si>
  <si>
    <t>Tecnologico de Monterrey; Massachusetts Institute of Technology (MIT)</t>
  </si>
  <si>
    <t>de la Tejera, JA; Ramirez-Mendoza, RA (corresponding author), Tecnol Monterrey, Sch Engn &amp; Sci, Mexico City 14380, DF, Mexico.</t>
  </si>
  <si>
    <t>j.delatejera@tec.mx; rbustama@tec.mx; ricardo.ramirez@tec.mx; javieriz@mit.edu</t>
  </si>
  <si>
    <t>Ramirez-Mendoza, Ricardo/I-4584-2015; de la Peña, Javier/AAI-8371-2021; Bustamante-Bello, Rogelio/AAW-7668-2021; Reyes, Javier/AAH-3419-2020</t>
  </si>
  <si>
    <t>de la Tejera de la Pena, Javier Alberto/0000-0002-0554-0271; Bustamante-Bello, Rogelio/0000-0001-9270-0052; Ramirez-Mendoza, Ricardo A/0000-0002-5122-507X; Izquierdo, Javier/0000-0001-9698-4355</t>
  </si>
  <si>
    <t>Tecnologico de Monterrey; Consejo Nacional de Ciencia y Tecnologia (CONACYT) Mexico [CVU 923079]</t>
  </si>
  <si>
    <t>Tecnologico de Monterrey; Consejo Nacional de Ciencia y Tecnologia (CONACYT) Mexico(Consejo Nacional de Ciencia y Tecnologia (CONACyT))</t>
  </si>
  <si>
    <t>This research was supported by Tecnologico de Monterrey and Consejo Nacional de Ciencia y Tecnologia (CONACYT) Mexico, under scholarship number CVU 923079.</t>
  </si>
  <si>
    <t>10.3390/app11010076</t>
  </si>
  <si>
    <t>PP4DL</t>
  </si>
  <si>
    <t>WOS:000605814700001</t>
  </si>
  <si>
    <t>Fonte, C; Varalta, V; Rocco, A; Munari, D; Filippetti, M; Evangelista, E; Modenese, A; Smania, N; Picelli, A</t>
  </si>
  <si>
    <t>Fonte, Cristina; Varalta, Valentina; Rocco, Arianna; Munari, Daniele; Filippetti, Mirko; Evangelista, Elisa; Modenese, Angela; Smania, Nicola; Picelli, Alessandro</t>
  </si>
  <si>
    <t>Combined transcranial Direct Current Stimulation and robot-assisted arm training in patients with stroke: a systematic review</t>
  </si>
  <si>
    <t>RESTORATIVE NEUROLOGY AND NEUROSCIENCE</t>
  </si>
  <si>
    <t>Brain stimulation; recovery of function; rehabilitation; robotics</t>
  </si>
  <si>
    <t>UPPER-LIMB RECOVERY; SPINAL-CORD-INJURY; MOTOR FUNCTION; REHABILITATION; RELIABILITY; THERAPY; TDCS; PERFORMANCE; SUBACUTE; SCALE</t>
  </si>
  <si>
    <t>Background: Upper limb motor deficits in patients with severe stroke often remain unresolved over time. Combining transcranial Direct Current Stimulation with robotic therapy is an innovative neurorehabilitation approach that holds promise to improve upper limb impairment after stroke. Objective: To investigate the effects of robotic training in combination with transcranial Direct Current Stimulation for treating poststroke upper limb impairment. Methods PubMed, MEDLINE, Cochrane Library, and EMBASE electronic databases were searched using keywords, MeSH terms, and strings: Stroke[MeSH] AND (Upper Extremity[MeSH] OR upper limb) AND(Transcranial Direct Current Stimulation [MeSH] OR tDCS) AND (robotics OR robotic therapy). Full-text articles published in English up to October 2020 were included. Each was rated for quality according to the Physiotherapy Database (PEDro) score: eight out of eleven scored more than 8 points; their results were considered reliable for this review. Results: Of the total of 171 publications retrieved, 11 met the inclusion criteria. The results of studies that examined the same outcome measures were pooled to draw conclusions on the effectiveness of transcranial Direct Current Stimulation and robot-assisted training in corticomotor excitability, upper limb kinematics, muscle strength and tone, function, disability, and quality of life after stroke. Conclusions: To date, there is insufficient evidence to support the hypothesis that transcranial Direct Current Stimulation enhances the effects of robot-assisted arm training in poststroke patients. Further studies with more accurate, comparable and standardized methodology are needed in order to better define the effects of robotic training in combination with transcranial Direct Current Stimulation on poststroke upper limb impairment. Therefore, given the scarce resources available to rehabilitation researches, other, more promising approaches should be given attention.</t>
  </si>
  <si>
    <t>[Fonte, Cristina; Varalta, Valentina; Rocco, Arianna; Munari, Daniele; Filippetti, Mirko; Evangelista, Elisa; Smania, Nicola; Picelli, Alessandro] Univ Verona, Neuromotor &amp; Cognit Rehabil Res Ctr, Dept Neurosci Biomed &amp; Movement Sci, Sect Phys &amp; Rehabil Med, Ple LA Scuro 10, I-37134 Verona, Italy; [Fonte, Cristina; Varalta, Valentina; Modenese, Angela; Smania, Nicola; Picelli, Alessandro] Univ Hosp Verona, Neurorehabil Unit, Verona, Italy; [Picelli, Alessandro] Canadian Adv Neuroorthoped Spast Congress CANOSC, Kingston, ON, Canada</t>
  </si>
  <si>
    <t>University of Verona; University of Verona; Azienda Ospedaliera Universitaria Integrata Verona</t>
  </si>
  <si>
    <t>Picelli, A (corresponding author), Univ Verona, Neuromotor &amp; Cognit Rehabil Res Ctr, Dept Neurosci Biomed &amp; Movement Sci, Sect Phys &amp; Rehabil Med, Ple LA Scuro 10, I-37134 Verona, Italy.</t>
  </si>
  <si>
    <t>Munari, Daniele/AAT-1718-2020; Picelli, Alessandro/K-5610-2016</t>
  </si>
  <si>
    <t>Varalta, Valentina/0000-0003-4242-8497; Evangelista, Elisa/0009-0006-0852-9066</t>
  </si>
  <si>
    <t>0922-6028</t>
  </si>
  <si>
    <t>1878-3627</t>
  </si>
  <si>
    <t>RESTOR NEUROL NEUROS</t>
  </si>
  <si>
    <t>Restor. Neurol. Neurosci.</t>
  </si>
  <si>
    <t>10.3233/RNN-211218</t>
  </si>
  <si>
    <t>YB8CY</t>
  </si>
  <si>
    <t>WOS:000739234400004</t>
  </si>
  <si>
    <t>Grampurohit, N; Bell, A; Duff, SV; Mulcahey, MJ; Thielen, CC; Kaplan, G; Marino, RJ</t>
  </si>
  <si>
    <t>Grampurohit, Namrata; Bell, Alison; Duff, Susan, V; Mulcahey, M. J.; Thielen, Christina Calhoun; Kaplan, Gary; Marino, Ralph J.</t>
  </si>
  <si>
    <t>Highlighting gaps in spinal cord injury research in activity-based interventions for the upper extremity: A scoping review</t>
  </si>
  <si>
    <t>Activity-based; high-intensity; rehabilitation; therapy; scoping review; upper extremity; neurological conditions; spinal cord injury</t>
  </si>
  <si>
    <t>GRADED REDEFINED ASSESSMENT; UPPER-LIMB FUNCTION; TEST CUE-T; VIRTUAL-REALITY; ELECTRICAL-STIMULATION; MASSED PRACTICE; STROKE; TELEREHABILITATION; REHABILITATION; SENSIBILITY</t>
  </si>
  <si>
    <t>BACKGROUND: Upper extremity activity-based therapy for neurologic disorders employs high-intensity, high repetition functional training to exploit neuroplasticity and improve function. Research focused on high-intensity upper extremity activity-based therapy for persons with spinal cord injury (SCI) is limited. OBJECTIVE: To summarize high-intensity activity-based interventions used in neurological disorders for their current or potential application to SCI. METHODS: The scoping review included articles from MEDLINE, CINAHL, Cochrane CENTRAL, and OTSeeker with the criteria: non-invasive activity-based interventions delivered at least three times/week for two weeks, upper extremity functional outcomes, age 13 years or older, English language, and neurological disorders three months post onset/injury. RESULTS: The search yielded 172 studies. There were seven studies with SCI, all in adults. Activity-based interventions in SCI included task-specific training and gaming, with and without electrical stimulation, and a robotic exoskeleton. The other populations found in the review included studies in stroke, cerebral palsy, and multiple sclerosis. Thirty-four different interventions were reported in other populations. In comparison to the extensive stroke research, work in SCI was not found for high-intensity interventions using virtual reality, brain stimulation, rehabilitation devices, and applications to the home and telerehab settings. CONCLUSION: The results highlight critical gaps within upper extremity high-intensity activity-based research in SCI.</t>
  </si>
  <si>
    <t>[Grampurohit, Namrata; Bell, Alison; Mulcahey, M. J.; Thielen, Christina Calhoun] Thomas Jefferson Univ, Jefferson Coll Rehabil Sci, Philadelphia, PA 19107 USA; [Duff, Susan, V] Chapman Univ, Crean Coll Hlth &amp; Behav Sci, Irvine, CA USA; [Kaplan, Gary] Thomas Jefferson Univ, Acad Commons, Scott Mem Lib, Philadelphia, PA 19107 USA; [Marino, Ralph J.] Thomas Jefferson Univ, Sidney Kimmel Med Coll, Philadelphia, PA 19107 USA</t>
  </si>
  <si>
    <t>Thomas Jefferson University; Chapman University System; Chapman University; Thomas Jefferson University; Thomas Jefferson University</t>
  </si>
  <si>
    <t>Grampurohit, N (corresponding author), 901 Walnut St,Suite 600, Philadelphia, PA 19107 USA.</t>
  </si>
  <si>
    <t>namrata.grampurohit@jefferson.edu</t>
  </si>
  <si>
    <t>Grampurohit, Namrata/AAN-7605-2020; Bell, Alison/AFY-0973-2022; Kaplan, Gary/HMW-1954-2023</t>
  </si>
  <si>
    <t>Kaplan, Gary/0000-0003-4151-4377; Bell, Alison/0000-0002-4850-8220; Grampurohit, Namrata/0000-0001-9838-8581</t>
  </si>
  <si>
    <t>10.3233/NRE-210042</t>
  </si>
  <si>
    <t>UD2OZ</t>
  </si>
  <si>
    <t>WOS:000687053200002</t>
  </si>
  <si>
    <t>Kolaghassi, R; Al-Hares, MK; Sirlantzis, K</t>
  </si>
  <si>
    <t>Kolaghassi, Rania; Al-Hares, Mohamad Kenan; Sirlantzis, Konstantinos</t>
  </si>
  <si>
    <t>Systematic Review of Intelligent Algorithms in Gait Analysis and Prediction for Lower Limb Robotic Systems</t>
  </si>
  <si>
    <t>Gait analysis; exoskeletons; orthoses; machine learning; deep learning; wearable robotics; gait phases; locomotion; moments; joint angles</t>
  </si>
  <si>
    <t>ANKLE-FOOT ORTHOSIS; TRAJECTORY GENERATION; EXOSKELETON; RECOGNITION; SENSORS; SUPPORT; ANGLE; CLASSIFICATION; IDENTIFICATION; ADAPTATION</t>
  </si>
  <si>
    <t>The rate of development of robotic technologies has been meteoric, as a result of compounded advancements in hardware and software. Amongst these robotic technologies are active exoskeletons and orthoses, used in the assistive and rehabilitative fields. Artificial intelligence techniques are increasingly being utilised in gait analysis and prediction. This review paper systematically explores the current use of intelligent algorithms in gait analysis for robotic control, specifically the control of active lower limb exoskeletons and orthoses. Two databases, IEEE and Scopus, were screened for papers published between 1989 to May 2020. 41 papers met the eligibility criteria and were included in this review. 66.7% of the identified studies used classification models for the classification of gait phases and locomotion modes. Meanwhile, 33.3% implemented regression models for the estimation/prediction of kinematic parameters such as joint angles and trajectories, and kinetic parameters such as moments and torques. Deep learning algorithms have been deployed in similar to 15% of the machine learning implementations. Other methodological parameters were reviewed, such as the sensor selection and the sample sizes used for training the models.</t>
  </si>
  <si>
    <t>[Kolaghassi, Rania; Al-Hares, Mohamad Kenan; Sirlantzis, Konstantinos] Univ Kent, Intelligent Interact Res Grp, Canterbury CT2 7NT, Kent, England</t>
  </si>
  <si>
    <t>Kolaghassi, R (corresponding author), Univ Kent, Intelligent Interact Res Grp, Canterbury CT2 7NT, Kent, England.</t>
  </si>
  <si>
    <t>rbk9@kent.ac.uk</t>
  </si>
  <si>
    <t>Sirlantzis, Konstantinos/0000-0002-0847-8880; Kolaghassi, Rania/0000-0001-8008-6032</t>
  </si>
  <si>
    <t>Interreg 2 Seas Program 2014-2020 by the European Regional Development Fund (M.O.T.I.O.N Project) [2S05-038]; M.O.T.I.O.N; M.O.T.I.O.N. Data through Kent Academic Repository</t>
  </si>
  <si>
    <t>Interreg 2 Seas Program 2014-2020 by the European Regional Development Fund (M.O.T.I.O.N Project); M.O.T.I.O.N; M.O.T.I.O.N. Data through Kent Academic Repository</t>
  </si>
  <si>
    <t>This work was supported by the Interreg 2 Seas Program 2014-2020 by the European Regional Development Fund (M.O.T.I.O.N Project) under Contract 2S05-038. The work of Rania Kolaghassi was supported by the Studentship through M.O.T.I.O.N. The work of Mohamad Kenan Al-Hares was supported by the M.O.T.I.O.N. Data through Kent Academic Repository (https://kar.kent.ac.uk/).</t>
  </si>
  <si>
    <t>10.1109/ACCESS.2021.3104464</t>
  </si>
  <si>
    <t>UC8DM</t>
  </si>
  <si>
    <t>WOS:000686752600001</t>
  </si>
  <si>
    <t>Li, WZ; Cao, GZ; Zhu, AB</t>
  </si>
  <si>
    <t>Li, Wen-Zhou; Cao, Guang-Zhong; Zhu, Ai-Bin</t>
  </si>
  <si>
    <t>Review on Control Strategies for Lower Limb Rehabilitation Exoskeletons</t>
  </si>
  <si>
    <t>Exoskeletons; Admittance; Trajectory; Torque; Impedance; Trajectory tracking; Robots; Rehabilitation exoskeletons; lower limb; control strategies; rigid exoskeletons</t>
  </si>
  <si>
    <t>SPINAL-CORD-INJURY; VIRTUAL CONSTRAINT CONTROL; POWERED EXOSKELETON; LOWER-EXTREMITY; STROKE REHABILITATION; COOPERATIVE CONTROL; ASSISTIVE CONTROL; RESTORE GAIT; LEG MOVEMENT; WALKING</t>
  </si>
  <si>
    <t>Research on lower limb exoskeleton (LLE) for rehabilitation have developed rapidly to meet the need of the population with neurologic injuries. LLEs for rehabilitation include therapeutic LLEs that aim to restore walking ability for patients, and assistive LLEs that offer support on activities in daily life. A substantial part of them can serve both purposes. However, these devices are yet to reach the final goal of performing human-machine joint movement agilely and smartly. Control strategy plays an important role in achieving their designed goal. At present, control strategies face three major challenges: how to detect human intention, how to do motion control with given intentions, and how to optimize control parameters to suit different individuals. As a contribution, this paper offers an overview on the state-of-the-art control strategies for rehabilitation LLEs by classifying them into eight categories, each of which is presented with a technical summary and tabulated information of representative papers. Moreover, current approaches addressing the three challenges are discussed in a macroscopic perspective. Finally, it has been explored which requirements the future control strategies should meet for maximizing the performance of rehabilitation LLEs.</t>
  </si>
  <si>
    <t>[Li, Wen-Zhou; Cao, Guang-Zhong] Shenzhen Univ, Guangdong Key Lab Elect Control &amp; Intelligent Rob, Shenzhen 518000, Peoples R China; [Zhu, Ai-Bin] Xi An Jiao Tong Univ, Inst Robot &amp; Intelligent Syst, Xian 710000, Peoples R China</t>
  </si>
  <si>
    <t>Shenzhen University; Xi'an Jiaotong University</t>
  </si>
  <si>
    <t>Cao, GZ (corresponding author), Shenzhen Univ, Guangdong Key Lab Elect Control &amp; Intelligent Rob, Shenzhen 518000, Peoples R China.</t>
  </si>
  <si>
    <t>gzcao@szu.edu.cn</t>
  </si>
  <si>
    <t>; Cao, Guang-Zhong/L-3417-2018</t>
  </si>
  <si>
    <t>Li, Wenzhou/0000-0003-4782-7729; Cao, Guang-Zhong/0000-0002-9393-2389</t>
  </si>
  <si>
    <t>National Natural Science Foundation of China [U1813212]; Science and Technology Planning Project of Guangdong Province, China [2020B121201012]</t>
  </si>
  <si>
    <t>National Natural Science Foundation of China(National Natural Science Foundation of China (NSFC)); Science and Technology Planning Project of Guangdong Province, China</t>
  </si>
  <si>
    <t>This work was supported in part by the National Natural Science Foundation of China under Grant U1813212, and in part by the Science and Technology Planning Project of Guangdong Province, China, under Grant 2020B121201012.</t>
  </si>
  <si>
    <t>10.1109/ACCESS.2021.3110595</t>
  </si>
  <si>
    <t>UQ4XK</t>
  </si>
  <si>
    <t>WOS:000696067800001</t>
  </si>
  <si>
    <t>Mak, SKD; Accoto, D</t>
  </si>
  <si>
    <t>Mak, Siu Kei David; Accoto, Dino</t>
  </si>
  <si>
    <t>Review of Current Spinal Robotic Orthoses</t>
  </si>
  <si>
    <t>osteoporotic spine fracture; spinal orthosis; exoskeleton; wearable robotics; active orthosis</t>
  </si>
  <si>
    <t>EXOSKELETON</t>
  </si>
  <si>
    <t>Osteoporotic spine fractures (OSF) are common sequelae of osteoporosis. OSF are directly correlated with increasing age and incidence of osteoporosis. OSF are treated conservatively or surgically. Associated acute pain, chronic disabilities, and progressive deformities are well documented. Conservative measures include a combination of initial bed rest, analgesia, early physiotherapy, and a spinal brace (orthosis), with the aim for early rehabilitation to prevent complications of immobile state. Spinal bracing is commonly used for symptomatic management of OSF. While traditional spinal braces aim to maintain the neutral spinal alignment and reduce the axial loading on the fractured vertebrae, they are well known for complications including discomfort with reduced compliance, atrophy of paraspinal muscles, and restriction of chest expansion leading to chest infections. Exoskeletons have been developed to passively assist and actively augment human movements with different types of actuators. Flexible, versatile spinal exoskeletons are designed to better support the spine. As new technologies enable the development of motorized wearable exoskeletons, several types have been introduced into the medical field application. We have provided a thorough review of the current spinal robotic technologies in this paper. The shortcomings in the current spinal exoskeletons were identified. Their limitations on the use for patients with OSF with potential improvement strategies were discussed. With our current knowledge of spinal orthosis for conservatively managed OSF, a semi-rigid backpack style thoracolumbar spinal robotic orthosis will reduce spinal bone stress and improve back muscle support. This will lead to back pain reduction, improved posture, and overall mobility. Early mobilization is an important part of management of patients with OSF as it reduces the chance of developing complications related to their immobile state for patients with OSF, which will be helpful for their recovery.</t>
  </si>
  <si>
    <t>[Mak, Siu Kei David] Natl Neurosci Inst, Dept Neurosurg, Singapore 308433, Singapore; [Accoto, Dino] Nanyang Technol Univ, Sch Mech &amp; Aerosp Engn, Singapore 639798, Singapore</t>
  </si>
  <si>
    <t>National Neuroscience Institute (NNI); Nanyang Technological University</t>
  </si>
  <si>
    <t>Mak, SKD (corresponding author), Natl Neurosci Inst, Dept Neurosurg, Singapore 308433, Singapore.</t>
  </si>
  <si>
    <t>david.mak@mohh.com.sg; daccoto@ntu.edu.sg</t>
  </si>
  <si>
    <t>Accoto, Dino/AAH-2933-2020</t>
  </si>
  <si>
    <t>Accoto, Dino/0000-0001-9039-5488</t>
  </si>
  <si>
    <t>10.3390/healthcare9010070</t>
  </si>
  <si>
    <t>PV9FF</t>
  </si>
  <si>
    <t>WOS:000610284300001</t>
  </si>
  <si>
    <t>Oh-Park, M; Doan, T; Dohle, C; Vermiglio-Kohn, V; Abdou, A</t>
  </si>
  <si>
    <t>Oh-Park, Mooyeon; Doan, Thao; Dohle, Carolin; Vermiglio-Kohn, Valerie; Abdou, Andrew</t>
  </si>
  <si>
    <t>Technology Utilization in Fall Prevention</t>
  </si>
  <si>
    <t>Technology; Falls; Patient Safety; Innovation</t>
  </si>
  <si>
    <t>AGED GREATER-THAN-OR-EQUAL-TO-65 YEARS; OLDER-ADULTS; RISK-ASSESSMENT; UNITED-STATES; INJURIES; BALANCE; CARE; INTERVENTION; PREDICTION; PROTECTION</t>
  </si>
  <si>
    <t>Falls, defined as unplanned descents to the floor with or without injury to an individual, remain to be one of the most challenging health conditions. Fall rate is a key quality metric of acute care hospitals, rehabilitation settings, and long-term care facilities. Fall prevention policies with proper implementation have been the focus of surveys by regulatory bodies, including The Joint Commission and the Centers for Medicare and Medicaid Services, for all healthcare settings. Since October 2008, the Centers for Medicare and Medicaid Services has stopped reimbursing hospitals for the costs related to patient falls, shifting the accountability for fall prevention to the healthcare providers. Research shows that almost one-third of falls can be prevented and extensive fall prevention interventions exist. Recently, technology-based applications have been introduced in healthcare to obtain superior patient care outcomes and experience via efficiency, access, and reliability. Several areas in fall prevention deploy technology, including predictive and prescriptive analytics using big data, video monitoring and alarm technology, wearable sensors, exergame and virtual reality, robotics in home environment assessment, and personal coaching. This review discusses an overview of these technology-based applications in various settings, focusing on the outcomes of fall reductions, cost, and other benefits.</t>
  </si>
  <si>
    <t>[Oh-Park, Mooyeon; Doan, Thao; Dohle, Carolin; Vermiglio-Kohn, Valerie; Abdou, Andrew] Burke Rehabil Hosp, 785 Mamaroneck Av, White Plains, NY 10605 USA; [Oh-Park, Mooyeon; Dohle, Carolin; Abdou, Andrew] Albert Einstein Coll Med, Montefiore Hlth Syst, Dept Rehabil Med, New York, NY USA</t>
  </si>
  <si>
    <t>Yeshiva University</t>
  </si>
  <si>
    <t>Oh-Park, M (corresponding author), Burke Rehabil Hosp, 785 Mamaroneck Av, White Plains, NY 10605 USA.</t>
  </si>
  <si>
    <t>10.1097/PHM.0000000000001554</t>
  </si>
  <si>
    <t>PG0CH</t>
  </si>
  <si>
    <t>WOS:000599411600020</t>
  </si>
  <si>
    <t>Ramazanov, KK; Kolontarev, KB; Gens, GP; Govorov, AV; Vasilyev, AO; Sadcheko, AV; Alaverdyan, AI; Stroganov, RV; Skrupskiy, KS; Kim, YA; Shiryaev, AA; Pushkar, DY</t>
  </si>
  <si>
    <t>Ramazanov, K. K.; Kolontarev, K. B.; Gens, G. P.; Govorov, A., V; Vasilyev, A. O.; Sadcheko, A., V; Alaverdyan, A., I; Stroganov, R., V; Skrupskiy, K. S.; Kim, Yu A.; Shiryaev, A. A.; Pushkar, D. Yu</t>
  </si>
  <si>
    <t>Long-term ontological and functional results of robot-assisted radical prostatectomy</t>
  </si>
  <si>
    <t>ONKOUROLOGIYA</t>
  </si>
  <si>
    <t>Russian</t>
  </si>
  <si>
    <t>prostate cancer; robot-assisted radical prostatectomy; radical prostatectomy</t>
  </si>
  <si>
    <t>CANCER CONTROL OUTCOMES; ONCOLOGIC OUTCOMES; RECOVERY; SERIES; RATES</t>
  </si>
  <si>
    <t>Prostate cancer (PCa), being one of the leading causes of cancer mortality in men in Russia and in a number of other countries of the world, remains an urgent problem for modem oncourology, and the choice of surgical method is an important task for a surgeon. Such a pronounced interest in robot-assisted radical prostatectomy (RARP) in patients is driven by good tolerance and effectiveness of these surgical interventions, despite the fact that radical prostatectomy is considered to be the gold standard for treatment of patients with clinically localized PCa with regard to European Association of Urology data. The long-term ontological and functional results and the quality of life of patients after RARP deserve close attention and thorough study. According to the data presented in this article, it is obvious that RARP is the preferred method for surgical treatment of PCa, since ontological and functional results in the long-term follow-up are comparable to the results after radical prostatectomy, and according to some authors, these results are superior to the results of radical prostatectomy. The results of the study will allow to continue further introduction of RARP into clinical practice and its popularization as a method of surgical treatment of patients with localized PCa, which will reduce the length of hospital stay of patients, accelerate their medical and social rehabilitation, and improve the quality of medical care. The amount of data on the study of distant ontological and functional results of RARP as well as its superiority over other treatment methods is limited in medical literature, which prompted us to conduct our own research. Currently the urological clinic of the A.I. Evdokimov Moscow State University of Medicine and Dentistry continues work aimed at studying the long-term results of RARP in the first patients in Russia.</t>
  </si>
  <si>
    <t>[Ramazanov, K. K.; Kolontarev, K. B.; Govorov, A., V; Vasilyev, A. O.; Alaverdyan, A., I; Stroganov, R., V; Pushkar, D. Yu] AI Evdokimov Moscow State Univ Med &amp; Dent, Minist Hlth Russia, Dept Urol, Build 1,20 Delegatskaya St, Moscow 127473, Russia; [Gens, G. P.] AI Evdokimov Moscow State Univ Med &amp; Dent, Dept Oncol &amp; Radiat Therapy, Minist Hlth Russia, Build 1,20 Delegatskaya St, Moscow 127473, Russia; [Vasilyev, A. O.; Sadcheko, A., V; Stroganov, R., V; Skrupskiy, K. S.; Kim, Yu A.; Shiryaev, A. A.] SI Spasokukotsky City Clin Hosp, Moscow Healthcare Dept, 21 Vucheticha St, Moscow 127206, Russia; [Vasilyev, A. O.; Sadcheko, A., V; Stroganov, R., V] Res Inst Healthcare Org &amp; Med Management, Moscow Healthcare Dept, 9 Sharikopodshipnikovskaya St, Moscow 115088, Russia</t>
  </si>
  <si>
    <t>Ministry of Health of the Russian Federation; Moscow State University of Medicine &amp; Dentistry; Ministry of Health of the Russian Federation; Moscow State University of Medicine &amp; Dentistry</t>
  </si>
  <si>
    <t>Ramazanov, KK (corresponding author), AI Evdokimov Moscow State Univ Med &amp; Dent, Minist Hlth Russia, Dept Urol, Build 1,20 Delegatskaya St, Moscow 127473, Russia.</t>
  </si>
  <si>
    <t>kerimulla93@yandex.ru</t>
  </si>
  <si>
    <t>Vasilyev, Alexander/O-8167-2017; Kim, Yuriy/ABD-7016-2020; Kolontarev, Konstantin/AGO-0550-2022; Govorov, Alexander/AAB-8354-2022</t>
  </si>
  <si>
    <t>Anton, Sadcenko/0000-0002-7285-4246; Stroganov, Roman/0000-0002-5529-1787; Vasilyev, Alexander/0000-0001-5468-0011; Kolontarev, Konstantin/0000-0003-4511-5998</t>
  </si>
  <si>
    <t>ABV-PRESS PUBL HOUSE</t>
  </si>
  <si>
    <t>MOSCOW</t>
  </si>
  <si>
    <t>RESEARCH INST CARCINOGENESIS, BLDG 15, 3 FLR, KASHIRSKOYE SHOSSE, 24, MOSCOW, 115478, RUSSIA</t>
  </si>
  <si>
    <t>1726-9776</t>
  </si>
  <si>
    <t>1996-1812</t>
  </si>
  <si>
    <t>Onkourologiya</t>
  </si>
  <si>
    <t>10.17650/1726-9776-2021-17-3-121-128</t>
  </si>
  <si>
    <t>WW5KB</t>
  </si>
  <si>
    <t>WOS:000717954000011</t>
  </si>
  <si>
    <t>Sarajchi, M; Al-Hares, MK; Sirlantzis, K</t>
  </si>
  <si>
    <t>Sarajchi, Mohammadhadi; Al-Hares, Mohamad Kenan; Sirlantzis, Konstantinos</t>
  </si>
  <si>
    <t>Wearable Lower-Limb Exoskeleton for Children With Cerebral Palsy: A Systematic Review of Mechanical Design, Actuation Type, Control Strategy, and Clinical Evaluation</t>
  </si>
  <si>
    <t>Assistive robotics; cerebral palsy; lower-limb exoskeleton; systematic review; wearable robot</t>
  </si>
  <si>
    <t>GROSS MOTOR FUNCTION; DEVELOPMENTAL-DISABILITIES; KNEE EXOSKELETON; SPASTIC DIPLEGIA; CROUCH GAIT; CLASSIFICATION; PREVALENCE; WALKING; REHABILITATION; ORTHOSES</t>
  </si>
  <si>
    <t>Children with a neurological disorder such as cerebral palsy (CP) severely suffer from a reduced quality of life because of decreasing independence and mobility. Although there is no cure yet, a lower-limb exoskeleton (LLE) has considerable potential to help these children experience better mobility during overground walking. The research in wearable exoskeletons for children with CP is still at an early stage. This paper shows that the number of published papers on LLEs assisting children with CP has significantly increased in recent years; however, no research has been carried out to review these studies systematically. To fill up this research gap, a systematic review from a technical and clinical perspective has been conducted, based on the PRISMA guidelines, under three extended topics associated with lower limb, exoskeleton, and cerebral palsy in the databases Scopus and Web of Science. After applying several exclusion criteria, seventeen articles focused on fifteen LLEs were included for careful consideration. These studies address some consistent positive evidence on the efficacy of LLEs in improving gait patterns in children with CP. Statistical findings show that knee exoskeletons, brushless DC motors, the hierarchy control architecture, and CP children with spastic diplegia are, respectively, the most common mechanical design, actuator type, control strategy, and clinical characteristics for these LLEs. Clinical studies suggest ankle-foot orthosis as the primary medical solution for most CP gait patterns; nevertheless, only one motorized ankle exoskeleton has been developed. This paper shows that more research and contribution are needed to deal with open challenges in these LLEs.</t>
  </si>
  <si>
    <t>[Sarajchi, Mohammadhadi; Al-Hares, Mohamad Kenan; Sirlantzis, Konstantinos] Univ Kent, Sch Engn &amp; Digital Arts, Canterbury CT2 7NT, Kent, England</t>
  </si>
  <si>
    <t>Sarajchi, M (corresponding author), Univ Kent, Sch Engn &amp; Digital Arts, Canterbury CT2 7NT, Kent, England.</t>
  </si>
  <si>
    <t>ms2209@kent.ac.uk; m.k.al-hares@kent.ac.uk; k.sirlantzis@kent.ac.uk</t>
  </si>
  <si>
    <t>Sirlantzis, Konstantinos/0000-0002-0847-8880; Sarajchi, Mohammadhadi/0000-0001-5185-6165</t>
  </si>
  <si>
    <t>Interreg 2 Seas programme 2014-2020 - European Regional Development Fund [2S05-038]</t>
  </si>
  <si>
    <t>Interreg 2 Seas programme 2014-2020 - European Regional Development Fund(Interreg Europe)</t>
  </si>
  <si>
    <t>The authors acknowledge receipt of the following financial support for the research, authorship, and publication of this article: Interreg 2 Seas programme 2014-2020 co-funded by the European Regional Development Fund under subsidy contract No. 2S05-038 (M.O.T.I.O.N project).</t>
  </si>
  <si>
    <t>10.1109/TNSRE.2021.3136088</t>
  </si>
  <si>
    <t>YC3YZ</t>
  </si>
  <si>
    <t>WOS:000739631600003</t>
  </si>
  <si>
    <t>Sherimon, PC; Sherimon, V; Preethii, SP; Nair, RV; Mathew, R</t>
  </si>
  <si>
    <t>Sherimon, P. C.; Sherimon, Vinu; Preethii, S. P.; Nair, Rahul, V; Mathew, Renchi</t>
  </si>
  <si>
    <t>A Systematic Review of Clinical Decision Support Systems in Alzheimer's Disease Domain</t>
  </si>
  <si>
    <t>INTERNATIONAL JOURNAL OF ONLINE AND BIOMEDICAL ENGINEERING</t>
  </si>
  <si>
    <t>dementia; Alzheimer's disease; clinical decision support system; ontology; knowledge base; memory loss; mental deterioration; mental disorder</t>
  </si>
  <si>
    <t>DEMENTIA; ONTOLOGY; REHABILITATION; PLASTICITY; DIAGNOSIS</t>
  </si>
  <si>
    <t>Dementia is one of the major public health issues faced by the world. Alzheimer's disease (AD) is the most common form of dementia targeting old age groups around the world. It is a neurodegenerative condition with memory loss as its early symptom. Unfortunately, there is no cure for this disease currently. So various research in the medical and technical fields are being conducted to help people with Alzheimer's. Many studies focus on early diagnosis of Alzheimer's disease using clinical decision support system (CDSS) so that the progression of the disease can be slowed down to a great extent. In this context, we have undertaken a research to design and implement an ontology based Clinical decision support system for Alzheimer's disease in Sultanate of Oman. A semantic knowledgebase (ontology) will be the core component of our Clinical decision support system. The objective of this research paper is two-fold (a) review the medical aspects of Alzheimer's disease, and (b) review the available clinical decision support system based on ontology, robotics, and mobile applications in Alzheimer domain. Research articles published during 2011-2020 in PubMed, Google scholar, Elsevier, SpringerLink and IEEE journals were reviewed. We found that there are various clinical decision support systems which can aid physicians in suggesting diagnosis, and treatment of Alzheimer's disease.</t>
  </si>
  <si>
    <t>[Sherimon, P. C.] Arab Open Univ, Comp Studies, Muscat, Oman; [Sherimon, Vinu] Univ Technol &amp; Appl Sci, Dept IT, Muscat, Oman; [Preethii, S. P.] Govt Vellore Med Coll, Vellore, Tamil Nadu, India; [Nair, Rahul, V; Mathew, Renchi] Royal Oman Police Hosp, Muscat, Oman</t>
  </si>
  <si>
    <t>Sherimon, V (corresponding author), Univ Technol &amp; Appl Sci, Dept IT, Muscat, Oman.</t>
  </si>
  <si>
    <t>vinusherimon@yahoo.com</t>
  </si>
  <si>
    <t>Sherimon, Dr.Vinu/GXV-8960-2022</t>
  </si>
  <si>
    <t>Research Council (TRC) of the Sultanate of Oman [BFP/RGP/ICT/19/229]</t>
  </si>
  <si>
    <t>Research Council (TRC) of the Sultanate of Oman(Ministry of Higher Education, Research &amp; Innovation, OmanThe Research Council Oman)</t>
  </si>
  <si>
    <t>The research leading to these results has received funding from the Research Council (TRC) of the Sultanate of Oman under the Block Funding Program BFP/RGP/ICT/19/229.</t>
  </si>
  <si>
    <t>INT ASSOC ONLINE ENGINEERING</t>
  </si>
  <si>
    <t>WIEN</t>
  </si>
  <si>
    <t>KIRCHENGASSE 10-200, WIEN, A-1070, AUSTRIA</t>
  </si>
  <si>
    <t>2626-8493</t>
  </si>
  <si>
    <t>INT J ONLINE BIOMED</t>
  </si>
  <si>
    <t>Int. J. Online Biomed. Eng.</t>
  </si>
  <si>
    <t>10.3991/ijoe.v17i08.23643</t>
  </si>
  <si>
    <t>Computer Science, Interdisciplinary Applications</t>
  </si>
  <si>
    <t>UC1YR</t>
  </si>
  <si>
    <t>WOS:000686330400005</t>
  </si>
  <si>
    <t>Wang, HT; Yan, F; Xu, T; Yin, HJ; Chen, P; Yue, HW; Chen, CQ; Zhang, HF; Xu, LF; He, YB; Bezerianos, A</t>
  </si>
  <si>
    <t>Wang, Hongtao; Yan, Fan; Xu, Tao; Yin, Haojun; Chen, Peng; Yue, Hongwei; Chen, Chuangquan; Zhang, Hongfei; Xu, Linfeng; He, Yuebang; Bezerianos, Anastasios</t>
  </si>
  <si>
    <t>Brain-Controlled Wheelchair Review: From Wet Electrode to Dry Electrode, From Single Modal to Hybrid Modal, From Synchronous to Asynchronous</t>
  </si>
  <si>
    <t>Electroencephalography; Electrodes; Wheelchairs; Brain modeling; Headphones; Synchronous motors; Muscles; Brain-computer interface; brain-controlled wheelchair; electroencephalogram; hybrid brain-computer interface</t>
  </si>
  <si>
    <t>COMPUTER-INTERFACE; MOTOR IMAGERY; ROBOTIC WHEELCHAIR; NEUROPHYSIOLOGICAL PROTOCOL; EEG SIGNALS; REAL-TIME; BCI; NAVIGATION; SYSTEM; CLASSIFICATION</t>
  </si>
  <si>
    <t>Brain-computer interface (BCI) is a novel human-computer interaction model, which does not depend on the conventional output pathway (peripheral nerve and muscle tissue). In the past three decades, it has attracted the interest of researchers and gradually become a research hotspot. As a typical BCI application, the brain-controlled wheelchair (BCW) could provide a new communicating channel with the external environment for physically disabled people. However, the main challenge of BCW is how to decode multi-degree of freedom control instruction from electroencephalogram (EEG) as soon as possible. The research progress of BCW has been developed rapidly over the past fifteen years. In this review, we investigate the BCW from multiple perspectives, include the type of signal acquisition, the pattern of commands for the control system and the working mechanism of the control system. Furthermore, we summarize the development trend of BCW based on the previous investigation, and it is mainly manifested in three aspects: from a wet electrode to dry electrode, from single-mode to multi-mode, and from synchronous control to asynchronous control. With the continuous development of BCW, we also find new functions have been introduced into BCW to increase its stability and robustness. It is believed that BCW will be able to enter the real-life from the laboratory and will be widely used in rehabilitation medicine in the future.</t>
  </si>
  <si>
    <t>[Wang, Hongtao; Yan, Fan; Xu, Tao; Yin, Haojun; Chen, Peng; Yue, Hongwei; Chen, Chuangquan; Zhang, Hongfei; Xu, Linfeng; He, Yuebang] Wuyi Univ, 1Fac Intelligent Mfg, Jiangmen 529020, Peoples R China; [Bezerianos, Anastasios] Univ Patras, Dept Med Phys, Patras 26504, Greece</t>
  </si>
  <si>
    <t>Wuyi University; University of Patras</t>
  </si>
  <si>
    <t>Wang, HT (corresponding author), Wuyi Univ, 1Fac Intelligent Mfg, Jiangmen 529020, Peoples R China.</t>
  </si>
  <si>
    <t>nushongtaowang@qq.com</t>
  </si>
  <si>
    <t>Bezerianos, Tasos/AAC-2499-2022; wang, hongtao/AAH-1233-2020; Xu, Tao/JUF-8712-2023; Liu, Licheng/GQB-5193-2022</t>
  </si>
  <si>
    <t>Wang, Hongtao/0000-0002-6564-5753</t>
  </si>
  <si>
    <t>Technology Development Project of Guangdong Province [2020ZDZX3018]; Special Fund for Science and Technology of Guangdong Province [2020182]; Science Foundation for Young Teachers of Wuyi University [2018td01]; Wuyi University [2019WGALH16]; Jiangmen Brain-Like Computation and Hybrid Intelligence Research and Development Center [[2018]359, [2019]26]; Startup Funds for Scientific Research of High-level Talents of Wuyi University [2019AL020, 2020AL006]</t>
  </si>
  <si>
    <t>Technology Development Project of Guangdong Province; Special Fund for Science and Technology of Guangdong Province; Science Foundation for Young Teachers of Wuyi University; Wuyi University; Jiangmen Brain-Like Computation and Hybrid Intelligence Research and Development Center; Startup Funds for Scientific Research of High-level Talents of Wuyi University</t>
  </si>
  <si>
    <t>This work was supported in part by the Special Projects in Key Fields Supported by the Technology Development Project of Guangdong Province under Grant 2020ZDZX3018, in part by the Special Fund for Science and Technology of Guangdong Province under Grant 2020182, in part by the Science Foundation for Young Teachers of Wuyi University under Grant 2018td01, in part by the Wuyi University and Hong Kong and Macao joint Research and Development Project under Grant 2019WGALH16, in part by the Jiangmen Brain-Like Computation and Hybrid Intelligence Research and Development Center under Grant [2018]359 and Grant [2019]26, and in part by the Startup Funds for Scientific Research of High-level Talents of Wuyi University under Grant 2019AL020 and Grant 2020AL006.</t>
  </si>
  <si>
    <t>10.1109/ACCESS.2021.3071599</t>
  </si>
  <si>
    <t>RO4KA</t>
  </si>
  <si>
    <t>WOS:000641012700001</t>
  </si>
  <si>
    <t>Webster, A; Poyade, M; Rooney, S; Paul, L</t>
  </si>
  <si>
    <t>Webster, Amy; Poyade, Matthieu; Rooney, Scott; Paul, Lorna</t>
  </si>
  <si>
    <t>Upper limb rehabilitation interventions using virtual reality for people with multiple sclerosis: A systematic review</t>
  </si>
  <si>
    <t>Multiple sclerosis; Virtual reality; Upper limb; Rehabilitation</t>
  </si>
  <si>
    <t>IMMERSION</t>
  </si>
  <si>
    <t>Background: Research on Virtual Reality (VR) based motor rehabilitation for people with multiple sclerosis (MS) is rapidly growing in popularity, although few studies have focused on the upper limb (UL). The aims of this review were to investigate the effect of VR interventions on UL function in people with MS and determine if the type of VR intervention influences intervention effect. Method: Five databases (IEEE Xplore, MEDLINE, ProQuest Central (Health &amp; Medical Collection), Science Direct and Web of Science Core Collection) were searched using keywords that relating to MS, VR and UL. Results: Ten articles were included, six randomised controlled trials, three cohort studies and one pilot observational study. Both commercial and custom VR technologies were used in interventions, along with combination approaches using robotics, electrical stimulation and occupational therapy. Using the Nine Hole Peg Test, two studies found significant improvements within groups, one found that VR was more effective than another gaming approach. Significant improvements in other UL measures were in the Fugl-Meyer Assessment for the proximal arm; handgrip; perceived strength; Jebsen-Taylor Hand Function Test; Wolf Motor Function Test; active range of motion and trajectory measures after VR intervention. There were conflicting results regarding if VR was more effective than conventional approaches. Conclusion: There is therefore some evidence that VR is effective in improving motor function in the UL, however, there is no clear consensus on which VR based approaches are the most effective, or the optimum intervention duration and intensity. Moreover, as many of the studies had non-immersive approaches it is hard to determine how effective immersion based approaches maybe in such specific context.</t>
  </si>
  <si>
    <t>[Webster, Amy; Rooney, Scott; Paul, Lorna] Glasgow Caledonian Univ, Sch Hlth &amp; Life Sci, Cowcaddens Rd, Glasgow G4 0BA, Lanark, Scotland; [Poyade, Matthieu] Glasgow Sch Art, Sch Simulat &amp; Visualisat, Glasgow, Lanark, Scotland</t>
  </si>
  <si>
    <t>Glasgow Caledonian University; Glasgow School of Art</t>
  </si>
  <si>
    <t>Webster, A (corresponding author), Glasgow Caledonian Univ, Sch Hlth &amp; Life Sci, Cowcaddens Rd, Glasgow G4 0BA, Lanark, Scotland.</t>
  </si>
  <si>
    <t>Amy.Webster@gcu.ac.uk</t>
  </si>
  <si>
    <t>Paul, Lorna/F-7568-2011</t>
  </si>
  <si>
    <t>Paul, Lorna/0000-0003-2869-0309; Webster, Amy/0000-0002-2540-1033; Poyade, Matthieu/0000-0002-7229-949X</t>
  </si>
  <si>
    <t>Multiple Sclerosis (MS) Society, UK</t>
  </si>
  <si>
    <t>This systematic review is funded as part of a grant award from the Multiple Sclerosis (MS) Society, UK. Multiple Sclerosis Society is a registered charity in England &amp; Wales number 1139257 and in Scotland registered charity number SC041990.</t>
  </si>
  <si>
    <t>10.1016/j.msard.2020.102610</t>
  </si>
  <si>
    <t>QH4RS</t>
  </si>
  <si>
    <t>WOS:000618264300007</t>
  </si>
  <si>
    <t>Yuan, J; Cline, E; Liu, M; Huang, H; Feng, J</t>
  </si>
  <si>
    <t>Yuan, Jing; Cline, Emily; Liu, Ming; Huang, He; Feng, Jing</t>
  </si>
  <si>
    <t>Cognitive measures during walking with and without lower-limb prosthesis: protocol for a scoping review</t>
  </si>
  <si>
    <t>protocols &amp; guidelines; statistics &amp; research methods; rehabilitation medicine</t>
  </si>
  <si>
    <t>Introduction Tuning of lower-limb (LL) robotic prosthesis control is necessary to provide personalised assistance to each human wearer during walking. Prostheses wearers' adaptation processes are subjective and the efficiency largely depends on one's mental processes. Therefore, beyond physical motor performance, prosthesis personalisation should consider the wearer's preference and cognitive performance during walking. As a first step, it is necessary to examine the current measures of cognitive performance when a wearer walks with an LL prosthesis, identify the gaps and methodological considerations, and explore additional measures in a walking setting. In this protocol, we outlined a scoping review that will systematically summarise and evaluate the measures of cognitive performance during walking with and without LL prosthesis. Methods and analysis The review process will be guided and documented by CADIMA, an open-access online data management portal for evidence synthesis. Keyword searches will be conducted in seven databases (Web of Science, MEDLINE, BIOSIS, SciELO Citation Index, ProQuest, CINAHL and PsycINFO) up to 2020 supplemented with grey literature searches. Retrieved records will be screened by at least two independent reviewers on the title-and-abstract level and then the full-text level. Selected studies will be evaluated for reporting bias. Data on sample characteristics, type of cognitive function, characteristics of cognitive measures, task prioritisation, experimental design and walking setting will be extracted. Ethics and dissemination This scoping review will evaluate the measures used in previously published studies thus does not require ethical approval. The results will contribute to the advancement of prosthesis tuning processes by reviewing the application status of cognitive measures during walking with and without prosthesis and laying the foundation for developing needed measures for cognitive assessment during walking. The results will be disseminated through conferences and journals.</t>
  </si>
  <si>
    <t>[Yuan, Jing; Cline, Emily; Feng, Jing] North Carolina State Univ, Dept Psychol, Raleigh, NC 27695 USA; [Liu, Ming; Huang, He] North Carolina State Univ, UNC &amp; NC State Joint Dept Biomed Engn, Raleigh, NC USA</t>
  </si>
  <si>
    <t>North Carolina State University; North Carolina State University</t>
  </si>
  <si>
    <t>Feng, J (corresponding author), North Carolina State Univ, Dept Psychol, Raleigh, NC 27695 USA.</t>
  </si>
  <si>
    <t>jing_feng@ncsu.edu</t>
  </si>
  <si>
    <t>Huang, He (Helen)/IXX-2639-2023</t>
  </si>
  <si>
    <t>Yuan, Jing/0000-0001-9178-3896; Huang, He/0000-0001-5581-1423</t>
  </si>
  <si>
    <t>US National Science Foundation (NSF), M3X-Mind, Machine, Motor program [1926998]; Directorate For Engineering; Div Of Civil, Mechanical, &amp; Manufact Inn [1926998] Funding Source: National Science Foundation</t>
  </si>
  <si>
    <t>US National Science Foundation (NSF), M3X-Mind, Machine, Motor program(National Science Foundation (NSF)); Directorate For Engineering; Div Of Civil, Mechanical, &amp; Manufact Inn(National Science Foundation (NSF)NSF - Directorate for Engineering (ENG))</t>
  </si>
  <si>
    <t>This work was supported by the US National Science Foundation (NSF), M3X-Mind, Machine, Motor program, grant number 1926998.</t>
  </si>
  <si>
    <t>e039975</t>
  </si>
  <si>
    <t>10.1136/bmjopen-2020-039975</t>
  </si>
  <si>
    <t>QL7GW</t>
  </si>
  <si>
    <t>WOS:000621252500007</t>
  </si>
  <si>
    <t>Alnajjar, F; Zaier, R; Khalid, S; Gochoo, M</t>
  </si>
  <si>
    <t>Alnajjar, Fady; Zaier, Riadh; Khalid, Sumayya; Gochoo, Munkhjargal</t>
  </si>
  <si>
    <t>Trends and Technologies in Rehabilitation of Foot Drop: A Systematic Review</t>
  </si>
  <si>
    <t>Foot Drop rehabilitation; robotic-based Ankle-Foot Orthosis; functional Electrical Stimulation; muscle Synergy; robotic Rehabilitation device</t>
  </si>
  <si>
    <t>FUNCTIONAL ELECTRICAL-STIMULATION; MULTIPLE-SCLEROSIS; STROKE PATIENTS; LOWER-EXTREMITY; IMPROVING GAIT; WALKING; SPEED; IMPROVEMENT; ASSISTANCE; ORTHOSES</t>
  </si>
  <si>
    <t>Introduction Foot Drop (FD) is a condition, which is very commonly found in post-stoke patients; however it can also be seen in patients with multiple sclerosis, and cerebral palsy. It is a sign of neuromuscular damage caused by the weakness of the muscles. There are various approaches of FD's rehabilitation, such as physiotherapy, surgery, and the use of technological devices. Recently, researchers have worked on developing various technologies to enhance assisting and rehabilitation of FD. Areas Covered This review analyzes different types of technologies available for FD. This include devices that are available commercially or still under research. 101 studies published between 2015 and 2020 were identified for the review, many were excluded due to various reasons, e.g., were not robot-based devices, did not include FD as one of the targeted diseases, or was insufficient information. 24 studies that met our inclusion criteria were assessed. These studies were further classified into two different categories: robot-based ankle-foot orthosis (RAFO) and Functional Electrical Stimulation (FES) devices. Expert Opinion Studies included showed that both RAFO and FES showed considerable improvement in the gait cycle of the patients. Future trends are inclining towards integrating FES with other neuro-concepts such as muscle-synergies for further developments.</t>
  </si>
  <si>
    <t>[Alnajjar, Fady; Khalid, Sumayya; Gochoo, Munkhjargal] United Arab Emirates Univ, Coll Informat Technol, Dept Comp Sci &amp; Software Engn, Al Ain, U Arab Emirates; [Alnajjar, Fady] RIKEN, Intelligent Behav Control Unit, Ctr Brain Sci, Wako, Saitama, Japan; [Zaier, Riadh] Sultan Qaboos Univ, Coll Engn, Dept Mech &amp; Ind Engn, Muscat, Oman; [Gochoo, Munkhjargal] Sch Informat &amp; Commun Technol, Ulaanbaatar, Mongolia</t>
  </si>
  <si>
    <t>United Arab Emirates University; RIKEN; Sultan Qaboos University</t>
  </si>
  <si>
    <t>Alnajjar, F (corresponding author), United Arab Emirates Univ, Dept Comp Sci &amp; Software Engn, Al Ain, U Arab Emirates.</t>
  </si>
  <si>
    <t>Alnajjar, Fady/GRX-4246-2022; Gochoo, Munkhjargal/AAB-1196-2022</t>
  </si>
  <si>
    <t>Alnajjar, Fady/0000-0001-6102-3765; Gochoo, Munkhjargal/0000-0002-6613-7435; Khalid, Sumayya/0000-0003-4682-3419</t>
  </si>
  <si>
    <t>United Arab Emirates University [31T103 UAEU/SQU]</t>
  </si>
  <si>
    <t>This paper was funded by the United Arab Emirates University (grant number 31T103 UAEU/SQU.</t>
  </si>
  <si>
    <t>10.1080/17434440.2021.1857729</t>
  </si>
  <si>
    <t>QX0EK</t>
  </si>
  <si>
    <t>WOS:000603776900001</t>
  </si>
  <si>
    <t>Kerautret, Y; Di Rienzo, F; Eyssautier, C; Guillot, A</t>
  </si>
  <si>
    <t>Kerautret, Yann; Di Rienzo, Franck; Eyssautier, Carole; Guillot, Aymeric</t>
  </si>
  <si>
    <t>Selective Effects of Manual Massage and Foam Rolling on Perceived Recovery and Performance: Current Knowledge and Future Directions Toward Robotic Massages</t>
  </si>
  <si>
    <t>physiotherapy; manual massage; self-myofascial release; cobots; foam rolling; robotic; motor control</t>
  </si>
  <si>
    <t>SELF-MYOFASCIAL RELEASE; ONSET MUSCLE SORENESS; ORAL REHABILITATION ROBOT; PRESSURE PAIN THRESHOLD; ANKLE DORSIFLEXION RANGE; KNEE-JOINT RANGE; ROLLER-MASSAGER; CROSS-OVER; EXERCISE PERFORMANCE; BLOOD-FLOW</t>
  </si>
  <si>
    <t>Manual massage and foam rolling are commonly used by athletes for warm-up and recovery, as well as by healthy individuals for well-being. Manual massage is an ancient practice requiring the intervention of an experienced physiotherapist, while foam rolling is a more recent self-administered technique. These two topics have been largely studied in isolation from each other. In the present review, we first provide a deep quantitative literature analysis to gather the beneficial effects of each technique through an integrative account, as well as their psychometric and neurophysiological evaluations. We then conceptually consider the motor control strategies induced by each type of massage. During manual massage, the person remains passive, lying on the massage table, and receives unanticipated manual pressure by the physiotherapist, hence resulting in a retroactive mode of action control with an ongoing central integration of proprioceptive feedback. In contrast, while performing foam rolling, the person directly exerts pressures through voluntary actions to manipulate the massaging tool, therefore through a predominant proactive mode of action control, where operations of forward and inverse modeling do not require sensory feedback. While these opposite modes of action do not seem to offer any compromise, we then discuss whether technological advances and collaborative robots might reconcile proactive and retroactive modes of action control during a massage, and offer new massage perspectives through a stochastic sensorimotor user experience. This transition faculty, from one mode of control to the other, might definitely represent an innovative conceptual approach in terms of human-machine interactions.</t>
  </si>
  <si>
    <t>[Kerautret, Yann; Di Rienzo, Franck; Guillot, Aymeric] Univ Claude Bernard Lyon 1, Univ Lyon, Lab Interuniv Biol Motricite EA 7424, Villeurbanne, France; [Kerautret, Yann; Eyssautier, Carole] Capsix Robot, Lyon, France</t>
  </si>
  <si>
    <t>Universite Claude Bernard Lyon 1</t>
  </si>
  <si>
    <t>Guillot, A (corresponding author), Univ Claude Bernard Lyon 1, Univ Lyon, Lab Interuniv Biol Motricite EA 7424, Villeurbanne, France.</t>
  </si>
  <si>
    <t>aymeric.guillot@univ-lyon1.fr</t>
  </si>
  <si>
    <t>Di Rienzo, Franck/0000-0001-7920-8709; Eyssautier, Carole/0000-0002-7388-6100</t>
  </si>
  <si>
    <t>10.3389/fphys.2020.598898</t>
  </si>
  <si>
    <t>PN2BA</t>
  </si>
  <si>
    <t>WOS:000604288800001</t>
  </si>
  <si>
    <t>Du, ZH; Lu, Y; Wei, PF; Deng, CS; Li, XJ</t>
  </si>
  <si>
    <t>Du, Zhanhong; Lu, Yi; Wei, Pengfei; Deng, Chunshan; Li, Xiaojian</t>
  </si>
  <si>
    <t>Progress in Devices and Materials for Implantable Multielectrode Arrays</t>
  </si>
  <si>
    <t>ACTA PHYSICO-CHIMICA SINICA</t>
  </si>
  <si>
    <t>Brain-computer interface; Bioelectronic medicine; Multielectrode array; In vivo electrophysiology; Nanomaterial</t>
  </si>
  <si>
    <t>IN-CELL RECORDINGS; ACTION-POTENTIALS; RECEPTIVE FIELDS; NERVOUS-SYSTEM; QUANTUM DOTS; SPATIAL MAP; ELECTRONICS; NEURONS; TRANSISTORS; TRANSPORT</t>
  </si>
  <si>
    <t>The human brain comprises over 100 billion neurons that communicate with each other via electrical activities called action potentials. Sensory perception, cognition, and behavior all emerge from these activities. Neuroengineering is a developing interdisciplinary field that employs knowledge from neurobiology, electrical and electronic engineering, materials science and engineering, computer science, and many others. Neuroengineering aims to develop tools for understanding the mechanism of brain function at the circuit level, and to further the development of neuromodulation neuromodulation strategy and neuroprosthetics for motor, sensory, and mental rehabilitation from disabilities and illnesses. For high spatial and temporal resolution interfacing with neurons in the brain, implantable multielectrode arrays (MEAs) are a key member of the family of neuroengineering devices, which are designed and fabricated for in vivo electrophysiology, deep brain stimulation, and brain-computer interfaces (BCIs). On the one hand, action potential recording from MEAs can indicate the subject's mental state and movement intentions, thus enabling the BCI technology to control external motor restoration devices such as robotic arms. On the other hand, neural stimulation electrodes can modulate abnormal neural activity and treat disorders like Parkinson's disease, epilepsy, and depression. The physical and chemical properties of the electrodes, nanofabrication of arrays, and electrode-tissue interface materials are all important research subjects in translational neuroscience studies, and the utilization of nanomaterials and nanodevices continuously improves neural electrode technologies. At present, neural interface technology is confronting numerous challenges and opportunities, especially for in vivo neural circuit analysis, neuroelectronic medicine, and functional neuromodulation. The development of neural interface devices eagerly demands super-high-density, mesoscopic recording, minimal invasion, biosignal stability, and wireless interfacing. Achievement of these next-generation neural interface technology capabilities requires collaboration between neuroscientists, neurosurgeons, material scientists, microelectronic engineers, and many others.</t>
  </si>
  <si>
    <t>[Du, Zhanhong; Li, Xiaojian] Chinese Acad Sci, Brain Cognit &amp; Brain Dis Inst BCBDI, CAS Key Lab Brain Connectome &amp; Manipulat, Shenzhen Inst Adv Technol,Guangdong Prov Key Lab, Shenzhen 518055, Guangdong, Peoples R China; Shenzhen Hong Kong Inst Brain Sci Shenzhen Fundam, Shenzhen 518055, Guangdong, Peoples R China</t>
  </si>
  <si>
    <t>Du, ZH; Li, XJ (corresponding author), Chinese Acad Sci, Brain Cognit &amp; Brain Dis Inst BCBDI, CAS Key Lab Brain Connectome &amp; Manipulat, Shenzhen Inst Adv Technol,Guangdong Prov Key Lab, Shenzhen 518055, Guangdong, Peoples R China.</t>
  </si>
  <si>
    <t>zh.du@siat.ac.cn; xj.li@siat.ac.cn</t>
  </si>
  <si>
    <t>Du, Zhanhong/HJH-5361-2023; Lu, Yi/G-5141-2011</t>
  </si>
  <si>
    <t>Lu, Yi/0000-0002-0675-1695; Du, Zhanhong/0000-0001-6535-1424</t>
  </si>
  <si>
    <t>Key-Area Research and Development Program of Guangdong Province [2018B030331001, 2018B030338001]; National Key R&amp;D Program of China [2018YFA0701400, 2017YFC1310503]; National Nature Science Foundation of China [31700936]; Doctoral Initiation Project of the Guangdong Province [2017A030310496]</t>
  </si>
  <si>
    <t>Key-Area Research and Development Program of Guangdong Province; National Key R&amp;D Program of China; National Nature Science Foundation of China(National Natural Science Foundation of China (NSFC)); Doctoral Initiation Project of the Guangdong Province</t>
  </si>
  <si>
    <t>The project was supported by the Key-Area Research and Development Program of Guangdong Province (2018B030331001, 2018B030338001), the National Key R&amp;D Program of China (2018YFA0701400, 2017YFC1310503), the National Nature Science Foundation of China (31700936), the Doctoral Initiation Project of the Guangdong Province (2017A030310496).</t>
  </si>
  <si>
    <t>PEKING UNIV PRESS</t>
  </si>
  <si>
    <t>PEKING UNIV, CHEMISTRY BUILDING, BEIJING 100871, PEOPLES R CHINA</t>
  </si>
  <si>
    <t>1000-6818</t>
  </si>
  <si>
    <t>ACTA PHYS-CHIM SIN</t>
  </si>
  <si>
    <t>Acta Phys.-Chim. Sin.</t>
  </si>
  <si>
    <t>DEC 15</t>
  </si>
  <si>
    <t>10.3866/PKU.WHXB202007004</t>
  </si>
  <si>
    <t>Chemistry, Physical</t>
  </si>
  <si>
    <t>PS2TL</t>
  </si>
  <si>
    <t>WOS:000607780200009</t>
  </si>
  <si>
    <t>Sanchez, V; Walsh, CJ; Wood, RJ</t>
  </si>
  <si>
    <t>Sanchez, Vanessa; Walsh, Conor J.; Wood, Robert J.</t>
  </si>
  <si>
    <t>Textile Technology for Soft Robotic and Autonomous Garments</t>
  </si>
  <si>
    <t>smart textiles; soft robotics; textile actuators; textile sensors; wearable robots</t>
  </si>
  <si>
    <t>INTERMITTENT PNEUMATIC COMPRESSION; MCKIBBEN ARTIFICIAL MUSCLE; STRAIN SENSORS; MECHANICAL-PROPERTIES; ELECTROMECHANICAL PROPERTIES; HIGH-PERFORMANCE; KNITTED FABRICS; PRESSURE SENSOR; DIELECTRIC ELASTOMERS; HAND REHABILITATION</t>
  </si>
  <si>
    <t>Textiles have emerged as a promising class of materials for developing wearable robots that move and feel like everyday clothing. Textiles represent a favorable material platform for wearable robots due to their flexibility, low weight, breathability, and soft hand-feel. Textiles also offer a unique level of programmability because of their inherent hierarchical nature, enabling researchers to modify and tune properties at several interdependent material scales. With these advantages and capabilities in mind, roboticists have begun to use textiles, not simply as substrates, but as functional components that program actuation and sensing. In parallel, materials scientists are developing new materials that respond to thermal, electrical, and hygroscopic stimuli by leveraging textile structures for function. Although textiles are one of humankind's oldest technologies, materials scientists and roboticists are just beginning to tap into their potential. This review provides a textile-centric survey of the current state of the art in wearable robotic garments and highlights metrics that will guide materials development. Recent advances in textile materials for robotic components (i.e., as sensors, actuators, and integration components) are described with a focus on how these materials and technologies set the stage for wearable robots programmed at the material level.</t>
  </si>
  <si>
    <t>[Sanchez, Vanessa; Walsh, Conor J.; Wood, Robert J.] John A Paulson Sch Engn &amp; Appl Sci, 29 Oxford St, Cambridge, MA 02138 USA; [Sanchez, Vanessa; Walsh, Conor J.; Wood, Robert J.] Wyss Inst Biol Inspired Engn, 3 Blackfan Cir, Boston, MA 02115 USA</t>
  </si>
  <si>
    <t>Sanchez, V (corresponding author), John A Paulson Sch Engn &amp; Appl Sci, 29 Oxford St, Cambridge, MA 02138 USA.;Sanchez, V (corresponding author), Wyss Inst Biol Inspired Engn, 3 Blackfan Cir, Boston, MA 02115 USA.</t>
  </si>
  <si>
    <t>vsanchez@seas.harvard.edu</t>
  </si>
  <si>
    <t>Sanchez, Vanessa/AAT-9964-2020</t>
  </si>
  <si>
    <t>Sanchez, Vanessa/0000-0002-7859-7463</t>
  </si>
  <si>
    <t>United States Department of Defense through the National Defense Science and Engineering Graduate (NDSEG) Fellowship Program; National GEM Consortium through the GEM Fellowship; National Science Foundation EFRI Program [EFMA-1830901, 1830896]; Emerging Frontiers &amp; Multidisciplinary Activities; Directorate For Engineering [1830896] Funding Source: National Science Foundation</t>
  </si>
  <si>
    <t>United States Department of Defense through the National Defense Science and Engineering Graduate (NDSEG) Fellowship Program(United States Department of Defense); National GEM Consortium through the GEM Fellowship; National Science Foundation EFRI Program; Emerging Frontiers &amp; Multidisciplinary Activities; Directorate For Engineering(National Science Foundation (NSF)NSF - Directorate for Engineering (ENG))</t>
  </si>
  <si>
    <t>V.S. would like to thank Rachael Granberry, Krithika Swaminathan, Clark Teeple, Dr. Dae-Young Lee, Dr. James Weaver, and Prof. George Whitesides for wonderful conversations that ultimately impacted the work. V.S. would also like to thank Dr. Oluwaseun Araromi for valuable feedback on the manuscript, Robyn Rosenberg for assistance with locating references, and Dr. Peter York for critical LaTeX advice. The authors would also like to thank the all the authors and designers they reached out to who took the time to clarify questions and provide images. V.S. acknowledges the support of the United States Department of Defense through the National Defense Science and Engineering Graduate (NDSEG) Fellowship Program and the National GEM Consortium through the GEM Fellowship. This research was partially supported by the National Science Foundation EFRI Program (Award Number EFMA-1830901) and the National Science Foundation EFRI Program (Award Number 1830896).</t>
  </si>
  <si>
    <t>10.1002/adfm.202008278</t>
  </si>
  <si>
    <t>QF7JD</t>
  </si>
  <si>
    <t>WOS:000596950700001</t>
  </si>
  <si>
    <t>Fahr, A; Keller, JW; van Hedel, HJA</t>
  </si>
  <si>
    <t>Fahr, Annina; Keller, Jeffrey W.; van Hedel, Hubertus J. A.</t>
  </si>
  <si>
    <t>A Systematic Review of Training Methods That May Improve Selective Voluntary Motor Control in Children With Spastic Cerebral Palsy</t>
  </si>
  <si>
    <t>selective voluntary motor control; involuntary movements; pediatric neurorehabilitation; cerebral palsy; best evidence synthesis</t>
  </si>
  <si>
    <t>INDUCED MOVEMENT THERAPY; UPPER-LIMB FUNCTION; LOWER-EXTREMITY; MIRROR MOVEMENTS; YOUNG-CHILDREN; EFFICACY; GAIT; IMPACT; PARTICIPATION; INTERVENTIONS</t>
  </si>
  <si>
    <t>Background: Impaired selective voluntary motor control is defined as the reduced ability to isolate the activation of muscles in response to demands of a voluntary posture or movement. It is a negative motor sign of an upper motor neuron lesion. Objective: This paper reviews interventions that may improve selective motor control in children and youths with spastic cerebral palsy. The aim was to systematically evaluate the methodological quality and formulate the level of evidence from controlled studies. Methods: Six databases (Scopus, Web of Science, PubMed, Embase, MEDLINE, and CINAHL) were searched with predefined search terms for population, interventions, and outcomes. Two reviewers independently completed study selection and ratings of methodological quality and risk of bias. Evidence was summarized in a best evidence synthesis. Results: Twenty-three studies from initially 2,634 papers were included. The interventions showed a wide variety of approaches, such as constraint-induced movement therapy (CIMT), electrical stimulation, robot-assisted therapy, and functional training. The evidence synthesis revealed conflicting evidence for CIMT, robot-assisted rehabilitation and mirror therapy for the upper extremities in children with cerebral palsy. Conclusions: Final recommendations are difficult due to heterogeneity of the reviewed studies. Studies that include both an intervention and an outcome that specifically focus on selective voluntary motor control are needed to determine the most effective therapy.</t>
  </si>
  <si>
    <t>[Fahr, Annina; Keller, Jeffrey W.; van Hedel, Hubertus J. A.] Univ Childrens Hosp Zurich, Swiss Childrens Rehab, Affoltern Am Albis, Switzerland; [Fahr, Annina; Keller, Jeffrey W.; van Hedel, Hubertus J. A.] Univ Childrens Hosp Zurich, Childrens Res Ctr, Zurich, Switzerland; [Fahr, Annina] Swiss Fed Inst Technol, Inst Biomech, Zurich, Switzerland; [Keller, Jeffrey W.] Univ Zurich, Fac Med, Doctoral Program Clin Sci, Zurich, Switzerland</t>
  </si>
  <si>
    <t>University Children's Hospital Zurich; University Children's Hospital Zurich; Swiss Federal Institutes of Technology Domain; ETH Zurich; University of Geneva; University of Zurich</t>
  </si>
  <si>
    <t>Fahr, A (corresponding author), Univ Childrens Hosp Zurich, Swiss Childrens Rehab, Affoltern Am Albis, Switzerland.;Fahr, A (corresponding author), Univ Childrens Hosp Zurich, Childrens Res Ctr, Zurich, Switzerland.;Fahr, A (corresponding author), Swiss Fed Inst Technol, Inst Biomech, Zurich, Switzerland.</t>
  </si>
  <si>
    <t>annina.fahr@kispi.uzh.ch</t>
  </si>
  <si>
    <t>van Hedel, Hubertus/AAL-3818-2021</t>
  </si>
  <si>
    <t>Keller, Jeffrey/0000-0003-3286-4105; Fahr, Annina/0000-0001-8801-1596</t>
  </si>
  <si>
    <t>Swiss National Science Foundation [32003B_156646, 32003B_179471]; Maxi-Foundation; Swiss National Science Foundation (SNF) [32003B_156646, 32003B_179471] Funding Source: Swiss National Science Foundation (SNF)</t>
  </si>
  <si>
    <t>Swiss National Science Foundation(Swiss National Science Foundation (SNSF)); Maxi-Foundation; Swiss National Science Foundation (SNF)(Swiss National Science Foundation (SNSF))</t>
  </si>
  <si>
    <t>This work was funded by the Swiss National Science Foundation (No. 32003B_156646, 32003B_179471) and the Maxi-Foundation.</t>
  </si>
  <si>
    <t>10.3389/fneur.2020.572038</t>
  </si>
  <si>
    <t>PG2VA</t>
  </si>
  <si>
    <t>WOS:000599597500001</t>
  </si>
  <si>
    <t>Wearable rehabilitation exoskeletons of the lower limb: analysis of versatility and adaptability</t>
  </si>
  <si>
    <t>Robotic exoskeleton; gait rehabilitation; personalized therapy; review; modular exoskeleton</t>
  </si>
  <si>
    <t>SPINAL-CORD-INJURY; VOLUNTARY DRIVEN EXOSKELETON; POWERED EXOSKELETON; STROKE PATIENTS; ASSISTED WALKING; HAL EXOSKELETON; ROBOT SUIT; GAIT; PILOT; NEUROREHABILITATION</t>
  </si>
  <si>
    <t>Purpose To analyse the versatility and adaptability of commercially available exoskeletons for mobility assistance and their adaptation to diverse pathologies through a review of clinical trials in robotic lower limb training. Data Sources A computer-aided search in bibliographic databases (PubMed and Web of Science) of clinical trials published up to September 2020 was done. Methods To be selected for detailed review, clinical trials had to meet the following criteria: (1) a protocol was designed and approved, (2) participants were people with pathologies, and (3) the trials were not a single case study. Clinical trial data were collected, extracted, and analysed, considering: objectives, trial participants, number of sessions, pathologies involved, and conclusions. Results The search resulted in 312 potentially relevant studies of seven commercial exoskeletons, of which 135 passed the preliminary screening; and 69 studies were finally selected. Of the 69 clinical trials included in the review about 50% involved Spinal Cord Injury participants, while roughly 25% focussed on stroke and two trials corresponded to patients with both disorders. The rest were composed of neurological diseases and trauma disorders. Conclusions The use of a single wearable robot for different medical conditions in various diseases is a challenge. Based on this comparative, the properties of the exoskeletons that improve the working ability with different pathologies and patient conditions have been evaluated. Suggestions were made for developing a new lower-limb exoskeleton based on various modules with a distributed control system to improve versatility in wearable technology for different gait pattern progression.</t>
  </si>
  <si>
    <t>[Plaza, Alberto; Puyuelo, Gonzalo; Garces, Elena] Marsi Bion SL, Madrid, Spain; [Plaza, Alberto] Univ Politecn Madrid, Ctr Automat &amp; Robot, Madrid, Spain; [Hernandez, Mar; Garcia, Elena] Consejo Super Invest Cient CSIC UPM, Ctr Automat &amp; Robot, Madrid, Spain; [Puyuelo, Gonzalo] Univ Rey Juan Carlos, Escuela Doctorado, Madrid, Spain</t>
  </si>
  <si>
    <t>Consejo Superior de Investigaciones Cientificas (CSIC); Universidad Politecnica de Madrid; CSIC-UPM - Centro de Automatica y Robotica; Consejo Superior de Investigaciones Cientificas (CSIC); Universidad Politecnica de Madrid; CSIC-UPM - Centro de Automatica y Robotica; Universidad Rey Juan Carlos</t>
  </si>
  <si>
    <t>Plaza, A (corresponding author), Marsi Bion SL, Madrid, Spain.</t>
  </si>
  <si>
    <t>alberto.plaza@marsibionics.com</t>
  </si>
  <si>
    <t>Garcia, Elena/GWR-0291-2022; Hernández, Mar/HSH-3709-2023</t>
  </si>
  <si>
    <t>Education and Research Counselling of Comunidad de Madrid [IND2017/TIC-7698]</t>
  </si>
  <si>
    <t>Education and Research Counselling of Comunidad de Madrid</t>
  </si>
  <si>
    <t>This work was partially supported by the Education and Research Counselling of Comunidad de Madrid [Project ref: IND2017/TIC-7698].</t>
  </si>
  <si>
    <t>10.1080/17483107.2020.1858976</t>
  </si>
  <si>
    <t>F8IX4</t>
  </si>
  <si>
    <t>WOS:000599656800001</t>
  </si>
  <si>
    <t>Bonnet, JB; Grey, D; Agbanglanon, A; Galibert, L; Rakotoarivony, D; Vidal, M; Gourc, C; Attalin, V; Avignon, A</t>
  </si>
  <si>
    <t>Bonnet, Jean-Baptiste; Grey, Dan; Agbanglanon, Ashley; Galibert, Laetitia; Rakotoarivony, Danielson; Vidal, Marianne; Gourc, Christophe; Attalin, Vincent; Avignon, Antoine</t>
  </si>
  <si>
    <t>BMI, waist circumference and kidney transplantation: Constraints, realities and issues for a specialized obesity center</t>
  </si>
  <si>
    <t>NUTRITION CLINIQUE ET METABOLISME</t>
  </si>
  <si>
    <t>Kidney transplantation; Obesity; Nutrition; Waist size; Bariatric surgery</t>
  </si>
  <si>
    <t>BODY-MASS INDEX; HEMODIALYSIS-PATIENTS; RENAL-TRANSPLANT; SURVIVAL; OUTCOMES; PATIENT; GRAFT; MORTALITY</t>
  </si>
  <si>
    <t>While patients with an end-stage renal disease and living with obesity have a significantly improved prognosis with kidney transplantation, they still face many barriers to access to it. Obesity effect on graft survival and all-cause survival is less and less established. However, questions about immunosuppressive drugs management, post-transplant diabetes and glomerular hyperfiltration syndromes remain an issue. Nevertheless, surgical gesture remains the main barrier. Complications from surgery still restrain registration. At the same time, pre-registration weight-loss programs under dialysis face an excess of mortality. Bariatric surgery issue for people with the highest BMIs might be a solution that still needs more research. Exercise rehabilitation during dialysis programs are also major avenues that need further explorations. Finally, robot-assisted surgery arrival could remove many restrictions. These surgical notions also lead us to wonder whether BMI is the right indicator. Isn't the waist circumference, a direct reflection of the abdominal apron, the blocking element for surgery? In any case, the French National Authority for Health currently only sets a limitation on kidney transplantation for BMIs above 50 kg/m(2). This rule is still far from being a reality for people living with obesity in France and around the world. (C) 2020 Societe francophone nutrition clinique et metabolisme (SFNCM). Published by Elsevier Masson SAS. All rights reserved.</t>
  </si>
  <si>
    <t>[Bonnet, Jean-Baptiste; Grey, Dan; Agbanglanon, Ashley; Galibert, Laetitia; Rakotoarivony, Danielson; Vidal, Marianne; Gourc, Christophe; Attalin, Vincent; Avignon, Antoine] CHU Montpellier, Unite Transversale Nutr UTN, 371 Ave Doyen Gaston Giraud, F-34295 Montpellier 5, France; [Bonnet, Jean-Baptiste; Avignon, Antoine] Univ Montpellier, Montpellier, France</t>
  </si>
  <si>
    <t>Universite de Montpellier; CHU de Montpellier; Universite de Montpellier</t>
  </si>
  <si>
    <t>Bonnet, JB (corresponding author), CHU Montpellier, Unite Transversale Nutr UTN, 371 Ave Doyen Gaston Giraud, F-34295 Montpellier 5, France.;Bonnet, JB (corresponding author), Univ Montpellier, Montpellier, France.</t>
  </si>
  <si>
    <t>jean-baptiste-bonnet@chu-montpellier.fr</t>
  </si>
  <si>
    <t>Bonnet, Jean-Baptiste/AGZ-0725-2022</t>
  </si>
  <si>
    <t>0985-0562</t>
  </si>
  <si>
    <t>1768-3092</t>
  </si>
  <si>
    <t>NUTR CLIN METAB</t>
  </si>
  <si>
    <t>Nutr. Clin. Metab.</t>
  </si>
  <si>
    <t>10.1016/j.nupar.2020.10.003</t>
  </si>
  <si>
    <t>Endocrinology &amp; Metabolism; Nutrition &amp; Dietetics</t>
  </si>
  <si>
    <t>PB5LG</t>
  </si>
  <si>
    <t>WOS:000596361600010</t>
  </si>
  <si>
    <t>Dobri, SC; Ready, HM; Davies, TC</t>
  </si>
  <si>
    <t>Dobri, Stephan C. D.; Ready, Hana M.; Davies, Theresa Claire</t>
  </si>
  <si>
    <t>Tools and Techniques Used With Robotic Devices to Quantify Upper-Limb Function in Typically Developing Children: A Systematic Review</t>
  </si>
  <si>
    <t>REHABILITATION PROCESS AND OUTCOME</t>
  </si>
  <si>
    <t>Robotics; upper-limb; children; quantify; quantification; motor function; review; typically developing</t>
  </si>
  <si>
    <t>MOTOR-PERFORMANCE; CEREBRAL-PALSY; POSITION SENSE; REAPLAN ROBOT; AGE; VALIDITY; QUANTIFICATION; RELIABILITY; SCALE</t>
  </si>
  <si>
    <t>BACKGROUND: Robotic devices have been used to quantify function, identify impairment, and rehabilitate motor function extensively in adults, but less-so in younger populations. The ability to perform motor actions improves as children grow. It is important to quantify this rate of change of the neurotypical population before attempting to identify impairment and target rehabilitation techniques. OBJECTIVES: For a population of typically developing children, this systematic review identifies and analyzes tools and techniques used with robotic devices to quantify upper-limb motor function. Since most of the papers also used robotic devices to compare function of neurotypical to pathological populations, a secondary objective was introduced to relate clinical outcome measures to identified robotic tools and techniques. METHODS: Five databases were searched between February 2019 and August 2020, and 226 articles were found, 19 of which are included in the review. RESULTS: Robotic devices, tasks, outcome measures, and clinical assessments were not consistent among studies from different settings but were consistent within laboratory groups. Fifteen of the 19 articles evaluated both typically developing and pathological populations. CONCLUSION: To optimize universally comparable outcomes in future work, it is recommended that a standard set of tasks and measures is used to assess upper-limb motor function. Standardized tasks and measures will facilitate effective rehabilitation.</t>
  </si>
  <si>
    <t>[Dobri, Stephan C. D.; Ready, Hana M.; Davies, Theresa Claire] Queens Univ, Dept Mech &amp; Mat Engn, McLaughlin Hall 130 Stuart St, Kingston, ON K7L 2V9, Canada</t>
  </si>
  <si>
    <t>Queens University - Canada</t>
  </si>
  <si>
    <t>Dobri, SC (corresponding author), Queens Univ, Dept Mech &amp; Mat Engn, McLaughlin Hall 130 Stuart St, Kingston, ON K7L 2V9, Canada.</t>
  </si>
  <si>
    <t>stephan.dobri@queensu.ca</t>
  </si>
  <si>
    <t>Davies, Theresa Claire/0000-0003-4880-2654; Dobri, Stephan/0000-0002-8465-863X</t>
  </si>
  <si>
    <t>Natural Sciences and Engineering Research Council [513272-17]; NSERC RGPIN [2016-04669]; Ontario Graduate Scholarship (OGS); Swedish Research Council [2016-04669] Funding Source: Swedish Research Council</t>
  </si>
  <si>
    <t>Natural Sciences and Engineering Research Council(Natural Sciences and Engineering Research Council of Canada (NSERC)); NSERC RGPIN(Natural Sciences and Engineering Research Council of Canada (NSERC)); Ontario Graduate Scholarship (OGS)(Ontario Graduate Scholarship); Swedish Research Council(Swedish Research Council)</t>
  </si>
  <si>
    <t>The author(s) disclosed receipt of the following financial support for the research, authorship, and/or publication of this article: This work was supported through funding from the Natural Sciences and Engineering Research Council grant number 513272-17. NSERC RGPIN 2016-04669, and the Ontario Graduate Scholarship (OGS).</t>
  </si>
  <si>
    <t>1179-5727</t>
  </si>
  <si>
    <t>REHABIL PROCESS OUTC</t>
  </si>
  <si>
    <t>Rehabil. Process Outcome</t>
  </si>
  <si>
    <t>10.1177/1179572720979013</t>
  </si>
  <si>
    <t>PG9HT</t>
  </si>
  <si>
    <t>WOS:000600038200001</t>
  </si>
  <si>
    <t>Paleri, V; Hardman, J; Brady, G; George, A; Kerawala, C</t>
  </si>
  <si>
    <t>Paleri, Vinidh; Hardman, John; Brady, Grainne; George, Ajith; Kerawala, Cyrus</t>
  </si>
  <si>
    <t>Transoral Robotic Surgery for Residual and Recurrent Oropharyngeal Cancers</t>
  </si>
  <si>
    <t>OTOLARYNGOLOGIC CLINICS OF NORTH AMERICA</t>
  </si>
  <si>
    <t>Recurrence; Cancer; Robotics; Surgery; Head and neck</t>
  </si>
  <si>
    <t>Transoral robotic surgery (TORS) is a well-established treatment option for treatment-naive oropharyngeal cancer. For residual, recurrent, and new primary oropharyngeal tumors emerging in previously irradiated fields, the global experience of management with TORS is limited. This article discusses current concepts on this topic, offers a deeper insight into the transoral anatomy for these cases, and covers the specific complexities of resections in the various subsites of the oropharynx. It provides practical tips on reconstruction, recovery, and rehabilitation as well as offering a synthesis of the current evidence and exploring future trends.</t>
  </si>
  <si>
    <t>[Paleri, Vinidh; Hardman, John; Kerawala, Cyrus] Royal Marsden NHS Fdn Trust, Head &amp; Neck Unit, Fulham Rd, London SW3 6JJ, England; [Paleri, Vinidh] Inst Canc Res, Brompton Rd, London SW3 6JJ, England; [Brady, Grainne] Royal Marsden NHS Fdn Trust, Dept Speech Language &amp; Swallowing, Fulham Rd, London SW3 6JJ, England; [George, Ajith] Univ Hosp North Midlands, Stoke On Trent, North Staffords, England; [George, Ajith] Keele Univ, Med Sch, Keele, Staffs, England; [Kerawala, Cyrus] Univ Winchester, Winchester, Hants, England</t>
  </si>
  <si>
    <t>Royal Marsden NHS Foundation Trust; Royal Marsden NHS Foundation Trust; University of London; Institute of Cancer Research - UK; Royal Marsden NHS Foundation Trust; Keele University; University of Winchester</t>
  </si>
  <si>
    <t>Paleri, V (corresponding author), Royal Marsden NHS Fdn Trust, Head &amp; Neck Unit, Fulham Rd, London SW3 6JJ, England.;Paleri, V (corresponding author), Inst Canc Res, Brompton Rd, London SW3 6JJ, England.</t>
  </si>
  <si>
    <t>vinidh.paleri@rmh.nhs.uk</t>
  </si>
  <si>
    <t>George, Ajith/L-5260-2019</t>
  </si>
  <si>
    <t>George, Ajith/0000-0002-5132-0915; Paleri, Vinidh/0000-0002-7933-4585; Hardman, John C/0000-0002-6591-5119</t>
  </si>
  <si>
    <t>0030-6665</t>
  </si>
  <si>
    <t>1557-8259</t>
  </si>
  <si>
    <t>OTOLARYNG CLIN N AM</t>
  </si>
  <si>
    <t>Otolaryngol. Clin. N. Am.</t>
  </si>
  <si>
    <t>10.1016/j.otc.2020.07.016</t>
  </si>
  <si>
    <t>QE7QJ</t>
  </si>
  <si>
    <t>WOS:000616401700018</t>
  </si>
  <si>
    <t>Bessler, J; Prange-Lasonder, GB; Schulte, RV; Schaake, L; Prinsen, EC; Buurke, JH</t>
  </si>
  <si>
    <t>Bessler, Jule; Prange-Lasonder, Gerdienke B.; Schulte, Robert V.; Schaake, Leendert; Prinsen, Erik C.; Buurke, Jaap H.</t>
  </si>
  <si>
    <t>Occurrence and Type of Adverse Events During the Use of Stationary Gait Robots-A Systematic Literature Review</t>
  </si>
  <si>
    <t>robot-assisted gait training; adverse event (AE); safety; physical human-robot interaction (pHRI); injuries (MeSH); stationary gait robots; rehabilitation robotics</t>
  </si>
  <si>
    <t>SPINAL-CORD-INJURY; WEIGHT SUPPORTED TREADMILL; DIRECT-CURRENT STIMULATION; PARTIAL-BODY-WEIGHT; STROKE PATIENTS; PARKINSONS-DISEASE; PILOT; REHABILITATION; EXOSKELETON; SUPERIOR</t>
  </si>
  <si>
    <t>Robot-assisted gait training (RAGT) devices are used in rehabilitation to improve patients' walking function. While there are some reports on the adverse events (AEs) and associated risks in overground exoskeletons, the risks of stationary gait trainers cannot be accurately assessed. We therefore aimed to collect information on AEs occurring during the use of stationary gait robots and identify associated risks, as well as gaps and needs, for safe use of these devices. We searched both bibliographic and full-text literature databases for peer-reviewed articles describing the outcomes of stationary RAGT and specifically mentioning AEs. We then compiled information on the occurrence and types of AEs and on the quality of AE reporting. Based on this, we analyzed the risks of RAGT in stationary gait robots. We included 50 studies involving 985 subjects and found reports of AEs in 18 of those studies. Many of the AE reports were incomplete or did not include sufficient detail on different aspects, such as severity or patient characteristics, which hinders the precise counts of AE-related information. Over 169 device-related AEs experienced by between 79 and 124 patients were reported. Soft tissue-related AEs occurred most frequently and were mostly reported in end-effector-type devices. Musculoskeletal AEs had the second highest prevalence and occurred mainly in exoskeleton-type devices. We further identified physiological AEs including blood pressure changes that occurred in both exoskeleton-type and end-effector-type devices. Training in stationary gait robots can cause injuries or discomfort to the skin, underlying tissue, and musculoskeletal system, as well as unwanted blood pressure changes. The underlying risks for the most prevalent injury types include excessive pressure and shear at the interface between robot and human (cuffs/harness), as well as increased moments and forces applied to the musculoskeletal system likely caused by misalignments (between joint axes of robot and human). There is a need for more structured and complete recording and dissemination of AEs related to robotic gait training to increase knowledge on risks. With this information, appropriate mitigation strategies can and should be developed and implemented in RAGT devices to increase their safety.</t>
  </si>
  <si>
    <t>[Bessler, Jule; Prange-Lasonder, Gerdienke B.; Schulte, Robert V.; Schaake, Leendert; Prinsen, Erik C.; Buurke, Jaap H.] Roessingh Res &amp; Dev, Enschede, Netherlands; [Bessler, Jule; Schulte, Robert V.; Buurke, Jaap H.] Univ Twente, Dept Biomed Signals &amp; Syst, Enschede, Netherlands; [Prange-Lasonder, Gerdienke B.; Prinsen, Erik C.] Univ Twente, Dept Biomech Engn, Enschede, Netherlands</t>
  </si>
  <si>
    <t>Bessler, Jule/KYB-5842-2024</t>
  </si>
  <si>
    <t>Prinsen, Erik/0000-0001-7376-0236; Bessler, Jule/0000-0001-7283-917X; Schaake, Leendert/0000-0002-9288-4434</t>
  </si>
  <si>
    <t>European Union [779966]</t>
  </si>
  <si>
    <t>This work as part of the COVR project has received funding from the European Union's Horizon 2020 research and innovation program under Grant Agreement No. 779966.</t>
  </si>
  <si>
    <t>10.3389/frobt.2020.557606</t>
  </si>
  <si>
    <t>OY0EK</t>
  </si>
  <si>
    <t>WOS:000593927200001</t>
  </si>
  <si>
    <t>Moucheboeuf, G; Griffier, R; Gasq, D; Glize, B; Bouyer, L; Dehail, P; Cassoudesalle, H</t>
  </si>
  <si>
    <t>Moucheboeuf, Geoffroy; Griffier, Romain; Gasq, David; Glize, Bertrand; Bouyer, Laurent; Dehail, Patrick; Cassoudesalle, Helene</t>
  </si>
  <si>
    <t>Effects of robotic gait training after stroke: A meta-analysis</t>
  </si>
  <si>
    <t>Stroke; Robot-assisted gait training; Exoskeleton; End-effector; Gait; Walking; Rehabilitation</t>
  </si>
  <si>
    <t>Background: Robotic devices are often used in rehabilitation and might be efficient to improve walking capacity after stroke. Objective: First to investigate the effects of robot-assisted gait training after stroke and second to explain the observed heterogeneity of results in previous meta-analyses. Methods: All randomized controlled trials investigating exoskeletons or end-effector devices in adult patients with stroke were searched in databases (MEDLINE, EMBASE, CENTRAL, CINAHL, OPENGREY, OPENSIGLE, PEDRO, WEB OF SCIENCE, CLINICAL TRIALS, conference proceedings) from inception to November 2019, as were bibliographies of previous meta-analyses, independently by 2 reviewers. The following variables collected before and after the rehabilitation program were gait speed, gait endurance, Berg Balance Scale (BBS), Functional Ambulation Classification (FAC) and Timed Up and Go scores. We also extracted data on randomization method, blinding of outcome assessors, drop-outs, intention (or not) to treat, country, number of participants, disease duration, mean age, features of interventions, and date of outcomes assessment. Results: We included 33 studies involving 1466 participants. On analysis by subgroups of intervention, as compared with physiotherapy alone, physiotherapy combined with body-weight support training and robot-assisted gait training conferred greater improvement in gait speed (+0.09 m/s, 95% confidence interval [CI] 0.03 to 0.15; p = 0.002), FAC scores (+0.51, 95% CI 0.07 to 0.95; p = 0.022) and BBS scores (+4.16, 95% CI 2.60 to 5.71; p = 0.000). A meta-regression analysis suggested that these results were underestimated by the attrition bias of studies. Conclusions: Robot-assisted gait training combined with physiotherapy and body-weight support training seems an efficient intervention for gait recovery after stroke. (C) 2020 Elsevier Masson SAS. All rights reserved.</t>
  </si>
  <si>
    <t>[Moucheboeuf, Geoffroy; Glize, Bertrand; Dehail, Patrick; Cassoudesalle, Helene] CHU Bordeaux, Pole Neurosci Clin, Serv Med Phys &amp; Readaptat, Bordeaux, France; [Moucheboeuf, Geoffroy; Glize, Bertrand; Dehail, Patrick; Cassoudesalle, Helene] INSERM, U1219, HACS Team, Bordeaux Populat Hlth, Bordeaux, France; [Moucheboeuf, Geoffroy; Glize, Bertrand; Dehail, Patrick; Cassoudesalle, Helene] Univ Bordeaux, Bordeaux, France; [Griffier, Romain] Univ Bordeaux, Fac Med, Dept Publ Hlth, Bordeaux, France; [Gasq, David] Univ Toulouse, Toulouse NeuroImaging Ctr ToNIC, Toulouse, France; [Gasq, David] INSERM, Toulouse, France; [Gasq, David] Univ Hosp Toulouse, Dept Funct Physiol Explorat, Toulouse, France; [Bouyer, Laurent] Univ Laval, Fac Med, Dept Rehabil, Quebec City, PQ, Canada</t>
  </si>
  <si>
    <t>Universite de Bordeaux; CHU Bordeaux; Universite de Bordeaux; Institut National de la Sante et de la Recherche Medicale (Inserm); Universite de Bordeaux; Universite de Bordeaux; Universite de Toulouse; Universite Toulouse III - Paul Sabatier; Institut National de la Sante et de la Recherche Medicale (Inserm); CHU de Toulouse; Universite de Toulouse; Universite Toulouse III - Paul Sabatier; Laval University</t>
  </si>
  <si>
    <t>Cassoudesalle, H (corresponding author), Univ Bordeaux, Dept Rehabil Sci, F-33000 Bordeaux, France.</t>
  </si>
  <si>
    <t>helene.cassoudesalle@chu-bordeaux.fr</t>
  </si>
  <si>
    <t>Dehail, Patrick/T-5081-2019; glize, bertrand/AAD-4890-2021; Cassoudesalle, Helene/MXL-1998-2025; Bouyer, Laurent/A-9255-2010</t>
  </si>
  <si>
    <t>GASQ, David/0000-0002-1339-370X; Cassoudesalle, Helene/0000-0002-9384-5410; glize, bertrand/0000-0001-9618-2088; Bouyer, Laurent/0000-0003-2034-4516</t>
  </si>
  <si>
    <t>10.1016/j.rehab.2020.02.008</t>
  </si>
  <si>
    <t>OZ9PU</t>
  </si>
  <si>
    <t>WOS:000595251600009</t>
  </si>
  <si>
    <t>Nguiadem, C; Raison, M; Achiche, S</t>
  </si>
  <si>
    <t>Nguiadem, Clautilde; Raison, Maxime; Achiche, Sofiane</t>
  </si>
  <si>
    <t>Motion Planning of Upper-Limb Exoskeleton Robots: A Review</t>
  </si>
  <si>
    <t>automatic systems; trajectory planning; exoskeleton; imitation learning; inverse kinematics; machine learning</t>
  </si>
  <si>
    <t>HUMAN ARM; TRAJECTORY GENERATION; POSITION SOLUTION; MOVEMENTS; REHABILITATION; IMITATION; DESIGN; MODEL</t>
  </si>
  <si>
    <t>(1) Background: Motion planning is an important part of exoskeleton control that improves the wearer's safety and comfort. However, its usage introduces the problem of trajectory planning. The objective of trajectory planning is to generate the reference input for the motion-control system. This review explores the methods of trajectory planning for exoskeleton control. In order to reduce the number of surveyed papers, this review focuses on the upper limbs, which require refined three-dimensional motion planning. (2) Methods: A systematic search covering the last 20 years was conducted in Ei Compendex, Inspect-IET, Web of Science, PubMed, ProQuest, and Science-Direct. The search strategy was to use and combine terms trajectory planning, upper limb, and exoskeleton as high-level keywords. Trajectory planning and motion planning were also combined with the following keywords: rehabilitation, humanlike motion, upper extremity, inverse kinematic, and learning machine . (3) Results: A total of 67 relevant papers were discovered. Results were then classified into two main categories of methods to plan trajectory: (i) Approaches based on Cartesian motion planning, and inverse kinematics using polynomial-interpolation or optimization-based methods such as minimum-jerk, minimum-torque-change, and inertia-like models; and (ii) approaches based on learning by demonstration using machine-learning techniques such as supervised learning based on neural networks, and learning methods based on hidden Markov models, Gaussian mixture models, and dynamic motion primitives. (4) Conclusions: Various methods have been proposed to plan the trajectories for upper-limb exoskeleton robots, but most of them plan the trajectory offline. The review approach is general and could be extended to lower limbs. Trajectory planning has the advantage of extending the applicability of therapy robots to home usage (assistive exoskeletons); it also makes it possible to mitigate the shortages of medical caregivers and therapists, and therapy costs. In this paper, we also discuss challenges associated with trajectory planning: kinematic redundancy and incompatibility, and the trajectory-optimization problem. Commonly, methods based on the computation of swivel angles and other methods rely on the relationship (e.g., coordinated or synergistic) between the degrees of freedom used to resolve kinematic redundancy for exoskeletons. Moreover, two general solutions, namely, the self-tracing configuration of the joint axis and the alignment-free configuration of the joint axis, which add the appropriate number of extra degrees of freedom to the mechanism, were employed to improve the kinematic incompatibility between human and exoskeleton. Future work will focus on online trajectory planning and optimal control. This will be done because very few online methods were found in the scope of this study.</t>
  </si>
  <si>
    <t>[Nguiadem, Clautilde; Raison, Maxime; Achiche, Sofiane] Ecole Polytech Montreal, Dept Mech Engn, Montreal, PQ H3T 1J4, Canada; [Nguiadem, Clautilde; Raison, Maxime] Technopole Pediat Rehabil Ste Justine UHC, Montreal, PQ H3T 1C5, Canada; [Nguiadem, Clautilde] CRME Res Ctr, Off GR-123,5200 East Belanger St, Montreal, PQ H1T 1C9, Canada</t>
  </si>
  <si>
    <t>Nguiadem, C (corresponding author), Ecole Polytech Montreal, Dept Mech Engn, Montreal, PQ H3T 1J4, Canada.;Nguiadem, C (corresponding author), Technopole Pediat Rehabil Ste Justine UHC, Montreal, PQ H3T 1C5, Canada.;Nguiadem, C (corresponding author), CRME Res Ctr, Off GR-123,5200 East Belanger St, Montreal, PQ H1T 1C9, Canada.</t>
  </si>
  <si>
    <t>clautilde.nguiadem@polymtl.ca; maxime.raison@polymtl.ca; sofiane.achiche@polymtl.ca</t>
  </si>
  <si>
    <t>Raison, Maxime/0000-0002-0311-456X</t>
  </si>
  <si>
    <t>10.3390/app10217626</t>
  </si>
  <si>
    <t>OQ7CS</t>
  </si>
  <si>
    <t>WOS:000588937200001</t>
  </si>
  <si>
    <t>Pontikas, CM; Tsoukalas, E; Serdari, A</t>
  </si>
  <si>
    <t>Pontikas, Christos-Marios; Tsoukalas, Ellia; Serdari, Aspasia</t>
  </si>
  <si>
    <t>A map of assistive technology educative instruments in neurodevelopmental disorders</t>
  </si>
  <si>
    <t>Developmental disorders; assistive technology; robots; autism; intellectual disability; attention-deficit hyperactivity disorder</t>
  </si>
  <si>
    <t>AUTISM SPECTRUM DISORDER; MINIMALLY VERBAL CHILDREN; SPEECH-GENERATING DEVICE; ALTERNATIVE COMMUNICATION; ROBOTIC INTERVENTIONS; PICTURE EXCHANGE; YOUNG-CHILDREN; AAC; PRESCHOOL; SUPPORT</t>
  </si>
  <si>
    <t>Purpose The use of assistive technology in mental health has gained an increased interest over the last decades. A growing number of studies have investigated diverse applications of technological interventions for rehabilitation of children with neurodevelopmental disorders. This article presents a map of the technological devises applied as therapeutic instruments. Methods The research question of this review was which technological applications could be referred as an educational instrument for the management of children with autism spectrum disorders (ASDs), intellectual disability and attention deficit disorder. The articles included in this review were collected after a structured literature search in electronic databases using keywords such as Assistive Technology, technology devices, robots, Autism Disorder, Intellectual Disabilities and Mental Retardation. Results Assistive technology with the most up-to-date devices and applications helps children with intellectual disability and ASDs enhance cognitive skills and improve challenging behaviour, social communication and academic performance. Different technological tools are used to foster attention span and improve time management skills in children with attention deficit syndrome. Conclusion It is important that therapists choose the instrument that will offer the best approach towards the goal that is set. Future research could provide evidence based data, evaluating each specific methodology and tailoring each therapeutic approach specifically to a case.</t>
  </si>
  <si>
    <t>[Pontikas, Christos-Marios; Tsoukalas, Ellia; Serdari, Aspasia] Democritus Univ Thrace, Med Sch, Dept Child &amp; Adolescent Psychiat, Dragana, Greece</t>
  </si>
  <si>
    <t>Democritus University of Thrace</t>
  </si>
  <si>
    <t>Serdari, A (corresponding author), Democritus Univ Thrace, Med Sch, Dept Child &amp; Adolescent Psychiat, Univ Hosp Alexandroupolis, Dragana, Greece.</t>
  </si>
  <si>
    <t>aserdari@yahoo.com</t>
  </si>
  <si>
    <t>Serdari, Aspasia/AAK-7896-2021</t>
  </si>
  <si>
    <t>SERDARI, ASPASIA/0000-0003-4087-5437</t>
  </si>
  <si>
    <t>10.1080/17483107.2020.1839580</t>
  </si>
  <si>
    <t>OCT 2020</t>
  </si>
  <si>
    <t>4D4UL</t>
  </si>
  <si>
    <t>WOS:000590879600001</t>
  </si>
  <si>
    <t>Chen, ZJ; Wang, C; Fan, W; Gu, MH; Yasin, G; Xiao, SH; Huang, J; Huang, XL</t>
  </si>
  <si>
    <t>Chen, Zejian; Wang, Chun; Fan, Wei; Gu, Minghui; Yasin, Gvzalnur; Xiao, Shaohua; Huang, Jie; Huang, Xiaolin</t>
  </si>
  <si>
    <t>Robot-Assisted Arm Training versus Therapist-Mediated Training after Stroke: A Systematic Review and Meta-Analysis</t>
  </si>
  <si>
    <t>UPPER-LIMB REHABILITATION; FUGL-MEYER ASSESSMENT; RECOVERY; CARE; PARTICIPATION; INTERVENTIONS; HETEROGENEITY; QUALITY; TRIALS</t>
  </si>
  <si>
    <t>Background. More than two-thirds of stroke patients have arm motor impairments and function deficits on hospital admission, leading to diminished quality of life and reduced social participation. Robot-assisted training (RAT) is a promising rehabilitation program for upper extremity while its effect is still controversial due to heterogeneity in clinical trials. We performed a systematic review and meta-analysis to compare robot-assisted training (RAT) versus therapist-mediated training (TMT) for arm rehabilitation after stroke. Methods. We searched the following electronic databases: MEDLINE, EMBASE, Cochrane EBM Reviews, and Physiotherapy Evidence Database (PEDro). Studies of moderate or high methodological quality (PEDro score &gt;= 4) were included and analyzed. We assessed the effects of RAT versus TMT for arm rehabilitation after stroke with testing the noninferiority of RAT. A small effect size of -2 score for mean difference in Fugl-Meyer Assessment of the Upper Extremity (FMA-UE) and Cohen's d = -0.2 for standardized mean difference (SMD) were set as noninferiority margin. Results. Thirty-five trials with 2241 participants met inclusion criteria. The effect size for arm motor impairment, capacity, activities of daily living, and social participation were 0.763 (WMD, 95% CI: 0.404 to 1.123), 0.109 (SMD, 95% CI: -0.066 to 0.284), 0.049 (SMD, 95% CI: -0.055 to 0.17), and -0.061 (SMD, 95% CI: -0.196 to 0.075), respectively. Conclusion. This systematic review and meta-analysis demonstrated that robot-assisted training was slightly superior in motor impairment recovery and noninferior to therapist-mediated training in improving arm capacity, activities of daily living, and social participation, which supported the use of RAT in clinical practice.</t>
  </si>
  <si>
    <t>[Chen, Zejian; Wang, Chun; Fan, Wei; Gu, Minghui; Yasin, Gvzalnur; Xiao, Shaohua; Huang, Jie; Huang, Xiaolin] Huazhong Univ Sci &amp; Technol, Tongji Med Coll, Tongji Hosp, Dept Rehabil Med, Wuhan 430030, Peoples R China; [Chen, Zejian; Wang, Chun; Fan, Wei; Gu, Minghui; Yasin, Gvzalnur; Xiao, Shaohua; Huang, Jie; Huang, Xiaolin] WHO, Cooperat Training &amp; Res Ctr, Wuhan 430030, Peoples R China</t>
  </si>
  <si>
    <t>Huazhong University of Science &amp; Technology; World Health Organization</t>
  </si>
  <si>
    <t>Huang, XL (corresponding author), Huazhong Univ Sci &amp; Technol, Tongji Med Coll, Tongji Hosp, Dept Rehabil Med, Wuhan 430030, Peoples R China.;Huang, XL (corresponding author), WHO, Cooperat Training &amp; Res Ctr, Wuhan 430030, Peoples R China.</t>
  </si>
  <si>
    <t>zjchen@hust.edu.cn; wangch24@163.com; ot_fanwei@163.com; guminghui@hust.edu.cn; gvzalnur12@163.com; shaohuaxiao@aliyun.com; jhuang1111@163.com; xiaolinh2006@126.com</t>
  </si>
  <si>
    <t>Chen, Ze-Jian/ABB-5629-2021; Huang, Jianping/KCY-8800-2024</t>
  </si>
  <si>
    <t>FAN, WEI/0000-0003-3520-9691</t>
  </si>
  <si>
    <t>National Natural Science Foundation of China [91648203, U 1913601]</t>
  </si>
  <si>
    <t>This work was supported by National Natural Science Foundation of China (nos. 91648203 and U 1913601).</t>
  </si>
  <si>
    <t>10.1155/2020/8810867</t>
  </si>
  <si>
    <t>OY2LS</t>
  </si>
  <si>
    <t>WOS:000594083500002</t>
  </si>
  <si>
    <t>Negrín, R; Ferrer, G; Iñiguez, M; Duboy, J; Saavedra, M; Larraín, NR; Jabes, N; Barahona, M</t>
  </si>
  <si>
    <t>Negrin, Roberto; Ferrer, Gonzalo; Iniguez, Magaly; Duboy, Jaime; Saavedra, Manuel; Reyes Larrain, Nicolas; Jabes, Nicolas; Barahona, Maximiliano</t>
  </si>
  <si>
    <t>Robotic-assisted surgery in medial unicompartmental knee arthroplasty: does it improve the precision of the surgery and its clinical outcomes? Systematic review</t>
  </si>
  <si>
    <t>JOURNAL OF ROBOTIC SURGERY</t>
  </si>
  <si>
    <t>Robotic-assisted surgery; Robotic surgery; Robotics; Unicompartmental knee arthroplasty; Unicondylar knee; Knee; Arthroplasty</t>
  </si>
  <si>
    <t>COMPONENT POSITION; FOLLOW-UP; REPLACEMENT; OSTEOARTHRITIS; ALIGNMENT; REHABILITATION; MULTICENTER; TECHNOLOGY; PREVALENCE; ARTHRITIS</t>
  </si>
  <si>
    <t>There is a high prevalence of knee osteoarthritis that affects only the medial tibiofemoral compartment. In this group of patients with severe disease, the medial unicompartmental knee arthroplasty (UKA) is an excellent choice. However, this technique has a great learning curve due to the lower tolerance of improper positioning and alignment. In this context, the robotic-assisted surgery (RAS) arises as an option to improve the accuracy and secondarily enhance the clinical outcomes related to the UKA. The objective in this study is to determine if there are significant advantages with the use of RAS over conventional surgery (CS). In the systematic review of the literature, classification of the results in three main subjects: (A) precision and alignment; (B) functional results and clinical parameters; (C) survivorship. We found 272 studies, of which 15 meet the inclusion and exclusion criteria. There is mostly described that RAS significantly improves the accuracy in position (80-100% of planned versus performed P &lt; 0.05), alignment (2-3 times less error variance P &lt; 0.05) and selection of the proper size of the implants (69.23% of correct size femoral implants versus 16.67% using CS P &lt; 0.0154). Recently, there is mild evidence about benefits in the early rehabilitation and post-operative pain, but in all studies reviewed, there is no advantages of RAS in the long-term functional evaluation. There is no strong literature that supports a longer survival of the prothesis with RAS, being the longest mean follow-up reported of 29.6 months. RAS is a useful tool in increasing the precision of the medial UKA implant placement. However, there is still a lack of evidence that properly correlates this improvement in accuracy with better clinical, functional and survival results.</t>
  </si>
  <si>
    <t>[Negrin, Roberto; Ferrer, Gonzalo; Iniguez, Magaly; Duboy, Jaime; Reyes Larrain, Nicolas] Clin Las Condes, Dept Orthoped &amp; Traumatol, Santiago, Chile; [Saavedra, Manuel] Univ Chile, Surg Knee Fellowship Program, Clin Las Condes, Santiago, Chile; [Barahona, Maximiliano] Hosp Clin Univ Chile, Dept Orthoped Surg, Santiago, Chile; [Jabes, Nicolas] Clin Las Condes, Fellow Res, Santiago, Chile</t>
  </si>
  <si>
    <t>Clinica Las Condes; Clinica Las Condes; Universidad de Chile; Universidad de Chile; Clinica Las Condes</t>
  </si>
  <si>
    <t>Negrín, R (corresponding author), Clin Las Condes, Dept Orthoped &amp; Traumatol, Santiago, Chile.;Saavedra, M (corresponding author), Univ Chile, Surg Knee Fellowship Program, Clin Las Condes, Santiago, Chile.</t>
  </si>
  <si>
    <t>rnegrin@clinicalascondes.cl; m.saavedracast@gmail.com</t>
  </si>
  <si>
    <t>Jabes, Nicolas/0000-0001-7273-2401; Barahona, Maximiliano/0000-0001-7878-8625; Saavedra, Manuel/0000-0002-5394-9602; Reyes, Nicolas/0000-0003-4351-3802</t>
  </si>
  <si>
    <t>1863-2483</t>
  </si>
  <si>
    <t>1863-2491</t>
  </si>
  <si>
    <t>J ROBOT SURG</t>
  </si>
  <si>
    <t>J. Robot. Surg.</t>
  </si>
  <si>
    <t>10.1007/s11701-020-01162-8</t>
  </si>
  <si>
    <t>RC6RU</t>
  </si>
  <si>
    <t>WOS:000584653100001</t>
  </si>
  <si>
    <t>Awad, LN; Lewek, MD; Kesar, TM; Franz, JR; Bowden, MG</t>
  </si>
  <si>
    <t>Awad, Louis N.; Lewek, Michael D.; Kesar, Trisha M.; Franz, Jason R.; Bowden, Mark G.</t>
  </si>
  <si>
    <t>These legs were made for propulsion: advancing the diagnosis and treatment of post-stroke propulsion deficits</t>
  </si>
  <si>
    <t>Propulsion; Locomotion; Walking; Rehabilitation; Diagnosis; Intervention; Sensors; Robotics</t>
  </si>
  <si>
    <t>FUNCTIONAL ELECTRICAL-STIMULATION; TRANSCRANIAL MAGNETIC STIMULATION; COMMUNITY WALKING ACTIVITY; GROUND REACTION FORCES; TRAILING LIMB ANGLE; BODY-WEIGHT SUPPORT; ANKLE-FOOT ORTHOSIS; CHRONIC STROKE; MOTOR CORTEX; PARETIC PROPULSION</t>
  </si>
  <si>
    <t>Advances in medical diagnosis and treatment have facilitated the emergence of precision medicine. In contrast, locomotor rehabilitation for individuals with acquired neuromotor injuries remains limited by the dearth of (i) diagnostic approaches that can identify the specific neuromuscular, biomechanical, and clinical deficits underlying impaired locomotion and (ii) evidence-based, targeted treatments. In particular, impaired propulsion by the paretic limb is a major contributor to walking-related disability after stroke; however, few interventions have been able to target deficits in propulsion effectively and in a manner that reduces walking disability. Indeed, the weakness and impaired control that is characteristic of post-stroke hemiparesis leads to heterogeneous deficits that impair paretic propulsion and contribute to a slow, metabolically-expensive, and unstable gait. Current rehabilitation paradigms emphasize the rapid attainment of walking independence, not the restoration of normal propulsion function. Although walking independence is an important goal for stroke survivors, independence achieved via compensatory strategies may prevent the recovery of propulsion needed for the fast, economical, and stable gait that is characteristic of healthy bipedal locomotion. We posit that post-stroke rehabilitation should aim to promote independent walking, in part, through the acquisition of enhanced propulsion. In this expert review, we present the biomechanical and functional consequences of post-stroke propulsion deficits, review advances in our understanding of the nature of post-stroke propulsion impairment, and discuss emerging diagnostic and treatment approaches that have the potential to facilitate new rehabilitation paradigms targeting propulsion restoration.</t>
  </si>
  <si>
    <t>[Awad, Louis N.] Boston Univ, Sargent Coll, Coll Hlth &amp; Rehabil Sci, Boston, MA 02215 USA; [Lewek, Michael D.] Univ N Carolina, Dept Allied Hlth Sci, Div Phys Therapy, Chapel Hill, NC 27515 USA; [Kesar, Trisha M.] Emory Univ, Div Phys Therapy, Atlanta, GA 30322 USA; [Franz, Jason R.] Univ North Carolina Chapel Hill &amp; North Carolina, Joint Dept Biomed Engn, Chapel Hill, NC USA; [Bowden, Mark G.] Med Univ South Carolina, Div Phys Therapy, Charleston, SC 29425 USA</t>
  </si>
  <si>
    <t>Boston University; University of North Carolina; University of North Carolina Chapel Hill; Emory University; North Carolina State University; Medical University of South Carolina</t>
  </si>
  <si>
    <t>Awad, LN (corresponding author), Boston Univ, Sargent Coll, Coll Hlth &amp; Rehabil Sci, Boston, MA 02215 USA.</t>
  </si>
  <si>
    <t>louawad@bu.edu</t>
  </si>
  <si>
    <t>Awad, Louis/O-1799-2014</t>
  </si>
  <si>
    <t>Awad, Louis/0000-0002-0159-8011; Lewek, Michael/0000-0002-1917-5594</t>
  </si>
  <si>
    <t>NIH [R01AG067394, R01HD095975, K01HD079584]; AHA [18TPA34170171, 18IPA34170487]; American Heart Association (AHA) [18TPA34170171, 18IPA34170487] Funding Source: American Heart Association (AHA)</t>
  </si>
  <si>
    <t>NIH(United States Department of Health &amp; Human ServicesNational Institutes of Health (NIH) - USA); AHA(American Heart Association); American Heart Association (AHA)(American Heart Association)</t>
  </si>
  <si>
    <t>The authors acknowledge funding support from the NIH (R01AG067394, R01HD095975, and K01HD079584) and AHA (18TPA34170171 and 18IPA34170487).</t>
  </si>
  <si>
    <t>10.1186/s12984-020-00747-6</t>
  </si>
  <si>
    <t>OI6FC</t>
  </si>
  <si>
    <t>WOS:000583370800001</t>
  </si>
  <si>
    <t>Kuroda, Y; Young, M; Shoman, H; Punnoose, A; Norrish, AR; Khanduja, V</t>
  </si>
  <si>
    <t>Kuroda, Yuichi; Young, Matthew; Shoman, Haitham; Punnoose, Anuj; Norrish, Alan R.; Khanduja, Vikas</t>
  </si>
  <si>
    <t>Advanced rehabilitation technology in orthopaedics-a narrative review</t>
  </si>
  <si>
    <t>INTERNATIONAL ORTHOPAEDICS</t>
  </si>
  <si>
    <t>Rehabilitation; Technology; Orthopaedics; Telerehabilitation</t>
  </si>
  <si>
    <t>CONTINUOUS PASSIVE MOTION; TOTAL KNEE REPLACEMENT; ELECTROMAGNETIC TRACKING SYSTEM; IN-HOME TELEREHABILITATION; LOWER-EXTREMITY; SMARTPHONE-APPLICATION; SENSOR SYSTEM; PIVOT SHIFT; RELIABILITY; VALIDITY</t>
  </si>
  <si>
    <t>Introduction As the demand for rehabilitation in orthopaedics increases, so too has the development in advanced rehabilitation technology. However, to date, there are no review papers outlining the broad scope of advanced rehabilitation technology used within the orthopaedic population. The aim of this study is to identify, describe and summarise the evidence for efficacy for all advanced rehabilitation technologies applicable to orthopaedic practice. Methods The relevant literature describing the use of advanced rehabilitation technology in orthopaedics was identified from appropriate electronic databases (PubMed and EMBASE) and a narrative review undertaken. Results Advanced rehabilitation technologies were classified into two groups: hospital-based and home-based rehabilitation. In the hospital-based technology group, we describe the use of continuous passive motion and robotic devices (after spinal cord injury) and their effect on improving clinical outcomes. We also report on the use of electromagnetic sensor technology for measuring kinematics of upper and lower limbs during rehabilitation. In the home-based technology group, we describe the use of inertial sensors, smartphones, software applications and commercial game hardware that are relatively inexpensive, user-friendly and widely available. We outline the evidence for videoconferencing for promoting knowledge and motivation for rehabilitation as well as the emerging role of virtual reality. Conclusions The use of advanced rehabilitation technology in orthopaedics is promising and evidence for its efficacy is generally supportive.</t>
  </si>
  <si>
    <t>[Kuroda, Yuichi; Young, Matthew; Shoman, Haitham; Punnoose, Anuj; Khanduja, Vikas] Addenbrookes Cambridge Univ Hosp NHS Fdn Trust, Dept Trauma &amp; Orthopaed Surg, Young Adult Hip Serv, Hills Rd,Box 37, Cambridge CB2 0QQ, England; [Norrish, Alan R.] Univ Nottingham, Dept Acad Orthopaed Trauma &amp; Sports Med, Queens Med Ctr, Nottingham, England</t>
  </si>
  <si>
    <t>University of Nottingham</t>
  </si>
  <si>
    <t>Khanduja, V (corresponding author), Addenbrookes Cambridge Univ Hosp NHS Fdn Trust, Dept Trauma &amp; Orthopaed Surg, Young Adult Hip Serv, Hills Rd,Box 37, Cambridge CB2 0QQ, England.</t>
  </si>
  <si>
    <t>vk279@cam.ac.uk</t>
  </si>
  <si>
    <t>Norrish, Alan/AER-4790-2022; Khanduja, Vikas/U-9318-2017</t>
  </si>
  <si>
    <t>Kuroda, Yuichi/0000-0003-2196-4610; Shoman, Haitham/0000-0003-3408-7020; Khanduja, Vikas/0000-0001-9454-3978; Punnoose, Anuj/0000-0003-4477-2822</t>
  </si>
  <si>
    <t>0341-2695</t>
  </si>
  <si>
    <t>1432-5195</t>
  </si>
  <si>
    <t>INT ORTHOP</t>
  </si>
  <si>
    <t>Int. Orthop.</t>
  </si>
  <si>
    <t>10.1007/s00264-020-04814-4</t>
  </si>
  <si>
    <t>TU9AY</t>
  </si>
  <si>
    <t>WOS:000578109400002</t>
  </si>
  <si>
    <t>Del Ferraro, S; Falcone, T; Ranavolo, A; Molinaro, V</t>
  </si>
  <si>
    <t>Del Ferraro, Simona; Falcone, Tiziana; Ranavolo, Alberto; Molinaro, Vincenzo</t>
  </si>
  <si>
    <t>The Effects of Upper-Body Exoskeletons on Human Metabolic Cost and Thermal Response during Work Tasks-A Systematic Review</t>
  </si>
  <si>
    <t>exoskeletons; wearable assistive device; metabolic cost; oxygen consumption; thermal comfort; lifting task; overhead work; occupational health; work-related musculoskeletal disorders</t>
  </si>
  <si>
    <t>UPPER-LIMB EXOSKELETON; ASSISTED FILTERING DEVICE; ENERGY-CONSUMPTION; ROBOT; FATIGUE; DESIGN; OXYGEN; LOAD; MATE; AID</t>
  </si>
  <si>
    <t>Background: New wearable assistive devices (exoskeletons) have been developed for assisting people during work activity or rehabilitation. Although exoskeletons have been introduced into different occupational fields in an attempt to reduce the risk of work-related musculoskeletal disorders, the effectiveness of their use in workplaces still needs to be investigated. This systematic review focused on the effects of upper-body exoskeletons (UBEs) on human metabolic cost and thermophysiological response during upper-body work tasks. Methods: articles published until 22 September 2020 were selected from Scopus, Web of Science, and PubMed for eligibility and the potential risk of bias was assessed. Results: Nine articles resulted in being eligible for the metabolic aspects, and none for the thermal analysis. All the studies were based on comparisons between conditions with and without exoskeletons and considered a total of 94 participants (mainly males) performing tasks involving the trunk or overhead work, 7 back-support exoskeletons, and 1 upper-limb support exoskeleton. Eight studies found a significant reduction in the mean values of the metabolic or cardiorespiratory parameters considered and one found no differences. Conclusions: The reduction found represents a preliminary finding that needs to be confirmed in a wider range of conditions, especially in workplaces, where work tasks show different characteristics and durations compared to those simulated in the laboratory. Future developments should investigate the dependence of metabolic cost on specific UBE design approaches during tasks involving the trunk and the possible statistical correlation between the metabolic cost and the surface ElectroMyoGraphy (sEMG) parameters. Finally, it could be interesting to investigate the effect of exoskeletons on the human thermophysiological response.</t>
  </si>
  <si>
    <t>[Del Ferraro, Simona; Falcone, Tiziana; Ranavolo, Alberto; Molinaro, Vincenzo] INAIL, Lab Ergon &amp; Physiol, Dept Occupat &amp; Environm Med Epidemiol &amp; Hyg, Via Fontana Candida 1, I-00078 Monte Porzio Catone, Italy; [Falcone, Tiziana] Campus Biomed Univ Rome, Unit Adv Robot &amp; Human Centred Technol, I-00128 Rome, Italy</t>
  </si>
  <si>
    <t>Istituto Nazionale per l'Assicurazione Contro gli Infortuni sul Lavoro (INAIL); University Campus Bio-Medico - Rome Italy</t>
  </si>
  <si>
    <t>Del Ferraro, S (corresponding author), INAIL, Lab Ergon &amp; Physiol, Dept Occupat &amp; Environm Med Epidemiol &amp; Hyg, Via Fontana Candida 1, I-00078 Monte Porzio Catone, Italy.</t>
  </si>
  <si>
    <t>s.delferraro@inail.it; t.falcone-sg@inail.it; a.ranavolo@inail.it; v.molinaro@inail.it</t>
  </si>
  <si>
    <t>Del Ferraro, Simona/J-8232-2019; Ranavolo, Alberto/AAC-7576-2022</t>
  </si>
  <si>
    <t>Ranavolo, Alberto/0000-0002-0197-6166; Falcone, Tiziana/0000-0001-9045-1566; Del Ferraro, Simona/0000-0002-6311-4406; Molinaro, Vincenzo/0000-0003-4588-894X</t>
  </si>
  <si>
    <t>The research presented in this article was carried out as part of the SOPHIA project, which has received funding from the European Union's Horizon 2020 research and innovation program under Grant Agreement No. 871237.</t>
  </si>
  <si>
    <t>10.3390/ijerph17207374</t>
  </si>
  <si>
    <t>OL7CX</t>
  </si>
  <si>
    <t>WOS:000585494200001</t>
  </si>
  <si>
    <t>Ghai, S; Ghai, I; Lamontagne, A</t>
  </si>
  <si>
    <t>Ghai, Shashank; Ghai, Ishan; Lamontagne, Anouk</t>
  </si>
  <si>
    <t>Virtual reality training enhances gait poststroke: a systematic review and meta-analysis</t>
  </si>
  <si>
    <t>ANNALS OF THE NEW YORK ACADEMY OF SCIENCES</t>
  </si>
  <si>
    <t>virtual reality; stroke; gait; rehabilitation; motor learning</t>
  </si>
  <si>
    <t>CHRONIC STROKE SURVIVORS; FUNCTIONAL OUTCOMES; SUBACUTE STROKE; MOTOR RECOVERY; WALKING SPEED; BALANCE; REHABILITATION; INDIVIDUALS; MOVEMENT; GAMES</t>
  </si>
  <si>
    <t>Virtual reality (VR)-based interventions are gaining widespread attention for managing neurological disorders such as stroke. A metastatistical consensus regarding the intervention is strongly warranted. In this study, we attempt to address this gap in the literature and provide the current state of evidence for the effects of VR on gait performance. We conducted both between- and within-group meta-analyses to provide a state of evidence for VR. Moreover, we conducted a search adhering to PRISMA guidelines on nine databases. Out of 1866 records, 32 studies involving a total of 809 individuals were included in this review. Considering all included studies, significant enhancements in gait parameters were observed with VR-based interventions compared with conventional therapy. A between-group meta-analysis reported beneficial significant medium effects of VR training on cadence (Hedge's g = 0.55), stride length ((STrL; Hedge's g = 0.46), and gait speed (Hedge's g = 0.30). Similarly, a within-group meta-analysis further revealed positive medium effects of VR on cadence (Hedge's g = 0.76), STrL (Hedge's g = 0.61), and gait speed (Hedge's g = 0.69). Additional subgroup analyses revealed beneficial effects of joint application of VR and robot-assisted gait training on gait speed (Hedge's g = 0.50). Collectively, findings from this review provide evidence for the effectiveness of VR-based gait training for stroke survivors.</t>
  </si>
  <si>
    <t>[Ghai, Shashank; Lamontagne, Anouk] McGill Univ, Sch Phys &amp; Occupat Therapy, Montreal, PQ, Canada; [Ghai, Shashank; Lamontagne, Anouk] Jewish Rehabil Hosp, Ctr Interdisciplinary Res Greater Montreal CRIR, Feil &amp; Oberfeld Res Ctr, CISSS Laval Res Site,3205 Pl Alton Goldbloom, Laval, PQ H7V 1R2, Canada; [Ghai, Ishan] Rsgbiogen, New Delhi, India</t>
  </si>
  <si>
    <t>McGill University</t>
  </si>
  <si>
    <t>Ghai, S (corresponding author), Jewish Rehabil Hosp, Ctr Interdisciplinary Res Greater Montreal CRIR, Feil &amp; Oberfeld Res Ctr, CISSS Laval Res Site,3205 Pl Alton Goldbloom, Laval, PQ H7V 1R2, Canada.</t>
  </si>
  <si>
    <t>shashank.ghai@mail.mcgill.ca</t>
  </si>
  <si>
    <t>Ghai, Ishan/KHW-8784-2024</t>
  </si>
  <si>
    <t>Ghai, Shashank/0000-0001-8518-1522</t>
  </si>
  <si>
    <t>0077-8923</t>
  </si>
  <si>
    <t>1749-6632</t>
  </si>
  <si>
    <t>ANN NY ACAD SCI</t>
  </si>
  <si>
    <t>Ann. N.Y. Acad. Sci.</t>
  </si>
  <si>
    <t>10.1111/nyas.14420</t>
  </si>
  <si>
    <t>OM2ME</t>
  </si>
  <si>
    <t>WOS:000585860500002</t>
  </si>
  <si>
    <t>Hamza, MF; Ghazilla, RAR; Muhammad, BB; Yap, HJ</t>
  </si>
  <si>
    <t>Hamza, Mukhtar Fatihu; Ghazilla, Raja Arif Raja; Muhammad, Bashir Bala; Yap, Hwa Jen</t>
  </si>
  <si>
    <t>Balance and stability issues in lower extremity exoskeletons: A systematic review</t>
  </si>
  <si>
    <t>BIOCYBERNETICS AND BIOMEDICAL ENGINEERING</t>
  </si>
  <si>
    <t>Exoskeleton; Stability; Lyapunov; Zero moment Point; Centre of mass; Extrapolated Centre of mass</t>
  </si>
  <si>
    <t>SLIDING MODE CONTROL; POSTURAL STABILITY; ANGULAR-MOMENTUM; CONTROL SCHEME; BIPED ROBOTS; BODY BALANCE; LIMB; WALKING; DESIGN; CONTROLLER</t>
  </si>
  <si>
    <t>The lower extremity exoskeletons (LEE) are used as an assistive device for disabled people, rehabilitation for paraplegic, and power augmentation for military or industrial workers. In all the applications of LEE, the dynamic and static balance, prevention of falling, ensuring controller stability and smooth human-exoskeleton interaction are of critical importance for the safety of LEE users. Although numerous studies have been conducted on the balance and stability issues in LEEs, there is yet to be a systematic review that provides a holistic viewpoint and highlights the current research challenges. This paper reviews the advances in the inclusion of falling recognition, balance recovery and stability assurance strategies in the design and application of LEEs. The current status of research on LEEs is presented. It has been found that Zero Moment Point (ZMP), Centre of Mass (CoM) and Extrapolated Center of mass (XCoM) ideas are mostly used for balancing and prevention of falling. In addition, Lyapunov stability criteria are the dominant methods for controller stability confirmation and smooth human-exoskeleton interaction. The challenges and future trend of this domain of research are discussed. Researchers can use this review as a basis to further develop methods for ensuring the safety of LEE's users. (c) 2020 Published by Elsevier B.V. on behalf of Nalecz Institute of Biocybernetics and Biomedical Engineering of the Polish Academy of Sciences.</t>
  </si>
  <si>
    <t>[Hamza, Mukhtar Fatihu; Ghazilla, Raja Arif Raja; Yap, Hwa Jen] Univ Malaya, Dept Mech Engn, Kuala Lumpur 50603, Malaysia; [Hamza, Mukhtar Fatihu] Bayero Univ, Dept Mechatron Engn, Kano, Nigeria; [Muhammad, Bashir Bala] Northwestern Polytech Univ, Sch Mech Engn, Xian, Peoples R China</t>
  </si>
  <si>
    <t>Universiti Malaya; Bayero University; Northwestern Polytechnical University</t>
  </si>
  <si>
    <t>Hamza, MF (corresponding author), Univ Malaya, Dept Mech Engn, Kuala Lumpur 50603, Malaysia.</t>
  </si>
  <si>
    <t>mfhamza@um.edu.my</t>
  </si>
  <si>
    <t>Muhammad, Bashir/X-8392-2019; YAP, HWA JEN/C-1065-2010; Ghazilla, Raja/B-9540-2010; Hamza, Mukhtar/T-3186-2019</t>
  </si>
  <si>
    <t>Muhammad, Bashir Bala/0000-0002-0922-7549; Hamza, Mukhtar/0000-0002-7111-5767</t>
  </si>
  <si>
    <t>[NoIIRG001A-19IISS]</t>
  </si>
  <si>
    <t>The authors would like to acknowledge the Impact-oriented Interdisciplinary Research Grant (Grant NoIIRG001A-19IISS).</t>
  </si>
  <si>
    <t>0208-5216</t>
  </si>
  <si>
    <t>BIOCYBERN BIOMED ENG</t>
  </si>
  <si>
    <t>Biocybern. Biomed. Eng.</t>
  </si>
  <si>
    <t>10.1016/j.bbe.2020.09.004</t>
  </si>
  <si>
    <t>PO8YD</t>
  </si>
  <si>
    <t>WOS:000605451000009</t>
  </si>
  <si>
    <t>Koutsiana, E; Ladakis, I; Fotopoulos, D; Chytas, A; Kilintzis, V; Chouvarda, I</t>
  </si>
  <si>
    <t>Koutsiana, Elisavet; Ladakis, Ioannis; Fotopoulos, Dimitris; Chytas, Achilleas; Kilintzis, Vassilis; Chouvarda, Ioanna</t>
  </si>
  <si>
    <t>Serious Gaming Technology in Upper Extremity Rehabilitation: Scoping Review</t>
  </si>
  <si>
    <t>JMIR SERIOUS GAMES</t>
  </si>
  <si>
    <t>serious gaming; gamification; upper extremity; upper limb; rehabilitation</t>
  </si>
  <si>
    <t>UPPER-LIMB; VIRTUAL-REALITY; HAND REHABILITATION; TELEREHABILITATION SYSTEM; CONTROLLED GAMES; STROKE; DESIGN</t>
  </si>
  <si>
    <t>Background: Serious gaming has increasingly gained attention as a potential new component in clinical practice. Specifically, its use in the rehabilitation of motor dysfunctions has been intensively researched during the past three decades. Objective: The aim of this scoping review was to evaluate the current role of serious games in upper extremity rehabilitation, and to identify common methods and practice as well as technology patterns. This objective was approached via the exploration of published research efforts over time. Methods: The literature search, using the PubMed and Scopus databases, included articles published from 1999 to 2019. The eligibility criteria were (i) any form of game-based arm rehabilitation; (ii) published in a peer-reviewed journal or conference; (iii) introduce a game in an electronic format; (iv) published in English; and (v) not a review, meta-analysis, or conference abstract. The search strategy identified 169 relevant articles. Results: The results indicated an increasing research trend in the domain of serious gaming deployment in upper extremity rehabilitation. Furthermore, differences regarding the number of publications and the game approach were noted between studies that used commercial devices in their rehabilitation systems and those that proposed a custom-made robotic arm, glove, or other devices for the connection and interaction with the game platform. A particularly relevant observation concerns the evaluation of the introduced systems. Although one-third of the studies evaluated their implementations with patients, in most cases, there is the need for a larger number of participants and better testing of the rehabilitation scheme efficiency over time. Most of the studies that included some form of assessment for the introduced rehabilitation game mentioned user experience as one of the factors considered for evaluation of the system. Besides user experience assessment, the most common evaluation method involving patients was the use of standard medical tests. Finally, a few studies attempted to extract game features to introduce quantitative measurements for the evaluation of patient improvement. Conclusions: This paper presents an overview of a significant research topic and highlights the current state of the field. Despite extensive attempts for the development of gamified rehabilitation systems, there is no definite answer as to whether a serious game is a favorable means for upper extremity functionality improvement; however, this certainly constitutes a supplementary means for motivation. The development of a unified performance quantification framework and more extensive experiments could generate richer evidence and contribute toward this direction.</t>
  </si>
  <si>
    <t>[Koutsiana, Elisavet; Ladakis, Ioannis; Fotopoulos, Dimitris; Chytas, Achilleas; Kilintzis, Vassilis; Chouvarda, Ioanna] Aristotle Univ Thessaloniki, Sch Med, Lab Comp Med Informat &amp; Biomed Imaging Technol, Bldg 16d,2nd Floor, Thessaloniki 54124, Greece</t>
  </si>
  <si>
    <t>Aristotle University of Thessaloniki</t>
  </si>
  <si>
    <t>Koutsiana, E (corresponding author), Aristotle Univ Thessaloniki, Sch Med, Lab Comp Med Informat &amp; Biomed Imaging Technol, Bldg 16d,2nd Floor, Thessaloniki 54124, Greece.</t>
  </si>
  <si>
    <t>elisavetkoutsiana@gmail.com</t>
  </si>
  <si>
    <t>; Chouvarda, Ioanna/N-8925-2015</t>
  </si>
  <si>
    <t>Chytas, Achilleas/0000-0001-8486-011X; Fotopoulos, Dimitris/0000-0001-8605-8593; Koutsiana, Elisavet/0000-0001-6544-0435; Chouvarda, Ioanna/0000-0001-8915-6658; Ladakis, Ioannis/0000-0002-3457-1333</t>
  </si>
  <si>
    <t>European Union; Greek national funds through the Operational Program Competitiveness, Entrepreneurship, and Innovation program [T1EDK02488]</t>
  </si>
  <si>
    <t>European Union(European Union (EU)); Greek national funds through the Operational Program Competitiveness, Entrepreneurship, and Innovation program</t>
  </si>
  <si>
    <t>This research has been cofinanced by the European Union and Greek national funds through the Operational Program Competitiveness, Entrepreneurship, and Innovation program, under the call RESEARCH ? CREATE ? INNOVATE (project code: T1EDK02488) .</t>
  </si>
  <si>
    <t>2291-9279</t>
  </si>
  <si>
    <t>JMIR Serious Games</t>
  </si>
  <si>
    <t>e19071</t>
  </si>
  <si>
    <t>10.2196/19071</t>
  </si>
  <si>
    <t>Health Care Sciences &amp; Services; Public, Environmental &amp; Occupational Health; Medical Informatics</t>
  </si>
  <si>
    <t>QV8RC</t>
  </si>
  <si>
    <t>WOS:000628230500001</t>
  </si>
  <si>
    <t>Marchioni, M; De Francesco, P; Castellucci, R; Papalia, R; Sarikaya, S; Gomez Rivas, J; Schips, L; Scarpa, RM; Esperto, F</t>
  </si>
  <si>
    <t>Marchioni, Michele; De Francesco, Piergustavo; Castellucci, Roberto; Papalia, Rocco; Sarikaya, Selcuk; Gomez Rivas, Juan; Schips, Luigi; Scarpa, Roberto M.; Esperto, Francesco</t>
  </si>
  <si>
    <t>Management of erectile dysfunction following robot-assisted radical prostatectomy: a systematic review</t>
  </si>
  <si>
    <t>MINERVA UROLOGICA E NEFROLOGICA</t>
  </si>
  <si>
    <t>Robotics; Prostatectomy; Prostatic neoplasms; Erectile dysfunction; Penile prosthesis</t>
  </si>
  <si>
    <t>PENILE REHABILITATION; THERAPY; RECOVERY; INCONTINENCE; METAANALYSIS; ADHERENCE; OUTCOMES; QUALITY; TRIAL</t>
  </si>
  <si>
    <t>INTRODUCTION: We aimed to summarize evidences about the efficacy of available treatments for erectile disfunction after robotic assisted radical prostatectomy (RARP). EVIDENCE ACQUISITION: A systematic literature review searching on PubMed (Medline), Scopus, and Web of Science databases was performed in December 2019. PRISMA guidelines were followed. Population consisted of patients with erectile disfunction after RARP (P), conservative and surgical intervention were considered of interest (I). No comparator was considered mandatory (C). Outcomes of interest were the recovery of erectile function after conservative treatments and sexual function after surgical treatments (O). EVIDENCE SYNTHESIS: Eleven studies were included. Seven studies focused on the use of phosphodiesterase-5 inhibitors (PDE5i) alone (five studies) or associated with other treatments (two studies). All the studies confirmed the efficacy of PDE5i, while the most promising association is with vacuum pump erectile devices. Two studies investigated topical treatments, namely low intensity extracorporeal shock wave therapy and alprostadil. Low intensity extracorporeal shock wave therapy may be a promising option in patients in whom nerve-sparing surgery was performed. The use of alprostadil could be an effective alternative to intracorporeal injection in those who underwent non-nerve-sparing surgery. One study focused and confirmed the efficacy of penile implants. Furthermore, one study reported the efficacy of a multi-modal treatment with preoperative medication, showing the benefits of a multimodal approach. CONCLUSIONS: Penile rehabilitation with PDE5i is effective after nerve sparing RARP. The association of PDE5i with vacuum devices could led to a faster recovery. A multimodal approach with preoperative specific care seems to be effective to fasten erectile function recovery.</t>
  </si>
  <si>
    <t>[Marchioni, Michele; Schips, Luigi] Univ G dAnnunzio, SS Annunziata Hosp, Dept Med Oral &amp; Biotechnol Sci, Unit Urol, Chieti, Italy; [Marchioni, Michele; De Francesco, Piergustavo; Castellucci, Roberto; Schips, Luigi] ASL Abruzzo 2, Dept Urol, Chieti, Italy; [Marchioni, Michele; Sarikaya, Selcuk; Gomez Rivas, Juan; Esperto, Francesco] European Assoc Urol European Soc Residents Urol E, Rome, Italy; [Papalia, Rocco; Scarpa, Roberto M.; Esperto, Francesco] Campus Biomed Univ, Dept Urol, Rome, Italy; [Sarikaya, Selcuk] Gulhane Res &amp; Training Hosp, Dept Urol, Ankara, Turkey; [Gomez Rivas, Juan] La Paz Univ Hosp, Dept Urol, Madrid, Spain</t>
  </si>
  <si>
    <t>G d'Annunzio University of Chieti-Pescara; University Campus Bio-Medico - Rome Italy; Gulhane Training &amp; Research Hospital; Hospital Universitario La Paz</t>
  </si>
  <si>
    <t>Marchioni, M (corresponding author), Univ G dAnnunzio, SS Annunziata Hosp, Dept Med Oral &amp; Biotechnol Sci, Unit Urol, Chieti, Italy.</t>
  </si>
  <si>
    <t>mic.marchioni@gmail.com</t>
  </si>
  <si>
    <t>Scarpa, Roberto/AAZ-2287-2021; Esperto, Francesco/AAH-6580-2019; Papalia, Rocco/I-9192-2014; Marchioni, Michele/GRR-9853-2022; Sarikaya, Selcuk/O-2706-2013; Gomez Rivas, Juan/H-1635-2013</t>
  </si>
  <si>
    <t>Marchioni, Michele/0000-0002-1702-4127; Sarikaya, Selcuk/0000-0001-6426-1398; Gomez Rivas, Juan/0000-0002-0556-3035; Esperto, Francesco/0000-0002-0108-1864</t>
  </si>
  <si>
    <t>0393-2249</t>
  </si>
  <si>
    <t>1827-1758</t>
  </si>
  <si>
    <t>MINERVA UROL NEFROL</t>
  </si>
  <si>
    <t>Minerva Urol. Nefrol.</t>
  </si>
  <si>
    <t>10.23736/S0393-2249.20.03780-7</t>
  </si>
  <si>
    <t>ON2XM</t>
  </si>
  <si>
    <t>WOS:000586570500003</t>
  </si>
  <si>
    <t>Qassim, HM; Hasan, WZW</t>
  </si>
  <si>
    <t>Qassim, Hassan M.; Wan Hasan, W. Z.</t>
  </si>
  <si>
    <t>A Review on Upper Limb Rehabilitation Robots</t>
  </si>
  <si>
    <t>exoskeleton; electromyograph; rehabilitation robots; stroke</t>
  </si>
  <si>
    <t>OF-THE-ART; EXOSKELETON; STROKE; THERAPY; DESIGN; ARMIN; MODEL</t>
  </si>
  <si>
    <t>Rehabilitation is the process of treating post-stroke consequences. Impaired limbs are considered the common outcomes of stroke, which require a professional therapist to rehabilitate the impaired limbs and restore fully or partially its function. Due to the shortage in the number of therapists and other considerations, researchers have been working on developing robots that have the ability to perform the rehabilitation process. During the last two decades, different robots were invented to help in rehabilitation procedures. This paper explains the types of rehabilitation treatments and robot classifications. In addition, a few examples of well-known rehabilitation robots will be explained in terms of their efficiency and controlling mechanisms.</t>
  </si>
  <si>
    <t>[Qassim, Hassan M.] Northern Tech Univ, Tech Engn Coll Mosul, Mosul 41001, Iraq; [Wan Hasan, W. Z.] Univ Putra Malaysia, Fac Engn, Dept Elect &amp; Elect Engn, Serdang 43400, Malaysia; [Wan Hasan, W. Z.] Univ Putra Malaysia, Inst Adv Technol ITMA, Serdang 43400, Malaysia</t>
  </si>
  <si>
    <t>Northern Technical University; Universiti Putra Malaysia; Universiti Putra Malaysia</t>
  </si>
  <si>
    <t>Hasan, WZW (corresponding author), Univ Putra Malaysia, Fac Engn, Dept Elect &amp; Elect Engn, Serdang 43400, Malaysia.;Hasan, WZW (corresponding author), Univ Putra Malaysia, Inst Adv Technol ITMA, Serdang 43400, Malaysia.</t>
  </si>
  <si>
    <t>gs58046@student.upm.edu.my; wanzuha@upm.edu.my</t>
  </si>
  <si>
    <t>Hassan, Wan/AAD-8694-2020; Qassim, Hassan/F-7274-2019</t>
  </si>
  <si>
    <t>Qassim, Hassan/0000-0002-2195-7210; Wan Hasan, Wan Zuha/0000-0003-4691-066X</t>
  </si>
  <si>
    <t>University Putra Malaysia and Advanced Institute Technology</t>
  </si>
  <si>
    <t>The authors would like to thank the University Putra Malaysia and Advanced Institute Technology for supporting and this study.</t>
  </si>
  <si>
    <t>10.3390/app10196976</t>
  </si>
  <si>
    <t>ON1AD</t>
  </si>
  <si>
    <t>gold, Green Accepted, Green Published</t>
  </si>
  <si>
    <t>WOS:000586442200001</t>
  </si>
  <si>
    <t>Umeonwuka, C; Roos, R; Ntsiea, V</t>
  </si>
  <si>
    <t>Umeonwuka, Chuka; Roos, Ronel; Ntsiea, Veronica</t>
  </si>
  <si>
    <t>Current trends in the treatment of patients with post-stroke unilateral spatial neglect: a scoping review</t>
  </si>
  <si>
    <t>Unilateral spatial neglect; review; rehabilitation research; outcome assessment; perceptual disorder; stroke</t>
  </si>
  <si>
    <t>TRANSCRANIAL MAGNETIC STIMULATION; THETA-BURST STIMULATION; GALVANIC VESTIBULAR STIMULATION; UPPER-LIMB FUNCTION; PRISM ADAPTATION; STROKE PATIENTS; HEMISPATIAL NEGLECT; VISUOSPATIAL NEGLECT; SUBACUTE STROKE; DOUBLE-BLIND</t>
  </si>
  <si>
    <t>Purpose The purpose of this scoping review was to explore the current treatment approaches for patients with post-stroke unilateral spatial neglect. Methods A three-step search strategy using the Johanna Briggs Institute (JBI) guidelines, was undertaken. PubMed, CINAHL, The Cochrane Central Register of Controlled Trial, SCOPUS, PROSPERO, JBI, Sport Discus, and Google Scholar databases were searched. Searches were limited to publications from January 1, 2008, to May 1, 2020. Critical appraisal was undertaken by two independent reviewers using a standardized critical appraisal instrument developed by JBI. Data were extracted using a study-specific charting table. Results A total of 3,648 articles were identified, 311 full-text articles were screened and 86 articles were critically appraised, with 83 articles included in the review. Intervention approaches for post-stroke unilateral spatial neglect symptom amelioration were identified and categorized as prism adaptation and visual scanning, mental practice and mirror therapy, electrical stimulation and robotics, combination therapy, pharmacological therapy, and other interventions. Both positive and negative results across identified interventions were identified without specific reference to the phase of recovery. Conclusion This review provides insight into current interventions for post-stroke unilateral spatial neglect. A plethora of intervention studies have been explored to ameliorate neglect symptoms post-stroke.IMPLICATION FOR REHABILITATION Prism adaptation (PA) and combination therapy are most commonly investigated intervention for unilateral spatial neglect (USN) and showed promise in ameliorating USN symptoms. No single treatment approach seems optimally superior in the rehabilitation of USN post-stroke. Evidence for the selection of treatment at a specific phase of recovery is not conclusive as both positive and negative outcome on neglect measure were observed across all treatment approaches without specific reference to the phase of recovery. Evidence for the long-term use of PA in USN rehabilitation appears to be modest.</t>
  </si>
  <si>
    <t>[Umeonwuka, Chuka; Roos, Ronel; Ntsiea, Veronica] Univ Witwatersrand, Fac Hlth Sci, Dept Physiotherapy, Khanya Bldg 7 York Rd, ZA-2091 Johannesburg, South Africa; [Roos, Ronel] Wits JBI Ctr Evidenced Based Practice Joanna Brig, Dept Physiotherapy, Johannesburg, South Africa</t>
  </si>
  <si>
    <t>Umeonwuka, C (corresponding author), Univ Witwatersrand, Fac Hlth Sci, Dept Physiotherapy, Khanya Bldg 7 York Rd, ZA-2091 Johannesburg, South Africa.</t>
  </si>
  <si>
    <t>ptchux@gmail.com</t>
  </si>
  <si>
    <t>Roos, Ronel/GYQ-9355-2022; Ntsiea, Mokgobadibe/Q-7858-2017</t>
  </si>
  <si>
    <t>umeonwuka, chuka/0000-0003-3921-3006; Ntsiea, Mokgobadibe/0000-0003-4208-5498; Roos, Ronel/0000-0001-5254-0875</t>
  </si>
  <si>
    <t>University of Witwatersrand, Faculty of Health Sciences, Medical Endowment Fund</t>
  </si>
  <si>
    <t>The work was supported for postgraduate degree funding received from the University of Witwatersrand, Faculty of Health Sciences, Medical Endowment Fund.</t>
  </si>
  <si>
    <t>MAY 22</t>
  </si>
  <si>
    <t>10.1080/09638288.2020.1824026</t>
  </si>
  <si>
    <t>SEP 2020</t>
  </si>
  <si>
    <t>1Y7QD</t>
  </si>
  <si>
    <t>WOS:000573112800001</t>
  </si>
  <si>
    <t>Thalman, C; Artemiadis, P</t>
  </si>
  <si>
    <t>Thalman, Carly; Artemiadis, Panagiotis</t>
  </si>
  <si>
    <t>A review of soft wearable robots that provide active assistance: Trends, common actuation methods, fabrication, and applications</t>
  </si>
  <si>
    <t>soft robotics; wearable; exoskeletons; wearable robotics</t>
  </si>
  <si>
    <t>ANKLE-FOOT ORTHOSIS; DRIVEN; HAND; DEVICE; REHABILITATION; EXOSKELETON; POWER; PERFORMANCE; MUSCLES; GLOVE</t>
  </si>
  <si>
    <t>This review meta-analysis combines and compares the findings of previously published works in the field of soft wearable robots (SWRs) that provide active methods of actuation for assistive and augmentative purposes. A thorough investigation of major contributions in the field of an SWR is made to analyze trends in the field focused on fluidic and cable-driven systems, prevalent and successful approaches, and identify the future direction of SWRs and active actuation strategies. Types of soft actuators used in wearables are outlined, as well as general practices for fabrication methods of soft actuators and considerations for human-robot interface designs of garment-like exosuits. An overview of well-known and emerging upper body (UB)- and lower body (LB)-assistive technologies is categorized by the specific joints and degree of freedom (DoF) assisted and which actuator methodology is provided. Different use cases for SWRs are addressed, as well as implementation strategies and design applications.</t>
  </si>
  <si>
    <t>[Thalman, Carly] Arizona State Univ, Ira A Fulton Sch Engn, Tempe, AZ USA; [Artemiadis, Panagiotis] Univ Delaware, Mech Engn, Newark, DE 19716 USA</t>
  </si>
  <si>
    <t>Arizona State University; Arizona State University-Tempe; University of Delaware</t>
  </si>
  <si>
    <t>Artemiadis, P (corresponding author), Univ Delaware, Mech Engn, Newark, DE 19716 USA.</t>
  </si>
  <si>
    <t>National Science Foundation, Graduate Research Fellowship Program (NSF- GRFP); National Science Foundation [2020009, 2025797]</t>
  </si>
  <si>
    <t>National Science Foundation, Graduate Research Fellowship Program (NSF- GRFP)(National Science Foundation (NSF)NSF - Office of the Director (OD)); National Science Foundation(National Science Foundation (NSF))</t>
  </si>
  <si>
    <t>Thalman is funded by the National Science Foundation, Graduate Research Fellowship Program (NSF- GRFP). This material is based upon work supported by the National Science Foundation under Grants No. #2020009 and #2025797.</t>
  </si>
  <si>
    <t>SEP 14</t>
  </si>
  <si>
    <t>e3</t>
  </si>
  <si>
    <t>10.1017/wtc.2020.4</t>
  </si>
  <si>
    <t>GL8U2</t>
  </si>
  <si>
    <t>WOS:001152922600001</t>
  </si>
  <si>
    <t>Sereinig, M; Werth, W; Faller, LM</t>
  </si>
  <si>
    <t>Sereinig, Martin; Werth, Wolfgang; Faller, Lisa-Marie</t>
  </si>
  <si>
    <t>A review of the challenges in mobile manipulation: systems design and RoboCup challenges Recent developments with a special focus on the RoboCup</t>
  </si>
  <si>
    <t>ELEKTROTECHNIK UND INFORMATIONSTECHNIK</t>
  </si>
  <si>
    <t>mobile robotics; grasping and manipulation; mobile robot control and learning; robotic sensing</t>
  </si>
  <si>
    <t>INVERSE KINEMATICS; FORCE; ALGORITHM; SPACE; ARMS</t>
  </si>
  <si>
    <t>Mobile robotics is already well established in today's production lines. Navigation, control and perception for mobile robots are vivid fields of research fostering advances in Industry 4.0. In order to increase the flexibility of such mobile platforms, it is also common practice to add serial manipulator arms to their yielding systems with nine degrees of freedom and more. These platforms are not limited to industry but are supportive in various field such as service, assistance, teleoperation and also rehabilitation. Due to the operation of such increasingly complex systems in less structured and dynamic environments - often in close contact with humans - more demanding challenges evolve in terms of systems design, control and sensors. These challenges are also reflected in the various RoboCup leagues. In this paper, we discuss state-of-the-art developments in mobile manipulation using developments and work done in the context of the RoboCup competition as design examples. Additionally, we elaborate on the recent challenges of the RoboCup Rescue League as well as on the RoboCup@Work League.</t>
  </si>
  <si>
    <t>[Sereinig, Martin] Univ Innsbruck, Dept Mechatron, Technikerstr 13, A-6020 Innsbruck, Austria; [Werth, Wolfgang; Faller, Lisa-Marie] Carinthia Univ Appl Sci, Engn &amp; IT, Europastr 4, A-9524 Villach, Austria</t>
  </si>
  <si>
    <t>University of Innsbruck; Carinthia University of Applied Sciences</t>
  </si>
  <si>
    <t>Sereinig, M (corresponding author), Univ Innsbruck, Dept Mechatron, Technikerstr 13, A-6020 Innsbruck, Austria.</t>
  </si>
  <si>
    <t>Martin.Sereinig@uibk.ac.at; W.Werth@fh-kaernten.at; L.Faller@fh-kaernten.at</t>
  </si>
  <si>
    <t>Faller, Lisa-Marie/0000-0001-8434-1440</t>
  </si>
  <si>
    <t>Carinthia University of Applied Sciences (CUAS)</t>
  </si>
  <si>
    <t>Open access funding provided by Carinthia University of Applied Sciences (CUAS).</t>
  </si>
  <si>
    <t>SPRINGER WIEN</t>
  </si>
  <si>
    <t>SACHSENPLATZ 4-6, PO BOX 89, A-1201 WIEN, AUSTRIA</t>
  </si>
  <si>
    <t>0932-383X</t>
  </si>
  <si>
    <t>1613-7620</t>
  </si>
  <si>
    <t>ELEKTROTECH INFORMAT</t>
  </si>
  <si>
    <t>Elektrotech. Informationstechnik</t>
  </si>
  <si>
    <t>10.1007/s00502-020-00823-8</t>
  </si>
  <si>
    <t>NS2ND</t>
  </si>
  <si>
    <t>WOS:000566699200001</t>
  </si>
  <si>
    <t>Cha, YS; Arami, A</t>
  </si>
  <si>
    <t>Cha, Yesung; Arami, Arash</t>
  </si>
  <si>
    <t>Quantitative Modeling of Spasticity for Clinical Assessment, Treatment and Rehabilitation</t>
  </si>
  <si>
    <t>spasticity; spasticity modeling; wearable sensors; stretch reflex threshold; catch angle</t>
  </si>
  <si>
    <t>STRETCH-REFLEX THRESHOLD; TOXIN TYPE-A; MODIFIED ASHWORTH SCALE; CEREBRAL-PALSY; MUSCLE TONE; ELECTRICAL-STIMULATION; TARDIEU SCALE; ELBOW FLEXORS; UPPER-LIMB; GAIT</t>
  </si>
  <si>
    <t>Spasticity, a common symptom in patients with upper motor neuron lesions, reduces the ability of a person to freely move their limbs by generating unwanted reflexes. Spasticity can interfere with rehabilitation programs and cause pain, muscle atrophy and musculoskeletal deformities. Despite its prevalence, it is not commonly understood. Widely used clinical scores are neither accurate nor reliable for spasticity assessment and follow up of treatments. Advancement of wearable sensors, signal processing and robotic platforms have enabled new developments and modeling approaches to better quantify spasticity. In this paper, we review quantitative modeling techniques that have been used for evaluating spasticity. These models generate objective measures to assess spasticity and use different approaches, such as purely mechanical modeling, musculoskeletal and neurological modeling, and threshold control-based modeling. We compare their advantages and limitations and discuss the recommendations for future studies. Finally, we discuss the focus on treatment and rehabilitation and the need for further investigation in those directions.</t>
  </si>
  <si>
    <t>[Cha, Yesung; Arami, Arash] Univ Waterloo, Neuromech &amp; Assist Robot Lab, 200 Univ Ave W, Waterloo, ON N2L 3G1, Canada; [Arami, Arash] Univ Hlth Network, Toronto Rehabil Inst, Toronto, ON M5G 2A2, Canada</t>
  </si>
  <si>
    <t>University of Waterloo; University of Toronto; University Health Network Toronto; Toronto Rehabilitation Institute</t>
  </si>
  <si>
    <t>Arami, A (corresponding author), Univ Waterloo, Neuromech &amp; Assist Robot Lab, 200 Univ Ave W, Waterloo, ON N2L 3G1, Canada.;Arami, A (corresponding author), Univ Hlth Network, Toronto Rehabil Inst, Toronto, ON M5G 2A2, Canada.</t>
  </si>
  <si>
    <t>y2cha@uwaterloo.ca; arash.arami@uwaterloo.ca</t>
  </si>
  <si>
    <t>Arami, Arash/I-3364-2013</t>
  </si>
  <si>
    <t>arami, arash/0000-0001-7609-6553</t>
  </si>
  <si>
    <t>NATURAL SCIENCE and ENGINEERING RESEARCH COUNCIL of CANADA; NSERC DISCOVER; NEW FRONTIERS IN RESEARCH FUND [2018-01698]; Formas [2018-01698] Funding Source: Formas; Vinnova [2018-01698] Funding Source: Vinnova</t>
  </si>
  <si>
    <t>NATURAL SCIENCE and ENGINEERING RESEARCH COUNCIL of CANADA(Natural Sciences and Engineering Research Council of Canada (NSERC)); NSERC DISCOVER; NEW FRONTIERS IN RESEARCH FUND; Formas(Swedish Research Council Formas); Vinnova(Vinnova)</t>
  </si>
  <si>
    <t>This research was funded by NATURAL SCIENCE and ENGINEERING RESEARCH COUNCIL of CANADA, NSERC DISCOVER grant number and NEW FRONTIERS IN RESEARCH FUND grant number 2018-01698.</t>
  </si>
  <si>
    <t>10.3390/s20185046</t>
  </si>
  <si>
    <t>OE9WF</t>
  </si>
  <si>
    <t>WOS:000580871200001</t>
  </si>
  <si>
    <t>Dahibhate, RV; Jaju, SB; Sarode, RI</t>
  </si>
  <si>
    <t>Dahibhate, Rajesh, V; Jaju, Santosh B.; Sarode, Rajendra, I</t>
  </si>
  <si>
    <t>Inventive Methods Used to Study and Control Thermal Necrosis: A Review</t>
  </si>
  <si>
    <t>Coolant; Infrared thermometer; Robotic drill machine; Thermography</t>
  </si>
  <si>
    <t>DRILLING PARAMETERS; BONE; TEMPERATURE; HEAT</t>
  </si>
  <si>
    <t>Orthopedic surgeries use screw and plate fixations. Bone drilling is performed for smooth and minimum damage to bone surface during screw insertion. Bone drilling creates a hole with circular cross-section. This process involves cutting and material removal with a helical drill tool. Heat is generated at the drilling site due to cutting, shearing of bone material by drill tool and friction between drill tool and bone surface. Previous research studies found that if temperature at drilling site reaches 47 degrees C and remains the same for one minute, irreversible cell damage i.e. thermal necrosis can occur. Thermal necrosis causes ring sequestrum around the pin; this leads to a vicious cycle involving secondary infection, discharge and pin loosening. This postoperative complication can only be rectified by removal of pin and sequestrum, curettage of the tract and pin replacement and so thermal necrosis- the root cause must be avoided and attended very seriously. To avoid thermal necrosis, postoperative complications and delay in patient rehabilitation, researchers are studying bone drilling in detail. In this review paper, a discussion is made on different innovative methods that are turning points in the study of thermal necrosis and the latest technologically improved equipment devised by researchers. These inventive methods have used experimental set ups, software-based simulations and training programs. The author also conducted experiments on female goat rib bone and based on these observations an improved drilling machine is suggested.</t>
  </si>
  <si>
    <t>[Dahibhate, Rajesh, V; Jaju, Santosh B.] GH Raisoni Coll Engn, Dept Mech Engn, Nagpur, Maharashtra, India; [Sarode, Rajendra, I] Dr Ulhas Patil Med Coll &amp; Hosp, Dept Orthopaed, Jalgaon, Maharashtra, India</t>
  </si>
  <si>
    <t>GH Raisoni College of Engineering (GHRCE), Nagpur</t>
  </si>
  <si>
    <t>Dahibhate, RV (corresponding author), GH Raisoni Coll Engn, Nagpur, Maharashtra, India.</t>
  </si>
  <si>
    <t>dahibhaterv@gmail.com</t>
  </si>
  <si>
    <t>Jaju, Santosh/S-9085-2017</t>
  </si>
  <si>
    <t>Jaju, Santosh/0000-0002-9023-645X</t>
  </si>
  <si>
    <t>10.7860/JCDR/2020/45110.14052</t>
  </si>
  <si>
    <t>NQ3VN</t>
  </si>
  <si>
    <t>WOS:000570792300069</t>
  </si>
  <si>
    <t>De-la-Torre, R; Oña, ED; Balaguer, C; Jardón, A</t>
  </si>
  <si>
    <t>De-la-Torre, Ruben; Ona, Edwin Daniel; Balaguer, Carlos; Jardon, Alberto</t>
  </si>
  <si>
    <t>Robot-Aided Systems for Improving the Assessment of Upper Limb Spasticity: A Systematic Review</t>
  </si>
  <si>
    <t>upper limb; spasticity; cooperative robots; robot-assisted rehabilitation; assessment</t>
  </si>
  <si>
    <t>BOTULINUM-TOXIN-A; STRETCH REFLEX THRESHOLD; TONE MEASUREMENT DEVICE; MUSCLE TONE; FUNCTIONAL RECOVERY; CEREBRAL-PALSY; STROKE; PATHOPHYSIOLOGY; REHABILITATION; THERAPY</t>
  </si>
  <si>
    <t>Spasticity is a motor disorder that causes stiffness or tightness of the muscles and can interfere with normal movement, speech, and gait. Traditionally, the spasticity assessment is carried out by clinicians using standardized procedures for objective evaluation. However, these procedures are manually performed and, thereby, they could be influenced by the clinician's subjectivity or expertise. The automation of such traditional methods for spasticity evaluation is an interesting and emerging field in neurorehabilitation. One of the most promising approaches is the use of robot-aided systems. In this paper, a systematic review of systems focused on the assessment of upper limb (UL) spasticity using robotic technology is presented. A systematic search and review of related articles in the literature were conducted. The chosen works were analyzed according to the morphology of devices, the data acquisition systems, the outcome generation method, and the focus of intervention (assessment and/or training). Finally, a series of guidelines and challenges that must be considered when designing and implementing fully-automated robot-aided systems for the assessment of UL spasticity are summarized.</t>
  </si>
  <si>
    <t>[De-la-Torre, Ruben; Ona, Edwin Daniel; Balaguer, Carlos; Jardon, Alberto] Univ Carlos III Madrid, Dept Syst Engn &amp; Automat, Avda Univ 30, Leganes 28911, Spain</t>
  </si>
  <si>
    <t>Jardón, A (corresponding author), Univ Carlos III Madrid, Dept Syst Engn &amp; Automat, Avda Univ 30, Leganes 28911, Spain.</t>
  </si>
  <si>
    <t>100280166@alumnos.uc3m.es; eona@ing.uc3m.es; balaguer@ing.uc3m.es; ajardon@ing.uc3m.es</t>
  </si>
  <si>
    <t>JARDON HUETE, ALBERTO/E-4906-2010; Ona Simbana, Edwin Daniel/F-1999-2016</t>
  </si>
  <si>
    <t>Ona Simbana, Edwin Daniel/0000-0003-0791-860X; BALAGUER, CARLOS/0000-0003-4864-4625; De la Torre, Ruben/0000-0002-6111-1850</t>
  </si>
  <si>
    <t>Spanish Ministry of Economy and Competitiveness via the ROBOESPAS project [DPI2017-87562-C2-1-R]; RoboCity2030-DIH-CM, Madrid Robotics Digital Innovation Hub - Programas de Actividades I+D Comunidad de Madrid [S2018/NMT-4331]; Structural Funds of the EU</t>
  </si>
  <si>
    <t>Spanish Ministry of Economy and Competitiveness via the ROBOESPAS project; RoboCity2030-DIH-CM, Madrid Robotics Digital Innovation Hub - Programas de Actividades I+D Comunidad de Madrid; Structural Funds of the EU</t>
  </si>
  <si>
    <t>This work was supported in part by the Spanish Ministry of Economy and Competitiveness via the ROBOESPAS project (DPI2017-87562-C2-1-R), and in part by the RoboCity2030-DIH-CM, Madrid Robotics Digital Innovation Hub (S2018/NMT-4331), which is funded by the Programas de Actividades I+D Comunidad de Madrid and cofunded by the Structural Funds of the EU.</t>
  </si>
  <si>
    <t>10.3390/s20185251</t>
  </si>
  <si>
    <t>OD7WY</t>
  </si>
  <si>
    <t>WOS:000580060400001</t>
  </si>
  <si>
    <t>Everard, GJ; Ajana, K; Dehem, SB; Stoquart, GG; Edwards, MG; Lejeune, TM</t>
  </si>
  <si>
    <t>Everard, Gauthier J.; Ajana, Khawla; Dehem, Stephanie B.; Stoquart, Gaetan G.; Edwards, Martin G.; Lejeune, Thierry M.</t>
  </si>
  <si>
    <t>Is cognition considered in post-stroke upper limb robot-assisted therapy trials? A brief systematic review</t>
  </si>
  <si>
    <t>INTERNATIONAL JOURNAL OF REHABILITATION RESEARCH</t>
  </si>
  <si>
    <t>cognition; robot rehabilitation; stroke; upper extremity</t>
  </si>
  <si>
    <t>STROKE; RECOVERY; REHABILITATION</t>
  </si>
  <si>
    <t>The aim of this systematic review was, first, to determine whether or not individuals with cognitive deficits after stroke were enrolled in trials that investigated upper limb robot-assisted therapy effectiveness, and, second, whether these trials measured cognitive outcomes. We retrieved 6 relevant systematic reviews covering, altogether, 66 articles and 2214 participants. Among these 66 clinical trials, only 10 (15%) enrolled stroke participants with impaired cognition, whereas 50 (76%) excluded those with impaired cognition. The remaining six trials (9%) were classified as unclear as they either excluded individuals unable to understand simple instructions or did not specify if those with cognitive disorders were included. Furthermore, only 5 trials (8%) used cognitive measures as outcomes. This review highlights a lack of consideration for individuals with cognitive impairments in upper limb robotic trials after stroke. However, cognition is important for complex motor relearning processes and should not be ignored.</t>
  </si>
  <si>
    <t>[Everard, Gauthier J.; Dehem, Stephanie B.; Stoquart, Gaetan G.; Lejeune, Thierry M.] Catholic Univ Louvain, Inst Rech Expt &amp; Clin, Sect Sci Sante, Neuro Musculo Skeletal Lab NMSK, Brussels, Belgium; [Ajana, Khawla; Edwards, Martin G.] Catholic Univ Louvain, Psychol Sci Res Inst IPSY, Louvain La Neuve, Belgium; [Dehem, Stephanie B.; Stoquart, Gaetan G.; Lejeune, Thierry M.] Clin Univ St Luc, Serv Med Phys &amp; Readaptat, Brussels, Belgium</t>
  </si>
  <si>
    <t>Universite Catholique Louvain; Universite Catholique Louvain; Universite Catholique Louvain; Cliniques Universitaires Saint-Luc</t>
  </si>
  <si>
    <t>Lejeune, TM (corresponding author), Clin Univ St Luc, Med Phys &amp; Adaptat, Ave Hippocrate 10, B-1200 Brussels, Belgium.</t>
  </si>
  <si>
    <t>Edwards, Martin/A-9765-2009; Everard, Gauthier/HTR-4223-2023; AJANA, Khawla/KEI-3090-2024</t>
  </si>
  <si>
    <t>Everard, Gauthier/0000-0001-5029-5693; Dehem, Stephanie/0000-0002-5487-2344; Edwards, Martin/0000-0003-4532-2436</t>
  </si>
  <si>
    <t>Region Wallonne; SPW-Economie-Emploi-Recherche; Win2Wal Program [1810108]</t>
  </si>
  <si>
    <t>Region Wallonne; SPW-Economie-Emploi-Recherche; Win2Wal Program</t>
  </si>
  <si>
    <t>We would like to thank the Region Wallonne, the SPW-Economie-Emploi-Recherche and the Win2Wal Program (convention no. 1810108) for their support.</t>
  </si>
  <si>
    <t>0342-5282</t>
  </si>
  <si>
    <t>1473-5660</t>
  </si>
  <si>
    <t>INT J REHABIL RES</t>
  </si>
  <si>
    <t>Int. J. Rehabil. Res.</t>
  </si>
  <si>
    <t>10.1097/MRR.0000000000000420</t>
  </si>
  <si>
    <t>NC6RC</t>
  </si>
  <si>
    <t>WOS:000561343600002</t>
  </si>
  <si>
    <t>Liu, JT; Li, HJ; Zhang, J; Dong, XS; Xue, JJ; Shi, XE; Yang, KH</t>
  </si>
  <si>
    <t>Liu, Jieting; Li, Huijuan; Zhang, Jie; Dong, Xiashan; Xue, Jianjun; Shi, Xiue; Yang, Kehu</t>
  </si>
  <si>
    <t>Dexamethasone or combined with others for postoperative nausea and vomiting in children: A systematic review</t>
  </si>
  <si>
    <t>Dexamethasone; Postoperative nausea and vomiting; Children</t>
  </si>
  <si>
    <t>DOSE INTRAVENOUS DEXAMETHASONE; PREOPERATIVE DEXAMETHASONE; PROPHYLACTIC DEXAMETHASONE; STRABISMUS SURGERY; DOUBLE-BLIND; LAPAROSCOPIC CHOLECYSTECTOMY; PEDIATRIC TONSILLECTOMY; DENTAL REHABILITATION; AMBULATORY SURGERY; ONDANSETRON</t>
  </si>
  <si>
    <t>Postoperative nausea and vomiting (PONV) is one of the most common and unpleasant postoperative complications in children. This study aims to evaluate the efficacy and safety of using dexamethasone alone or combined other drugs on the incidence of PONV in children. A systematic search of the literature was conducted from inception until March, 2019. Literature selection and data extraction were conducted by two independent reviewers. Statistical analysis was performed using the software package Review Manager Version 5.3.3. Twenty studies with total 2505 participants were included. The pooled analysis used a random-effect model showed that dexamethasone had significantly greater efficacy in incidence of POV and PON in postoperative 24 h than control. Subgroup analysis indicated the RR of dexamethasone &gt;= 0.5 mg/kg group was the lowest compared subgroup dexamethasone &lt;= 0.3 mg/kg and 0.3-0.5 mg/kg. There was no difference for early POV between dexamethasone and placebo groups. Dexamethasone combined with others also could significantly reduce the incidence of POV in postoperative 24 h. Few adverse effects were reported. This study indicates that dexamethasone is effective for preventing incidence of PONV in children. And multimodal approaches have shown more effectively to prevent the incidence of POV. (C) 2020 Asian Surgical Association and Taiwan Robotic Surgery Association. Publishing services by Elsevier B.V.</t>
  </si>
  <si>
    <t>[Liu, Jieting; Yang, Kehu] Lanzhou Univ, Clin Med Coll 1, 199 Donggang West Rd, Lanzhou 730000, Gansu, Peoples R China; [Liu, Jieting] Lanzhou Univ, Hosp 2, Lanzhou 730000, Peoples R China; [Liu, Jieting; Li, Huijuan; Zhang, Jie; Dong, Xiashan; Xue, Jianjun; Yang, Kehu] Lanzhou Univ, Evidence Based Social Sci Res Ctr, Sch Publ Hlth, Lanzhou 730000, Peoples R China; [Liu, Jieting; Li, Huijuan; Yang, Kehu] Lanzhou Univ, Evidence Based Med Ctr, Sch Basic Med Sci, 199 Donggang West Rd, Lanzhou 730000, Gansu, Peoples R China; [Liu, Jieting; Li, Huijuan; Xue, Jianjun; Yang, Kehu] Key Lab Evidence Based Med &amp; Knowledge Translat G, Lanzhou 730000, Peoples R China; [Yang, Kehu] Gansu Prov Hosp, Inst Clin Res &amp; Evidence Based Med, Lanzhou 730000, Peoples R China; [Xue, Jianjun] Gansu Prov Hosp TCM, Lanzhou 730000, Peoples R China; [Shi, Xiue; Yang, Kehu] Inst Evidence Based Rehabil Med Gansu Prov, Lanzhou 730000, Peoples R China</t>
  </si>
  <si>
    <t>Lanzhou University; Lanzhou University; Lanzhou University; Lanzhou University</t>
  </si>
  <si>
    <t>Yang, KH (corresponding author), Lanzhou Univ, Clin Med Coll 1, 199 Donggang West Rd, Lanzhou 730000, Gansu, Peoples R China.;Yang, KH (corresponding author), Lanzhou Univ, Evidence Based Med Ctr, Sch Basic Med Sci, 199 Donggang West Rd, Lanzhou 730000, Gansu, Peoples R China.</t>
  </si>
  <si>
    <t>kehuyangebm2006@126.com</t>
  </si>
  <si>
    <t>Zhang, Jie/AAA-1148-2022; Huixia, Yang/W-5128-2019</t>
  </si>
  <si>
    <t>Yang, Hehu/0000-0001-7864-3012</t>
  </si>
  <si>
    <t>10.1016/j.asjsur.2019.11.012</t>
  </si>
  <si>
    <t>NG4PB</t>
  </si>
  <si>
    <t>WOS:000563964800001</t>
  </si>
  <si>
    <t>Chien, WT; Chong, YY; Tse, MK; Chien, CW; Cheng, HY</t>
  </si>
  <si>
    <t>Chien, Wai-tong; Chong, Yuen-yu; Tse, Man-kei; Chien, Cheuk-woon; Cheng, Ho-yu</t>
  </si>
  <si>
    <t>Robot-assisted therapy for upper-limb rehabilitation in subacute stroke patients: A systematic review and meta-analysis</t>
  </si>
  <si>
    <t>meta-analysis; rehabilitation; robot-assisted therapy; stroke; sub-acute</t>
  </si>
  <si>
    <t>UPPER EXTREMITY; RECOVERY; ARM; TRIAL</t>
  </si>
  <si>
    <t>Background Stroke survivors often experience upper-limb motor deficits and achieve limited motor recovery within six months after the onset of stroke. We aimed to systematically review the effects of robot-assisted therapy (RT) in comparison to usual care on the functional and health outcomes of subacute stroke survivors. Methods Randomized controlled trials (RCTs) published between January 1, 2000 and December 31, 2019 were identified from six electronic databases. Pooled estimates of standardized mean differences for five outcomes, including motor control (primary outcome), functional independence, upper extremity performance, muscle tone, and quality of life were derived by random effects meta-analyses. Assessments of risk of bias in the included RCTs and the quality of evidence for every individual outcomes were conducted following the guidelines of the Cochrane Collaboration. Results Eleven RCTs involving 493 participants were included for review. At post-treatment, the effects of RT when compared to usual care on motor control, functional independence, upper extremity performance, muscle tone, and quality of life were nonsignificant (allps ranged .16 to .86). The quality of this evidence was generally rated as low-to-moderate. Less than three RCTs assessed the treatment effects beyond post-treatment and the results remained nonsignificant. Conclusion Robot-assisted therapy produced benefits similar, but not significantly superior, to those from usual care for improving functioning and disability in patients diagnosed with stroke within six months. Apart from using head-to-head comparison to determine the effects of RT in subacute stroke survivors, future studies may explore the possibility of conducting noninferiority or equivalence trials, given that the less labor-intensive RT may offer important advantages over currently available standard care, in terms of improved convenience, better adherence, and lower manpower cost.</t>
  </si>
  <si>
    <t>[Chien, Wai-tong; Chong, Yuen-yu; Tse, Man-kei; Cheng, Ho-yu] Chinese Univ Hong Kond, Nethersole Sch Nursing, Room 828,Esther Lee Bldg, Hong Kong, Peoples R China; [Chien, Cheuk-woon] Univ Bradford, Bradford, W Yorkshire, England</t>
  </si>
  <si>
    <t>University of Bradford</t>
  </si>
  <si>
    <t>Chong, YY (corresponding author), Chinese Univ Hong Kond, Nethersole Sch Nursing, Room 828,Esther Lee Bldg, Hong Kong, Peoples R China.</t>
  </si>
  <si>
    <t>conniechong@cuhk.edu.hk</t>
  </si>
  <si>
    <t>Chong, Yuen Yu/AAL-7215-2020; Chien, Wai Tong/M-6106-2019; Cheng, Ho/L-9917-2016; Chien, Wai Tong/F-9604-2014</t>
  </si>
  <si>
    <t>Chien, Wai Tong/0000-0001-5321-5791; Tse, Man-kei/0000-0001-6953-2310; Chong, Yuen Yu/0000-0001-5664-2051; Cheng, Ho Yu/0000-0002-5842-9390</t>
  </si>
  <si>
    <t>e01742</t>
  </si>
  <si>
    <t>10.1002/brb3.1742</t>
  </si>
  <si>
    <t>NL5SM</t>
  </si>
  <si>
    <t>WOS:000567475300026</t>
  </si>
  <si>
    <t>Dávila-Vilchis, JM; Avila-Vilchis, JC; Vilchis-González, AH; LAZ-Avilés</t>
  </si>
  <si>
    <t>Davila-Vilchis, Juana-Mariel; Avila-Vilchis, Juan C.; Vilchis-Gonzalez, Adriana H.; LAZ-Aviles</t>
  </si>
  <si>
    <t>Design Criteria of Soft Exogloves for Hand Rehabilitation-Assistance Tasks</t>
  </si>
  <si>
    <t>WEARABLE ROBOTIC GLOVE; TENDON-DRIVEN; EXOSKELETON; ACTUATOR; THERAPY; STROKE; DEVICE; SAFETY</t>
  </si>
  <si>
    <t>This paper establishes design criteria for soft exogloves (SEG) to be used as rehabilitation or assistance devices. This research consists in identifying, selecting, and grouping SEG features based on the analysis of 91 systems that have been proposed during the last decade. Thus, function, mobility, and usability criteria are defined and explicitly discussed to highlight SEG design guidelines. Additionally, this study provides a detailed description of each system that was analysed including application, functional task, palm design, actuation type, assistance mode, degrees of freedom (DOF), target fingers, motions, material, weight, force, pressure (only for fluids), control strategy, and assessment. Such characteristics have been reported according to specific design methodologies and operating principles. Technological trends are contemplated in this contribution with emphasis on SEG design opportunity areas. In this review, suggestions, limitations, and implications are also discussed in order to enhance future SEG developments aimed at stroke survivors or people with hand disabilities.</t>
  </si>
  <si>
    <t>[Davila-Vilchis, Juana-Mariel; Avila-Vilchis, Juan C.; Vilchis-Gonzalez, Adriana H.; LAZ-Aviles] Univ Autonoma Estado Mexico, Fac Engn, Toluca 50130, Mexico; [LAZ-Aviles] Univ Autonoma Estado Mexico, Catedras CONACYT, Toluca 50130, Mexico</t>
  </si>
  <si>
    <t>Consejo Nacional de Ciencia y Tecnologia (CONACyT)</t>
  </si>
  <si>
    <t>Vilchis-González, AH (corresponding author), Univ Autonoma Estado Mexico, Fac Engn, Toluca 50130, Mexico.</t>
  </si>
  <si>
    <t>mdavilav@uaemex.mx; jcavilav@uaemex.mx; avilchisg@uaemex.mx; lazunigaa@uaemex.mx</t>
  </si>
  <si>
    <t>Gonzalez, Adriana/KFB-1711-2024; Avila Vilchis, Juan Carlos/B-4759-2016; ZUNIGA AVILES, LUIS ADRIAN/AAW-7663-2020; Vilchis Gonzalez, Adriana Herlinda/B-4757-2016</t>
  </si>
  <si>
    <t>Avila Vilchis, Juan Carlos/0000-0002-1331-010X; Davila-Vilchis, Juana-Mariel/0000-0002-2278-1296; ZUNIGA AVILES, LUIS ADRIAN/0000-0002-4365-8537; Vilchis Gonzalez, Adriana Herlinda/0000-0002-5422-5593</t>
  </si>
  <si>
    <t>CONACYT [406476]; Universidad Autonoma del Estado de Mexico [5015-2020CIA]</t>
  </si>
  <si>
    <t>CONACYT(Consejo Nacional de Ciencia y Tecnologia (CONACyT)); Universidad Autonoma del Estado de Mexico(Universidad Nacional Autonoma de Mexico)</t>
  </si>
  <si>
    <t>The authors thank CONACYT and Universidad Autonoma del Estado de Mexico for all their support. Funding supporting this research was provided by CONACYT (406476) and Universidad Autonoma del Estado de Mexico (5015-2020CIA).</t>
  </si>
  <si>
    <t>AUG 1</t>
  </si>
  <si>
    <t>10.1155/2020/2724783</t>
  </si>
  <si>
    <t>NC6KE</t>
  </si>
  <si>
    <t>WOS:000561325600002</t>
  </si>
  <si>
    <t>Khan, MA; Das, R; Iversen, HK; Puthusserypady, S</t>
  </si>
  <si>
    <t>Khan, Muhammad Ahmed; Das, Rig; Iversen, Helle K.; Puthusserypady, Sadasivan</t>
  </si>
  <si>
    <t>Review on motor imagery based BCI systems for upper limb post-stroke neurorehabilitation: From designing to application</t>
  </si>
  <si>
    <t>Stroke; Brain-computer interface (BCI); Motor imagery (MI); Neurorehabilitation devices; Virtual reality; Electric stimulation; Robotic assistance</t>
  </si>
  <si>
    <t>BRAIN-COMPUTER-INTERFACE; FUNCTIONAL ELECTRICAL-STIMULATION; STROKE REHABILITATION; VIRTUAL-REALITY; UPPER-EXTREMITY; MACHINE INTERFACES; ELECTROCORTICOGRAPHIC SIGNALS; FEEDBACK-CONTROL; MIRROR THERAPY; RECOVERY</t>
  </si>
  <si>
    <t>Strokes are a growing cause of mortality and many stroke survivors suffer from motor impairment as well as other types of disabilities in their daily life activities. To treat these sequelae, motor imagery (MI) based brain-computer interface (BCI) systems have shown potential to serve as an effective neurorehabilitation tool for poststroke rehabilitation therapy. In this review, different MI-BCI based strategies, including Functional Electric Stimulation, Robotics Assistance and Hybrid Virtual Reality based Models, have been comprehensively reported for upper-limb neurorehabilitation. Each of these approaches have been presented to illustrate the in-depth advantages and challenges of the respective BCI systems. Additionally, the current state-of-the-art and main concerns regarding BCI based post-stroke neurorehabilitation devices have also been discussed. Finally, recommendations for future developments have been proposed while discussing the BCI neurorehabilitation systems.</t>
  </si>
  <si>
    <t>[Khan, Muhammad Ahmed; Das, Rig; Puthusserypady, Sadasivan] Tech Univ Denmark, Dept Hlth Technol, DK-2800 Lyngby, Denmark; [Iversen, Helle K.] Univ Copenhagen, Rigshosp, Dept Neurol, DK-2600 Glostrup, Denmark</t>
  </si>
  <si>
    <t>Technical University of Denmark; Rigshospitalet; University of Copenhagen</t>
  </si>
  <si>
    <t>Das, Rig/U-8276-2019; Iversen, Helle/P-5726-2019; Puthusserypady, Sadasivan/AAU-6190-2020</t>
  </si>
  <si>
    <t>Iversen, Helle Klingenberg/0000-0002-5880-6352; KHAN, Muhammad Ahmed/0000-0002-8696-4227; Das, Rig/0000-0001-9463-4298</t>
  </si>
  <si>
    <t>European Union's Horizon 2020 research and innovation programme under the Marie Sklodowska-Curie grant [713683]</t>
  </si>
  <si>
    <t>European Union's Horizon 2020 research and innovation programme under the Marie Sklodowska-Curie grant(Marie Curie Actions)</t>
  </si>
  <si>
    <t>The research leading to these results has received funding from the European Union's Horizon 2020 research and innovation programme under the Marie Sklodowska-Curie grant agreement no. 713683 (COFUNDfellowsDTU).</t>
  </si>
  <si>
    <t>10.1016/j.compbiomed.2020.103843</t>
  </si>
  <si>
    <t>MX9AS</t>
  </si>
  <si>
    <t>WOS:000558010800010</t>
  </si>
  <si>
    <t>Maranesi, E; Riccardi, GR; Di Donna, V; Di Rosa, M; Fabbietti, P; Luzi, R; Pranno, L; Lattanzio, F; Bevilacqua, R</t>
  </si>
  <si>
    <t>Maranesi, Elvira; Riccardi, Giovanni Renato; Di Donna, Valentina; Di Rosa, Mirko; Fabbietti, Paolo; Luzi, Riccardo; Pranno, Luigi; Lattanzio, Fabrizia; Bevilacqua, Roberta</t>
  </si>
  <si>
    <t>Effectiveness of Intervention Based on End-effector Gait Trainer Older Patients With Stroke: A Systematic Review</t>
  </si>
  <si>
    <t>oldest old person; stroke rehabilitation; Robotics</t>
  </si>
  <si>
    <t>PARTIAL-BODY-WEIGHT; CONTROLLED-TRIAL; SUBACUTE STROKE; FLOOR WALKING; ROBOT; REHABILITATION; EXOSKELETON; THERAPY; STIMULATION; TREADMILL</t>
  </si>
  <si>
    <t>Objective: The objective of the article is to analyze the effects of the end-effector technology for gait rehabilitation on acute, subacute, and chronic stroke in order to verify the efficacy of the treatment in older people, based on evidence from randomized controlled trials, and thus increase the clinical knowledge for future applications in the hospital setting. Design: A systematic review of the literature was conducted in October 2018. The data were collected from Cochrane, Embase, Scopus, and PubMed databases, analyzing manuscripts and articles of the last 10 years. Setting: We included only randomized controlled trials written in English and aimed to study the effects of end-effector devices in improving walking in stroke patients. We selected 20 studies, and the results were divided into subacute stroke patients and chronic stroke patients. Measures: Quality evaluation was performed using the PEDro scale. Of the 10 studies considered, 9 were randomized controlled trials. The PEDro scale score ranged from 7 to 10. Results: Robotic-assisted gait trainer is more effective for subacute stroke patients with a lower function ambulation assessment, showing significant changes in independent walking ability. One possible explanation of the improvement of the gait speed and functional ambulation is the opportunity of receiving a more intensive and repetitive task-oriented training through end-effector robotic-based intervention. Conclusions and Implications: The use of robotic-assisted gait trainer, together with a conventional treatment, seems to improve the walking capability of patients. Future research trials should take into account the impact of the robotic end-effector gait training on the oldest population, as this target was only partially included in the studies examined. Availability of new evidence will support the design of innovative assistive models for the clinical rehabilitation setting, which will take into account the need of personalizing the intervention to support the growing oldest old population. (C) 2019 AMDA - The Society for Post-Acute and Long-Term Care Medicine.</t>
  </si>
  <si>
    <t>[Maranesi, Elvira; Riccardi, Giovanni Renato] IRCCS INRCA, Clin Unit Phys Rehabil, Ancona, Italy; [Di Donna, Valentina] IRCCS INRCA, Clin Unit Phys Rehabil, Fermo, Italy; [Di Rosa, Mirko; Fabbietti, Paolo] IRCCS INRCA, Unit Geriatr Pharmacoepidemiol, Ancona, Italy; [Luzi, Riccardo] IRCCS INRCA, Med Direct, Ancona, Italy; [Pranno, Luigi] IRCCS INRCA, Unit Intens Rehabil, Cosenza, Italy; [Lattanzio, Fabrizia; Bevilacqua, Roberta] IRCCS INRCA, Sci Direct, Ancona, Italy</t>
  </si>
  <si>
    <t>IRCCS INRCA; IRCCS INRCA; IRCCS INRCA; IRCCS INRCA; IRCCS INRCA; IRCCS INRCA</t>
  </si>
  <si>
    <t>Bevilacqua, R (corresponding author), IRCCS INRCA, Natl Inst Hlth &amp; Sci Aging, Via S Margherita 5, I-60124 Ancona, Italy.</t>
  </si>
  <si>
    <t>r.bevilacqua@inrca.it</t>
  </si>
  <si>
    <t>Fabbietti, Paolo/K-6365-2016; Lattanzio, Fabrizia/D-2896-2018; luzi, riccardo/AAB-3612-2021; Riccardi, Giovanni/AAB-4307-2021; Bevilacqua, Roberta/AAB-7631-2019; Di Rosa, Mirko/J-5974-2016; Maranesi, Elvira/K-2828-2018</t>
  </si>
  <si>
    <t>Bevilacqua, Roberta/0000-0002-3851-3552; Lattanzio, Fabrizia/0000-0003-4051-1289; Riccardi, Giovanni Renato/0000-0002-1630-1364; Di Rosa, Mirko/0000-0002-1862-4159; Maranesi, Elvira/0000-0002-2414-3773; Di Donna, Valentina/0000-0002-8466-1994; Fabbietti, Paolo/0000-0003-2130-3070</t>
  </si>
  <si>
    <t>10.1016/j.jamda.2019.10.010</t>
  </si>
  <si>
    <t>MU6DM</t>
  </si>
  <si>
    <t>WOS:000555761900007</t>
  </si>
  <si>
    <t>Rzyman, G; Szkopek, J; Redlarski, G; Palkowski, A</t>
  </si>
  <si>
    <t>Rzyman, Gustaw; Szkopek, Jacek; Redlarski, Grzegorz; Palkowski, Aleksander</t>
  </si>
  <si>
    <t>Upper Limb Bionic Orthoses: General Overview and Forecasting Changes</t>
  </si>
  <si>
    <t>biomechanics; exoskeleton; rehabilitation; robot-assisted therapy</t>
  </si>
  <si>
    <t>BRAIN-COMPUTER INTERFACES; HAND EXOSKELETON; ROBOTIC EXOSKELETON; CARBON NANOTUBES; EMG SIGNAL; REHABILITATION; ARM; DESIGN; ACTUATORS; PERFORMANCE</t>
  </si>
  <si>
    <t>Using robotics in modern medicine is slowly becoming a common practice. However, there are still important life science fields which are currently devoid of such advanced technology. A noteworthy example of a life sciences field which would benefit from process automation and advanced robotic technology is rehabilitation of the upper limb with the use of an orthosis. Here, we present the state-of-the-art and prospects for development of mechanical design, actuator technology, control systems, sensor systems, and machine learning methods in rehabilitation engineering. Moreover, current technical solutions, as well as forecasts on improvement, for exoskeletons are presented and reviewed. The overview presented might be the cornerstone for future research on advanced rehabilitation engineering technology, such as an upper limb bionic orthosis.</t>
  </si>
  <si>
    <t>[Rzyman, Gustaw; Szkopek, Jacek; Redlarski, Grzegorz; Palkowski, Aleksander] Gdansk Univ Technol, Fac Elect &amp; Control Engn, PL-80233 Gdansk, Poland</t>
  </si>
  <si>
    <t>Fahrenheit Universities; Gdansk University of Technology</t>
  </si>
  <si>
    <t>Redlarski, G (corresponding author), Gdansk Univ Technol, Fac Elect &amp; Control Engn, PL-80233 Gdansk, Poland.</t>
  </si>
  <si>
    <t>gustaw.rzyman@pg.edu.pl; jacek.szkopek@pg.edu.pl; grzegorz.redlarski@pg.edu.pl; aleksander.palkowski@gmail.com</t>
  </si>
  <si>
    <t>Palkowski, Aleksander/J-7272-2012</t>
  </si>
  <si>
    <t>Szkopek, Jacek/0000-0002-7199-0596; /0000-0003-1597-5145; Rzyman, Gustaw/0000-0001-6677-8104</t>
  </si>
  <si>
    <t>10.3390/app10155323</t>
  </si>
  <si>
    <t>MZ4RU</t>
  </si>
  <si>
    <t>WOS:000559112500001</t>
  </si>
  <si>
    <t>Selves, C; Stoquart, G; Lejeune, T</t>
  </si>
  <si>
    <t>Selves, Clara; Stoquart, Gaetan; Lejeune, Thierry</t>
  </si>
  <si>
    <t>Gait rehabilitation after stroke: review of the evidence of predictors, clinical outcomes and timing for interventions</t>
  </si>
  <si>
    <t>Stroke; Gait rehabilitation; Prognosis; Recovery of function</t>
  </si>
  <si>
    <t>EARLY MOBILIZATION; WALKING; POSTSTROKE; RECOVERY; ABILITY; RELIABILITY; AVERT</t>
  </si>
  <si>
    <t>The recovery of walking capacity is one of the main aims in stroke rehabilitation. Being able to predict if and when a patient is going to walk after stroke is of major interest in terms of management of the patients and their family's expectations and in terms of discharge destination and timing previsions. This article reviews the recent literature regarding the predictive factors for gait recovery and the best recommendations in terms of gait rehabilitation in stroke patients. Trunk control and lower limb motor control (e.g. hip extensor muscle force) seem to be the best predictors of gait recovery as shown by the TWIST algorithm, which is a simple tool that can be applied in clinical practice at 1 week post-stroke. In terms of walking performance, the 6-min walking test is the best predictor of community ambulation. Various techniques are available for gait rehabilitation, including treadmill training with or without body weight support, robotic-assisted therapy, virtual reality, circuit class training and self-rehabilitation programmes. These techniques should be applied at specific timing during post-stroke rehabilitation, according to patient's functional status.</t>
  </si>
  <si>
    <t>[Selves, Clara; Stoquart, Gaetan; Lejeune, Thierry] Clin Univ St Luc, Serv Med Phys &amp; Readaptat, Ave Hippocrate 10, B-1200 Brussels, Belgium; [Selves, Clara; Stoquart, Gaetan; Lejeune, Thierry] Catholic Univ Louvain, Neuro Musculo Skeletal Lab NMSK, Inst Rech Expt &amp; Clin IREC, Sect Sci Sante, Ave Mounier 53, B-1200 Brussels, Belgium</t>
  </si>
  <si>
    <t>Universite Catholique Louvain; Cliniques Universitaires Saint-Luc; Universite Catholique Louvain</t>
  </si>
  <si>
    <t>Selves, C (corresponding author), Clin Univ St Luc, Serv Med Phys &amp; Readaptat, Ave Hippocrate 10, B-1200 Brussels, Belgium.;Selves, C (corresponding author), Catholic Univ Louvain, Neuro Musculo Skeletal Lab NMSK, Inst Rech Expt &amp; Clin IREC, Sect Sci Sante, Ave Mounier 53, B-1200 Brussels, Belgium.</t>
  </si>
  <si>
    <t>clara.selves@uclouvain.be</t>
  </si>
  <si>
    <t>SELVES, Clara/0000-0001-7046-292X</t>
  </si>
  <si>
    <t>10.1007/s13760-020-01320-7</t>
  </si>
  <si>
    <t>MP6EI</t>
  </si>
  <si>
    <t>WOS:000552295200001</t>
  </si>
  <si>
    <t>Skelton, WP; Franke, AJ; Iqbal, A; George, TJ</t>
  </si>
  <si>
    <t>Skelton, William Paul; Franke, Aaron J.; Iqbal, Atif; George, Thomas J.</t>
  </si>
  <si>
    <t>Comprehensive literature review of randomized clinical trials examining novel treatment advances in patients with colon cancer</t>
  </si>
  <si>
    <t>JOURNAL OF GASTROINTESTINAL ONCOLOGY</t>
  </si>
  <si>
    <t>Colon cancer; surgery; perioperative care; adjuvant therapy; surveillance</t>
  </si>
  <si>
    <t>CONVENTIONAL OPEN SURGERY; QUALITY-OF-LIFE; LAPAROSCOPIC-ASSISTED COLECTOMY; ADVANCED COLORECTAL-CANCER; FAST-TRACK REHABILITATION; OPEN SURGICAL TREATMENTS; SHORT-TERM OUTCOMES; MRC CLASICC TRIAL; 5-YEAR FOLLOW-UP; PHASE-III</t>
  </si>
  <si>
    <t>The treatment of colon cancer has had numerous recent advances, in terms of surgical approach, adjuvant therapies, and more. In this review, the authors examine randomized clinical trials comparing open surgery to laparoscopic surgery (including total mesocolic excision), and also examine the role of robotic surgery. Novel surgical techniques including the no-touch technique, side-to-side anastomosis, suture technique, complete mesocolic excision (CME) with central vascular ligation (CVL), and natural orifice transluminal endoscopic surgery (NOTES) are outlined. The role of placing endoscopic self-expandable metal stents (SEMS) for colonic obstruction is compared and contrasted with the surgical approach, and the effect that the anti-VEGF inhibitor bevacizumab may have on this side effect profile is further explored. The role of the resection of the primary tumor in the setting of metastatic disease is examined with respect to survival benefit. Pathways of perioperative care which can accelerate post-surgical recovery, including enhanced recovery after surgery (ERAS) are examined. The role of adjuvant chemotherapy in patients with high-risk stage II and patients with stage III disease is examined, along with the role on circulating tumor DNA (ctDNA) as well as with the biologic targeted agents cetuximab and bevacizumab. Lastly, the authors detail the postoperative surveillance schedules after surgical resection with respect to survival outcomes.</t>
  </si>
  <si>
    <t>[Skelton, William Paul; Franke, Aaron J.] Univ S Florida, H Lee Moffitt Canc Ctr &amp; Res Inst, Div Med Oncol, Tampa, FL 33620 USA; [Iqbal, Atif] Baylor Coll Med, Sect Colorectal Surg, Houston, TX 77030 USA; [George, Thomas J.] Univ Florida, Dept Med, Div Hematol &amp; Oncol, POB 100278,1600 SW Archer Rd, Gainesville, FL 32610 USA</t>
  </si>
  <si>
    <t>H Lee Moffitt Cancer Center &amp; Research Institute; State University System of Florida; University of South Florida; Baylor College of Medicine; State University System of Florida; University of Florida</t>
  </si>
  <si>
    <t>George, TJ (corresponding author), Univ Florida, Dept Med, Div Hematol &amp; Oncol, POB 100278,1600 SW Archer Rd, Gainesville, FL 32610 USA.;Skelton, WP (corresponding author), H Lee Moffitt Canc Ctr &amp; Res Inst, 12902 Magnolia Dr, Tampa, FL 33602 USA.</t>
  </si>
  <si>
    <t>William.Skelton@moffitt.org; Thom.George@medicine.ufl.edu</t>
  </si>
  <si>
    <t>George, Thomas/L-9119-2019</t>
  </si>
  <si>
    <t>George, Thomas/0000-0002-6249-9180</t>
  </si>
  <si>
    <t>Merck; AstraZeneca/MedImmune; Lilly; Bayer</t>
  </si>
  <si>
    <t>Merck(Merck &amp; Company); AstraZeneca/MedImmune(AstraZeneca); Lilly(Eli Lilly); Bayer(Bayer AG)</t>
  </si>
  <si>
    <t>All authors have completed the ICMJE uniform disclosure form (available at http://dx. doi. org/ 10.21037/ jgo-20-181). TJG reports Institutional research funding from Merck, Institutional research funding from AstraZeneca/MedImmune, Institutional research funding from Lilly, Institutional research funding from Bayer, during the conduct of the study; Institutional research funding from BMS, Institutional research funding from Incyte, Institutional research funding from Tesaro/GSK, Institutional research funding from Pharmacyclics, Institutional research funding from Ipsen, Institutional research funding from Seattle Genetics, Institutional research funding from NewLink Genetics, outside the submitted work. The other authors have no conflicts of interest to declare.</t>
  </si>
  <si>
    <t>2078-6891</t>
  </si>
  <si>
    <t>2219-679X</t>
  </si>
  <si>
    <t>J GASTROINTEST ONCOL</t>
  </si>
  <si>
    <t>J. Gastrointest. Oncol.</t>
  </si>
  <si>
    <t>10.21037/jgo-20-184</t>
  </si>
  <si>
    <t>Oncology; Gastroenterology &amp; Hepatology</t>
  </si>
  <si>
    <t>NE5LZ</t>
  </si>
  <si>
    <t>WOS:000562642800018</t>
  </si>
  <si>
    <t>Zheng, Y; Mao, YR; Yuan, TF; Xu, DS; Cheng, LM</t>
  </si>
  <si>
    <t>Zheng, Ya; Mao, Ye-Ran; Yuan, Ti-Fei; Xu, Dong-Sheng; Cheng, Li-Ming</t>
  </si>
  <si>
    <t>Multimodal treatment for spinal cord injury: a sword of neuroregeneration upon neuromodulation</t>
  </si>
  <si>
    <t>brain-computer interface technology; multimodal rehabilitation; nerve regeneration; neural circuit reconstruction; neural regeneration; neuromodulation; rehabilitation training; spinal cord injury; stem cells; transcranial direct current stimulation; transcranial magnetic stimulation</t>
  </si>
  <si>
    <t>TRANSCRANIAL MAGNETIC STIMULATION; NEURAL STEM-CELLS; OF-THE-ART; FUNCTIONAL RECOVERY; SYNAPTIC PLASTICITY; ELECTRICAL-STIMULATION; LOCOMOTOR RECOVERY; CALCIUM-CHANNELS; PRECURSOR CELLS; NEUROGENESIS</t>
  </si>
  <si>
    <t>Spinal cord injury is linked to the interruption of neural pathways, which results in irreversible neural dysfunction. Neural repair and neuroregeneration are critical goals and issues for rehabilitation in spinal cord injury, which require neural stem cell repair and multimodal neuromodulation techniques involving personalized rehabilitation strategies. Besides the involvement of endogenous stem cells in neurogenesis and neural repair, exogenous neural stem cell transplantation is an emerging effective method for repairing and replacing damaged tissues in central nervous system diseases. However, to ensure that endogenous or exogenous neural stem cells truly participate in neural repair following spinal cord injury, appropriate interventional measures (e.g., neuromodulation) should be adopted. Neuromodulation techniques, such as noninvasive magnetic stimulation and electrical stimulation, have been safely applied in many neuropsychiatric diseases. There is increasing evidence to suggest that neuromagnetic/electrical modulation promotes neuroregeneration and neural repair by affecting signaling in the nervous system; namely, by exciting, inhibiting, or regulating neuronal and neural network activities to improve motor function and motor learning following spinal cord injury. Several studies have indicated that fine motor skill rehabilitation training makes use of residual nerve fibers for collateral growth, encourages the formation of new synaptic connections to promote neural plasticity, and improves motor function recovery in patients with spinal cord injury. With the development of biomaterial technology and biomechanical engineering, several emerging treatments have been developed, such as robots, brain-computer interfaces, and nanomaterials. These treatments have the potential to help millions of patients suffering from motor dysfunction caused by spinal cord injury. However, large-scale clinical trials need to be conducted to validate their efficacy. This review evaluated the efficacy of neural stem cells and magnetic or electrical stimulation combined with rehabilitation training and intelligent therapies for spinal cord injury according to existing evidence, to build up a multimodal treatment strategy of spinal cord injury to enhance nerve repair and regeneration.</t>
  </si>
  <si>
    <t>[Zheng, Ya; Mao, Ye-Ran; Xu, Dong-Sheng] Tongji Univ, Dept Orthoped, Rehabil Sect, Spine Surg Div,Tongji Hosp,Sch Med, Shanghai, Peoples R China; [Yuan, Ti-Fei] Shanghai Jiao Tong Univ, Shanghai Mental Hlth Ctr, Shanghai Key Lab Psychot Disorders, Sch Med, Shanghai, Peoples R China; [Yuan, Ti-Fei] Nantong Univ, Coinnovat Ctr Neuroregenerat, Nantong, Jiangsu, Peoples R China; [Xu, Dong-Sheng; Cheng, Li-Ming] Tongji Univ, Minist Educ Peoples Republ China, Key Lab Spine &amp; Spinal Cord Injury Repair &amp; Regen, Shanghai, Peoples R China; [Cheng, Li-Ming] Tongji Univ, Spine Surg Div, Dept Orthoped, Tongji Hosp,Sch Med, Shanghai, Peoples R China</t>
  </si>
  <si>
    <t>Tongji University; Shanghai Jiao Tong University; Nantong University; Ministry of Education - China; Tongji University; Tongji University</t>
  </si>
  <si>
    <t>Xu, DS (corresponding author), Tongji Univ, Dept Orthoped, Rehabil Sect, Spine Surg Div,Tongji Hosp,Sch Med, Shanghai, Peoples R China.;Yuan, TF (corresponding author), Shanghai Jiao Tong Univ, Shanghai Mental Hlth Ctr, Shanghai Key Lab Psychot Disorders, Sch Med, Shanghai, Peoples R China.;Yuan, TF (corresponding author), Nantong Univ, Coinnovat Ctr Neuroregenerat, Nantong, Jiangsu, Peoples R China.;Xu, DS; Cheng, LM (corresponding author), Tongji Univ, Minist Educ Peoples Republ China, Key Lab Spine &amp; Spinal Cord Injury Repair &amp; Regen, Shanghai, Peoples R China.;Cheng, LM (corresponding author), Tongji Univ, Spine Surg Div, Dept Orthoped, Tongji Hosp,Sch Med, Shanghai, Peoples R China.</t>
  </si>
  <si>
    <t>ytf0707@126.com; dxu0927@tongji.edu.cn; limingcheng@tongji.edu.cn</t>
  </si>
  <si>
    <t>Yuan, Ti-Fei/LCD-4217-2024; Xiao, Hu/GMX-0258-2022; Zheng, Ya/AAA-6980-2021</t>
  </si>
  <si>
    <t>Xu, Dongsheng/0000-0002-8477-5377</t>
  </si>
  <si>
    <t>Major International (Regional) Joint Research Project of the National Natural Science Foundation of China [81820108013]; General Research Project of the National Natural Science Foundation of China [81772453]; National Key Research and Development Program of China [2016YFA0100800]</t>
  </si>
  <si>
    <t>Major International (Regional) Joint Research Project of the National Natural Science Foundation of China(National Natural Science Foundation of China (NSFC)); General Research Project of the National Natural Science Foundation of China; National Key Research and Development Program of China(National Key Research &amp; Development Program of China)</t>
  </si>
  <si>
    <t>This work was supported by the Major International (Regional) Joint Research Project of the National Natural Science Foundation of China, No. 81820108013 (to LMC); the General Research Project of the National Natural Science Foundation of China, No. 81772453 (to DSX); the National Key Research and Development Program of China, No. 2016YFA0100800 (to LMC). The funding sources had no role in paper writing or deciding to submit this paper for publication.</t>
  </si>
  <si>
    <t>10.4103/1673-5374.274332</t>
  </si>
  <si>
    <t>KJ2NR</t>
  </si>
  <si>
    <t>WOS:000511895300009</t>
  </si>
  <si>
    <t>Georgopoulou, A; Clemens, F</t>
  </si>
  <si>
    <t>Georgopoulou, Antonia; Clemens, Frank</t>
  </si>
  <si>
    <t>Piezoresistive Elastomer-Based Composite Strain Sensors and Their Applications</t>
  </si>
  <si>
    <t>ACS APPLIED ELECTRONIC MATERIALS</t>
  </si>
  <si>
    <t>elastomer strain sensors; piezoresistive response; dynamic mechanical testing; soft robotics; 3D printing</t>
  </si>
  <si>
    <t>CONDUCTIVE POLYMER COMPOSITES; CARBON NANOTUBES; NATURAL-RUBBER; POLYURETHANE NANOCOMPOSITES; MECHANICAL-PROPERTIES; TUNABLE SENSITIVITY; BLACK; PERFORMANCE; PRESSURE; NETWORK</t>
  </si>
  <si>
    <t>Piezoresistive strain sensors dominate the field of soft elastomer sensors, with many interesting findings and applications. Nevertheless, the methods of characterizing the performance of the sensor differ in each study, leading to different conclusions and making comparison of the different sensor systems challenging. In this Review, the most important methods for characterization of the sensor response are being presented and some cases of elastomer strain sensors are being highlighted. Furthermore, the different materials options for elastomer strain sensors are shown, with special sections for the rapidly growing fields of additive manufacturing and 3D printing. In addition to the material choices and testing methods, different applications of strain sensors are presented. From the biomedical field, these soft sensors find applications in wearable devices, vital sign monitoring, and rehabilitation assistive devices. In soft robotics, they can be used in monitoring and controlling the function of soft robot and actuation systems, a function that can aid with feedback control, increasing the efficiency of the robot's function. Last but not least, in combination with the emerging self-healing materials, elastomer strain sensors can be used for monitoring the integrity of materials and structures.</t>
  </si>
  <si>
    <t>[Georgopoulou, Antonia; Clemens, Frank] Empa, Swiss Fed Labs Mat Sci &amp; Technol, Dept Funct Mat, CH-8600 Dubendorf, Switzerland; [Clemens, Frank] VUB, Dept Mech Engn MECH, B-1050 Brussels, Belgium</t>
  </si>
  <si>
    <t>Swiss Federal Institutes of Technology Domain; Swiss Federal Laboratories for Materials Science &amp; Technology (EMPA); Vrije Universiteit Brussel</t>
  </si>
  <si>
    <t>Clemens, F (corresponding author), Empa, Swiss Fed Labs Mat Sci &amp; Technol, Dept Funct Mat, CH-8600 Dubendorf, Switzerland.;Clemens, F (corresponding author), VUB, Dept Mech Engn MECH, B-1050 Brussels, Belgium.</t>
  </si>
  <si>
    <t>antonia.georgopoulou@empa.ch; frank.clemens@empa.ch</t>
  </si>
  <si>
    <t>Georgopoulou, Antonia/AAX-9018-2020</t>
  </si>
  <si>
    <t>Georgopoulou, Antonia/0000-0002-9892-250X; Clemens, Frank/0000-0001-8253-170X</t>
  </si>
  <si>
    <t>European Union [828818]</t>
  </si>
  <si>
    <t>This project has received funding from the European Union's Horizon 2020 research and innovation program under grant agreement No 828818.</t>
  </si>
  <si>
    <t>2637-6113</t>
  </si>
  <si>
    <t>ACS APPL ELECTRON MA</t>
  </si>
  <si>
    <t>ACS Appl. Electron. Mater.</t>
  </si>
  <si>
    <t>10.1021/acsaelm.0c00278</t>
  </si>
  <si>
    <t>MX5IL</t>
  </si>
  <si>
    <t>WOS:000557756300004</t>
  </si>
  <si>
    <t>Saleh, MA; Hanapiah, FA; Hashim, H</t>
  </si>
  <si>
    <t>Saleh, Mohammed A.; Hanapiah, Fazah Akhtar; Hashim, Habibah</t>
  </si>
  <si>
    <t>Robot applications for autism: a comprehensive review</t>
  </si>
  <si>
    <t>Social robots; autistic children; autism therapy; robotic treatment; ASD rehabilitation; robotic intervention</t>
  </si>
  <si>
    <t>HUMANOID ROBOT; SOCIAL ROBOTS; SENSORY PREFERENCES; SPECTRUM DISORDERS; INTERVENTION PROGRAM; COLLABORATIVE PLAY; INITIAL RESPONSE; ASSISTIVE ROBOT; CHILDREN; THERAPY</t>
  </si>
  <si>
    <t>Purpose Technological advances in robotics have brought about exciting developments in different areas such as education, training, and therapy. Recent research has suggested that the robot can be even more effective in rehabilitation, therapy, and education for individuals with Autism Spectrum Disorder (ASD). In this paper, a comprehensive review of robotic technology for children with ASD is presented wherein a large number of journals and conference proceedings in science and engineering search engines' databases were implicated. Materials and methods A search for related literature was conducted in three search engines' databases, Web of Science, Scopus, and IEEE Xplore. Thematic keywords were used to identify articles in the recent ten years in titles, keywords, and abstracts. The retrieved articles were filtered, analysed, and evaluated based on specific inclusion and exclusion criteria. Results A total of 208 studies were retrieved, while 166 met the inclusion criteria. The selected studies were reviewed according to the type of robot, the participants, objectives, and methods. 68 robots were used in all studies, NAO robot was used in 30.5% of those studies. The total number of participants in all studies was 1671. The highest percentage of the studies reviewed were dedicated to augmenting the learning skills. Conclusions Robots and the associated schemes were used to determine their feasibility and validity for augmenting the learning skills of autistic children. Most of the studies reviewed were focused on improving the social communication skills of autistic children and measuring the extent of robot mitigation of stereotyped autistic behaviours.</t>
  </si>
  <si>
    <t>[Saleh, Mohammed A.; Hashim, Habibah] Univ Teknol MARA, Fac Elect Engn, Shah Alam, Malaysia; [Hanapiah, Fazah Akhtar] Univ Teknol MARA, Fac Med, Shah Alam, Malaysia</t>
  </si>
  <si>
    <t>Universiti Teknologi MARA; Universiti Teknologi MARA</t>
  </si>
  <si>
    <t>Saleh, MA (corresponding author), Univ Teknol MARA, Fac Elect Engn, Shah Alam, Malaysia.</t>
  </si>
  <si>
    <t>mohamedswm@yahoo.com</t>
  </si>
  <si>
    <t>Hanapiah, Fazah/AAW-8811-2021; A. SALEH, MOHAMMED/JAN-8212-2023</t>
  </si>
  <si>
    <t>A. SALEH, MOHAMMED/0000-0003-4673-5056</t>
  </si>
  <si>
    <t>Ministry of Education (MOE) Malaysia [600-IRMI/FRGS 5/3 (150/2019)]; Research Management Centre (RMC) of Universiti Teknologi Mara</t>
  </si>
  <si>
    <t>Ministry of Education (MOE) Malaysia; Research Management Centre (RMC) of Universiti Teknologi Mara</t>
  </si>
  <si>
    <t>The authors would like to thank the Ministry of Education (MOE) Malaysia for providing the grant 600-IRMI/FRGS 5/3 (150/2019), and the Research Management Centre (RMC) of Universiti Teknologi Mara for supporting this research work.</t>
  </si>
  <si>
    <t>10.1080/17483107.2019.1685016</t>
  </si>
  <si>
    <t>JUL 2020</t>
  </si>
  <si>
    <t>TI1DE</t>
  </si>
  <si>
    <t>WOS:000556101900001</t>
  </si>
  <si>
    <t>Xing, Y; Bai, YL</t>
  </si>
  <si>
    <t>Xing, Ying; Bai, Yulong</t>
  </si>
  <si>
    <t>A Review of Exercise-Induced Neuroplasticity in Ischemic Stroke: Pathology and Mechanisms</t>
  </si>
  <si>
    <t>MOLECULAR NEUROBIOLOGY</t>
  </si>
  <si>
    <t>Ischemic stroke; Exercise; Neuroplasticity; Neurotrophins; Regeneration; AMPA receptors</t>
  </si>
  <si>
    <t>INDUCED MOVEMENT THERAPY; FUNCTIONAL RECOVERY; SYNAPTIC PLASTICITY; MOTOR SKILL; BRAIN-DAMAGE; CONTRALESIONAL HEMISPHERE; PLASMINOGEN-ACTIVATOR; VOLUNTARY EXERCISE; CEREBRAL-ISCHEMIA; HYPERTENSIVE-RATS</t>
  </si>
  <si>
    <t>After ischemic stroke, survivors experience motor dysfunction and deterioration of memory and cognition. These symptoms are associated with the disruption of normal neuronal function, i.e., the secretion of neurotrophic factors, interhemispheric connections, and synaptic activity, and hence the disruption of the normal neural circuit. Exercise is considered an effective and feasible rehabilitation strategy for improving cognitive and motor recovery following ischemic stroke through the facilitation of neuroplasticity. In this review, our aim was to discuss the mechanisms by which exercise-induced neuroplasticity improves motor function and cognitive ability after ischemic stroke. The associated mechanisms include increases in neurotrophins, improvements in synaptic structure and function, the enhancement of interhemispheric connections, the promotion of neural regeneration, the acceleration of neural function reorganization, and the facilitation of compensation beyond the infarcted tissue. We also discuss some common exercise strategies and a novel exercise therapy, robot-assisted movement, which might be widely applied in the clinic to help stroke patients in the future.</t>
  </si>
  <si>
    <t>[Xing, Ying; Bai, Yulong] Fudan Univ, Huashan Hosp, Dept Rehabil Med, 12 Middle Wulumuqi Rd, Shanghai 200040, Peoples R China</t>
  </si>
  <si>
    <t>Fudan University</t>
  </si>
  <si>
    <t>Bai, YL (corresponding author), Fudan Univ, Huashan Hosp, Dept Rehabil Med, 12 Middle Wulumuqi Rd, Shanghai 200040, Peoples R China.</t>
  </si>
  <si>
    <t>dr_baiyl@fudan.edu.cn</t>
  </si>
  <si>
    <t>National Natural Science Foundation of China [81871841]</t>
  </si>
  <si>
    <t>This work was supported by the National Natural Science Foundation of China (No. 81871841).</t>
  </si>
  <si>
    <t>0893-7648</t>
  </si>
  <si>
    <t>1559-1182</t>
  </si>
  <si>
    <t>MOL NEUROBIOL</t>
  </si>
  <si>
    <t>Mol. Neurobiol.</t>
  </si>
  <si>
    <t>10.1007/s12035-020-02021-1</t>
  </si>
  <si>
    <t>NJ1KR</t>
  </si>
  <si>
    <t>WOS:000550639600001</t>
  </si>
  <si>
    <t>Monardo, G; Pavese, C; Giorgi, I; Godi, M; Colombo, R</t>
  </si>
  <si>
    <t>Monardo, Giulia; Pavese, Chiara; Giorgi, Ines; Godi, Marco; Colombo, Roberto</t>
  </si>
  <si>
    <t>Evaluation of Patient Motivation and Satisfaction During Technology-Assisted Rehabilitation: An Experiential Review</t>
  </si>
  <si>
    <t>Motivation; Satisfaction; Technology-assisted; Robot; Rehabilitation</t>
  </si>
  <si>
    <t>VIRTUAL-REALITY REHABILITATION; UPPER-LIMB REHABILITATION; SPINAL-CORD-INJURY; INTRINSIC MOTIVATION; ARM REHABILITATION; EXERCISE THERAPY; SELF-MANAGEMENT; SUBACUTE STROKE; SERIOUS GAMES; ROBOT</t>
  </si>
  <si>
    <t>Objective:The aim of this experiential review is to explore the state of the art of the literature regarding the evaluation tools available for assessment of patient motivation and satisfaction during technology-assisted rehabilitation (robot rehabilitation, virtual reality rehabilitation, and serious games rehabilitation). Materials and Methods:A systematic search of the peer-reviewed literature published from January 1990 to August 2019 was conducted. The protocol for this review was registered in PROSPERO and carried out in accordance with the PRISMA recommendations. Results:The search of PubMed, PsycINFO, Scopus, and Web of Science databases identified a total of 333 records. After adjusting for duplicates and other inclusion criteria, 69 studies were selected for inclusion in the review. We found that authors used a wide range of dedicated questionnaires and, in about 50% of studies, a few validated tools to assess motivation and satisfaction during technology-assisted rehabilitation. The instruments most used were the Intrinsic Motivation Inventory (IMI), Quebec User Evaluation of Satisfaction with Assistive Technology (QUEST 2.0), and the Usefulness, Satisfaction, and Ease of use (USE) scale. Motivation and satisfaction were generally portrayed as multidimensional concepts; overall, 29 domains were assessed by 9 different tools. Conclusion:The tools used in the current literature to assess patient motivation and satisfaction during technology-assisted rehabilitation are quite variegated, but we would recommend use of the IMI and USE questionnaires based on their widespread diffusion. However, the choice of domains explored and number of items calls for harmonization. Ideally, this should be a joint task for the whole scientific community.</t>
  </si>
  <si>
    <t>[Monardo, Giulia; Giorgi, Ines] IRCCS, Ist Clin Sci Maugeri, Psychol Serv, Pavia, Italy; [Pavese, Chiara] IRCCS, Ist Clin Sci Maugeri, Neurorehabil &amp; Spinal Unit, Pavia, Italy; [Pavese, Chiara] Univ Pavia, Dept Clin Surg Diagnost &amp; Pediat Sci, Pavia, Italy; [Godi, Marco] IRCCS, Ist Clin Sci Maugeri, Div Phys Med &amp; Rehabil, Veruno, Italy; [Colombo, Roberto] IRCCS, Ist Clin Sci Maugeri, Serv Bioengn, Via Revislate 13, I-28010 Veruno, Italy</t>
  </si>
  <si>
    <t>Istituti Clinici Scientifici Maugeri IRCCS; University of Pavia; Istituti Clinici Scientifici Maugeri IRCCS; University of Pavia; University of Pavia; Istituti Clinici Scientifici Maugeri IRCCS; Istituti Clinici Scientifici Maugeri IRCCS</t>
  </si>
  <si>
    <t>Colombo, R (corresponding author), IRCCS, Ist Clin Sci Maugeri, Serv Bioengn, Via Revislate 13, I-28010 Veruno, Italy.</t>
  </si>
  <si>
    <t>roberto.colombo@icsmaugeri.it</t>
  </si>
  <si>
    <t>Godi, Marco/K-9776-2019; Pavese, Chiara/AAD-2069-2020; godi, marco/J-8148-2016; Colombo, Roberto/F-4422-2011</t>
  </si>
  <si>
    <t>Pavese, Chiara/0000-0002-2061-0346; godi, marco/0000-0002-8501-6524; Colombo, Roberto/0000-0002-0893-9149</t>
  </si>
  <si>
    <t>The research activities of this study were developed under the Ricerca Corrente'' grant funded by the Italian Ministry of Health.</t>
  </si>
  <si>
    <t>10.1089/g4h.2020.0024</t>
  </si>
  <si>
    <t>QB6FB</t>
  </si>
  <si>
    <t>WOS:000547642500001</t>
  </si>
  <si>
    <t>Vu, HTT; Dong, DB; Cao, HL; Verstraten, T; Lefeber, D; Vanderborght, B; Geeroms, J</t>
  </si>
  <si>
    <t>Huong Thi Thu Vu; Dong, Dianbiao; Cao, Hoang-Long; Verstraten, Tom; Lefeber, Dirk; Vanderborght, Bram; Geeroms, Joost</t>
  </si>
  <si>
    <t>A Review of Gait Phase Detection Algorithms for Lower Limb Prostheses</t>
  </si>
  <si>
    <t>gait phase detection; event detection; lower limb prosthesis; gait phase classification; IMU sensor; smart insole; wearable sensors; assistive devices</t>
  </si>
  <si>
    <t>HIDDEN MARKOV-MODELS; EVENT DETECTION; ACTUATOR DESIGN; FOOT; ANKLE; RECOGNITION; VALIDATION; CLASSIFICATION; ACCELEROMETER; GYROSCOPE</t>
  </si>
  <si>
    <t>Fast and accurate gait phase detection is essential to achieve effective powered lower-limb prostheses and exoskeletons. As the versatility but also the complexity of these robotic devices increases, the research on how to make gait detection algorithms more performant and their sensing devices smaller and more wearable gains interest. A functional gait detection algorithm will improve the precision, stability, and safety of prostheses, and other rehabilitation devices. In the past years the state-of-the-art has advanced significantly in terms of sensors, signal processing, and gait detection algorithms. In this review, we investigate studies and developments in the field of gait event detection methods, more precisely applied to prosthetic devices. We compared advantages and limitations between all the proposed methods and extracted the relevant questions and recommendations about gait detection methods for future developments.</t>
  </si>
  <si>
    <t>[Huong Thi Thu Vu; Dong, Dianbiao; Cao, Hoang-Long; Verstraten, Tom; Lefeber, Dirk; Vanderborght, Bram; Geeroms, Joost] Vrije Univ Brussel &amp; Flanders Make, Robot &amp; Multibody Mech Res Grp R&amp;MM, B-1050 Brussels, Belgium; [Huong Thi Thu Vu] Hanoi Univ Ind, Fac Elect Engn Technol, Hanoi 100000, Vietnam; [Dong, Dianbiao] Northwestern Polytech Univ, Sch Mech Engn, Xian 710072, Peoples R China; [Cao, Hoang-Long] Can Tho Univ, Coll Engn Technol, Can Tho 90000, Vietnam</t>
  </si>
  <si>
    <t>Hanoi University of Industry (HaUI); Northwestern Polytechnical University; Can Tho University</t>
  </si>
  <si>
    <t>Vu, HTT (corresponding author), Vrije Univ Brussel &amp; Flanders Make, Robot &amp; Multibody Mech Res Grp R&amp;MM, B-1050 Brussels, Belgium.;Vu, HTT (corresponding author), Hanoi Univ Ind, Fac Elect Engn Technol, Hanoi 100000, Vietnam.</t>
  </si>
  <si>
    <t>vu.huong@vub.be; Dianbiao.Dong@vub.be; Hoang.Long.Cao@vub.be; Tom.Verstraten@vub.be; dlefeber@vub.ac.be; bram.vanderborght@vub.ac.be; jgeeroms@vub.ac.be</t>
  </si>
  <si>
    <t>Verstraten, Tom/MIT-8095-2025; Cao, Hoang-Long/AAF-7034-2019; Dong, Dianbiao/JVD-7267-2023; Vu, Huong/ABB-8851-2020; Lefeber, Dirk/B-2881-2009; Vanderborght, Bram/A-1599-2008</t>
  </si>
  <si>
    <t>Lefeber, Dirk/0000-0003-4442-4473; Cao, Hoang-Long/0000-0003-2851-5527; Vu, Huong Thi Thu/0000-0001-8512-2784; Verstraten, Tom/0000-0001-7398-5398; Vanderborght, Bram/0000-0003-4881-9341</t>
  </si>
  <si>
    <t>Flemish Goverment under the programOnderzoeksprogramma Artificiele Intelligentie (AI) Vlaanderen; Innoviris' Talaris project; H2020 CYBERLEGs Plus project [731931]; Vietnamese Government</t>
  </si>
  <si>
    <t>Flemish Goverment under the programOnderzoeksprogramma Artificiele Intelligentie (AI) Vlaanderen; Innoviris' Talaris project(Innoviris); H2020 CYBERLEGs Plus project; Vietnamese Government</t>
  </si>
  <si>
    <t>This project was partly supported by the Flemish Goverment under the programOnderzoeksprogramma Artificiele Intelligentie (AI) Vlaanderen, the Innoviris' Talaris project, the H2020 CYBERLEGs Plus project (Grant Agreement #731931), and the Vietnamese Government for university and college lecturers on doctoral training during 2010-2020.</t>
  </si>
  <si>
    <t>10.3390/s20143972</t>
  </si>
  <si>
    <t>MX3YO</t>
  </si>
  <si>
    <t>WOS:000557660800001</t>
  </si>
  <si>
    <t>Pinto-Fernandez, D; Torricelli, D; Sanchez-Villamanan, MD; Aller, F; Mombaur, K; Conti, R; Vitiello, N; Moreno, JC; Pons, JL</t>
  </si>
  <si>
    <t>Pinto-Fernandez, David; Torricelli, Diego; Sanchez-Villamanan, Maria del Carmen; Aller, Felix; Mombaur, Katja; Conti, Roberto; Vitiello, Nicola; Moreno, Juan C.; Pons, Jose Luis</t>
  </si>
  <si>
    <t>Performance Evaluation of Lower Limb Exoskeletons: A Systematic Review</t>
  </si>
  <si>
    <t>Legged locomotion; Exoskeletons; Kinematics; Kinetic theory; Benchmark testing; Spatiotemporal phenomena; Benchmarking; locomotion; walking; posture; assessment; wearable robots; orthoses</t>
  </si>
  <si>
    <t>SPINAL-CORD-INJURY; ANKLE-FOOT ORTHOSIS; POWERED EXOSKELETON; ROBOTIC EXOSKELETON; OVERGROUND WALKING; PLANTARFLEXION ASSISTANCE; REHABILITATION ROBOTS; TREADMILL WALKING; ASSISTIVE DEVICE; KNEE EXOSKELETON</t>
  </si>
  <si>
    <t>Benchmarks have long been used to verify and compare the readiness level of different technologies in many application domains. In the field of wearable robots, the lack of a recognized benchmarking methodology is one important impediment that may hamper the efficient translation of research prototypes into actual products. At the same time, an exponentially growing number of research studies are addressing the problem of quantifying the performance of robotic exoskeletons, resulting in a rich and highly heterogeneous picture of methods, variables and protocols. This review aims to organize this information, and identify the most promising performance indicators that can be converted into practical benchmarks. We focus our analysis on lower limb functions, including a wide spectrum of motor skills and performance indicators. We found that, in general, the evaluation of lower limb exoskeletons is still largely focused on straight walking, with poor coverage of most of the basic motor skills that make up the activities of daily life. Our analysis also reveals a clear bias towards generic kinematics and kinetic indicators, in spite of the metrics of human-robot interaction. Based on these results, we identify and discuss a number of promising research directions that may help the community to attain a comprehensive benchmarking methodology for robot-assisted locomotion more efficiently.</t>
  </si>
  <si>
    <t>[Pinto-Fernandez, David; Torricelli, Diego; Sanchez-Villamanan, Maria del Carmen; Moreno, Juan C.] Spanish Res Council, Neural Rehabil Grp, Cajal Inst, Madrid 28002, Spain; [Aller, Felix; Mombaur, Katja] Heidelberg Univ, Inst Comp Engn ZITI, Chair Optimizat Robot &amp; Biomech ORB, D-69120 Heidelberg, Germany; [Mombaur, Katja] Univ Waterloo, Canada Excellence Chair Human Ctr Robot &amp; Machine, Waterloo, ON N2L 3G1, Canada; [Conti, Roberto] IUVO SRL, I-56025 Pontedera, Italy; [Vitiello, Nicola] Scuola Super Sant Anna, BioRobot Inst, I-56127 Pisa, Italy; [Vitiello, Nicola] Dept Excellence Robot &amp; AI, Piazza Martiri Liberta 33, I-56127 Pisa, Italy; [Vitiello, Nicola] IRCCS Fdn Don Carlo Gnocchi, I-20148 Milan, Italy; [Pons, Jose Luis] Shirley Ryan AbilityLab, Legs &amp; Walking AbilityLab, Sci Chair, Chicago, IL 60611 USA; [Pons, Jose Luis] Feinberg Sch Med, Dept Phys Med &amp; Rehabil, Chicago, IL 60611 USA; [Pons, Jose Luis] Northwestern Univ, Dept Biomed Engn, McCormick Sch Engn, Chicago, IL 60611 USA; [Pons, Jose Luis] Northwestern Univ, Dept Mech Engn, McCormick Sch Engn, Chicago, IL 60611 USA</t>
  </si>
  <si>
    <t>Consejo Superior de Investigaciones Cientificas (CSIC); CSIC - Instituto Cajal (IC); Ruprecht Karls University Heidelberg; University of Waterloo; Scuola Superiore Sant'Anna; IRCCS Fondazione Don Carlo Gnocchi Onlus; Shirley Ryan AbilityLab; Northwestern University; Feinberg School of Medicine; Northwestern University; Northwestern University</t>
  </si>
  <si>
    <t>Torricelli, D (corresponding author), Spanish Res Council, Neural Rehabil Grp, Cajal Inst, Madrid 28002, Spain.</t>
  </si>
  <si>
    <t>diego.torricelli@csic.es</t>
  </si>
  <si>
    <t>Vitiello, Nicola/B-8960-2009; Moreno, Juan/G-3622-2016; Torricelli, Diego/B-3737-2017</t>
  </si>
  <si>
    <t>Vitiello, Nicola/0000-0001-8636-7716; Aller, Felix/0000-0002-9905-3991; Pinto-Fernandez, David/0000-0003-0139-1261; Pons, Jose L./0000-0003-0265-0181; Torricelli, Diego/0000-0001-8767-3395; Moreno, Juan C./0000-0001-9561-7764</t>
  </si>
  <si>
    <t>H2020 Project EUROBENCH [779963]; COST Action [CA16116]</t>
  </si>
  <si>
    <t>H2020 Project EUROBENCH; COST Action(European Cooperation in Science and Technology (COST))</t>
  </si>
  <si>
    <t>This work was supported in part by the H2020 Project EUROBENCH under Grant 779963, and in part by the COST Action under Grant CA16116. (David Pinto-Fernandez and Diego Torricelli contributed equally to this work.)</t>
  </si>
  <si>
    <t>10.1109/TNSRE.2020.2989481</t>
  </si>
  <si>
    <t>MH7BM</t>
  </si>
  <si>
    <t>WOS:000546879800009</t>
  </si>
  <si>
    <t>Lennon, O; Tonellato, M; Del Felice, A; Di Marco, R; Fingleton, C; Korik, A; Guanziroli, E; Molteni, F; Guger, C; Otner, R; Coyle, D</t>
  </si>
  <si>
    <t>Lennon, Olive; Tonellato, Michele; Del Felice, Alessandra; Di Marco, Roberto; Fingleton, Caitriona; Korik, Attila; Guanziroli, Eleonora; Molteni, Franco; Guger, Christoph; Otner, Rupert; Coyle, Damien</t>
  </si>
  <si>
    <t>A Systematic Review Establishing the Current State-of-the-Art, the Limitations, and the DESIRED Checklist in Studies of Direct Neural Interfacing With Robotic Gait Devices in Stroke Rehabilitation</t>
  </si>
  <si>
    <t>stroke rehabilitation; robot-assisted gait trainer; electromyography; electroencephalography; human-machine interface; brain-computer interface</t>
  </si>
  <si>
    <t>ASSISTED TREADMILL WALKING; BRAIN-COMPUTER INTERFACES; MUSCLE-ACTIVITY PATTERNS; SPINAL-CORD-INJURY; LOWER-LIMB; HEMIPARETIC GAIT; LEG MUSCLES; EXOSKELETON; POSTSTROKE; RECOVERY</t>
  </si>
  <si>
    <t>Background: Stroke is a disease with a high associated disability burden. Robotic-assisted gait training offers an opportunity for the practice intensity levels associated with good functional walking outcomes in this population. Neural interfacing technology, electroencephalography (EEG), or electromyography (EMG) can offer new strategies for robotic gait re-education after a stroke by promoting more active engagement in movement intent and/or neurophysiological feedback. Objectives: This study identifies the current state-of-the-art and the limitations in direct neural interfacing with robotic gait devices in stroke rehabilitation. Methods: A pre-registered systematic review was conducted using standardized search operators that included the presence of stroke and robotic gait training and neural biosignals (EMG and/or EEG) and was not limited by study type. Results: From a total of 8,899 papers identified, 13 articles were considered for the final selection. Only five of the 13 studies received a strong or moderate quality rating as a clinical study. Three studies recorded EEG activity during robotic gait, two of which used EEG for BCI purposes. While demonstrating utility for decoding kinematic and EMG-related gait data, no EEG study has been identified to close the loop between robot and human. Twelve of the studies recorded EMG activity during or after robotic walking, primarily as an outcome measure. One study used multisource information fusion from EMG, joint angle, and force to modify robotic commands in real time, with higher error rates observed during active movement. A novel study identified used EMG data during robotic gait to derive the optimal, individualized robot-driven step trajectory. Conclusions: Wide heterogeneity in the reporting and the purpose of neurobiosignal use during robotic gait training after a stroke exists. Neural interfacing with robotic gait after a stroke demonstrates promise as a future field of study. However, as a nascent area, direct neural interfacing with robotic gait after a stroke would benefit from a more standardized protocol for biosignal collection and processing and for robotic deployment. Appropriate reporting for clinical studies of this nature is also required with respect to the study type and the participants' characteristics.</t>
  </si>
  <si>
    <t>[Lennon, Olive] Univ Coll Dublin, Sch Publ Hlth Physiotherapy &amp; Sports Sci, Dublin, Ireland; [Tonellato, Michele] Univ Padua, Dept Neurosci, Rehabil Unit, Padua, Italy; [Del Felice, Alessandra; Di Marco, Roberto] Univ Padua, Dept Neurosci, NEUROMOVE Rehab Lab, Padua, Italy; [Del Felice, Alessandra] Univ Padua, Padova Neurosci Ctr, Padua, Italy; [Fingleton, Caitriona] Mater Misericordiae Univ Hosp, Dept Physiotherapy, Dublin, Ireland; [Korik, Attila; Coyle, Damien] Ulster Univ, Sch Comp Engn &amp; Intelligent Syst Ulster, Intelligent Syst Res Ctr, Derry, Londonderry, North Ireland; [Guanziroli, Eleonora; Molteni, Franco] Valduce Hosp, Villa Beretta Rehabil Ctr, Costa Masnaga, Italy; [Guger, Christoph; Otner, Rupert] Gtec Med Engn GmbH, Schiedlberg, Austria</t>
  </si>
  <si>
    <t>University College Dublin; University of Padua; University of Padua; University of Padua; University College Dublin; Mater Misericordiae University Hospital; Ulster University</t>
  </si>
  <si>
    <t>Lennon, O (corresponding author), Univ Coll Dublin, Sch Publ Hlth Physiotherapy &amp; Sports Sci, Dublin, Ireland.</t>
  </si>
  <si>
    <t>olive.lennon@ucd.ie</t>
  </si>
  <si>
    <t>Lennon, Olive/E-5202-2012; Coyle, Damien/S-5332-2019; , Del Felice Alessandra/J-8917-2016; Molteni, Franco/J-4455-2016; DI MARCO, ROBERTO/AAL-1586-2020; Coyle, Damien/D-1161-2013; Guanziroli, Eleonora/K-5078-2016</t>
  </si>
  <si>
    <t>Lennon, Olive/0000-0001-7005-3616; DI MARCO, ROBERTO/0000-0002-3644-352X; Coyle, Damien/0000-0002-4739-1040; Guanziroli, Eleonora/0000-0002-7512-5372</t>
  </si>
  <si>
    <t>EU [778043]; Marie Curie Actions (MSCA) [778043] Funding Source: Marie Curie Actions (MSCA)</t>
  </si>
  <si>
    <t>EU(European Union (EU)); Marie Curie Actions (MSCA)(Marie Curie Actions)</t>
  </si>
  <si>
    <t>This study has been supported by an EU-funded H2020 Research and Innovation Staff Exchange grant: PRO GAIT grant agreement number 778043. The funders had no role in the study design, data collection and analysis, decision to publish, or preparation of the manuscript.</t>
  </si>
  <si>
    <t>10.3389/fnins.2020.00578</t>
  </si>
  <si>
    <t>QI1ZH</t>
  </si>
  <si>
    <t>WOS:000618772300001</t>
  </si>
  <si>
    <t>Mehrholz, J; Pollock, A; Pohl, M; Kugler, J; Elsner, B</t>
  </si>
  <si>
    <t>Mehrholz, Jan; Pollock, Alex; Pohl, Marcus; Kugler, Joachim; Elsner, Bernhard</t>
  </si>
  <si>
    <t>Systematic review with network meta-analysis of randomized controlled trials of robotic-assisted arm training for improving activities of daily living and upper limb function after stroke</t>
  </si>
  <si>
    <t>Stroke; Rehabilitation; Robots; Upper limb; Network meta-analysis</t>
  </si>
  <si>
    <t>CONSISTENCY</t>
  </si>
  <si>
    <t>Background The aim of the present study was to to assess the relative effectiveness of the various types of electromechanical-assisted arm devices and approaches after stroke. Method This is a systematic review of randomized controlled trials with network meta-analysis. Our primary endpoints were activities of daily living (measured e.g. with Barthel-Index) and hand-arm function (measured e.g. with the Fugl-Meyer Scale for the upper limb), our secondary endpoints were hand-arm strength (measured e.g. with the Motricity Index) and safety. We used conventional arm training as our reference category and compared it with different intervention categories of electromechanical-assisted arm training depending on the therapy approach. We did indirect comparisons between the type of robotic device. We considered the heterogeneity of the studies by means of confidence and prediction intervals. Results Fifty five randomized controlled trials, including 2654 patients with stroke, met our inclusion criteria. For the primary endpoints activities of daily living and hand-arm function and the secondary endpoint hand-arm strength, none of the interventions achieved statistically significant improvements, taking into account the heterogeneity of the studies. Safety did not differ with regard to the individual interventions of arm rehabilitation after stroke. Conclusion The outcomes of robotic-assisted arm training were comparable with conventional therapy. Indirect comparisons suggest that no one type of robotic device is any better or worse than any other device, providing no clear evidence to support the selection of specific types of robotic device to promote hand-arm recovery.</t>
  </si>
  <si>
    <t>[Mehrholz, Jan; Kugler, Joachim; Elsner, Bernhard] Tech Univ Dresden, Dresden Med Sch, Dept Publ Hlth, Dresden, Germany; [Pollock, Alex] Glasgow Caledonian Univ, NMAHP Res Unit, Glasgow, Lanark, Scotland; [Pohl, Marcus] Vamed Klin Schloss Pulsnitz, Pulsnitz, Germany</t>
  </si>
  <si>
    <t>Technische Universitat Dresden; Glasgow Caledonian University</t>
  </si>
  <si>
    <t>Elsner, Bernhard/K-5951-2015; Kugler, Joachim/IST-6529-2023</t>
  </si>
  <si>
    <t>Todhunter-Brown, Alex/0000-0003-4941-7985; Elsner, Bernhard/0000-0002-2519-5030</t>
  </si>
  <si>
    <t>TU Dresden</t>
  </si>
  <si>
    <t>There was no funding for conducting the study. Open access funding by the publication fund of the TU Dresden.</t>
  </si>
  <si>
    <t>10.1186/s12984-020-00715-0</t>
  </si>
  <si>
    <t>MH5HE</t>
  </si>
  <si>
    <t>WOS:000546759200001</t>
  </si>
  <si>
    <t>Ajayi, MO; Djouani, K; Hamam, Y</t>
  </si>
  <si>
    <t>Ajayi, Michael Oluwatosin; Djouani, Karim; Hamam, Yskandar</t>
  </si>
  <si>
    <t>Interaction Control for Human-Exoskeletons</t>
  </si>
  <si>
    <t>JOURNAL OF CONTROL SCIENCE AND ENGINEERING</t>
  </si>
  <si>
    <t>MUSCLE ACTIVATION PATTERNS; IMPEDANCE CONTROL; ROBOT; REHABILITATION; DESIGN; THERAPY; SYSTEM; ARMIN; ORTHOSIS; MODEL</t>
  </si>
  <si>
    <t>In this work, a general concept of the human-exoskeleton compatibility and interaction control is addressed. Rehabilitation, as applied to humans with motor control disorder, involves repetitive gait training in relation to lower limb extremity and repetitive task training in relation to upper limb extremity. It is in this regard that exoskeletal systems must be kinematically compatible with those of the subject in order to guarantee that the subject is being trained properly. The incompatibility between the wearable robotic device and the wearer results in joint misalignment, thus introducing interaction forces during movement. This, therefore, leads to the introduction of the need for interaction control in wearable robotic devices. Human-exoskeleton joint alignment is an uphill task; hence, measures to actualize this in order to guarantee the safety and comfort of humans are necessary. These measures depend on the types of joints involved in the rehabilitation or assistive process. Hence, several upper and lower extremity exoskeletons with concepts relating to interaction forces reduction are reviewed. The significant distinction in the modelling strategy of lower and upper limb exoskeletons is highlighted. Limitations of certain exoskeletal systems which may not allow the application of interaction control are also discussed.</t>
  </si>
  <si>
    <t>[Ajayi, Michael Oluwatosin; Djouani, Karim; Hamam, Yskandar] Tshwane Univ Technol, Dept Elect Engn, FSATI, Staatsartillerie Rd, Pretoria, South Africa; [Djouani, Karim] Univ Paris Est Creteil UPEC, LISSI, F-94400 Vitry Sur Seine, France; [Hamam, Yskandar] LISV, Pole Sci Technol Velizy, Batiment Boucher,10-12 Ave Europe, F-78140 Velizy Villacoublay, France</t>
  </si>
  <si>
    <t>Tshwane University of Technology; Universite Paris-Est-Creteil-Val-de-Marne (UPEC); Universite Paris Saclay</t>
  </si>
  <si>
    <t>Ajayi, MO; Djouani, K; Hamam, Y (corresponding author), Tshwane Univ Technol, Dept Elect Engn, FSATI, Staatsartillerie Rd, Pretoria, South Africa.;Djouani, K (corresponding author), Univ Paris Est Creteil UPEC, LISSI, F-94400 Vitry Sur Seine, France.;Hamam, Y (corresponding author), LISV, Pole Sci Technol Velizy, Batiment Boucher,10-12 Ave Europe, F-78140 Velizy Villacoublay, France.</t>
  </si>
  <si>
    <t>ajayi.michael.o@gmail.com; djouanik@tut.ac.za; hamama@tut.ac.za</t>
  </si>
  <si>
    <t>Hamam, Yskandar/0000-0002-9673-9189; Ajayi, Michael Oluwatosin/0000-0001-8425-3053; Djouani, Karim/0000-0001-6060-8200</t>
  </si>
  <si>
    <t>National Research Foundation of South Africa [90604]</t>
  </si>
  <si>
    <t>National Research Foundation of South Africa(National Research Foundation - South Africa)</t>
  </si>
  <si>
    <t>This work was supported by the National Research Foundation of South Africa (grant no. 90604). Opinions, findings, and conclusions or recommendations expressed in any publication generated by the NRF supported research are those of the authors alone, and the NRF accepts no liability whatsoever in this regard.</t>
  </si>
  <si>
    <t>1687-5249</t>
  </si>
  <si>
    <t>1687-5257</t>
  </si>
  <si>
    <t>J CONTROL SCI ENG</t>
  </si>
  <si>
    <t>J. Control Sci. Eng.</t>
  </si>
  <si>
    <t>JUN 26</t>
  </si>
  <si>
    <t>10.1155/2020/8472510</t>
  </si>
  <si>
    <t>MK9VD</t>
  </si>
  <si>
    <t>WOS:000549126100001</t>
  </si>
  <si>
    <t>Ekechukwu, END; Olowoyo, P; Nwankwo, KO; Olaleye, OA; Ogbodo, VE; Hamzat, TK; Owolabi, MO</t>
  </si>
  <si>
    <t>Ekechukwu, Echezona Nelson Dominic; Olowoyo, Paul; Nwankwo, Kingsley Obumneme; Olaleye, Olubukola A.; Ogbodo, Veronica Ebere; Hamzat, Talhatu Kolapo; Owolabi, Mayowa Ojo</t>
  </si>
  <si>
    <t>Pragmatic Solutions for Stroke Recovery and Improved Quality of Life in Low- and Middle-Income Countries-A Systematic Review</t>
  </si>
  <si>
    <t>pragmatic solution; stroke recovery; quality of life; low; and middle-income countries; innovatively high technology interventions; systematic review</t>
  </si>
  <si>
    <t>CONSTRAINT-INDUCED MOVEMENT; RANDOMIZED CONTROLLED-TRIAL; TRANSCRANIAL MAGNETIC STIMULATION; FUNCTIONAL ELECTRICAL-STIMULATION; WEIGHT-SUPPORTED TREADMILL; UPPER-LIMB FUNCTION; NONINVASIVE BRAIN-STIMULATION; EXTREMITY MOTOR RECOVERY; ROBOT-ASSISTED THERAPY; STRUCTURED TRAINING-PROGRAM</t>
  </si>
  <si>
    <t>Background:Given the limited healthcare resources in low and middle income countries (LMICs), effective rehabilitation strategies that can be realistically adopted in such settings are required. Objective:A systematic review of literature was conducted to identify pragmatic solutions and outcomes capable of enhancing stroke recovery and quality of life of stroke survivors for low- and middle- income countries. Methods:PubMed, HINARI, and Directory of Open Access Journals databases were searched for published Randomized Controlled Trials (RCTs) till November 2018. Only completed trials published in English with non-pharmacological interventions on adult stroke survivors were included in the review while published protocols, pilot studies and feasibility analysis of trials were excluded. Obtained data were synthesized thematically and descriptively analyzed. Results:One thousand nine hundred and ninety six studies were identified while 347 (65.22% high quality) RCTs were found to be eligible for the review. The most commonly assessed variables (and outcome measure utility) were activities of daily living [75.79% of the studies, with Barthel Index (37.02%)], motor function [66.57%; with Fugl Meyer scale (71.88%)], and gait [31.12%; with 6 min walk test (38.67%)]. Majority of the innovatively high technology interventions such as robot therapy (95.24%), virtual reality (94.44%), transcranial direct current stimulation (78.95%), transcranial magnetic stimulation (88.0%) and functional electrical stimulation (85.00%) were conducted in high income countries. Several traditional and low-cost interventions such as constraint-induced movement therapy (CIMT), resistant and aerobic exercises (R&amp;AE), task oriented therapy (TOT), body weight supported treadmill training (BWSTT) were reported to significantly contribute to the recovery of motor function, activity, participation, and improvement of quality of life after stroke. Conclusion:Several pragmatic, in terms of affordability, accessibility and utility, stroke rehabilitation solutions, and outcome measures that can be used in resource-limited settings were found to be effective in facilitating and enhancing post-stroke recovery and quality of life.</t>
  </si>
  <si>
    <t>[Ekechukwu, Echezona Nelson Dominic] Univ Nigeria, Fac Hlth Sci &amp; Technol, Dept Rehabil Med, Coll Med, Enugu, Nigeria; [Ekechukwu, Echezona Nelson Dominic] LANCET Physiotherapy &amp; Wellness &amp; Res Ctr, Enugu, Nigeria; [Olowoyo, Paul] Fed Teaching Hosp, Dept Med, Ido Ekiti, Nigeria; [Olowoyo, Paul] Afe Babalola Univ, Coll Med &amp; Hlth Sci, Ado Ekiti, Nigeria; [Nwankwo, Kingsley Obumneme] Stroke Control Innovat Initiat Nigeria, Abuja, Nigeria; [Nwankwo, Kingsley Obumneme] Fitness Global Consult Physiotherapy Clin, Abuja, Nigeria; [Olaleye, Olubukola A.; Hamzat, Talhatu Kolapo] Univ Ibadan, Fac Clin Sci, Dept Physiotherapy, Coll Med, Ibadan, Nigeria; [Ogbodo, Veronica Ebere] Univ Coll Hosp, Dept Physiotherapy, Ibadan, Nigeria; [Owolabi, Mayowa Ojo] Univ Ibadan, Fac Clin Sci, Dept Med, Coll Med, Ibadan, Nigeria; [Owolabi, Mayowa Ojo] Univ Coll Hosp, Ibadan, Nigeria; [Owolabi, Mayowa Ojo] Blossom Specialist Med Ctr, Ibadan, Nigeria</t>
  </si>
  <si>
    <t>University of Nigeria; University of Ibadan; University of Ibadan; University College Hospital, Ibadan; University of Ibadan; University of Ibadan; University College Hospital, Ibadan</t>
  </si>
  <si>
    <t>Owolabi, MO (corresponding author), Univ Ibadan, Fac Clin Sci, Dept Med, Coll Med, Ibadan, Nigeria.;Owolabi, MO (corresponding author), Univ Coll Hosp, Ibadan, Nigeria.;Owolabi, MO (corresponding author), Blossom Specialist Med Ctr, Ibadan, Nigeria.</t>
  </si>
  <si>
    <t>mayowaowolabi@yahoo.com</t>
  </si>
  <si>
    <t>EKECHUKWU, Echezona/AAM-8599-2020; Olowoyo, Paul/JVO-0064-2024</t>
  </si>
  <si>
    <t>Olowoyo, Paul/0000-0002-0802-8505</t>
  </si>
  <si>
    <t>NIH [U54HG007479, R01NS107900, R01NS115944-01, 3U24HG009780-03S5, 1R01NS114045-01]</t>
  </si>
  <si>
    <t>MO is supported by the NIH (SIREN U54HG007479, SIBS Genomics R01NS107900, ARISES R01NS115944-01, H3Africa CVD Supplement 3U24HG009780-03S5, and CaNVAS 1R01NS114045-01).</t>
  </si>
  <si>
    <t>10.3389/fneur.2020.00337</t>
  </si>
  <si>
    <t>MQ9XS</t>
  </si>
  <si>
    <t>WOS:000553248900001</t>
  </si>
  <si>
    <t>Kalita, B; Narayan, J; Dwivedy, SK</t>
  </si>
  <si>
    <t>Kalita, Bhaben; Narayan, Jyotindra; Dwivedy, Santosha Kumar</t>
  </si>
  <si>
    <t>Development of Active Lower Limb Robotic-Based Orthosis and Exoskeleton Devices: A Systematic Review</t>
  </si>
  <si>
    <t>Robotic devices; Rehabilitation; Lower limb; Joint types; Actuation modes; Control strategies</t>
  </si>
  <si>
    <t>ANKLE-FOOT ORTHOSIS; OF-THE-ART; CEREBRAL-PALSY; WALKING SUPPORT; GAIT ASSISTANCE; LEG EXOSKELETON; DESIGN; REHABILITATION; HIP; SUIT</t>
  </si>
  <si>
    <t>The basic routine movements for elderly people are not easily accessible due to the weak muscles and impaired nerves in their lower extremity. In the last few years, many robotic-based rehabilitation devices, like orthosis and exoskeletons, have been designed and developed by researchers to provide locomotion assistance to support gait behavior and to perform daily activities for elderly people. However, there is still a need for improvement in the design, actuation and control of these devices for making them cost-effective in the worldwide market. In this work, a systematic review is presented on available lower limb orthosis and exoskeleton devices, to date. The devices are broadly reviewed according to joint types, actuation modes and control strategies. Furthermore, tabular comparisons have also been presented with the types and applications of these devices. Finally, the needful improvements for realizing the efficacy of lower limb rehabilitation devices are discussed along with the development stage. This review will help the designers and researchers to develop an efficient robotic device for the rehabilitation of the lower limb.</t>
  </si>
  <si>
    <t>[Kalita, Bhaben; Narayan, Jyotindra; Dwivedy, Santosha Kumar] Indian Inst Technol Guwahati, Dept Mech Engn, Gauhati 781039, India</t>
  </si>
  <si>
    <t>Indian Institute of Technology System (IIT System); Indian Institute of Technology (IIT) - Guwahati</t>
  </si>
  <si>
    <t>Kalita, B (corresponding author), Indian Inst Technol Guwahati, Dept Mech Engn, Gauhati 781039, India.</t>
  </si>
  <si>
    <t>bhaben.iitg@gmail.com</t>
  </si>
  <si>
    <t>KALITA, BHABEN/Y-3175-2019; NARAYAN, JYOTINDRA/AAE-9306-2021</t>
  </si>
  <si>
    <t>NARAYAN, JYOTINDRA/0000-0002-2499-6039</t>
  </si>
  <si>
    <t>10.1007/s12369-020-00662-9</t>
  </si>
  <si>
    <t>TL5VC</t>
  </si>
  <si>
    <t>WOS:000542516000001</t>
  </si>
  <si>
    <t>García-Rudolph, A; Bernabeu-Guitart, M; Opisso, E</t>
  </si>
  <si>
    <t>Garcia-Rudolph, Alejandro; Bernabeu-Guitart, Montserrat; Opisso, Eloy</t>
  </si>
  <si>
    <t>Intensities in the application of robotic technologies in upper extremity rehabilitation after a stroke: a systematic review of randomised controlled clinical trials</t>
  </si>
  <si>
    <t>REVISTA DE NEUROLOGIA</t>
  </si>
  <si>
    <t>Disability; Fugl-Meyer Assessment; Rehabilitation; Robotic technologies; Stroke; Technologies; Upper extremities</t>
  </si>
  <si>
    <t>HEALTH-RELATED-QUALITY; UPPER-LIMB; ASSISTED THERAPY; ARM FUNCTION; OF-LIFE; RECOVERY; IMPACT; STIMULATION; PERFORMANCE; GRAVITY</t>
  </si>
  <si>
    <t>Introduction. In the vast majority of cases stroke entails long-term limitations in the use of the upper extremities that are affected. Robotic technologies provide beneficial results in motor rehabilitation, but the optimal levels of intensity are not known. Aims. To review the scientific literature (over the last 10 years) on robotic therapies (intervention group) compared to conventional therapies (control group) in the chronic phase of stroke, and to study correlations between variables that characterise the interventions and intensity variables. Subjects and methods. A systematic review was conducted of randomised controlled clinical trials in PubMed, Web of Science, Cochrane Library and Google Scholar, with results assessed by the Fugl-Meyer Assessment-Upper Extremity Motor Score (mFMA-UE). The methodological quality was analysed using the Physiotherapy Evidence Database scale (PEDro). Results. Thirteen studies from evidence level I (92%, excellent) were selected. Positive correlations between minutes per week and improvements in mFMA-UE are observed in the control group and in the intervention group, with a higher level of significance for the latter. Negative correlations are observed between the number of months since the lesion and improvements in the control and intervention groups. An exponential regression is included, which illustrates differences between the control group and the intervention group in favour of the latter. A negative correlation is observed between the total duration and the number of minutes per week. Conclusion. Significant correlations are observed between intensity (minutes per week) and mFMA-UE, with a higher level of significance in the intervention group.</t>
  </si>
  <si>
    <t>Inst Univ Neurorehabil UAB, Inst Guttmann, Barcelona, Spain; Univ Autonoma Barcelona, Barcelona, Spain; Fundacio Inst Invest Ciencies Salut Germans Trias, Barcelona, Spain</t>
  </si>
  <si>
    <t>Autonomous University of Barcelona; Fundacio Institut d'Investigacio en Ciencies de la Salut Germans Trias i Pujol (IGTP)</t>
  </si>
  <si>
    <t>Opisso, E (corresponding author), Hosp Neurorehabil, Inst Guttmann, Cami Can Ruti S-N, E-08916 Badalona, Barcelona, Spain.</t>
  </si>
  <si>
    <t>eopisso@guttmann.com</t>
  </si>
  <si>
    <t>Opisso, Eloy/HZI-1062-2023</t>
  </si>
  <si>
    <t>Opisso, Eloy/0000-0002-6868-6737</t>
  </si>
  <si>
    <t>BARCELONA</t>
  </si>
  <si>
    <t>C/O CESAR VIGUERA, EDITOR, APDO 94121, 08080 BARCELONA, SPAIN</t>
  </si>
  <si>
    <t>0210-0010</t>
  </si>
  <si>
    <t>1576-6578</t>
  </si>
  <si>
    <t>REV NEUROLOGIA</t>
  </si>
  <si>
    <t>Rev. Neurologia</t>
  </si>
  <si>
    <t>10.33588/rn.7012.2019491</t>
  </si>
  <si>
    <t>OS1CD</t>
  </si>
  <si>
    <t>WOS:000589900800002</t>
  </si>
  <si>
    <t>Dunkelberger, N; Schearer, EM; O'Malley, MK</t>
  </si>
  <si>
    <t>Dunkelberger, Nathan; Schearer, Eric M.; O'Malley, Marcia K.</t>
  </si>
  <si>
    <t>A review of methods for achieving upper limb movement following spinal cord injury through hybrid muscle stimulation and robotic assistance</t>
  </si>
  <si>
    <t>Functional electrical stimulation; Neuromuscular electrical stimulation; Rehabilitation robotics; Hybrid systems; Exoskeletons; Shared control; Spinal cord injury; Neuroprosthesis</t>
  </si>
  <si>
    <t>NEUROMUSCULAR ELECTRICAL-STIMULATION; BRAIN-COMPUTER INTERFACES; UPPER-EXTREMITY; ACTUATOR REDUNDANCY; EXOSKELETON; NEUROPROSTHESIS; RESTORATION; INDIVIDUALS; FATIGUE; FES</t>
  </si>
  <si>
    <t>Individuals with tetraplegia, typically attributed to spinal cord injuries (SCI) at the cervical level, experience significant health care costs and loss of independence due to their limited reaching and grasping capabilities. Neuromuscular electrical stimulation (NMES) is a promising intervention to restore arm and hand function because it activates a person's own paralyzed muscles; however, NMES sometimes lacks the accuracy and repeatability necessary to position the limb for functional tasks, and repeated muscle stimulation can lead to fatigue. Robotic devices have the potential to restore function when used as assistive devices to supplement or replace limited or lost function of the upper limb following SCI. Unfortunately, most robotic solutions are bulky or require significant power to operate, limiting their applicability to restore functional independence in a home environment. Combining NMES and robotic support systems into a single hybrid neuroprosthesis is compelling, since the robotic device can supplement the action of the muscles and improve repeatability and accuracy. Research groups have begun to explore applications of movement assistance for individuals with spinal cord injury using these technologies in concert. In this review, we present the state of the art in hybrid NMES-orthotic systems for upper limb movement restoration following spinal cord injury, and suggest areas for emphasis necessary to move the field forward. Currently, NMES-robotic systems use either surface or implanted electrodes to stimulate muscles, with rigid robotic supports holding the limb against gravity, or providing assistance in reaching movements. Usability of such systems outside of the lab or clinic is limited due to the complexity of both the mechanical components, stimulation systems, and human-machine interfaces. Assessment of system and participant performance is not reported in a standardized way. Future directions should address wearability through improvements in component technologies and user interfaces. Further, increased integration of the control action between NMES and robotic subsystems to reanimate the limb should be pursued. Standardized reporting of system performance and expanded clinical assessments of these systems are also needed. All of these advancements are critical to facilitate translation from lab to home.</t>
  </si>
  <si>
    <t>[Dunkelberger, Nathan; O'Malley, Marcia K.] Rice Univ, Dept Mech Engn, Houston, TX 77005 USA; [Schearer, Eric M.] Cleveland State Univ, Ctr Human Machine Syst, Cleveland, OH 44115 USA; [Schearer, Eric M.] Cleveland Funct Elect Stimulat Ctr, Cleveland, OH 44106 USA</t>
  </si>
  <si>
    <t>Rice University; University System of Ohio; Cleveland State University</t>
  </si>
  <si>
    <t>Dunkelberger, N (corresponding author), Rice Univ, Dept Mech Engn, Houston, TX 77005 USA.</t>
  </si>
  <si>
    <t>nbd2@rice.edu; e.schearer@csuohio.edu; omalleym@rice.edu</t>
  </si>
  <si>
    <t>O'Malley, Marcia/0000-0002-3563-1051; Dunkelberger, Nathan/0000-0002-2398-1986</t>
  </si>
  <si>
    <t>10.1016/j.expneurol.2020.113274</t>
  </si>
  <si>
    <t>LG1SA</t>
  </si>
  <si>
    <t>WOS:000527888300002</t>
  </si>
  <si>
    <t>Luo, J; He, W; Yang, CG</t>
  </si>
  <si>
    <t>Luo, Jing; He, Wei; Yang, Chenguang</t>
  </si>
  <si>
    <t>Combined perception, control, and learning for teleoperation: key technologies, applications, and challenges</t>
  </si>
  <si>
    <t>COGNITIVE COMPUTATION AND SYSTEMS</t>
  </si>
  <si>
    <t>artificial intelligence; learning (artificial intelligence); human-robot interaction; telerobotics; mobile robots; mechatronics; cross researches; artificial intelligence; state-of-the-arts research; information perception mechanism; control algorithms; human-robot interface; robot learning strategies; teleoperation; representative applications; existing challenges; combined perception; human-robot collaboration; unknown environments; unstructured environments; robots; collaborative task</t>
  </si>
  <si>
    <t>ROBOT INTERACTION; BILATERAL TELEOPERATION; BIMANUAL TELEOPERATION; MANIPULATION TASKS; INTERFACE DESIGN; TIME; REHABILITATION; SYSTEM; FORCE; PERFORMANCE</t>
  </si>
  <si>
    <t>Teleoperation provides a promising way for human-robot collaboration in the unknown or unstructured environments to perform a cooperative task. It enables humans to complete a task at a remote side and combines both the human's intelligence and the robots' capabilities in a collaborative task. Therefore, it is necessary to conduct cross researches in terms of robotics, artificial intelligence, sensors, and mechatronics. This study covers the state-of-the-arts research in terms of perception, control, and learning. In this review, key technologies about information perception mechanism, control algorithms, human-robot interface, and robot learning strategies for teleoperation are introduced. Then, a comprehensive survey is summarised in representative applications in teleoperation, and the existing challenges and potential directions of the development are discussed.</t>
  </si>
  <si>
    <t>[Luo, Jing; Yang, Chenguang] South China Univ Technol, Sch Automat Sci &amp; Engn, Key Lab Autonomous Syst &amp; Networked Control, Guangzhou 510640, Peoples R China; [He, Wei] Univ Sci &amp; Technol Beijing, Sch Automat &amp; Elect Engn, Beijing 100083, Peoples R China</t>
  </si>
  <si>
    <t>South China University of Technology; University of Science &amp; Technology Beijing</t>
  </si>
  <si>
    <t>Yang, CG (corresponding author), South China Univ Technol, Sch Automat Sci &amp; Engn, Key Lab Autonomous Syst &amp; Networked Control, Guangzhou 510640, Peoples R China.</t>
  </si>
  <si>
    <t>cyang@ieee.org</t>
  </si>
  <si>
    <t>He, Wei/K-4900-2019; Yang, Chenguang/ABE-7755-2020</t>
  </si>
  <si>
    <t>Yang, Chenguang/0000-0001-5255-5559; Luo, Jing/0000-0003-0646-743X</t>
  </si>
  <si>
    <t>National Natural Science Foundation of China [61861136009, 61811530281]; UK-China Joint Research and Innovation Partnership Fund PhD Placement Programme [201806150139]</t>
  </si>
  <si>
    <t>National Natural Science Foundation of China(National Natural Science Foundation of China (NSFC)); UK-China Joint Research and Innovation Partnership Fund PhD Placement Programme</t>
  </si>
  <si>
    <t>This work was supported in part by the National Natural Science Foundation of China under grant no. 61861136009, grant no. 61811530281, and in part by the UK-China Joint Research and Innovation Partnership Fund PhD Placement Programme 201806150139.</t>
  </si>
  <si>
    <t>2517-7567</t>
  </si>
  <si>
    <t>COGN COMPUT SYST</t>
  </si>
  <si>
    <t>Cogn. Comput. Syst.</t>
  </si>
  <si>
    <t>10.1049/ccs.2020.0005</t>
  </si>
  <si>
    <t>VM9JO</t>
  </si>
  <si>
    <t>WOS:001062648000001</t>
  </si>
  <si>
    <t>Makhataeva, Z; Varol, HA</t>
  </si>
  <si>
    <t>Makhataeva, Zhanat; Varol, Huseyin Atakan</t>
  </si>
  <si>
    <t>Augmented Reality for Robotics: A Review</t>
  </si>
  <si>
    <t>augmented reality; robotics; human-robot interaction; robot assisted surgery; teleoperation; remote control; robot programming; robot swarms</t>
  </si>
  <si>
    <t>ASSISTED SURGERY; MIXED REALITY; DESIGN; TELEOPERATION; LOCALIZATION; MAINTENANCE; PERFORMANCE; ENVIRONMENT; HARDWARE; SYSTEM</t>
  </si>
  <si>
    <t>Augmented reality (AR) is used to enhance the perception of the real world by integrating virtual objects to an image sequence acquired from various camera technologies. Numerous AR applications in robotics have been developed in recent years. The aim of this paper is to provide an overview of AR research in robotics during the five year period from 2015 to 2019. We classified these works in terms of application areas into four categories: (1) Medical robotics: Robot-Assisted surgery (RAS), prosthetics, rehabilitation, and training systems; (2) Motion planning and control: trajectory generation, robot programming, simulation, and manipulation; (3) Human-robot interaction (HRI): teleoperation, collaborative interfaces, wearable robots, haptic interfaces, brain-computer interfaces (BCIs), and gaming; (4) Multi-agent systems: use of visual feedback to remotely control drones, robot swarms, and robots with shared workspace. Recent developments in AR technology are discussed followed by the challenges met in AR due to issues of camera localization, environment mapping, and registration. We explore AR applications in terms of how AR was integrated and which improvements it introduced to corresponding fields of robotics. In addition, we summarize the major limitations of the presented applications in each category. Finally, we conclude our review with future directions of AR research in robotics. The survey covers over 100 research works published over the last five years.</t>
  </si>
  <si>
    <t>[Makhataeva, Zhanat; Varol, Huseyin Atakan] Nazarbayev Univ, Dept Robot, Z05H0P9, Nur Sultan City, Kazakhstan</t>
  </si>
  <si>
    <t>Nazarbayev University</t>
  </si>
  <si>
    <t>Varol, HA (corresponding author), Nazarbayev Univ, Dept Robot, Z05H0P9, Nur Sultan City, Kazakhstan.</t>
  </si>
  <si>
    <t>zhanat.mahataeva@nu.edu.kz; ahvarol@nu.edu.kz</t>
  </si>
  <si>
    <t>Varol, Huseyin Atakan/ABB-7876-2021</t>
  </si>
  <si>
    <t>Makhataeva, Zhanat/0000-0001-9366-7047</t>
  </si>
  <si>
    <t>grant Methods for Safe Human Robot Interaction with VIA Robots from the Ministry of Education and Science of the Republic of Kazakhstan; Nazarbayev University Faculty Development Program</t>
  </si>
  <si>
    <t>grant Methods for Safe Human Robot Interaction with VIA Robots from the Ministry of Education and Science of the Republic of Kazakhstan(Government of the Republic of KazakhstanMinistry of Science &amp; Higher Education of the Republic of Kazakhstan); Nazarbayev University Faculty Development Program</t>
  </si>
  <si>
    <t>This work was supported by the grant Methods for Safe Human Robot Interaction with VIA Robots from the Ministry of Education and Science of the Republic of Kazakhstan and by the Nazarbayev University Faculty Development Program grant Hardware and Software Based Methods for Safe Human-Robot Interaction with Variable Impedance Robots.</t>
  </si>
  <si>
    <t>10.3390/robotics9020021</t>
  </si>
  <si>
    <t>MO0MJ</t>
  </si>
  <si>
    <t>WOS:000551231100026</t>
  </si>
  <si>
    <t>Alvarez-Perez, MG; Garcia-Murillo, MA; Cervantes-Sanchez, JJ</t>
  </si>
  <si>
    <t>Alvarez-Perez, Marian G.; Garcia-Murillo, Mario A.; Jesus Cervantes-Sanchez, J.</t>
  </si>
  <si>
    <t>Robot-assisted ankle rehabilitation: a review</t>
  </si>
  <si>
    <t>Robotic; rehabilitation; ankle; orthoses; parallel platform; review</t>
  </si>
  <si>
    <t>FOOT ORTHOSIS; CONTROL STRATEGIES; DESIGN; STROKE; PERFORMANCE; KINEMATICS; SYSTEM; TELEREHABILITATION; TECHNOLOGY; MECHANISM</t>
  </si>
  <si>
    <t>Aim: The aim of this review paper is to summarize recent developments and research in robotics, relevant to the field of ankle rehabilitation, to overview new findings and determine the actual state of the art.Method: The literature search was performed using scientific and medical databases (Scopus, PubMed and Web of Science) and other websites related to robots used in the area of ankle rehabilitation, analysing studies from 1950s to present. Information about the mechanical and kinematic specifications, actuation and stage of development was extracted from the selected literature.Results: Several types of rehabilitation robots have been considered, and they were classified depending on their architecture and design features. We we found that, regardless of the differences in architectures, only a few of them have been commercialized. The majority of rehabilitation robots designs allows plantarflexion-dorsiflexion movements. Unless some exceptions, most of the wearable robots do not allow the adduction-abduction movement. Neither the physical appearance of the robot nor the user's perception towards it has not regularly been taken into account in the design stage. This limits the possibility of successful commercialization.Conclusions: Up to the present moment, the main challenges in the field of robot rehabilitation are the lack of unique rehabilitation protocols capable to fulfil the needs of all types of patients and the additional resources to measure the effectiveness of proposals that have not yet been commercialized. Nonetheless, we have mentioned above three areas were the challenges in design are more pressing. The first one is the robot architecture, which still presents some incommodities nowadays to emulate the ankle joint movement in a natural way. Thus, the displacements experienced by the axes in the joint must be adaptable to each patient and a wide range of pathologies. Moreover, many proposals are not been conceived to the purpose of commercialization, and even less to become an object of personal use.Implications for rehabilitationThis review states that the use of robotic devices for ankle rehabilitation is a consolidated paradigm in the ankle's rehabilitation.Platform-based robots allow to do complex and specialized spatial movements and these architectures endow the device with high stiffness, a balanced force distribution and better adaptability to the mechanical properties of human ankle joints. Unless some exceptions, most of the wearable robots do not allow the adduction-abduction movement.For a full integration of these technologies in the ankle's rehabilitation field, more clinical evaluations are needed.Regardless of the potential of robotic devices in rehabilitation, only a few of them have been commercialized.</t>
  </si>
  <si>
    <t>[Alvarez-Perez, Marian G.; Garcia-Murillo, Mario A.; Jesus Cervantes-Sanchez, J.] Univ Guanajuato, DICIS, Mech Engn Dept, Salamanca 36885, Mexico Gto, Spain</t>
  </si>
  <si>
    <t>Garcia-Murillo, MA (corresponding author), Univ Guanajuato, DICIS, Mech Engn Dept, Salamanca 36885, Mexico Gto, Spain.</t>
  </si>
  <si>
    <t>garcia.mario@ugto.mx</t>
  </si>
  <si>
    <t>Garcia-Murillo, Mario/W-6936-2019</t>
  </si>
  <si>
    <t>Garcia-Murillo, Mario A./0000-0002-4487-5859; Cervantes-Sanchez, J. Jesus/0000-0002-7269-8650</t>
  </si>
  <si>
    <t>PROMEP [UGTONPTC-592]; National System of Researchers of Mexico</t>
  </si>
  <si>
    <t>PROMEP; National System of Researchers of Mexico</t>
  </si>
  <si>
    <t>This research was financially supported by PROMEP [grant UGTONPTC-592] and the National System of Researchers of Mexico.</t>
  </si>
  <si>
    <t>10.1080/17483107.2019.1578424</t>
  </si>
  <si>
    <t>LS7GZ</t>
  </si>
  <si>
    <t>WOS:000536550400004</t>
  </si>
  <si>
    <t>Chander, H; Burch, RF; Talegaonkar, P; Saucier, D; Luczak, T; Ball, JE; Turner, A; Arachchige, SNKK; Carroll, W; Smith, BK; Knight, A; Prabhu, RK</t>
  </si>
  <si>
    <t>Chander, Harish; Burch, Reuben F.; Talegaonkar, Purva; Saucier, David; Luczak, Tony; Ball, John E.; Turner, Alana; Arachchige, Sachini N. K. Kodithuwakku; Carroll, Will; Smith, Brian K.; Knight, Adam; Prabhu, Raj K.</t>
  </si>
  <si>
    <t>Wearable Stretch Sensors for Human Movement Monitoring and Fall Detection in Ergonomics</t>
  </si>
  <si>
    <t>wearable devices; motion analysis; fall prevention; human factors; occupational falls</t>
  </si>
  <si>
    <t>SMARTPHONE-BASED SOLUTIONS; STRAIN SENSORS; PREVENTION; MICROSTRUCTURE; FOOTWEAR; DESIGN; IMPACT; SKIN</t>
  </si>
  <si>
    <t>Wearable sensors are beneficial for continuous health monitoring, movement analysis, rehabilitation, evaluation of human performance, and for fall detection. Wearable stretch sensors are increasingly being used for human movement monitoring. Additionally, falls are one of the leading causes of both fatal and nonfatal injuries in the workplace. The use of wearable technology in the workplace could be a successful solution for human movement monitoring and fall detection, especially for high fall-risk occupations. This paper provides an in-depth review of different wearable stretch sensors and summarizes the need for wearable technology in the field of ergonomics and the current wearable devices used for fall detection. Additionally, the paper proposes the use of soft-robotic-stretch (SRS) sensors for human movement monitoring and fall detection. This paper also recapitulates the findings of a series of five published manuscripts from ongoing research that are published as Parts I to V of Closing the Wearable Gap journal articles that discuss the design and development of a foot and ankle wearable device using SRS sensors that can be used for fall detection. The use of SRS sensors in fall detection, its current limitations, and challenges for adoption in human factors and ergonomics are also discussed.</t>
  </si>
  <si>
    <t>[Chander, Harish; Turner, Alana; Arachchige, Sachini N. K. Kodithuwakku; Knight, Adam] Mississippi State Univ, Dept Kinesiol, Neuromech Lab, Mississippi State, MS 39762 USA; [Burch, Reuben F.] Mississippi State Univ, Ctr Adv Vehicular Syst CAVS, Dept Human Factors &amp; Athlete Engn, Mississippi State, MS 39762 USA; [Talegaonkar, Purva; Smith, Brian K.] Mississippi State Univ, Dept Ind &amp; Syst Engn, Mississippi State, MS 39762 USA; [Saucier, David; Ball, John E.; Carroll, Will] Mississippi State Univ, Dept Elect &amp; Comp Engn, Mississippi State, MS 39762 USA; [Luczak, Tony] Mississippi State Univ, Natl Strateg Planning &amp; Anal Res Ctr NSPARC, Mississippi State, MS 39762 USA; [Prabhu, Raj K.] Mississippi State Univ, Dept Agr &amp; Biomed Engn, Mississippi State, MS 39762 USA</t>
  </si>
  <si>
    <t>Mississippi State University; Mississippi State University; Mississippi State University; Mississippi State University; Mississippi State University; Mississippi State University</t>
  </si>
  <si>
    <t>Chander, H (corresponding author), Mississippi State Univ, Dept Kinesiol, Neuromech Lab, Mississippi State, MS 39762 USA.</t>
  </si>
  <si>
    <t>hchander@colled.msstate.edu; burch@ise.msstate.edu; ppt25@msstate.edu; dns105@msstate.edu; tluczak@nsparc.msstate.edu; jeball@ece.msstate.edu; ajt188@msstate.edu; snk128@msstate.edu; woc17@msstate.edu; smith@ise.msstate.edu; aknight@colled.msstate.edu; rprabhu@abe.msstate.edu</t>
  </si>
  <si>
    <t>Ball, John/I-9855-2019; Arachchige, Sachini/AAH-2406-2021; Ball, James/G-1734-2011</t>
  </si>
  <si>
    <t>Luczak, Anthony/0000-0002-3892-0123; Ball, James/0000-0001-8342-1916; Saucier, David/0000-0002-0555-5246; Smith, Brian/0000-0001-6500-158X; Kodithuwakku Arachchige, Sachini/0000-0002-2947-0714; Chander, Harish/0000-0001-9427-2936; Burch, Reuben/0000-0003-2944-1945</t>
  </si>
  <si>
    <t>National Science Foundation [1827652, NSF 18-511]; Directorate For Engineering; Div Of Industrial Innovation &amp; Partnersh [1827652] Funding Source: National Science Foundation</t>
  </si>
  <si>
    <t>National Science Foundation(National Science Foundation (NSF)); Directorate For Engineering; Div Of Industrial Innovation &amp; Partnersh(National Science Foundation (NSF)NSF - Directorate for Engineering (ENG))</t>
  </si>
  <si>
    <t>The Parts I to V of the Closing theWearable Gap papers were funded by the National Science Foundation under NSF 18-511-Partnerships for Innovation award number 1827652.</t>
  </si>
  <si>
    <t>10.3390/ijerph17103554</t>
  </si>
  <si>
    <t>LW7CK</t>
  </si>
  <si>
    <t>WOS:000539300900211</t>
  </si>
  <si>
    <t>Damm, L; Varoqui, D; De Cock, VC; Dalla Bella, S; Bardy, B</t>
  </si>
  <si>
    <t>Damm, Loic; Varoqui, Deborah; De Cock, Valerie Cochen; Dalla Bella, Simone; Bardy, Benoit</t>
  </si>
  <si>
    <t>Why do we move to the beat? A multi-scale approach, from physical principles to brain dynamics</t>
  </si>
  <si>
    <t>NEUROSCIENCE AND BIOBEHAVIORAL REVIEWS</t>
  </si>
  <si>
    <t>Rhythm; Synchronization; Music; Auditory cueing; Walking; Running; Cadence; Dynamical systems; Oscillators; Beat; Prediction</t>
  </si>
  <si>
    <t>PRESUPPLEMENTARY MOTOR AREA; INFERIOR OLIVARY NEURONS; CONTINGENT NEGATIVE-VARIATION; CENTRAL PATTERN GENERATORS; FAST NETWORK OSCILLATIONS; SUPPLEMENTARY EYE FIELD; BETA-BAND OSCILLATIONS; EXTERNAL TIMING CUES; PARKINSONS-DISEASE; BASAL GANGLIA</t>
  </si>
  <si>
    <t>Humans' ability to synchronize movement with auditory rhythms relies on motor networks, such as cortical areas, basal ganglia and the cerebellum, which also participate in rhythm perception and movement production. Current research has provided insights into the dependence of this action-perception coupling upon the entrainment of neuronal activity by external rhythms. At a physical level, advances on wearable robotics have enriched our understanding of the dynamical properties of the locomotor system showing evidence of mechanical entrainment. Here we defend the view that modelling brain and locomotor oscillatory activities as dynamical systems, at both neural and physical levels, provides a unified theoretical framework for the understanding of externally driven rhythmic entrainment of biological systems. To better understand the underlying mechanisms of this multi-level entrainment during locomotion, we review in a common framework the core questions related to the dynamic properties of biological oscillators and the neural bases of auditory-motor synchronization. Illustrations of our approach, using personalized auditory stimulation, to gait rehabilitation in Parkinson disease and to manipulation of runners' kinematics are presented.</t>
  </si>
  <si>
    <t>[Damm, Loic; Varoqui, Deborah; De Cock, Valerie Cochen; Bardy, Benoit] Univ Montpellier, EuroMov, Montpellier 34090, France; [Dalla Bella, Simone] Int Lab Brain Mus &amp; Sound Res BRAMS, Montreal, PQ, Canada; [De Cock, Valerie Cochen] Beau Soleil Clin, Dept Neurol, Montpellier, France; [De Cock, Valerie Cochen] Univ Hosp Montpellier, Clin Invest Ctr CIC, Montpellier, France; [De Cock, Valerie Cochen] INSERM, Montpellier, France; [Varoqui, Deborah] Open Mind Innovat, Caen, France; [Dalla Bella, Simone] Univ Montreal, Dept Psychol, Montreal, PQ, Canada; [Dalla Bella, Simone] Univ Econ &amp; Human Sci Warsaw, Warsaw, Poland</t>
  </si>
  <si>
    <t>Universite de Montpellier; Universite de Montreal; Universite de Montpellier; Beau Soleil Clinic; Universite de Montpellier; CHU de Montpellier; Institut National de la Sante et de la Recherche Medicale (Inserm); Universite de Montpellier; Universite de Montreal</t>
  </si>
  <si>
    <t>Damm, L (corresponding author), Univ Montpellier, EuroMov, Montpellier 34090, France.</t>
  </si>
  <si>
    <t>loic.damm@umontpellier.fr</t>
  </si>
  <si>
    <t>Bardy, Benoît/AAU-3078-2021</t>
  </si>
  <si>
    <t>Bardy, Benoit/0000-0001-9272-1734</t>
  </si>
  <si>
    <t>European Union; Natural Sciences and Engineering Research Council of Canada [RGPIN-2019-05453]</t>
  </si>
  <si>
    <t>European Union(European Union (EU)); Natural Sciences and Engineering Research Council of Canada(Natural Sciences and Engineering Research Council of Canada (NSERC)CGIAR)</t>
  </si>
  <si>
    <t>The authors were partly supported by the European Union via the following grants: (i) FP7-ICT-2013-10 Beat-Health awarded to Benoit Bardy and Simone Dalla Bella, (ii) H2020-FETPROACT-2018-01 EnTimeMent awarded to Benoit Bardy. Simone Dalla Bella was also supported by the Natural Sciences and Engineering Research Council of Canada with a Discovery grant RGPIN-2019-05453.</t>
  </si>
  <si>
    <t>0149-7634</t>
  </si>
  <si>
    <t>1873-7528</t>
  </si>
  <si>
    <t>NEUROSCI BIOBEHAV R</t>
  </si>
  <si>
    <t>Neurosci. Biobehav. Rev.</t>
  </si>
  <si>
    <t>10.1016/j.neubiorev.2019.12.024</t>
  </si>
  <si>
    <t>LK7AX</t>
  </si>
  <si>
    <t>Green Submitted, Bronze</t>
  </si>
  <si>
    <t>WOS:000531016100038</t>
  </si>
  <si>
    <t>Desplenter, T; Zhou, Y; Edmonds, BPR; Lidka, M; Goldman, A; Trejos, AL</t>
  </si>
  <si>
    <t>Desplenter, Tyler; Zhou, Yue; Edmonds, Brandon P. R.; Lidka, Myles; Goldman, Allison; Trejos, Ana Luisa</t>
  </si>
  <si>
    <t>Rehabilitative and assistive wearable mechatronic upper-limb devices: A review</t>
  </si>
  <si>
    <t>Wearable; assistive; upper limb; mechatronic systems; rehabilitation; tremor suppression</t>
  </si>
  <si>
    <t>EXOSKELETON ROBOT; DESIGN; ORTHOSIS; THERAPY; SYSTEM</t>
  </si>
  <si>
    <t>Recently, there has been a trend toward assistive mechatronic devices that are wearable. These devices provide the ability to assist without tethering the user to a specific location. However, there are characteristics of these devices that are limiting their ability to perform motion tasks and the adoption rate of these devices into clinical settings. The objective of this research is to perform a review of the existing wearable assistive devices that are used to assist with musculoskeletal and neurological disorders affecting the upper limb. A review of the existing literature was conducted on devices that are wearable, assistive, and mechatronic, and that provide motion assistance to the upper limb. Five areas were examined, including sensors, actuators, control techniques, computer systems, and intended applications. Fifty-three devices were reviewed that either assist with musculoskeletal disorders or suppress tremor. The general trends found in this review show a lack of requirements, device details, and standardization of reporting and evaluation. Two areas to accelerate the evolution of these devices were identified, including the standardization of research, clinical, and engineering details, and the promotion of multidisciplinary culture. Adoption of these devices into their intended application domains relies on the continued efforts of the community.</t>
  </si>
  <si>
    <t>[Desplenter, Tyler; Lidka, Myles; Goldman, Allison; Trejos, Ana Luisa] Univ Western Ontario, Dept Elect &amp; Comp Engn, London, ON, Canada; [Zhou, Yue; Edmonds, Brandon P. R.; Trejos, Ana Luisa] Univ Western Ontario, Sch Biomed Engn, London, ON, Canada; [Trejos, Ana Luisa] Lawson Hlth Res Inst, London, ON, Canada</t>
  </si>
  <si>
    <t>Western University (University of Western Ontario); Western University (University of Western Ontario); Western University (University of Western Ontario); University Western Ontario Hospital</t>
  </si>
  <si>
    <t>Trejos, AL (corresponding author), Univ Western Ontario, 1151 Richmond St,Amit Chakma Engn Bldg, London, ON N6A 5B9, Canada.</t>
  </si>
  <si>
    <t>atrejos@uwo.ca</t>
  </si>
  <si>
    <t>Trejos, Ana Luisa/B-5425-2010</t>
  </si>
  <si>
    <t>Trejos, Ana Luisa/0000-0002-3616-2891; Desplenter, Tyler/0000-0002-5351-9709</t>
  </si>
  <si>
    <t>Ontario Ministry of Economic Development, Trade and Employment; Ontario Ministry of Research and Innovation; Natural Sciences and Engineering Research Council (NSERC) of Canada [RGPIN-2014-03815]; Peter C. Maurice Research Fellowship in Biomedical Engineering</t>
  </si>
  <si>
    <t>Ontario Ministry of Economic Development, Trade and Employment; Ontario Ministry of Research and Innovation(Ministry of Research and Innovation, Ontario); Natural Sciences and Engineering Research Council (NSERC) of Canada(Natural Sciences and Engineering Research Council of Canada (NSERC)); Peter C. Maurice Research Fellowship in Biomedical Engineering</t>
  </si>
  <si>
    <t>The author(s) disclosed receipt of the following financial support for the research, authorship, and/or publication of this article: Funding for this project was provided by the Ontario Ministry of Economic Development, Trade and Employment and the Ontario Ministry of Research and Innovation through the Early Researcher Award, by the Natural Sciences and Engineering Research Council (NSERC) of Canada under grant RGPIN-2014-03815, and by the Peter C. Maurice Research Fellowship in Biomedical Engineering.</t>
  </si>
  <si>
    <t>10.1177/2055668320917870</t>
  </si>
  <si>
    <t>LR9PY</t>
  </si>
  <si>
    <t>WOS:000536028300001</t>
  </si>
  <si>
    <t>Ito, A; Kubo, N; Liang, N; Aoyama, T; Kuroki, H</t>
  </si>
  <si>
    <t>Ito, Akira; Kubo, Naoko; Liang, Nan; Aoyama, Tomoki; Kuroki, Hiroshi</t>
  </si>
  <si>
    <t>Regenerative Rehabilitation for Stroke Recovery by Inducing Synergistic Effects of Cell Therapy and Neurorehabilitation on Motor Function: A Narrative Review of Pre-Clinical Studies</t>
  </si>
  <si>
    <t>INTERNATIONAL JOURNAL OF MOLECULAR SCIENCES</t>
  </si>
  <si>
    <t>rehabilitation; regenerative medicine; stroke; cell therapy; motor function; brain stimulation; epidural cortical stimulation; repetitive transcranial magnetic stimulation; transcranial direct current stimulation</t>
  </si>
  <si>
    <t>DIRECT-CURRENT STIMULATION; TRANSCRANIAL MAGNETIC STIMULATION; NEURAL STEM-CELLS; ROBOT-ASSISTED THERAPY; CORTICAL STIMULATION; RAT MODEL; UPPER-LIMB; ELECTRICAL-STIMULATION; ENRICHED ENVIRONMENT; CORTEX STIMULATION</t>
  </si>
  <si>
    <t>Neurological diseases severely affect the quality of life of patients. Although existing treatments including rehabilitative therapy aim to facilitate the recovery of motor function, achieving complete recovery remains a challenge. In recent years, regenerative therapy has been considered as a potential candidate that could yield complete functional recovery. However, to achieve desirable results, integration of transplanted cells into neural networks and generation of appropriate microenvironments are essential. Furthermore, considering the nascent state of research in this area, we must understand certain aspects about regenerative therapy, including specific effects, nature of interaction when administered in combination with rehabilitative therapy (regenerative rehabilitation), and optimal conditions. Herein, we review the current status of research in the field of regenerative therapy, discuss the findings that could hold the key to resolving the challenges associated with regenerative rehabilitation, and outline the challenges to be addressed with future studies. The current state of research emphasizes the importance of determining the independent effect of regenerative and rehabilitative therapies before exploring their combined effects. Furthermore, the current review highlights the progression in the treatment perspective from a state of compensation of lost function to that of a possibility of complete functional recovery.</t>
  </si>
  <si>
    <t>[Ito, Akira; Kubo, Naoko; Kuroki, Hiroshi] Kyoto Univ, Grad Sch Med, Human Hlth Sci, Dept Motor Funct Anal, Kyoto 6068507, Japan; [Liang, Nan] Kyoto Univ, Grad Sch Med, Human Hlth Sci, Cognit Motor Neurosci, Kyoto 6068507, Japan; [Aoyama, Tomoki] Kyoto Univ, Grad Sch Med, Human Hlth Sci, Dept Dev &amp; Rehabil Motor Funct, Kyoto 6068507, Japan</t>
  </si>
  <si>
    <t>Kyoto University; Kyoto University; Kyoto University</t>
  </si>
  <si>
    <t>Ito, A (corresponding author), Kyoto Univ, Grad Sch Med, Human Hlth Sci, Dept Motor Funct Anal, Kyoto 6068507, Japan.</t>
  </si>
  <si>
    <t>ito.akira.4m@kyoto-u.ac.jp; kubo.naoko.38e@st.kyoto-u.ac.jp; liang.nan.3z@kyoto-u.ac.jp; aoyama.tomoki.4e@kyoto-u.ac.jp; kuroki.hiroshi.6s@kyoto-u.ac.jp</t>
  </si>
  <si>
    <t>Ito, Akira/AAA-4872-2021</t>
  </si>
  <si>
    <t>Ito, Akira/0000-0002-9645-9777; Liang, Nan/0000-0002-7113-9152</t>
  </si>
  <si>
    <t>Japan Society for the Promotion of Science (JSPS) KAKENHI [JP18H03129, JP18K19739, JP19H03974]</t>
  </si>
  <si>
    <t>Japan Society for the Promotion of Science (JSPS) KAKENHI(Ministry of Education, Culture, Sports, Science and Technology, Japan (MEXT)Japan Society for the Promotion of ScienceGrants-in-Aid for Scientific Research (KAKENHI))</t>
  </si>
  <si>
    <t>This research was funded by Japan Society for the Promotion of Science (JSPS) KAKENHI, grant numbers JP18H03129, JP18K19739. and JP19H03974.</t>
  </si>
  <si>
    <t>1422-0067</t>
  </si>
  <si>
    <t>INT J MOL SCI</t>
  </si>
  <si>
    <t>Int. J. Mol. Sci.</t>
  </si>
  <si>
    <t>10.3390/ijms21093135</t>
  </si>
  <si>
    <t>Biochemistry &amp; Molecular Biology; Chemistry, Multidisciplinary</t>
  </si>
  <si>
    <t>Biochemistry &amp; Molecular Biology; Chemistry</t>
  </si>
  <si>
    <t>LR3GK</t>
  </si>
  <si>
    <t>WOS:000535581700106</t>
  </si>
  <si>
    <t>Proulx, CE; Beaulac, M; David, M; Deguire, C; Haché, C; Klug, F; Kupnik, M; Higgins, J; Gagnon, DH</t>
  </si>
  <si>
    <t>Proulx, Camille E.; Beaulac, Myrka; David, Melissa; Deguire, Catryne; Hache, Catherine; Klug, Florian; Kupnik, Mario; Higgins, Johanne; Gagnon, Dany H.</t>
  </si>
  <si>
    <t>Review of the effects of soft robotic gloves for activity-based rehabilitation in individuals with reduced hand function and manual dexterity following a neurological event</t>
  </si>
  <si>
    <t>Exoskeleton; hand; neurorehabilitation; soft robotic glove; technology</t>
  </si>
  <si>
    <t>MOTOR RECOVERY; STROKE; FEASIBILITY; ASSISTANCE; IMPACT</t>
  </si>
  <si>
    <t>Despite limited scientific evidence, there is an increasing interest in soft robotic gloves to optimize hand- and finger-related functional abilities following a neurological event. This review maps evidence on the effects and effectiveness of soft robotic gloves for hand rehabilitation and, whenever possible, patients' satisfaction. A systematized search of the literature was conducted using keywords structured around three areas: technology attributes, anatomy, and rehabilitation. A total of 272 titles, abstracts, and keywords were initially retrieved, and data were extracted out of 13 articles. Six articles investigated the effects of wearing a soft robotic glove and eight studied the effect or effectiveness of an intervention with it. Some statistically significant and meaningful beneficial effects were confirmed with the 29 outcome measures used. Finally, 11 articles also confirmed users' satisfaction with regard to the soft robotic glove, while some articles also noticed an increased engagement in the rehabilitation program with this technology. Despite the heterogeneity across studies, soft robotic gloves stand out as a safe and promising technology to improve hand- and finger-related dexterity and functional performance. However, strengthened evidence of the effects or effectiveness of such devices is needed before their transition from laboratory to clinical practice.</t>
  </si>
  <si>
    <t>[Proulx, Camille E.; Beaulac, Myrka; David, Melissa; Deguire, Catryne; Hache, Catherine; Higgins, Johanne; Gagnon, Dany H.] Univ Montreal, Sch Rehabil, Montreal, PQ, Canada; [Proulx, Camille E.; Higgins, Johanne; Gagnon, Dany H.] Inst Univ Readaptat Deficience Phys Montreal, CIUSSS Ctr Sud de Ile de Montreal, Ctr Interdisciplinary Res Rehabil Greater Montrea, Montreal, PQ, Canada; [Klug, Florian; Kupnik, Mario] Tech Univ Darmstadt, Darmstaadt, Germany</t>
  </si>
  <si>
    <t>Universite de Montreal; Universite de Montreal; Technical University of Darmstadt</t>
  </si>
  <si>
    <t>Gagnon, DH (corresponding author), CIUSSS Ctr Sud de Ile de Montreal, Ctr Interdisciplinary Res Rehabil Greater Montrea, Pathokinesiol Lab, 6300 Ave Darlington, Montreal, PQ H3S 2J4, Canada.</t>
  </si>
  <si>
    <t>dany.gagnon.2@umontreal.ca</t>
  </si>
  <si>
    <t>Higgins, Johanne/AAF-3672-2019; Kupnik, Mario/T-7429-2019; Gagnon, Dany H./I-4871-2014</t>
  </si>
  <si>
    <t>Kupnik, Mario/0000-0003-2287-4481; Gagnon, Dany H./0000-0003-3464-4667; Klug, Florian/0000-0001-9147-7362; Higgins, Johanne/0000-0003-1513-6587</t>
  </si>
  <si>
    <t>Initiative for the development of new technologies and innovative practices in rehabilitation (INSPIRE); University of Montreal</t>
  </si>
  <si>
    <t>The author(s) disclosed receipt of the following financial support for the research, authorship, and/or publication of this article: The project is supported by the Initiative for the development of new technologies and innovative practices in rehabilitation (INSPIRE) and the University of Montreal.</t>
  </si>
  <si>
    <t>10.1177/2055668320918130</t>
  </si>
  <si>
    <t>LR9PR</t>
  </si>
  <si>
    <t>WOS:000536027600001</t>
  </si>
  <si>
    <t>Fong, J; Ocampo, R; Gross, DP; Tavakoli, M</t>
  </si>
  <si>
    <t>Fong, Jason; Ocampo, Renz; Gross, Douglas P.; Tavakoli, Mahdi</t>
  </si>
  <si>
    <t>Intelligent Robotics Incorporating Machine Learning Algorithms for Improving Functional Capacity Evaluation and Occupational Rehabilitation</t>
  </si>
  <si>
    <t>JOURNAL OF OCCUPATIONAL REHABILITATION</t>
  </si>
  <si>
    <t>Rehabilitation robotics; Assessment; Machine learning; Musculoskeletal diseases; Compensation and redress</t>
  </si>
  <si>
    <t>SYSTEM; WORK; TELEREHABILITATION; TIME; PARTICIPATION; RECOVERY; PATTERNS; RETURN; TOOL</t>
  </si>
  <si>
    <t>Introduction Occupational rehabilitation often involves functional capacity evaluations (FCE) that use simulated work tasks to assess work ability. Currently, there exists no single, streamlined solution to simulate all or a large number of standard work tasks. Such a system would improve FCE and functional rehabilitation through simulating reaching maneuvers and more dexterous functional tasks that are typical of workplace activities. This paper reviews efforts to develop robotic FCE solutions that incorporate machine learning algorithms. Methods We reviewed the literature regarding rehabilitation robotics, with an emphasis on novel techniques incorporating robotics and machine learning into FCE. Results Rehabilitation robotics aims to improve the assessment and rehabilitation of injured workers by providing methods for easily simulating workplace tasks using intelligent robotic systems. Machine learning-based approaches combine the benefits of robotic systems with the expertise and experience of human therapists. These innovations have the potential to improve the quantification of function as well as learn the haptic interactions provided by therapists to assist patients during assessment and rehabilitation. This is done by allowing a robot to learn based on a therapist's motions (demonstrations) what the desired workplace activity (task) is and how to recreate it for a worker with an injury (patient). Through Telerehabilitation and internet connectivity, these robotic assessment techniques can be used over a distance to reach rural and remote locations. Conclusions While the research is in the early stages, robotics with integrated machine learning algorithms have great potential for improving traditional FCE practice.</t>
  </si>
  <si>
    <t>[Fong, Jason; Ocampo, Renz; Tavakoli, Mahdi] Univ Alberta, Dept Elect &amp; Comp Engn, Edmonton, AB, Canada; [Gross, Douglas P.] Univ Alberta, Dept Phys Therapy, 2-50 Corbett Hall, Edmonton, AB T6G 2G4, Canada</t>
  </si>
  <si>
    <t>University of Alberta; University of Alberta</t>
  </si>
  <si>
    <t>Gross, DP (corresponding author), Univ Alberta, Dept Phys Therapy, 2-50 Corbett Hall, Edmonton, AB T6G 2G4, Canada.</t>
  </si>
  <si>
    <t>dgross@ualberta.ca</t>
  </si>
  <si>
    <t>Tavakoli/I-7778-2012; Gross, Douglas P./AAF-6997-2020</t>
  </si>
  <si>
    <t>Gross, Douglas P./0000-0002-2427-6277; Tavakoli, Mahdi/0000-0002-7427-6961</t>
  </si>
  <si>
    <t>SPRINGER/PLENUM PUBLISHERS</t>
  </si>
  <si>
    <t>1053-0487</t>
  </si>
  <si>
    <t>1573-3688</t>
  </si>
  <si>
    <t>J OCCUP REHABIL</t>
  </si>
  <si>
    <t>J. Occup. Rehabil.</t>
  </si>
  <si>
    <t>10.1007/s10926-020-09888-w</t>
  </si>
  <si>
    <t>APR 2020</t>
  </si>
  <si>
    <t>Rehabilitation; Social Issues</t>
  </si>
  <si>
    <t>MV2WH</t>
  </si>
  <si>
    <t>WOS:000524394900001</t>
  </si>
  <si>
    <t>Ghaffar, A; Dehghani-Sanij, AA; Xie, SQ</t>
  </si>
  <si>
    <t>Ghaffar, Asim; Dehghani-Sanij, Abbas A.; Xie, Sheng Quan</t>
  </si>
  <si>
    <t>A review of gait disorders in the elderly and neurological patients for robot-assisted training</t>
  </si>
  <si>
    <t>Pathological gait; biomechanics of gait alterations; elderly gait; exoskeleton robots; gait disorders</t>
  </si>
  <si>
    <t>MARIE-TOOTH DISEASE; STRIDE LENGTH REGULATION; ANKLE-FOOT ORTHOSIS; PARKINSONS-DISEASE; SPASTIC DIPLEGIA; QUANTITATIVE-ANALYSIS; HEMIPLEGIC GAIT; CHILDREN; PATTERNS; STRATEGIES</t>
  </si>
  <si>
    <t>Purpose: Ambulation is an important objective for people with pathological gaits. Exoskeleton robots can assist these people to complete their activities of daily living. There are exoskeletons that have been presented in literature to assist the elderly and other pathological gait users. This article presents a review of the degree of support required in the elderly and neurological gait disorders found in the human population. This will help to advance the design of robot-assisted devices based on the needs of the end users. Methods: The articles included in this review are collected from different databases including Science Direct, Springer Link, Web of Science, Medline and PubMed and with the purpose to investigate the gait parameters of elderly and neurological patients. Studies were included after considering the full texts and only those which focus on spatiotemporal, kinematic and kinetic gait parameters were selected as they are most relevant to the scope of this review. A systematic review and meta-analysis were conducted. Results: The meta-analysis report on the spatiotemporal, kinematic and kinetic gait parameters of elderly and neurological patients revealed a significant difference based on the type and level of impairment. Healthy elderly population showed deviations in the gait parameters due to age, however, significant difference is observed in the gait parameters of the neurological patients. Conclusion: A level of agreement was observed in most of the studies however the review also noticed some controversies among different studies in the same group. The review on the spatiotemporal, kinematics and kinetic gait parameters will provide a summary of the fundamental needs of the users for the future design and development of robotic assistive devices. IMPLICATIONS FOR REHABILITATION The support requirements provide the foundation for designing assistive devices. The findings will be crucial in defining the design criteria for robot assistive devices.</t>
  </si>
  <si>
    <t>[Ghaffar, Asim; Dehghani-Sanij, Abbas A.; Xie, Sheng Quan] Univ Leeds, Sch Mech Engn, Leeds, W Yorkshire, England; [Ghaffar, Asim] Univ Engn &amp; Technol, Dept Mech &amp; Mechatron Engn, Faisalabad Campus, Lahore, Pakistan; [Xie, Sheng Quan] Univ Leeds, Sch Elect &amp; Elect Engn, Fac Engn, Leeds, W Yorkshire, England</t>
  </si>
  <si>
    <t>University of Leeds; University of Engineering &amp; Technology Lahore; University of Leeds</t>
  </si>
  <si>
    <t>Ghaffar, A (corresponding author), Univ Leeds, Inst Design Robot &amp; Optimizat IDRO, Sch Mech Engn, Leeds LS2 9JT, W Yorkshire, England.</t>
  </si>
  <si>
    <t>mnagh@leeds.ac.uk</t>
  </si>
  <si>
    <t>Ghaffar, Asim/0000-0001-9184-1865; Xie, Sheng Quan/0000-0003-2641-2620</t>
  </si>
  <si>
    <t>University of Engineering and Technology (UET) Lahore, Pakistan</t>
  </si>
  <si>
    <t>The corresponding author would like to thank the University of Engineering and Technology (UET) Lahore, Pakistan for the financial support during his PhD.</t>
  </si>
  <si>
    <t>APR 2</t>
  </si>
  <si>
    <t>10.1080/17483107.2019.1568594</t>
  </si>
  <si>
    <t>KT7TW</t>
  </si>
  <si>
    <t>WOS:000519216900002</t>
  </si>
  <si>
    <t>Sanjuan, JD; Castillo, AD; Padilla, MA; Quintero, MC; Gutierrez, EE; Sampayo, IP; Hernandez, JR; Rahman, MH</t>
  </si>
  <si>
    <t>Sanjuan, J. D.; Castillo, A. D.; Padilla, M. A.; Quintero, M. C.; Gutierrez, E. E.; Sampayo, I. P.; Hernandez, J. R.; Rahman, M. H.</t>
  </si>
  <si>
    <t>Cable driven exoskeleton for upper-limb rehabilitation: A design review</t>
  </si>
  <si>
    <t>Cable-driven exoskeletons; Transmission systems; Stroke rehabilitation</t>
  </si>
  <si>
    <t>WEARABLE HAND EXOSKELETON; ARM EXOSKELETON; NEURO-REHABILITATION; VIRTUAL ENVIRONMENTS; FINGER EXOSKELETON; FORCE FEEDBACK; ROBOT; MOTION; JOINT; ACTUATOR</t>
  </si>
  <si>
    <t>One of the primary reasons for long-term disabilities in the world is strokes. The causes of these cerebrovascular diseases are various, i.e., high blood pressure, heart disease, etc. For those who survive strokes, this affectation causes loss in the mobility of extremities, requiring the intervention of long sessions with a therapeutic professional to recover the movement of the impair limb. Hence, the investment to threaten this condition is usually high, motivating researchers to implements exoskeletons in the rehabilitation process. Those devices permit the user means to conduct the therapies without the constant supervision of a professional. Furthermore, exoskeletons are capable of maintaining a detailed recording of the forces and movements developed for the patients throughout the session. However, the construction of an exoskeleton is not cheap principally for the actuation systems, especially if the exoskeleton requires the actuator to be placed at the joints of the user; in which, the actuator at a joint would have to withstand the load of the actuator of the following joint and so on. Researchers have addressed this drawback by applying cable transmission systems that allow the exoskeleton to place their actuator at a fixed base, reducing the weight of their design, and decreasing their cost. Thus, this paper reviews the principal models of cable-driven exoskeleton for stroke rehabilitation focusing on the upper-limb. The analysis departs from the study of the anatomy of the arm, including the shoulder, elbow, wrist, fingers, and thumb. Besides, it also includes the mechanical consideration to design a proper exoskeleton. Then, the article presents a compendium of the different transmission systems found in the literature, addressing their advantages, disadvantages and their requirements for the design. Lastly, the paper reviews the cable-driven exoskeleton for stroke rehabilitation of the upper limb. Again, for this analysis, it is included the design consideration of each prototype, focusing on their advantages in terms of anatomical mechanics. (C) 2020 Elsevier B.V. All rights reserved.</t>
  </si>
  <si>
    <t>[Sanjuan, J. D.; Castillo, A. D.; Padilla, M. A.; Quintero, M. C.; Gutierrez, E. E.; Sampayo, I. P.; Hernandez, J. R.] Univ Norte, Dept Mech Engn, Barranquilla, Colombia; [Sanjuan, J. D.; Rahman, M. H.] Univ Wisconsin, Dept Mech Engn, Milwaukee, WI 53201 USA</t>
  </si>
  <si>
    <t>Universidad del Norte Colombia; University of Wisconsin System; University of Wisconsin Milwaukee</t>
  </si>
  <si>
    <t>Sanjuan, JD (corresponding author), Univ Norte, Dept Mech Engn, Barranquilla, Colombia.</t>
  </si>
  <si>
    <t>jdecaro@uninorte.edu.co</t>
  </si>
  <si>
    <t>sanjuan, javier/KOF-6155-2024; Rahman, Mohammad/AAB-3187-2019; Sahagún-Padilla, Miguel/AAH-2750-2020</t>
  </si>
  <si>
    <t>Sanjuan, Javier/0000-0001-6631-0085; Quintero Carmona, Maria Carolina/0000-0002-4140-420X</t>
  </si>
  <si>
    <t>10.1016/j.robot.2020.103445</t>
  </si>
  <si>
    <t>LB1FQ</t>
  </si>
  <si>
    <t>WOS:000524382000002</t>
  </si>
  <si>
    <t>Fang, CY; Tsai, JL; Li, GS; Lien, ASY; Chang, YJ</t>
  </si>
  <si>
    <t>Fang, Chia-Ying; Tsai, Jia-Ling; Li, Guo-Sheng; Lien, Angela Shin-Yu; Chang, Ya-Ju</t>
  </si>
  <si>
    <t>Effects of Robot-Assisted Gait Training in Individuals with Spinal Cord Injury: A Meta-analysis</t>
  </si>
  <si>
    <t>QUALITY-OF-LIFE; WALKING INDEX; PAIN; SPASTICITY; PREVALENCE; PEOPLE; EXOSKELETON; GO; MUSCULOSKELETAL; REHABILITATION</t>
  </si>
  <si>
    <t>Background. To investigate the effects of robot-assisted gait training (RAGT) on spasticity and pain in people with spinal cord injury (SCI). Material and methods. Four electronic databases (PubMed, Scopus, Medline, and Cochrane Central Register of Controlled Trials) were searched for studies published up to November 2019. Only human trials and of English language were included. The searched studies were reviewed and extracted independently by two authors. Randomized controlled trials (RCTs) and non-RCTs were pooled separately for analyses. Primary outcome measures included spasticity assessed by Ashworth scale (AS) or modified Ashworth scale (MAS) and pain assessed by VAS. Secondary outcome measures included lower extremity motor score (LEMS) and walking ability (i.e., 6-minute walk test, 10-meter walk test). Results. A total of 225 studies were identified. Eighteen studies (7 RCTs and 11 non-RCTs) including 301 subjects met inclusion criteria. The outcome measure of spasticity significantly improved in favor of RAGT group in non-RCTs (AS: 95%CI=-0.202 to -0.068, p &lt;= 0.001; MAS: 95%CI=-2.886 to -1.412, p &lt;= 0.001). The results on pain did not show significant change after RAGT in either RCTs or non-RCTs. LEMS and walking ability significantly increased in favor of RAGT. Conclusions. RAGT can improve spasticity and walking ability in people with SCI. The probable reason for no significant change in pain after RAGT is floor effect. RAGT is beneficial for normalizing muscle tone and for improving lower extremity function in people with SCI without causing extra pain.</t>
  </si>
  <si>
    <t>[Fang, Chia-Ying; Li, Guo-Sheng; Chang, Ya-Ju] Chang Gung Univ, Coll Med, Sch Phys Therapy, 259 Wenhua 1st Rd, Taoyuan, Taiwan; [Fang, Chia-Ying; Li, Guo-Sheng; Chang, Ya-Ju] Chang Gung Univ, Coll Med, Grad Inst Rehabil Sci, 259 Wenhua 1st Rd, Taoyuan, Taiwan; [Tsai, Jia-Ling; Lien, Angela Shin-Yu] Chang Gung Univ, Sch Nursing, Coll Med, 259 Wenhua 1st Rd, Taoyuan, Taiwan; [Lien, Angela Shin-Yu; Chang, Ya-Ju] Chang Gung Univ, Hlth Aging Res Ctr, 259 Wenhua 1st Rd, Taoyuan, Taiwan; [Lien, Angela Shin-Yu] Chang Gung Mem Hosp, Div Endocrinol &amp; Metab, Dept Internal Med, 5 Fuhsing Str, Taoyuan, Taiwan; [Chang, Ya-Ju] Chang Gung Mem Hosp, Neurosci Res Ctr, 5 Fuhsing Str, Taoyuan, Taiwan</t>
  </si>
  <si>
    <t>Chang Gung University; Chang Gung University; Chang Gung University; Chang Gung University; Chang Gung Memorial Hospital; Chang Gung Memorial Hospital</t>
  </si>
  <si>
    <t>Chang, YJ (corresponding author), Chang Gung Univ, Coll Med, Sch Phys Therapy, 259 Wenhua 1st Rd, Taoyuan, Taiwan.;Chang, YJ (corresponding author), Chang Gung Univ, Coll Med, Grad Inst Rehabil Sci, 259 Wenhua 1st Rd, Taoyuan, Taiwan.;Lien, ASY (corresponding author), Chang Gung Univ, Sch Nursing, Coll Med, 259 Wenhua 1st Rd, Taoyuan, Taiwan.;Lien, ASY; Chang, YJ (corresponding author), Chang Gung Univ, Hlth Aging Res Ctr, 259 Wenhua 1st Rd, Taoyuan, Taiwan.;Lien, ASY (corresponding author), Chang Gung Mem Hosp, Div Endocrinol &amp; Metab, Dept Internal Med, 5 Fuhsing Str, Taoyuan, Taiwan.;Chang, YJ (corresponding author), Chang Gung Mem Hosp, Neurosci Res Ctr, 5 Fuhsing Str, Taoyuan, Taiwan.</t>
  </si>
  <si>
    <t>u8606034@yahoo.com.tw; jialing@mail.cgu.edu.tw; a6130197@gmail.com; angela@mail.cgu.edu.tw; yjchang@mail.cgu.edu.tw</t>
  </si>
  <si>
    <t>Chang, Ya-Ju/B-9326-2011; Lien, Angela Shin-Yu/J-8525-2016</t>
  </si>
  <si>
    <t>Chang, Ya-Ju/0000-0002-9102-4352; Tsai, Jia-Ling/0000-0003-0486-5418; Lien, Angela Shin-Yu/0000-0002-5711-8072</t>
  </si>
  <si>
    <t>Ministry of Science and Technology, Taiwan [MOST 107-2221-E-182-009-MY3]; Healthy Aging Research Center, Chang Gung University, Taiwan [EMRPD1K0431]</t>
  </si>
  <si>
    <t>Ministry of Science and Technology, Taiwan(Ministry of Science and Technology, Taiwan); Healthy Aging Research Center, Chang Gung University, Taiwan</t>
  </si>
  <si>
    <t>This work was supported by the Ministry of Science and Technology, Taiwan (grant number MOST 107-2221-E-182-009-MY3) and the Healthy Aging Research Center (EMRPD1K0431), Chang Gung University, Taiwan. Special thanks to the Neuroscience Research Center, Chang Gung Memorial Hospital, Linkou, Taiwan.</t>
  </si>
  <si>
    <t>MAR 21</t>
  </si>
  <si>
    <t>10.1155/2020/2102785</t>
  </si>
  <si>
    <t>KZ8GW</t>
  </si>
  <si>
    <t>WOS:000523497700008</t>
  </si>
  <si>
    <t>Han, JW; Jiang, HJ; Zhu, JM</t>
  </si>
  <si>
    <t>Han, Jiawei; Jiang, Hongjie; Zhu, Junming</t>
  </si>
  <si>
    <t>Neurorestoration: Advances in human brain-computer interface using microelectrode arrays</t>
  </si>
  <si>
    <t>neural rehabilitation; intracortical brain-computer interface (BCI); microelectrode; motor neuroprosthetics</t>
  </si>
  <si>
    <t>POSTERIOR PARIETAL CORTEX; STIMULATION; MOVEMENT; SURGERY; PATIENT; SPIKING; ROBOT</t>
  </si>
  <si>
    <t>Neural damage has been a great challenge to the medical field for a very long time. The emergence of brain-computer interfaces (BCIs) offered a new possibility to enhance the activity of daily living and provide a new formation of entertainment for those with disabilities. Intracortical BCIs, which require the implantation of microelectrodes, can receive neuronal signals with a high spatial and temporal resolution from the individual's cortex. When BCI decoded cortical signals and mapped them to external devices, it displayed the ability not only to replace part of the human motor function but also to help individuals restore certain neurological functions. In this review, we focus on human intracortical BCI research using microelectrode arrays and summarize the main directions and the latest results in this field. In general, we found that intracortical BCI research based on motor neuroprosthetics and functional electrical stimulation have already achieved some simple functional replacement and treatment of motor function. Pioneering work in the posterior parietal cortex has given us a glimpse of the potential that intracortical BCIs have to control external devices and receive various sensory information.</t>
  </si>
  <si>
    <t>[Han, Jiawei; Jiang, Hongjie; Zhu, Junming] Zhejiang Univ, Affiliated Hosp 2, Dept Neurosurg, Sch Med, Hangzhou 310009, Peoples R China; [Han, Jiawei] Zhejiang Univ, Hangzhou 310058, Peoples R China</t>
  </si>
  <si>
    <t>Zhejiang University; Zhejiang University</t>
  </si>
  <si>
    <t>Zhu, JM (corresponding author), Zhejiang Univ, Affiliated Hosp 2, Dept Neurosurg, Sch Med, Hangzhou 310009, Peoples R China.</t>
  </si>
  <si>
    <t>dr.zhujunming@zju.edu.cn</t>
  </si>
  <si>
    <t>National key RD plan, China [2017YFC1308500]; Public Projects of Zhejiang Province, China [2019C03033]</t>
  </si>
  <si>
    <t>National key RD plan, China; Public Projects of Zhejiang Province, China</t>
  </si>
  <si>
    <t>This work was supported by National key R&amp;D plan, China (No. 2017YFC1308500); and the Public Projects of Zhejiang Province, China (No. 2019C03033).</t>
  </si>
  <si>
    <t>10.26599/JNR.2020.9040006</t>
  </si>
  <si>
    <t>MD2OU</t>
  </si>
  <si>
    <t>WOS:000543813700004</t>
  </si>
  <si>
    <t>Gull, MA; Bai, SP; Bak, T</t>
  </si>
  <si>
    <t>Gull, Muhammad Ahsan; Bai, Shaoping; Bak, Thomas</t>
  </si>
  <si>
    <t>A Review on Design of Upper Limb Exoskeletons</t>
  </si>
  <si>
    <t>upper-limb exoskeleton; exoskeleton review; neuromuscular rehabilitation; assistive technology; human-robot interaction</t>
  </si>
  <si>
    <t>OF-THE-ART; SHOULDER MECHANISM; HAND EXOSKELETON; ROBOTIC EXOSKELETON; VARIABLE STIFFNESS; REHABILITATION; POWER; STROKE; JOINT; RECOVERY</t>
  </si>
  <si>
    <t>Exoskeleton robotics has ushered in a new era of modern neuromuscular rehabilitation engineering and assistive technology research. The technology promises to improve the upper-limb functionalities required for performing activities of daily living. The exoskeleton technology is evolving quickly but still needs interdisciplinary research to solve technical challenges, e.g., kinematic compatibility and development of effective human-robot interaction. In this paper, the recent development in upper-limb exoskeletons is reviewed. The key challenges involved in the development of assistive exoskeletons are highlighted by comparing available solutions. This paper provides a general classification, comparisons, and overview of the mechatronic designs of upper-limb exoskeletons. In addition, a brief overview of the control modalities for upper-limb exoskeletons is also presented in this paper. A discussion on the future directions of research is included.</t>
  </si>
  <si>
    <t>[Gull, Muhammad Ahsan; Bai, Shaoping] Aalborg Univ, Dept Mech &amp; Mfg Engn, DK-9220 Aalborg, Denmark; [Bak, Thomas] Aalborg Univ, Dept Elect Syst, DK-9220 Aalborg, Denmark</t>
  </si>
  <si>
    <t>Aalborg University; Aalborg University</t>
  </si>
  <si>
    <t>Gull, MA (corresponding author), Aalborg Univ, Dept Mech &amp; Mfg Engn, DK-9220 Aalborg, Denmark.</t>
  </si>
  <si>
    <t>mag@m-tech.aau.dk; shb@mp.aau.dk; tba@es.aau.dk</t>
  </si>
  <si>
    <t>Gull, Muhammad Ahsan/HKO-7341-2023; bai, shaoping/AAH-2817-2020; Bak, Thomas/A-2029-2011</t>
  </si>
  <si>
    <t>Bai, Shaoping/0000-0001-5882-9768; Bak, Thomas/0000-0002-8282-5932</t>
  </si>
  <si>
    <t>Innovative Fund Denmark Grand Solutions</t>
  </si>
  <si>
    <t>This work is supported in part by Innovative Fund Denmark Grand Solutions project Exo-aider and AAU EXOTIC project.</t>
  </si>
  <si>
    <t>10.3390/robotics9010016</t>
  </si>
  <si>
    <t>LC1WH</t>
  </si>
  <si>
    <t>WOS:000525118900008</t>
  </si>
  <si>
    <t>Zhang, L; Liu, G; Han, B; Wang, Z; Li, H; Jiao, Y</t>
  </si>
  <si>
    <t>Zhang, Li; Liu, Geng; Han, Bing; Wang, Zhe; Li, Han; Jiao, Yan</t>
  </si>
  <si>
    <t>Assistive devices of human knee joint: A review</t>
  </si>
  <si>
    <t>Knee dysfunction; Knee assistive device; Wearable robot; Gait rehabilitation; Human-robot interaction</t>
  </si>
  <si>
    <t>ROBOTIC EXOSKELETON; DESIGN; REHABILITATION; WALKING; VALGUS; ORTHOSIS; ACTUATOR; SYSTEMS; BRACE; GAIT</t>
  </si>
  <si>
    <t>Knee dysfunction, such as knee osteoarthritis, meniscus injury, ligament injury, spinal cord injury and stroke, considerably impacts the normal living ability and mental health of these patients. Developing more effective knee assistive devices is in urgent need for effectively recovering their motion capabilities and improving their self-living activities. In this paper, we review and discuss the mechanical system design, sensing and control systems design, and performance evaluation of the main research advances in knee assistive devices. Firstly, in order to clearly illustrate and compare the mechanical system design, the mechanical system design is classified into four components to discuss: human attachment design, joint alignment design, actuation design and power transmission design. Then, the sensing and control systems design, which includes human biological signals based control systems, human-device interaction signals based control systems and device signals only based control systems, is compared and discussed. Furthermore, the performance evaluation methods and effectiveness of most of the knee assistive devices are reviewed. Finally, a discussion of the existing problems in the current studies and some recommendations for future research are presented. (C) 2019 Elsevier B.V. All rights reserved.</t>
  </si>
  <si>
    <t>[Zhang, Li; Liu, Geng; Han, Bing; Wang, Zhe; Li, Han; Jiao, Yan] Northwestern Polytech Univ, Shaanxi Engn Lab Transmiss &amp; Controls, Xian 710072, Peoples R China</t>
  </si>
  <si>
    <t>Northwestern Polytechnical University</t>
  </si>
  <si>
    <t>Liu, G (corresponding author), Northwestern Polytech Univ, Shaanxi Engn Lab Transmiss &amp; Controls, Xian 710072, Peoples R China.</t>
  </si>
  <si>
    <t>zhangli2816@mail.nwpu.edu.cn; npuliug@nwpu.edu.cn; npuhanbing@nwpu.edu.cn; sleepycat@mail.nwpu.edu.cn; hl@mail.nwpu.edu.cn; 2018201045@mail.nwpu.edu.cn</t>
  </si>
  <si>
    <t>Zhang, Li/LIC-6090-2024</t>
  </si>
  <si>
    <t>Zhang, Li/0000-0002-2535-3668</t>
  </si>
  <si>
    <t>Fundamental Research Funds for the Central Universities [31020190503004]; 111 Project [B13044]</t>
  </si>
  <si>
    <t>Fundamental Research Funds for the Central Universities(Fundamental Research Funds for the Central Universities); 111 Project(Ministry of Education, China - 111 Project)</t>
  </si>
  <si>
    <t>The research is supported by the Fundamental Research Funds for the Central Universities (Grant No. 31020190503004) and the 111 Project (Grant No. B13044).</t>
  </si>
  <si>
    <t>10.1016/j.robot.2019.103394</t>
  </si>
  <si>
    <t>KN9YT</t>
  </si>
  <si>
    <t>WOS:000515203900001</t>
  </si>
  <si>
    <t>Morone, G; Cocchi, I; Paolucci, S; Iosa, M</t>
  </si>
  <si>
    <t>Morone, Giovanni; Cocchi, Ilaria; Paolucci, Stefano; Iosa, Marco</t>
  </si>
  <si>
    <t>Robot-assisted therapy for arm recovery for stroke patients: state of the art and clinical implication</t>
  </si>
  <si>
    <t>Robotic rehabilitation; cognitive and motor rehabilitation; stroke; neurorehabilitation; intensive training; task-oriented training; robotics; arm recovery</t>
  </si>
  <si>
    <t>RANDOMIZED CONTROLLED-TRIAL; UPPER-LIMB; MOTOR REHABILITATION; EFFICACY; BENEFIT; STIMULATION; HEMIPARESIS; SPASTICITY; MOVEMENT; EXERCISE</t>
  </si>
  <si>
    <t>Introduction: Robot-assisted therapy is an emerging approach that performs highly repetitive, intensive, task oriented and quantifiable neuro-rehabilitation. In the last decades, it has been increasingly used in a wide range of neurological central nervous system conditions implying an upper limb paresis. Results from the studies are controversial, for the many types of robots and their features often not accompanied by specific clinical indications about the target functions, fundamental for the individualized neurorehabilitation program. Areas covered: This article reviews the state of the art and perspectives of robotics in post-stroke rehabilitation for upper limb recovery. Classifications and features of robots have been reported in accordance with technological and clinical contents, together with the definition of determinants specific for each patient, that could modify the efficacy of robotic treatments. The possibility of combining robotic intervention with other therapies has also been discussed. Expert commentary: The recent wide diffusion of robots in neurorehabilitation has generated a confusion due to the commingling of technical and clinical aspects not previously clarified. Our critical review provides a possible hypothesis about how to match a robot with subject's upper limb functional abilities, but also highlights the need of organizing a clinical consensus conference about the robotic therapy.</t>
  </si>
  <si>
    <t>[Morone, Giovanni; Cocchi, Ilaria; Paolucci, Stefano; Iosa, Marco] Fdn Santa Lucia IRCCS, Clin Lab Expt Neurorehabil, Rome, Italy</t>
  </si>
  <si>
    <t>IRCCS Santa Lucia</t>
  </si>
  <si>
    <t>Morone, G (corresponding author), Santa Lucia Fdn IRCCS, Clin Lab Expt Neurorehabil, Rome, Italy.</t>
  </si>
  <si>
    <t>Morone, Giovanni/AAN-2666-2020; Iosa, Marco/AAC-1693-2022; Morone, Giovanni/A-9561-2013</t>
  </si>
  <si>
    <t>Italian Ministry of Health [RC2018D]</t>
  </si>
  <si>
    <t>This paper has been funded by Italian Ministry of Health in the framework of Current Research, RC2018D.</t>
  </si>
  <si>
    <t>10.1080/17434440.2020.1733408</t>
  </si>
  <si>
    <t>FEB 2020</t>
  </si>
  <si>
    <t>KS3TX</t>
  </si>
  <si>
    <t>WOS:000517382200001</t>
  </si>
  <si>
    <t>Micera, S; Caleo, M; Chisari, C; Hummel, FC; Pedrocchi, A</t>
  </si>
  <si>
    <t>Micera, Silvestro; Caleo, Matteo; Chisari, Carmelo; Hummel, Friedhelm C.; Pedrocchi, Alessandra</t>
  </si>
  <si>
    <t>Advanced Neurotechnologies for the Restoration of Motor Function</t>
  </si>
  <si>
    <t>NEURON</t>
  </si>
  <si>
    <t>DIRECT-CURRENT STIMULATION; TRANSCRANIAL MAGNETIC STIMULATION; NONINVASIVE BRAIN-STIMULATION; VAGUS NERVE-STIMULATION; SUBACUTE STROKE PATIENTS; ROBOT-ASSISTED THERAPY; UPPER-LIMB RECOVERY; ELECTRICAL-STIMULATION; CONTROLLED-TRIAL; CORTICAL STIMULATION</t>
  </si>
  <si>
    <t>Stroke is one of the leading causes of long-term disability. Advanced technological solutions (neurotechnologies'') exploiting robotic systems and electrodes that stimulate the nervous system can increase the efficacy of stroke rehabilitation. Recent studies on these approaches have shown promising results. However, a paradigm shift in the development of new approaches must be made to significantly improve the clinical outcomes of neurotechnologies compared with those of traditional therapies. An evolutionary'' change can occur only by understanding in great detail the basic mechanisms of natural stroke recovery and technology-assisted neurorehabilitation. In this review, we first describe the results achieved by existing neurotechnologies and highlight their current limitations. In parallel, we summarize the data available on the mechanisms of recovery from electrophysiological, behavioral, and anatomical studies in humans and rodent models. Finally, we propose new approaches for the effective use of neurotechnologies in stroke survivors, as well as in people with other neurological disorders.</t>
  </si>
  <si>
    <t>[Micera, Silvestro] Scuola Super Sant Anna, Biorobot Inst, Pisa, Italy; [Micera, Silvestro] Scuola Super Sant Anna, Dept Excellence Robot &amp; AI, Pisa, Italy; [Micera, Silvestro] Ecole Polytech Fed Lausanne, Bertarelli Fdn Chair Translat Neuroengn, Ctr Neuroprosthet, Lausanne, Switzerland; [Micera, Silvestro] Ecole Polytech Fed Lausanne, Sch Engn, Inst Bioengn, Lausanne, Switzerland; [Caleo, Matteo] Univ Padua, Dept Biomed Sci, Padua, Italy; [Caleo, Matteo] Natl Res Council CNR, Inst Neurosci, Pisa, Italy; [Chisari, Carmelo] Univ Pisa, Dept Translat Res &amp; New Technol Med &amp; Surg, Neurorehabil Sect, Pisa, Italy; [Hummel, Friedhelm C.] EPFL, Ctr Neuroprosthet CNP, Defitech Chair Clin Neuroengn, CH-1202 Geneva, Switzerland; [Hummel, Friedhelm C.] EPFL, BMI, CH-1202 Geneva, Switzerland; [Hummel, Friedhelm C.] Ecole Polytech Fed Lausanne EPFL Valais, Clin Romande Readaptat, Ctr Neuroprosthet CNP, Defitech Chair Clin Neuroengn, CH-1951 Sion, Switzerland; [Hummel, Friedhelm C.] Ecole Polytech Fed Lausanne EPFL Valais, Clin Romande Readaptat, BMI, CH-1951 Sion, Switzerland; [Hummel, Friedhelm C.] Univ Geneva, Med Sch, Clin Neurosci, CH-1202 Geneva, Switzerland; [Pedrocchi, Alessandra] Politecn Milan, Dept Elect Informat &amp; Bioengn, Neuroengn &amp; Med Robot Lab NearLab, I-20133 Milan, Italy</t>
  </si>
  <si>
    <t>Scuola Superiore Sant'Anna; Scuola Superiore Sant'Anna; Swiss Federal Institutes of Technology Domain; Ecole Polytechnique Federale de Lausanne; Swiss Federal Institutes of Technology Domain; Ecole Polytechnique Federale de Lausanne; University of Padua; Consiglio Nazionale delle Ricerche (CNR); Istituto di Neuroscienze (IN-CNR); University of Pisa; Swiss Federal Institutes of Technology Domain; Ecole Polytechnique Federale de Lausanne; Swiss Federal Institutes of Technology Domain; Ecole Polytechnique Federale de Lausanne; Swiss Federal Institutes of Technology Domain; Ecole Polytechnique Federale de Lausanne; Swiss Federal Institutes of Technology Domain; Ecole Polytechnique Federale de Lausanne; University of Geneva; Polytechnic University of Milan</t>
  </si>
  <si>
    <t>Micera, S (corresponding author), Scuola Super Sant Anna, Biorobot Inst, Pisa, Italy.;Micera, S (corresponding author), Scuola Super Sant Anna, Dept Excellence Robot &amp; AI, Pisa, Italy.;Micera, S (corresponding author), Ecole Polytech Fed Lausanne, Bertarelli Fdn Chair Translat Neuroengn, Ctr Neuroprosthet, Lausanne, Switzerland.;Micera, S (corresponding author), Ecole Polytech Fed Lausanne, Sch Engn, Inst Bioengn, Lausanne, Switzerland.</t>
  </si>
  <si>
    <t>silvestro.micera@epfl.ch</t>
  </si>
  <si>
    <t>Pedrocchi, Alessandra/AAF-2655-2019; Hummel, Friedhelm/AGS-7403-2022; Micera, Silvestro/AAD-6630-2021</t>
  </si>
  <si>
    <t>Micera, Silvestro/0000-0003-4396-8217; CALEO, MATTEO/0000-0002-4333-6378; Hummel, Friedhelm/0000-0002-4746-4633</t>
  </si>
  <si>
    <t>Bertarelli Foundation; Defitech Foundation; Swiss National Competence Center Research (NCCR) Robotics; RONDA project - Government of Tuscany - Bando FAS Salute 2014; project EMPATIA@LECCO - Cariplo Foundation; Lombardy Region [2016-1428]; project INCOGNITO2 - Carigest; Strategic Focal Area Personalized Health and Related Technologies (PHRT) of the ETH Domain [PHRT-205, 2017-205]; project NeuGrasp - Swiss National Science Foundation; ADD Wyss Foundation</t>
  </si>
  <si>
    <t>Bertarelli Foundation; Defitech Foundation; Swiss National Competence Center Research (NCCR) Robotics; RONDA project - Government of Tuscany - Bando FAS Salute 2014; project EMPATIA@LECCO - Cariplo Foundation; Lombardy Region(Regione Lombardia); project INCOGNITO2 - Carigest; Strategic Focal Area Personalized Health and Related Technologies (PHRT) of the ETH Domain; project NeuGrasp - Swiss National Science Foundation(Swiss National Science Foundation (SNSF)); ADD Wyss Foundation</t>
  </si>
  <si>
    <t>This review was partly funded by the Bertarelli Foundation; the Defitech Foundation; the Swiss National Competence Center Research (NCCR) Robotics; the RONDA project, which is funded by the Government of Tuscany - Bando FAS Salute 2014; the project EMPATIA@LECCO funded by Cariplo Foundation and Lombardy Region (no. 2016-1428); the project INCOGNITO2 funded by Carigest; the grant #2017-205 of the Strategic Focal Area Personalized Health and Related Technologies (PHRT, project PHRT-205)'' of the ETH Domain; the project NeuGrasp, which is funded by the Swiss National Science Foundation; and ADD Wyss Foundation.</t>
  </si>
  <si>
    <t>0896-6273</t>
  </si>
  <si>
    <t>1097-4199</t>
  </si>
  <si>
    <t>Neuron</t>
  </si>
  <si>
    <t>10.1016/j.neuron.2020.01.039</t>
  </si>
  <si>
    <t>KN4SZ</t>
  </si>
  <si>
    <t>WOS:000514829900007</t>
  </si>
  <si>
    <t>Martinho, D; Carneiro, J; Corchado, JM; Marreiros, G</t>
  </si>
  <si>
    <t>Martinho, Diogo; Carneiro, Joao; Corchado, Juan M.; Marreiros, Goreti</t>
  </si>
  <si>
    <t>A systematic review of gamification techniques applied to elderly care</t>
  </si>
  <si>
    <t>ARTIFICIAL INTELLIGENCE REVIEW</t>
  </si>
  <si>
    <t>Gamification; Serious games; Elderly care; Systematic literature review</t>
  </si>
  <si>
    <t>IMPROVE CLINICAL MEASURES; OLDER-ADULTS; HEALTH-CARE; PHYSICAL-ACTIVITY; FALL PREVENTION; TRAINING SYSTEM; GAME; REHABILITATION; BALANCE; DESIGN</t>
  </si>
  <si>
    <t>The proportion of the world's population growing older is rapidly increasing over the last decades. With the recent progresses seen in information and communication technologies, there have been great concerns about developing personalized healthcare services that can ensure the living conditions and active aging of the elderly people. Among these technologies, we highlight and review in this work, the current state of gamification and related techniques applied to the elderly care context. Six research questions were defined to provide an overview on the current state in the development of gamified systems for elderly care through the identification of publication source types, research areas, target groups, game design elements and technologies employed and observed issues and benefits of using gamification in this context. Results have shown a great diversity in publication source types and research areas, even within the health domain. Different target groups were identified based on surrounding environment and physical and cognitive capabilities of the elderly person. Feedback, progression, rewards and social interaction enhancement are highlighted as the most relevant and frequently used game design elements for this context. Technological features observed include self-management systems, portable devices, physical robots, consoles and wearable technologies. The use of gamification techniques to support elderly people has proven to be beneficial to improve wellbeing as well as both physical, cognitive, social, and emotional state of the elderly person. Current challenges are most related with the need for traditional healthcare services to integrate gamification techniques to improve personalized healthcare and answer different necessities and adapt the support provided according to the individual capabilities of elderly people. The findings presented in this systematic literature review should be considered in the development of future personalized elderly care solutions by adapting the support provided according to interests, capabilities, necessities and contexts associated to the elderly person as a means to improve independence, health and wellbeing, capture interest and positive engagement, facilitate social interaction and decrease impact of many different medical conditions affecting older people.</t>
  </si>
  <si>
    <t>[Martinho, Diogo; Carneiro, Joao; Marreiros, Goreti] Polytech Porto, Inst Engn, Res Grp Intelligent Engn &amp; Comp Adv Innovat &amp; Dev, Porto, Portugal; [Corchado, Juan M.] Univ Salamanca, BISITE Digital Innovat Hub, Salamanca, Spain</t>
  </si>
  <si>
    <t>Instituto Politecnico do Porto; University of Salamanca</t>
  </si>
  <si>
    <t>Martinho, D (corresponding author), Polytech Porto, Inst Engn, Res Grp Intelligent Engn &amp; Comp Adv Innovat &amp; Dev, Porto, Portugal.</t>
  </si>
  <si>
    <t>diepm@isep.ipp.pt; jrc@isep.ipp.pt; corchado@usal.es; mgt@isep.ipp.pt</t>
  </si>
  <si>
    <t>Martinho, Diogo/IQW-6703-2023; Carneiro, João/ABA-9293-2020; Corchado, Juan Manuel/D-3229-2013; Marreiros, Goreti/M-4583-2013</t>
  </si>
  <si>
    <t>Carneiro, Joao/0000-0003-1430-5465; Martinho, Diogo/0000-0003-1683-4950; Corchado, Juan Manuel/0000-0002-2829-1829; Marreiros, Goreti/0000-0003-4417-8401</t>
  </si>
  <si>
    <t>EUREKA -ITEA3 Project PHE [PHE-16040]; National Funds through FCT (Fundacao para a Ciencia e a Tecnologia) [UID/EEA/00760/2019]; NORTE 2020 (Programa Operacional Regional do Norte) [NORTE-01-0247-FEDER-033275]; Fundação para a Ciência e a Tecnologia [UID/EEA/00760/2019] Funding Source: FCT</t>
  </si>
  <si>
    <t>EUREKA -ITEA3 Project PHE; National Funds through FCT (Fundacao para a Ciencia e a Tecnologia)(Fundacao para a Ciencia e a Tecnologia (FCT)); NORTE 2020 (Programa Operacional Regional do Norte); Fundação para a Ciência e a Tecnologia</t>
  </si>
  <si>
    <t>The work presented in this paper has been developed under the EUREKA -ITEA3 Project PHE (PHE-16040), and by National Funds through FCT (Fundacao para a Ciencia e a Tecnologia) under the project UID/EEA/00760/2019 and by NORTE-01-0247-FEDER-033275 (AIRDOC -Aplicacao movel Inteligente para suporte individualizado e monitorizacao da funcao e sons Respiratorios de Doentes Obstrutivos Cronicos ) by NORTE 2020 (Programa Operacional Regional do Norte).</t>
  </si>
  <si>
    <t>0269-2821</t>
  </si>
  <si>
    <t>1573-7462</t>
  </si>
  <si>
    <t>ARTIF INTELL REV</t>
  </si>
  <si>
    <t>Artif. Intell. Rev.</t>
  </si>
  <si>
    <t>10.1007/s10462-020-09809-6</t>
  </si>
  <si>
    <t>NN1YW</t>
  </si>
  <si>
    <t>WOS:000515788900001</t>
  </si>
  <si>
    <t>Martinez-Martin, E; Escalona, F; Cazorla, M</t>
  </si>
  <si>
    <t>Martinez-Martin, Ester; Escalona, Felix; Cazorla, Miguel</t>
  </si>
  <si>
    <t>Socially Assistive Robots for Older Adults and People with Autism: An Overview</t>
  </si>
  <si>
    <t>robotics; healthcare; disability; assistive technology; socially assistive robotics</t>
  </si>
  <si>
    <t>HUMANOID ROBOT; COLLABORATIVE PLAY; CHILDREN; TECHNOLOGY; INDIVIDUALS; RECOGNITION; KASPAR; EIGENFACES; IMITATION; THERAPY</t>
  </si>
  <si>
    <t>Over one billion people in the world suffer from some form of disability. Nevertheless, according to the World Health Organization, people with disabilities are particularly vulnerable to deficiencies in services, such as health care, rehabilitation, support, and assistance. In this sense, recent technological developments can mitigate these deficiencies, offering less-expensive assistive systems to meet users' needs. This paper reviews and summarizes the research efforts toward the development of these kinds of systems, focusing on two social groups: older adults and children with autism.</t>
  </si>
  <si>
    <t>[Martinez-Martin, Ester; Escalona, Felix; Cazorla, Miguel] Univ Alicante, Lab Robot &amp; Vis Tridimens RoViT, San Vicente Del Raspeig 03690, Alicante, Spain</t>
  </si>
  <si>
    <t>Universitat d'Alacant</t>
  </si>
  <si>
    <t>Martinez-Martin, E (corresponding author), Univ Alicante, Lab Robot &amp; Vis Tridimens RoViT, San Vicente Del Raspeig 03690, Alicante, Spain.</t>
  </si>
  <si>
    <t>ester@ua.es; felix.escalona@ua.es; miguel.cazorla@ua.es</t>
  </si>
  <si>
    <t>Escalona, Felix/W-9378-2019; Martinez-Martin, Ester/M-7374-2016; Cazorla, Miguel/B-4464-2013</t>
  </si>
  <si>
    <t>Martinez-Martin, Ester/0000-0003-4495-6912; Cazorla, Miguel/0000-0001-6805-3633; Escalona Moncholi, Felix/0000-0003-2245-601X</t>
  </si>
  <si>
    <t>Spanish Government [TIN2016-76515-R]; Spanish grants [ACIF/2017/243, FPU16/00887]; Feder funds</t>
  </si>
  <si>
    <t>Spanish Government(Spanish Government); Spanish grants(Spanish Government); Feder funds(European Union (EU))</t>
  </si>
  <si>
    <t>This research was funded by the Spanish Government TIN2016-76515-R grant for the COMBAHO project, supported with Feder funds. It has also been supported by Spanish grants for PhD studies ACIF/2017/243 and FPU16/00887.</t>
  </si>
  <si>
    <t>10.3390/electronics9020367</t>
  </si>
  <si>
    <t>KS6JA</t>
  </si>
  <si>
    <t>WOS:000518412200167</t>
  </si>
  <si>
    <t>Jamwal, PK; Hussain, S; Ghayesh, MH</t>
  </si>
  <si>
    <t>Jamwal, Prashant K.; Hussain, Shahid; Ghayesh, Mergen H.</t>
  </si>
  <si>
    <t>Robotic orthoses for gait rehabilitation: An overview of mechanical design and control strategies</t>
  </si>
  <si>
    <t>Robotic orthoses; gait rehabilitation; mechanism design; actuation; control strategies; stroke</t>
  </si>
  <si>
    <t>BODY-WEIGHT SUPPORT; LOWER-LIMB EXOSKELETON; ASSISTED GAIT; MUSCLE-ACTIVITY; WALKING; ACTUATOR; MOTION; LEG; OPTIMIZATION; RESTORATION</t>
  </si>
  <si>
    <t>The application of robotic devices in providing physiotherapies to post-stroke patients and people suffering from incomplete spinal cord injuries is rapidly expanding. It is crucial to provide valid rehabilitation for people who are experiencing abnormality in their gait performance; therefore, design and development of newer robotic devices for the purpose of facilitating patients' recovery is being actively researched. In order to advance the traditional gait treatment among patients, exoskeletons and orthoses were introduced over the last two decades. This article presents a thorough review of existing robotic gait rehabilitation devices. The latest advancements in the mechanical design, types of control and actuation are also covered. The study comprehends discussions on robotic rehabilitation devices developed both for the training on treadmill and over-ground training. The assist-as-needed strategy for the gait training is particularly emphasized while reviewing various control strategies applied to these robotic devices. This study further reviews experimental investigations and clinical assessments of different control strategies and mechanism designs of robotic gait rehabilitation devices using experimental and clinical trials.</t>
  </si>
  <si>
    <t>[Jamwal, Prashant K.] Nazarbayev Univ, Dept Elect &amp; Comp Engn, Astana 010000, Kazakhstan; [Hussain, Shahid] Univ Canberra, Fac Sci &amp; Technol, Human Ctr Technol Res Ctr, Canberra, ACT, Australia; [Ghayesh, Mergen H.] Univ Adelaide, Sch Mech Engn, Adelaide, SA, Australia</t>
  </si>
  <si>
    <t>Nazarbayev University; University of Canberra; University of Adelaide</t>
  </si>
  <si>
    <t>Jamwal, PK (corresponding author), Nazarbayev Univ, Dept Elect &amp; Comp Engn, Astana 010000, Kazakhstan.</t>
  </si>
  <si>
    <t>prashant.jamwal@nu.edu.kz</t>
  </si>
  <si>
    <t>Hussain, Shahid/AAP-5065-2021; JAMWAL, PRASHANT/AAQ-7638-2020</t>
  </si>
  <si>
    <t>Human-Centred Technology Research Centre, University of Canberra, Australia</t>
  </si>
  <si>
    <t>The author(s) disclosed receipt of the following financial support for the research, authorship, and/or publication of this article: The authors would like to acknowledge the funding from Human-Centred Technology Research Centre, University of Canberra, Australia, for conducting this research work.</t>
  </si>
  <si>
    <t>10.1177/0954411919898293</t>
  </si>
  <si>
    <t>JAN 2020</t>
  </si>
  <si>
    <t>LM6YQ</t>
  </si>
  <si>
    <t>WOS:000507203300001</t>
  </si>
  <si>
    <t>Parker, J; Powell, L; Mawson, S</t>
  </si>
  <si>
    <t>Parker, Jack; Powell, Lauren; Mawson, Susan</t>
  </si>
  <si>
    <t>Effectiveness of Upper Limb Wearable Technology for Improving Activity and Participation in Adult Stroke Survivors: Systematic Review</t>
  </si>
  <si>
    <t>wearable electronic devices; stroke; rehabilitation; upper extremity</t>
  </si>
  <si>
    <t>FUNCTIONAL ELECTRICAL-STIMULATION; ROBOT-ASSISTED THERAPY; CLINICALLY IMPORTANT DIFFERENCE; BRAIN-COMPUTER INTERFACE; HAND ACTIVITY INVENTORY; FUGL-MEYER ASSESSMENT; RESEARCH ARM TEST; QUALITY-OF-LIFE; UPPER-EXTREMITY; VIRTUAL-REALITY</t>
  </si>
  <si>
    <t>Background: With advances in technology, the adoption of wearable devices has become a viable adjunct in poststroke rehabilitation. Upper limb (UL) impairment affects up to 77% of stroke survivors impacting on their ability to carry out everyday activities. However, despite an increase in research exploring these devices for UL rehabilitation, little is known of their effectiveness. Objective: This review aimed to assess the effectiveness of UL wearable technology for improving activity and participation in adult stroke survivors. Methods: Randomized controlled trials (RCTs) and randomized comparable trials of UL wearable technology for poststroke rehabilitation were included. Primary outcome measures were validated measures of activity and participation as defined by the International Classification of Functioning, Disability, and Health. Databases searched were MEDLINE, Web of Science (Core collection), CINAHL, and the Cochrane Library. The Cochrane Risk of Bias Tool was used to assess the methodological quality of the RCTs and the Downs and Black Instrument for the quality of non RCTs. Results: In the review, we included 11 studies with collectively 354 participants at baseline and 323 participants at final follow-up including control groups and participants poststroke. Participants' stroke type and severity varied. Only 1 study found significant between-group differences for systems functioning and activity (P &lt;=.02). The 11 included studies in this review had small sample sizes ranging from 5 to 99 participants at an average (mean) age of 57 years. Conclusions: This review has highlighted a number of reasons for insignificant findings in this area including low sample sizes and the appropriateness of the methodology for complex interventions. However, technology has the potential to measure outcomes, provide feedback, and engage users outside of clinical sessions. This could provide a platform for motivating stroke survivors to carry out more rehabilitation in the absence of a therapist, which could maximize recovery.</t>
  </si>
  <si>
    <t>[Parker, Jack] Univ Derby, Derby, England; [Powell, Lauren; Mawson, Susan] Univ Sheffield, Sheffield S10 2TN, S Yorkshire, England</t>
  </si>
  <si>
    <t>University of Derby; University of Sheffield</t>
  </si>
  <si>
    <t>Powell, L (corresponding author), Univ Sheffield, Sheffield S10 2TN, S Yorkshire, England.</t>
  </si>
  <si>
    <t>l.a.powell@sheffield.ac.uk</t>
  </si>
  <si>
    <t>Mawson, Susan/0000-0003-2795-8983; Powell, Lauren/0000-0003-0230-8722</t>
  </si>
  <si>
    <t>National Institute for Health Research (NIHR) Collaboration for Leadership in Applied Health Research and Care Yorkshire and Humber</t>
  </si>
  <si>
    <t>This research was funded and supported by the National Institute for Health Research (NIHR) Collaboration for Leadership in Applied Health Research and Care Yorkshire and Humber. The views and opinions expressed are those of the authors and are not necessarily those of the National Health Service, the NIHR, or the Department of Health, United Kingdom.</t>
  </si>
  <si>
    <t>JAN 8</t>
  </si>
  <si>
    <t>e15981</t>
  </si>
  <si>
    <t>10.2196/15981</t>
  </si>
  <si>
    <t>KB5ZK</t>
  </si>
  <si>
    <t>WOS:000506572900001</t>
  </si>
  <si>
    <t>Bauer, G; Pan, YJ</t>
  </si>
  <si>
    <t>Bauer, Georgeta; Pan, Ya-Jun</t>
  </si>
  <si>
    <t>Review of Control Methods for Upper Limb Telerehabilitation With Robotic Exoskeletons</t>
  </si>
  <si>
    <t>Bilateral teleoperation; robotic exoskeleton control; rehabilitation; delay</t>
  </si>
  <si>
    <t>DELAYED BILATERAL TELEOPERATION; ADAPTIVE ROBUST-CONTROL; IT-YOURSELF HAPTICS; STROKE REHABILITATION; IMPEDANCE CONTROL; TIME-DELAY; SYSTEMS; DESIGN; FORCE; MANIPULATION</t>
  </si>
  <si>
    <t>Given the escalating unmet demand for physical rehabilitation due to the growing global aging population and the effects of the coronavirus COVID-19 including increased incidents of stroke, hospital bed shortages, and clinics closures, robotic telerehabilitation is an emerging, timely, and crucial technology. Rehabilitating the upper limbs of affected patients is of upmost importance for restoring physical function and lighten the societal burden due to disabilities. So far, the majority of the research in robotic telerehabilitation for upper limbs has been performed with end-effector-type assistive robots; however, the use of robotic exoskeletons has significant and distinctive benefits. Although there are surveys written about control methods for upper limb robotic exoskeletons and other surveys written about bilateral teleoperation control methods, there are no surveys written specifically about telerehabilitation control methods for upper limbs using robotic exoskeletons. As a result, this article reviews the state-of-the-art control strategies including various advanced linear and nonlinear control approaches for upper limb rehabilitation robotic exoskeletons, bilateral teleoperation, and several state-of-the-art telerehabilitation applications with upper limb robotic exoskeletons. The benefits, drawbacks, challenges, and future directions of existing methodologies are extensively discussed. This article offers a comprehensive overview and insight for new researchers in the area of telerehabilitation robotic exoskeletons.</t>
  </si>
  <si>
    <t>[Bauer, Georgeta; Pan, Ya-Jun] Dalhousie Univ, Dept Mech Engn, Halifax, NS B3H 4R2, Canada</t>
  </si>
  <si>
    <t>Dalhousie University</t>
  </si>
  <si>
    <t>Pan, YJ (corresponding author), Dalhousie Univ, Dept Mech Engn, Halifax, NS B3H 4R2, Canada.</t>
  </si>
  <si>
    <t>yajun.pan@dal.ca</t>
  </si>
  <si>
    <t>Pan, Yajun/AAQ-3127-2020</t>
  </si>
  <si>
    <t>Pan, Ya-Jun/0000-0002-8700-0956; Bauer, Georgeta/0000-0003-0720-0104</t>
  </si>
  <si>
    <t>Natural Sciences and Engineering Research Council of Canada (NSERC); Nova Scotia Graduate Scholarship (NSGS); Killam Trusts; Dr. Eliza Ritchie Doctoral Scholarship, Canada</t>
  </si>
  <si>
    <t>Natural Sciences and Engineering Research Council of Canada (NSERC)(Natural Sciences and Engineering Research Council of Canada (NSERC)); Nova Scotia Graduate Scholarship (NSGS); Killam Trusts; Dr. Eliza Ritchie Doctoral Scholarship, Canada</t>
  </si>
  <si>
    <t>This work was supported in part by the Natural Sciences and Engineering Research Council of Canada (NSERC), in part by the Nova Scotia Graduate Scholarship (NSGS), in part by the Killam Trusts, and in part by the Dr. Eliza Ritchie Doctoral Scholarship, Canada.</t>
  </si>
  <si>
    <t>10.1109/ACCESS.2020.3036596</t>
  </si>
  <si>
    <t>OS8UI</t>
  </si>
  <si>
    <t>WOS:000590433400001</t>
  </si>
  <si>
    <t>Chandrasekar, K; Sai, NG; John, PS; Ninan, S; Durai, R; Ponnusankar, S</t>
  </si>
  <si>
    <t>Chandrasekar, Keerthana; Sai, Nakka Gautam; John, Princy Sabu; Ninan, Sruthi; Durai, Raja; Ponnusankar, Sivasankaran</t>
  </si>
  <si>
    <t>Emerging Non-Pharmacological Therapies for Post-stroke Depression and its Future Aspects: A Review</t>
  </si>
  <si>
    <t>INDIAN JOURNAL OF PHARMACEUTICAL EDUCATION AND RESEARCH</t>
  </si>
  <si>
    <t>Caregiver; Cognitive Impairment; Non-Pharmacological Treatment; Post-Stroke Depression; Quality of Life; Rehabilitation</t>
  </si>
  <si>
    <t>STROKE SURVIVORS; MOTOR FUNCTION; MUSIC-THERAPY; STIMULATION; IMPAIRMENTS; ART</t>
  </si>
  <si>
    <t>Post-Stroke Depression (PSD) is a psychiatric disorder associated with stroke which has an adverse effect on the cognitive function and survival. It usually develops in 40% of the stroke survivors within 3 months. We performed a thorough literature review using PsychInfo, PubMed, Science Direct and PLOS databases for the non-pharmacological treatment of PSD. Early rehabilitation and psychological therapies are effective in treating depression in PSD while physiotherapy and music therapy improves both cognitive and movement disability. Transcranial stimulation and electroconvulsive therapy are invasive procedures used to treat cognitive impairment in PSD. Computerized therapy helps, enhance the attention, memory and executive functioning. DepReT stroke is a package which addresses patients along with their caregiver to have a better understanding of the depression. Robot assisted rehabilitation along with traditional rehabilitation is effective in treating motor function associated with PSD. Early assessment, treatment and rehabilitation are the most effective ways to prevent depression in stroke survivors and thereby improving their quality of life. Non-pharmacological treatment for post-stroke depression seem to be efficacious as antidepressants in improving depressive symptoms with minimal side effects.</t>
  </si>
  <si>
    <t>[Chandrasekar, Keerthana; Sai, Nakka Gautam; John, Princy Sabu; Ninan, Sruthi; Durai, Raja; Ponnusankar, Sivasankaran] JSS Acad Higher Educ &amp; Res, JSS Coll Pharm, Dept Pharm Practice, Ooty 643001, Tamil Nadu, India</t>
  </si>
  <si>
    <t>JSS Academy of Higher Education &amp; Research; JSS College of Pharmacy, Ooty</t>
  </si>
  <si>
    <t>Ponnusankar, S (corresponding author), JSS Acad Higher Educ &amp; Res, JSS Coll Pharm, Dept Pharm Practice, Ooty 643001, Tamil Nadu, India.</t>
  </si>
  <si>
    <t>ponnusankarsivas@gmail.com</t>
  </si>
  <si>
    <t>Ponnusankar, Sivasankaran/JFS-1542-2023; Durai, Raja/KXR-0838-2024</t>
  </si>
  <si>
    <t>Sivasankaran, Ponnusankar/0000-0001-5589-090X</t>
  </si>
  <si>
    <t>ASSOC PHARMACEUTICAL TEACHERS INDIA</t>
  </si>
  <si>
    <t>BANGALORE</t>
  </si>
  <si>
    <t>AL-AMEEN COLL PHARMACY, OPP LALBACH MAIN GATE, HOSUR MAIN RD, BANGALORE, 560 027, INDIA</t>
  </si>
  <si>
    <t>0019-5464</t>
  </si>
  <si>
    <t>INDIAN J PHARM EDUC</t>
  </si>
  <si>
    <t>Indian J. Pharm. Educ. Res.</t>
  </si>
  <si>
    <t>10.5530/ijper.54.1.1</t>
  </si>
  <si>
    <t>Education, Scientific Disciplines; Pharmacology &amp; Pharmacy</t>
  </si>
  <si>
    <t>Education &amp; Educational Research; Pharmacology &amp; Pharmacy</t>
  </si>
  <si>
    <t>KA2AN</t>
  </si>
  <si>
    <t>WOS:000505600300001</t>
  </si>
  <si>
    <t>Chen, B; Zi, B; Qin, L; Pan, QS</t>
  </si>
  <si>
    <t>Chen, Bing; Zi, Bin; Qin, Ling; Pan, Qiaosheng</t>
  </si>
  <si>
    <t>State-of-the-art research in robotic hip exoskeletons: A general review</t>
  </si>
  <si>
    <t>Ageing population; Gait rehabilitation; Hip dysfunction; Human performance augmentation; Robotic hip exoskeletons</t>
  </si>
  <si>
    <t>ELDERLY-PEOPLE; GAIT DISORDERS; OLDER-ADULTS; LOWER-LIMBS; WALKING; MUSCLE; ASSISTANCE; EXERCISE; REHABILITATION; OSTEONECROSIS</t>
  </si>
  <si>
    <t>Ageing population is now a global challenge, where physical deterioration is the common feature in elderly people. In addition, the diseases, such as spinal cord injury, stroke, and injury, could cause a partial or total loss of the ability of human locomotion. Thus, assistance is necessary for them to perform safe activities of daily living. Robotic hip exoskeletons are able to support ambulatory functions in elderly people and provide rehabilitation for the patients with gait impairments. They can also augment human performance during normal walking, loaded walking, and manual handling of heavy-duty tasks by providing assistive force/torque. In this article, a systematic review of robotic hip exoskeletons is presented, where biomechanics of the human hip joint, pathological gait pattern, and common approaches to the design of robotic hip exoskeletons are described. Finally, limitations of the available robotic hip exoskeletons and their possible future directions are discussed, which could serve a useful reference for the engineers and researchers to develop robotic hip exoskeletons with practical and plausible applications in geriatric orthopaedics. The translational potential of this article: The past decade has witnessed a remarkable progress in research and development of robotic hip exoskeletons. Our aim is to summarize recent developments of robotic hip exoskeletons for the engineers, clinician scientists and rehabilitation personnel to develop efficient robotic hip exoskeletons for practical and plausible applications.</t>
  </si>
  <si>
    <t>[Chen, Bing; Zi, Bin] Hefei Univ Technol, Sch Mech Engn, Hefei, Peoples R China; [Chen, Bing] China Univ Min &amp; Technol, Jiangsu Key Lab Mine Mech &amp; Elect Equipment, Beijing, Peoples R China; [Chen, Bing; Qin, Ling] Chinese Univ Hong Kong, Dept Orthopaed &amp; Traumatol, Hong Kong, Peoples R China; [Pan, Qiaosheng] Hefei Univ Technol, Sch Instrument Sci &amp; Opto Elect Engn, Hefei, Peoples R China</t>
  </si>
  <si>
    <t>Hefei University of Technology; China University of Mining &amp; Technology; Chinese University of Hong Kong; Hefei University of Technology</t>
  </si>
  <si>
    <t>Zi, B (corresponding author), Hefei Univ Technol, Room 301,Gewu Bldg,Tunxi Rd, Hefei 230009, Anhui, Peoples R China.</t>
  </si>
  <si>
    <t>Qin, Ling/JBR-9155-2023; Qin, Ling/J-9047-2018</t>
  </si>
  <si>
    <t>Qin, Ling/0000-0001-6173-6167; Chen, Bing/0000-0001-5875-4997</t>
  </si>
  <si>
    <t>National Natural Science Foundation of China [51805132]; China Postdoctoral Science Foundation [2018M642512]; Fundamental Research Funds for the Central Universities [JZ2019HGTB0084, JZ2018HGBZ0166]</t>
  </si>
  <si>
    <t>National Natural Science Foundation of China(National Natural Science Foundation of China (NSFC)); China Postdoctoral Science Foundation(China Postdoctoral Science Foundation); Fundamental Research Funds for the Central Universities(Fundamental Research Funds for the Central Universities)</t>
  </si>
  <si>
    <t>This work was supported by the National Natural Science Foundation of China (Project No. 51805132), the China Postdoctoral Science Foundation Funded Project (Project No. 2018M642512), and the Fundamental Research Funds for the Central Universities (Project No. JZ2019HGTB0084, JZ2018HGBZ0166).</t>
  </si>
  <si>
    <t>10.1016/j.jot.2019.09.006</t>
  </si>
  <si>
    <t>KI1ZK</t>
  </si>
  <si>
    <t>WOS:000511146000003</t>
  </si>
  <si>
    <t>Dimitrousis, C; Almpani, S; Stefaneas, P; Veneman, J; Nizamis, K; Astaras, A</t>
  </si>
  <si>
    <t>DeAlbuquerque, VHC; Athanasiou, A; Ribeiro, S</t>
  </si>
  <si>
    <t>Dimitrousis, Christos; Almpani, Sofia; Stefaneas, Petros; Veneman, Jan; Nizamis, Kostas; Astaras, Alexander</t>
  </si>
  <si>
    <t>Neurorobotics: review of underlying technologies, current developments, and future</t>
  </si>
  <si>
    <t>NEUROTECHNOLOGY: Methods, Advances and Applications</t>
  </si>
  <si>
    <t>IET Healthcare Technologies Series</t>
  </si>
  <si>
    <t>PERIPHERAL NERVOUS-SYSTEM; HOME-BASED REHABILITATION; HUMAN-ROBOT INTERACTION; STROKE; EXOSKELETONS; INTERFACES; MOVEMENT; BRAIN; PERSPECTIVES; MECHANISM</t>
  </si>
  <si>
    <t>[Dimitrousis, Christos; Astaras, Alexander] Amer Coll Thessaloniki, Div Sci &amp; Technol, Thessaloniki, Greece; [Almpani, Sofia] Natl Tech Univ Athens, Sch Elect &amp; Comp Engn, Athens, Greece; [Stefaneas, Petros] Natl Tech Univ Athens, Sch Appl Math &amp; Phys Sci, Athens, Greece; [Veneman, Jan] Hocoma AG, Volketswil, Switzerland; [Nizamis, Kostas] Univ Twente, Dept Design Prod &amp; Management, Enschede, Netherlands</t>
  </si>
  <si>
    <t>National Technical University of Athens; National Technical University of Athens; University of Twente</t>
  </si>
  <si>
    <t>Dimitrousis, C (corresponding author), Amer Coll Thessaloniki, Div Sci &amp; Technol, Thessaloniki, Greece.</t>
  </si>
  <si>
    <t>Nizamis, Kostas/I-2830-2019; Serbanescu, Anca/JBJ-5946-2023; Veneman, Jan/IXN-8252-2023</t>
  </si>
  <si>
    <t>Nizamis, Kostas/0000-0002-6965-0242; Almpani, Sofia/0000-0003-4823-479X</t>
  </si>
  <si>
    <t>COST (European Cooperation in Science and Technology) [CA 16116]</t>
  </si>
  <si>
    <t>COST (European Cooperation in Science and Technology)(European Cooperation in Science and Technology (COST))</t>
  </si>
  <si>
    <t>This chapter is based upon work from COST Action CA 16116, Wearable Robots for augmentation, assistance or substitution of human motor functions, supported by COST (European Cooperation in Science and Technology). COST (European Cooperation in Science and Technology) is a funding agency for research and innovation networks. Our Actions help connect research initiatives across Europe and enable scientists to grow their ideas by sharing them with their peers. This boosts their research, career and innovation.</t>
  </si>
  <si>
    <t>INST ENGINEERING TECH-IET</t>
  </si>
  <si>
    <t>STEVENAGE</t>
  </si>
  <si>
    <t>MICHAEL FARADAY HOUSE, STEVENAGE, HERTS SG1 2AY, ENGLAND</t>
  </si>
  <si>
    <t>978-1-78561-814-7; 978-1-78561-813-0</t>
  </si>
  <si>
    <t>IET HEALTH TECH SER</t>
  </si>
  <si>
    <t>10.1049/PBHE019E</t>
  </si>
  <si>
    <t>Engineering, Biomedical; Medical Informatics; Clinical Neurology</t>
  </si>
  <si>
    <t>Engineering; Medical Informatics; Neurosciences &amp; Neurology</t>
  </si>
  <si>
    <t>BS9FA</t>
  </si>
  <si>
    <t>WOS:000780041200008</t>
  </si>
  <si>
    <t>Hameed, HK; Hassan, WZW; Shafie, S; Ahmad, SA; Jaafar, H</t>
  </si>
  <si>
    <t>Hameed, Husamuldeen K.; Hassan, Wan Zuha Wan; Shafie, Suhaidi; Ahmad, Siti Anom; Jaafar, Haslina</t>
  </si>
  <si>
    <t>A Review on Surface Electromyography-Controlled Hand Robotic Devices Used for Rehabilitation and Assistance in Activities of Daily Living</t>
  </si>
  <si>
    <t>JOURNAL OF PROSTHETICS AND ORTHOTICS</t>
  </si>
  <si>
    <t>robotic gloves; hand exoskeleton; electromyography; sEMG; rehabilitation</t>
  </si>
  <si>
    <t>MYOELECTRIC PATTERN-RECOGNITION; MUSCLE-ACTIVITY; MOTOR RECOVERY; EMG; EXOSKELETON; STROKE; SIGNAL; GLOVE; CLASSIFICATION; DESIGN</t>
  </si>
  <si>
    <t>Introduction: Spinal cord injuries, traumas, natural aging, and strokes are themain causes of armimpairment or even a chronic disability for an increasing part of the population. Therefore, robotic devices can be essential tools to help individuals afflicted with hand deficit with the activities of daily living in addition to the possibility of restoring hand functions by rehabilitation. Because the surface electromyography (sEMG) control paradigm has recently emerged as an interesting intention control method in devices applied to rehabilitation, the concentration in this study has been devoted to sEMG-controlled hand robotic devices, including gloves and exoskeletons that are used for rehabilitation and for assistance in daily activities. Materials and Methods: A brief description is given to the previous reviews and studies that have surveyed the robotic devices used for rehabilitation; a comparison is conducted among these studies with respect to the targeted part of the body and the device's control method. Important issues about controlling by sEMG signal are accentuated, and a review of sEMGcontrolled hand robotic devices is presented with an abbreviated description for each endeavor. Some criteria related to sEMG control are specifically emphasized, for instance, the muscles used for control, the number of sEMG channels, and the type of sEMG sensor used. Discussion: It is noted that most of the sEMG-based controls for the devices included in this study have used the nonpattern recognition scheme due to the weak sEMG signals and abnormal pattern of muscle activation for stroke patients. In addition to sEMG-based control, additional control paradigms have been used in many of the listed robotic devices to increase the efficacy of the system; this cooperation is required because of the difficulty in dealing with the sEMG signals of stroke patients. Most of the listed studies have conducted the experiments on a healthy subject to evaluate the efficacy of the systems, whereas the studies that have recruited stroke patients for system assessment were predominately using additional control schemes. Conclusions: This article highlights the important issues about the sEMG control method and accentuates the weaknesses associated with this type of control to assist researchers in overcoming problems that impede sEMG-controlled robotic devices to be feasible and practical tools for people afflicted with hand impairment. (J Prosthet Orthot. 2020;32:3-13)</t>
  </si>
  <si>
    <t>[Hameed, Husamuldeen K.; Hassan, Wan Zuha Wan; Shafie, Suhaidi; Ahmad, Siti Anom; Jaafar, Haslina] Univ Putra Malaysia, Fac Engn, Dept Elect &amp; Elect Engn, Serdang 43400, Selangor, Malaysia</t>
  </si>
  <si>
    <t>Universiti Putra Malaysia</t>
  </si>
  <si>
    <t>Hameed, HK (corresponding author), Univ Putra Malaysia, Fac Engn, Dept Elect &amp; Elect Engn, Serdang 43400, Selangor, Malaysia.</t>
  </si>
  <si>
    <t>husamuldeen72@gmail.com</t>
  </si>
  <si>
    <t>Hassan, Wan/AAS-9046-2020; Shafie, Suhaidi/AAD-8701-2020; Ahmad, Siti/K-3273-2013; Hameed, Husamuldeen/HDM-3694-2022</t>
  </si>
  <si>
    <t>Hameed, Husamuldeen/0000-0001-5112-1986; Jaafar, Haslina/0000-0002-2497-6601; Wan Hasan, Wan Zuha/0000-0003-4691-066X</t>
  </si>
  <si>
    <t>1040-8800</t>
  </si>
  <si>
    <t>1534-6331</t>
  </si>
  <si>
    <t>J PROSTHET ORTHOT</t>
  </si>
  <si>
    <t>J. Prosthet. Orthot.</t>
  </si>
  <si>
    <t>VM0QY</t>
  </si>
  <si>
    <t>WOS:000937707000002</t>
  </si>
  <si>
    <t>Larina, NV; Pavlenko, VB; Korsunskaya, LL; Dyagileva, YO; Falaleev, AP; Mikhailova, AA; Orekhova, LS; Ponomareva, IV</t>
  </si>
  <si>
    <t>Larina, N., V; Pavlenko, V. B.; Korsunskaya, L. L.; Dyagileva, Yu O.; Falaleev, A. P.; Mikhailova, A. A.; Orekhova, L. S.; Ponomareva, I., V</t>
  </si>
  <si>
    <t>Rehabilitation possibilities for children with cerebral palsy through the use of robotic devices and biofeedback</t>
  </si>
  <si>
    <t>BYULLETEN SIBIRSKOY MEDITSINY</t>
  </si>
  <si>
    <t>children; cerebral palsy; biofeedback; robotic exoskeleton; brain-computer interfaces</t>
  </si>
  <si>
    <t>BRAIN-COMPUTER INTERFACE; MOVEMENT; EXOSKELETON; THERAPY; PRINCIPLES; RECOVERY</t>
  </si>
  <si>
    <t>This article overviews and systemizes published data on the ways of implementing different methods of biofeedback, robotic devices, and brain-computer interfaces (BCI) for rehabilitation of children with cerebral palsy (CP). Aim. To survey implementation practices and clinical outcomes of rehabilitation technologies and possible neurophysiological mechanisms underlying their efficacy in patients with CP. We searched PubMed, Web of Science and eLIBRARY.ru databases for relevant publications using specified keywords. Results. The analysis of relevant literature has shown that robotic technologies and BCIs with biofeedback based on electroencephalography and electromyography parameters are rapidly developing and implemented for the rehabilitation of children with CP. The first evidence of effectiveness for such methods and approaches has been found. However, there is a lack of fully developed conventional standards for the use of such rehabilitation methods and protocols in children. Control groups comprising of children with CP are often absent in such studies. In many cases, the variations of neurophysiological and neurochemical parameters before and after a course of rehabilitation are not evaluated. Having such data would help clarify physiological mechanisms underlying effective rehabilitation of motor functions and then design more adequate rehabilitation procedures and medication protocols.</t>
  </si>
  <si>
    <t>[Larina, N., V; Pavlenko, V. B.; Korsunskaya, L. L.; Dyagileva, Yu O.; Falaleev, A. P.; Mikhailova, A. A.; Orekhova, L. S.; Ponomareva, I., V] VI Vernadsky Crimean Fed Univ, 4 Acad Vernadsky Av, Simferopol 295007, Crimea, Russia</t>
  </si>
  <si>
    <t>VI Vernadsky Crimean Federal University</t>
  </si>
  <si>
    <t>Pavlenko, VB (corresponding author), VI Vernadsky Crimean Fed Univ, 4 Acad Vernadsky Av, Simferopol 295007, Crimea, Russia.</t>
  </si>
  <si>
    <t>vpav55@gmail.com</t>
  </si>
  <si>
    <t>Mikhailova, Anna/U-7713-2018; Orekhova, Lili/AAP-2586-2021; Ларина, Наталья/GYA-2066-2022; Vladimir, Pavlenko/F-4199-2017</t>
  </si>
  <si>
    <t>Larina, Natal'a/0000-0002-6996-4823; Falaleev, Andrey/0000-0003-3624-4544; Orehova, Lilia Sergeevna/0000-0003-0353-641X; Vladimir, Pavlenko/0000-0003-3311-3688</t>
  </si>
  <si>
    <t>Federal Target Program of the Ministry of Science and Higher Education [RFMEFI60519X0186]</t>
  </si>
  <si>
    <t>Federal Target Program of the Ministry of Science and Higher Education</t>
  </si>
  <si>
    <t>The review was supported by the Federal Target Program of the Ministry of Science and Higher Education Development of hand exoskeleton with external programmed control and biofeedback for rehabilitation of children with cerebral palsy (RFMEFI60519X0186).</t>
  </si>
  <si>
    <t>SIBERIAN STATE MEDICAL UNIV</t>
  </si>
  <si>
    <t>TOMSK</t>
  </si>
  <si>
    <t>UL LENINA 107, TOMSK, 63405, RUSSIA</t>
  </si>
  <si>
    <t>1682-0363</t>
  </si>
  <si>
    <t>1819-3684</t>
  </si>
  <si>
    <t>BYULLETEN SIB MED</t>
  </si>
  <si>
    <t>BYULLETEN SIB. MED.</t>
  </si>
  <si>
    <t>10.20538/1682-0363-2020-3-156-165</t>
  </si>
  <si>
    <t>OE4EV</t>
  </si>
  <si>
    <t>WOS:000580486500020</t>
  </si>
  <si>
    <t>Mehrholz, J; Thomas, S; Kugler, J; Pohl, M; Elsner, B</t>
  </si>
  <si>
    <t>Mehrholz, Jan; Thomas, Simone; Kugler, Joachim; Pohl, Marcus; Elsner, Bernhard</t>
  </si>
  <si>
    <t>BODY-WEIGHT SUPPORT; FUNCTIONAL ELECTRICAL-STIMULATION; SPATIOTEMPORAL GAIT PARAMETERS; NON-AMBULATORY PATIENTS; SUBACUTE STROKE; SINGLE-BLIND; LOCOMOTOR FUNCTION; CLINICAL-TRIAL; FLOOR WALKING; ROBOT</t>
  </si>
  <si>
    <t>Background Electromechanical- and robot-assisted gait-training devices are used in rehabilitation and might help to improve walking after stroke. This is an update of a Cochrane Review first published in 2007 and previously updated in 2017. Objectives Primary To determine whether electromechanical- and robot-assisted gait training versus normal care improves walking after stroke Secondary To determine whether electromechanical- and robot-assisted gait training versus normal care after stroke improves walking velocity, walking capacity, acceptability, and death from all causes until the end of the intervention phase Search methods We searched the Cochrane Stroke Group Trials Register (last searched 6 January 2020); the Cochrane Central Register of Controlled Trials (CENTRAL; 2020 Issue 1), in the Cochrane Library; MEDLINE in Ovid (1950 to 6 January 2020); Embase (1980 to 6 January 2020); the Cumulative Index to Nursing and Allied Health Literature (CINAHL; 1982 to 20 November 2019); the Allied and Complementary Medicine Database (AMED; 1985 to 6 January 2020); Web of Science (1899 to 7 January 2020); SPORTDiscus (1949 to 6 January 2020); the Physiotherapy Evidence Database (PEDro; searched 7 January 2020); and the engineering databases COMPENDEX (1972 to 16 January 2020) and Inspec (1969 to 6 January 2020). We handsearched relevant conference proceedings, searched trials and research registers, checked reference lists, and contacted trial authors in an effort to identify further published, unpublished, and ongoing trials. Selection criteria We included all randomised controlled trials and randomised controlled cross-over trials in people over the age of 18 years diagnosed with stroke of any severity, at any stage, in any setting, evaluating electromechanical- and robot-assisted gait training versus normal care. Data collection and analysis Two review authors independently selected trials for inclusion, assessed methodological quality and risk of bias, and extracted data. We assessed the quality of evidence using the GRADE approach. The primary outcome was the proportion of participants walking independently at follow-up. Main results We included in this review update 62 trials involving 2440 participants. Electromechanical-assisted gait training in combination with physiotherapy increased the odds of participants becoming independent in walking (odds ratio (random effects) 2.01, 95% confidence interval (CI) 1.51 to 2.69; 38 studies, 1567 participants; P &lt; 0.00001; I-2 = 0%; high-quality evidence) and increased mean walking velocity (mean difference (MD) 0.06 m/s, 95% CI 0.02 to 0.10; 42 studies, 1600 participants; P = 0.004; I-2 = 60%; low-quality evidence) but did not improve mean walking capacity (MD 10.9 metres walked in 6 minutes, 95% CI -5.7 to 27.4; 24 studies, 983 participants; P = 0.2; I-2 = 42%; moderate-quality evidence). Electromechanical-assisted gait training did not increase the risk of loss to the study during intervention nor the risk of death from all causes. Results must be interpreted with caution because (1) some trials investigated people who were independent in walking at the start of the study, (2) we found variation between trials with respect to devices used and duration and frequency of treatment, and (3) some trials included devices with functional electrical stimulation. Post hoc analysis showed that people who are non-ambulatory at the start of the intervention may benefit but ambulatory people may not benefit from this type of training. Post hoc analysis showed no differences between the types of devices used in studies regarding ability to walk but revealed differences between devices in terms of walking velocity and capacity. Authors' conclusions People who receive electromechanical-assisted gait training in combination with physiotherapy after stroke are more likely to achieve independent walking than people who receive gait training without these devices. We concluded that eight patients need to be treated to prevent one dependency in walking. Specifically, people in the first three months after stroke and those who are not able to walk seem to benefit most from this type of intervention. The role of the type of device is still not clear. Further research should consist of large definitive pragmatic phase 3 trials undertaken to address specific questions about the most effective frequency and duration of electromechanical-assisted gait training, as well as how long any benefit may last. Future trials should consider time post stroke in their trial design.</t>
  </si>
  <si>
    <t>[Mehrholz, Jan; Kugler, Joachim; Elsner, Bernhard] Tech Univ Dresden, Dresden Med Sch, Dept Publ Hlth, Dresden, Germany; [Thomas, Simone] Klin Bavaria Kreischa, Wissenschaftliches Inst, Kreischa, Germany; [Pohl, Marcus] Helios Klin Sch Pulsnitz, Neurol Rehabil, Pulsnitz, Germany</t>
  </si>
  <si>
    <t>Klinik Bavaria Kreischa, WissenschaAMP;liches Institut, Germany; Technical University Dresden, Lehrstuhl Public Health, Germany; SRH Hochschule fur Gesundheit Gera,, Germany</t>
  </si>
  <si>
    <t>Klinik Bavaria Kreischa, Wissenscha&amp;liches Institut, Germanyr internalr Technical University Dresden, Lehrstuhl Public Health, Germanyr internalr SRH Hochschule fur Gesundheit Gera,, Germany</t>
  </si>
  <si>
    <t>10.1002/14651858.CD006185.pub5</t>
  </si>
  <si>
    <t>WOS:000583109400045</t>
  </si>
  <si>
    <t>Regenhardt, RW; Takase, H; Lo, EH; Lin, DJ</t>
  </si>
  <si>
    <t>Regenhardt, Robert W.; Takase, Hajime; Lo, Eng H.; Lin, David J.</t>
  </si>
  <si>
    <t>Translating concepts of neural repair after stroke: Structural and functional targets for recovery</t>
  </si>
  <si>
    <t>Stroke; recovery; neural repair; translation</t>
  </si>
  <si>
    <t>TRANSCRANIAL MAGNETIC STIMULATION; PRIMARY MOTOR CORTEX; WHITE-MATTER STROKE; REAL-TIME FMRI; NONINVASIVE CORTICAL STIMULATION; UPPER EXTREMITY FUNCTION; ELEMENT-BINDING PROTEIN; ROBOT-ASSISTED THERAPY; 1ST 14 DAYS; DOUBLE-BLIND</t>
  </si>
  <si>
    <t>Stroke is among the most common causes of adult disability worldwide, and its disease burden is shifting towards that of a long-term condition. Therefore, the development of approaches to enhance recovery and augment neural repair after stroke will be critical. Recovery after stroke involves complex interrelated systems of neural repair. There are changes in both structure (at the molecular, cellular, and tissue levels) and function (in terms of excitability, cortical maps, and networks) that occur spontaneously within the brain. Several approaches to augment neural repair through enhancing these changes are under study. These include identifying novel drug targets, implementing rehabilitation strategies, and developing new neurotechnologies. Each of these approaches has its own array of different proposed mechanisms. Current investigation has emphasized both cellular and circuit-based targets in both gray and white matter, including axon sprouting, dendritic branching, neurogenesis, axon preservation, remyelination, blood brain barrier integrity, blockade of extracellular inhibitory signals, alteration of excitability, and promotion of new brain cortical maps and networks. Herein, we review for clinicians recovery after stroke, basic elements of spontaneous neural repair, and ongoing work to augment neural repair. Future study requires alignment of basic, translational, and clinical research. The field continues to grow while becoming more clearly defined. As thrombolysis changed stroke care in the 1990 s and thrombectomy in the 2010 s, the augmentation of neural repair and recovery after stroke may revolutionize care for these patients in the coming decade.</t>
  </si>
  <si>
    <t>[Regenhardt, Robert W.; Takase, Hajime; Lo, Eng H.; Lin, David J.] Harvard Med Sch, Massachusetts Gen Hosp, Dept Neurol, 55 Fruit St, Boston, MA 02114 USA; [Takase, Hajime; Lo, Eng H.] Harvard Med Sch, Massachusetts Gen Hosp, Dept Radiol, Boston, MA 02114 USA; [Lin, David J.] Massachusetts Gen Hosp, Ctr Neurotechnol &amp; Neurorecovery, Boston, MA 02114 USA</t>
  </si>
  <si>
    <t>Harvard University; Harvard University Medical Affiliates; Massachusetts General Hospital; Harvard Medical School; Harvard University; Harvard University Medical Affiliates; Massachusetts General Hospital; Harvard Medical School; Harvard University; Harvard University Medical Affiliates; Massachusetts General Hospital</t>
  </si>
  <si>
    <t>Regenhardt, RW (corresponding author), Harvard Med Sch, Massachusetts Gen Hosp, Dept Neurol, 55 Fruit St, Boston, MA 02114 USA.</t>
  </si>
  <si>
    <t>robert.regenhardt@mgh.harvard.edu</t>
  </si>
  <si>
    <t>National Institutes of Health; [R25 NS065743]; [P01 NS055104]; [R01 NS099620]; [R01 AG055559]; [R01 NS093415]; Grants-in-Aid for Scientific Research [20K09330] Funding Source: KAKEN</t>
  </si>
  <si>
    <t>National Institutes of Health(United States Department of Health &amp; Human ServicesNational Institutes of Health (NIH) - USA); ; ; ; ; ; Grants-in-Aid for Scientific Research(Ministry of Education, Culture, Sports, Science and Technology, Japan (MEXT)Japan Society for the Promotion of ScienceGrants-in-Aid for Scientific Research (KAKENHI))</t>
  </si>
  <si>
    <t>Seth P Finklestein, MD and Leigh R Hochberg, MD, PhD, Department of Neurology, Massachusetts General Hospital, Harvard Medical School, provided comments to help guide this work. RWR is supported by R25 NS065743. EHL is supported by P01 NS055104, R01 NS099620, R01 AG055559, and R01 NS093415. DJL is supported by R25 NS065743. All grants are from the National Institutes of Health.</t>
  </si>
  <si>
    <t>10.3233/RNN-190978</t>
  </si>
  <si>
    <t>KM4PO</t>
  </si>
  <si>
    <t>WOS:000514112900006</t>
  </si>
  <si>
    <t>Sarma, J; Sahai, N; Bhatia, D</t>
  </si>
  <si>
    <t>Sarma, Jitumani; Sahai, Nitin; Bhatia, Dinesh</t>
  </si>
  <si>
    <t>Recent advances on ankle foot orthosis for gait rehabilitation: a review</t>
  </si>
  <si>
    <t>INTERNATIONAL JOURNAL OF BIOMEDICAL ENGINEERING AND TECHNOLOGY</t>
  </si>
  <si>
    <t>foot drop; ankle foot orthosis; gait; dorsiflexion; plantarflexion</t>
  </si>
  <si>
    <t>STIMULATION; WALKING; DESIGN</t>
  </si>
  <si>
    <t>Since the early 1980s, hydraulic and pneumatic device are used to explore methods of orthotic devices for lower limb. Over the past decades, significant development has been made by researchers in rehabilitation robotics associating assistive orthotic device for the lower limb extremities. The aim in writing this review article is to present a detailed insight towards the development of the controlled ankle foot orthosis (AFO) device for enhancing the functionality of people disabled by injury to the lower limb or by neuromuscular disorders such as multiple sclerosis, spinal muscular atrophy, etc. Different types of approaches towards design, actuation and control strategies of passive and active AFOs are analysed in this article considering gait rehabilitation. In currently available commercialised ankle foot orthotic devices for lower limb, to overcome the weakness and instability produced by drop foot and to follow natural gait is still a challenge. This paper also focuses the impact of active control of AFO device mainly to enhance the functionality of lower limb reducing the deformities. Researchers have put in huge amount of efforts in terms of modelling, simulating and controlling of such devices mainly for gait rehabilitation with kinematic and dynamics analysis.</t>
  </si>
  <si>
    <t>[Sarma, Jitumani; Sahai, Nitin; Bhatia, Dinesh] North East Hill Univ, Dept Biomed Engn, Shillong 793022, Meghalaya, India</t>
  </si>
  <si>
    <t>Sahai, N (corresponding author), North East Hill Univ, Dept Biomed Engn, Shillong 793022, Meghalaya, India.</t>
  </si>
  <si>
    <t>jitusarma18@yahoo.com; nitinbiomedical@gmail.com; bhatiadinesh@rediffmail.com</t>
  </si>
  <si>
    <t>Sahai, Nitin/AAL-8124-2021; Bhatia, Dinesh/AAX-2814-2020</t>
  </si>
  <si>
    <t>Department of Biotechnology (DBT), Government of India [BT/PR15691/NER/95/23/2015]</t>
  </si>
  <si>
    <t>Department of Biotechnology (DBT), Government of India(Department of Biotechnology (DBT) India)</t>
  </si>
  <si>
    <t>This study is a part of the research grant (Ref: BT/PR15691/NER/95/23/2015) from the Department of Biotechnology (DBT), Government of India to the University.</t>
  </si>
  <si>
    <t>INDERSCIENCE ENTERPRISES LTD</t>
  </si>
  <si>
    <t>GENEVA</t>
  </si>
  <si>
    <t>WORLD TRADE CENTER BLDG, 29 ROUTE DE PRE-BOIS, CASE POSTALE 856, CH-1215 GENEVA, SWITZERLAND</t>
  </si>
  <si>
    <t>1752-6418</t>
  </si>
  <si>
    <t>1752-6426</t>
  </si>
  <si>
    <t>INT J BIOMED ENG TEC</t>
  </si>
  <si>
    <t>Int. J. Biomed. Eng. Technol.</t>
  </si>
  <si>
    <t>10.1504/IJBET.2020.107711</t>
  </si>
  <si>
    <t>MP0SX</t>
  </si>
  <si>
    <t>WOS:000551924600005</t>
  </si>
  <si>
    <t>Yang, Y; Wu, YX; Li, C; Yang, XM; Chen, W</t>
  </si>
  <si>
    <t>Yang, Ying; Wu, Yanxiao; Li, Cheng; Yang, Xiaoming; Chen, Wei</t>
  </si>
  <si>
    <t>Flexible Actuators for Soft Robotics</t>
  </si>
  <si>
    <t>actively deformable apparels; flexible actuators; medical robots; rehabilitation assistance robots; soft human-machine interaction robots</t>
  </si>
  <si>
    <t>SHAPE-MEMORY POLYMERS; CARBON-NANOTUBE; ARTIFICIAL MUSCLES; DIELECTRIC ELASTOMER; HAPTIC FEEDBACK; ENERGY-CONVERSION; DESIGN; DRIVEN; PERFORMANCE; FILMS</t>
  </si>
  <si>
    <t>Rigid robots have taken on a variety of automated manufacturing tasks and have made a huge contribution to industrial development; however, they are not suitable for further wearable applications due to their rigid and bulky structure, poor environmental adaptability, and low safety. Soft robots, which are mainly fabricated with FLexible or elastomeric materials, can easily adjust to environmental changes and accomplish complex tasks, offering a new paradigm to achieve human-machine compliance. Soft robots do not replace rigid robots but add diverse features for softer robotic applications. In particular, the use of flexible actuators in robotic systems can realize certain intelligent functions, enrich soft robotic systems and migrate academic research to engineering applications. Currently, the application of flexible actuators in soft robotic fields is still at the embryonic stage. However, tremendous application spaces can be envisaged when combining flexible actuators with soft wearable robotics. Therefore, the current flexible actuators that rely on different external stimuli are addressed herein, and their materials, designs, and approaches suitable for soft robotic applications are highlighted. The application advancement and future perspective of flexible actuator prototypes toward various soft robotics are also discussed.</t>
  </si>
  <si>
    <t>[Yang, Ying; Wu, Yanxiao; Li, Cheng] Chinese Acad Sci, Suzhou Inst Nanotech &amp; Nanobion, Suzhou 215123, Peoples R China; [Yang, Ying] Chinese Acad Sci, Suzhou Inst Nanotech &amp; Nanobion, Nanchang Res Inst, Nanchang 330000, Jiangxi, Peoples R China; [Yang, Xiaoming] Soochow Univ, State &amp; Local Joint Engn Lab Novel Funct Polymer, Dept Polymer Sci &amp; Engn,Suzhou Key Lab Macromol D, Coll Chem Chem Engn &amp; Mat Sci,Jiangsu Key Lab Adv, Suzhou 215123, Peoples R China; [Chen, Wei] Hong Kong Polytech Univ, Inst Text &amp; Clothing, Res Ctr Smart Wearable Technol, Hung Hom,Kowloon, Hong Kong, Peoples R China; [Chen, Wei] Hong Kong Polytech Univ, Shenzhen Res Inst, Shenzhen, Peoples R China</t>
  </si>
  <si>
    <t>Chinese Academy of Sciences; Suzhou Institute of Nano-Tech &amp; Nano-Bionics, CAS; Chinese Academy of Sciences; Suzhou Institute of Nano-Tech &amp; Nano-Bionics, CAS; Soochow University - China; Hong Kong Polytechnic University; Hong Kong Polytechnic University</t>
  </si>
  <si>
    <t>Yang, XM (corresponding author), Soochow Univ, State &amp; Local Joint Engn Lab Novel Funct Polymer, Dept Polymer Sci &amp; Engn,Suzhou Key Lab Macromol D, Coll Chem Chem Engn &amp; Mat Sci,Jiangsu Key Lab Adv, Suzhou 215123, Peoples R China.;Chen, W (corresponding author), Hong Kong Polytech Univ, Inst Text &amp; Clothing, Res Ctr Smart Wearable Technol, Hung Hom,Kowloon, Hong Kong, Peoples R China.;Chen, W (corresponding author), Hong Kong Polytech Univ, Shenzhen Res Inst, Shenzhen, Peoples R China.</t>
  </si>
  <si>
    <t>yangxiaoming@suda.edu.cn; weii.chen@polyu.edu.hk</t>
  </si>
  <si>
    <t>Chen, Wei/AAS-1391-2020</t>
  </si>
  <si>
    <t>CHEN, WEI/0000-0001-9527-110X</t>
  </si>
  <si>
    <t>National Key R&amp;D Program of China [2018YFC2000900]; National Natural Science Foundation of China [21975214]; Hong Kong Polytechnic University [BE1H]; Science and Technology of Jiangsu Province [BE2016086]</t>
  </si>
  <si>
    <t>National Key R&amp;D Program of China; National Natural Science Foundation of China(National Natural Science Foundation of China (NSFC)); Hong Kong Polytechnic University(Hong Kong Polytechnic University); Science and Technology of Jiangsu Province</t>
  </si>
  <si>
    <t>The authors thank the project 2018YFC2000900 supported by National Key R&amp;D Program of China, the project 21975214 supported by National Natural Science Foundation of China, the project BE1H supported by Start-up Fund of Hong Kong Polytechnic University, and the project BE2016086 supported by the Science and Technology of Jiangsu Province.</t>
  </si>
  <si>
    <t>10.1002/aisy.201900077</t>
  </si>
  <si>
    <t>TE0ZQ</t>
  </si>
  <si>
    <t>WOS:000669747100001</t>
  </si>
  <si>
    <t>Zhang, QS; Ji, GC; Cao, F; Sun, YH; Hu, GY; Sun, SQ; Liu, YZ; Cao, JZ; Wang, YF; Xu, XH; Song, BL</t>
  </si>
  <si>
    <t>Zhang, Qiongshuai; Ji, Guangcheng; Cao, Fang; Sun, Yihan; Hu, Guanyu; Sun, Shaoqian; Liu, Yanze; Cao, Jiazhen; Wang, Yufeng; Xu, Xiaohong; Song, Bailin</t>
  </si>
  <si>
    <t>Tuina for spasticity of poststroke: protocol of a systematic review and meta-analysis</t>
  </si>
  <si>
    <t>stroke medicine; limb reconstruction; rehabilitation medicine</t>
  </si>
  <si>
    <t>MODIFIED ASHWORTH SCALE; STROKE SURVIVORS; BURDEN; RELIABILITY</t>
  </si>
  <si>
    <t>Introduction Spasticity is a common complication of poststroke, tuina is a widely used rehabilitation treatment, although there is a lack of supportive evidence on efficacy and safety for patients with poststroke spasticity. The aim of this systematic review is to assess and synthesis evidence of efficacy and safety of tuina for spasticity of poststroke. Methods and analysis A comprehensive electronic search of EMBASE, MEDLINE, Cochrane Library, Web of Science, Wiley, Springer, PEDro, Chinese Science Citation Database, China National Knowledge Infrastructure, Chinese Biomedical Literature Database, Chinese Scientific and Journal Database (VIP), Wanfang Database (Wanfang), Japanese medical database (CiNii), Korean Robotics Institute Summer Scholars and Thailand Thai-Journal Citation Index Centre will be conducted to search literatures of randomised controlled trials of tuina for spasticity of poststroke survivors range from the establishment to 1 January 2020. There is no time of publication limitations. The primary outcome will be measured with the Modified Ashworth Scale, and the second outcome will include Fugl-Meyer Assessment Scale, surface electromyogram RMS value, the Modified Barthel Index, Stroke Specific Quality of Life Scale, quality of life 36-Item Short-Form Health Survey and Visual Analogue Scale. Cochrane Handbook for Systematic Reviews of Interventions will be used to assess the risk of bias, and GRADE will be used to access the confidence in cumulative evidence. The protocol will be conducted according to approach and Preferred Reporting Items for Systematic Review and Meta-Analysis Protocols 2015. Ethics and dissemination Ethical approval will not be required, for no primary data of individual patients were collected. We will publish the findings in a peer-reviewed journal. PROSPERO registration number CRD42020163384.</t>
  </si>
  <si>
    <t>[Zhang, Qiongshuai; Hu, Guanyu; Liu, Yanze; Cao, Jiazhen; Song, Bailin] Changchun Univ Chinese Med, Acupuncture &amp; Tuina Dept, Changchun, Peoples R China; [Ji, Guangcheng] Changchun Univ Chinese Med, Rehabil Med Dept, Changchun, Peoples R China; [Cao, Fang] Henan Univ Tradit Chinese Med, Acupuncture Dept, Zhengzhou, Peoples R China; [Sun, Yihan] Changchun Univ Chinese Med, TCM Dept, Changchun, Peoples R China; [Sun, Shaoqian] Jilin Univ, Affiliated Hosp 3, Rehabil Med Dept, Changchun, Peoples R China; [Wang, Yufeng] Changchun Univ Chinese Med, Affiliated Hosp 1, Tuina Dept, Changchun, Peoples R China; [Xu, Xiaohong] Changchun Univ Chinese Med, Grad Sch, Changchun, Peoples R China</t>
  </si>
  <si>
    <t>Changchun University of Chinese Medicine; Changchun University of Chinese Medicine; Henan University of Traditional Chinese Medicine; Changchun University of Chinese Medicine; Jilin University; Changchun University of Chinese Medicine; Changchun University of Chinese Medicine</t>
  </si>
  <si>
    <t>Song, BL (corresponding author), Changchun Univ Chinese Med, Acupuncture &amp; Tuina Dept, Changchun, Peoples R China.</t>
  </si>
  <si>
    <t>jlsongbl@126.com</t>
  </si>
  <si>
    <t>National Key R&amp;D Program of China; Ministry of Science and Technology of the Peoples' Republic of China [2018YFC1706000]</t>
  </si>
  <si>
    <t>National Key R&amp;D Program of China; Ministry of Science and Technology of the Peoples' Republic of China(Ministry of Science and Technology, China)</t>
  </si>
  <si>
    <t>This article is supported by the National Key R&amp;D Program of China which is supported by the Ministry of Science and Technology of the Peoples' Republic of China (grant number 2018YFC1706000).</t>
  </si>
  <si>
    <t>e038705</t>
  </si>
  <si>
    <t>10.1136/bmjopen-2020-038705</t>
  </si>
  <si>
    <t>PH1TI</t>
  </si>
  <si>
    <t>WOS:000600203600010</t>
  </si>
  <si>
    <t>D'Anci, KE; Uhl, S; Oristaglio, J; Sullivan, N; Tsou, AY</t>
  </si>
  <si>
    <t>D'Anci, Kristen E.; Uhl, Stacey; Oristaglio, Jeffrey; Sullivan, Nancy; Tsou, Amy Y.</t>
  </si>
  <si>
    <t>Treatments for Poststroke Motor Deficits and Mood Disorders: A Systematic Review for the 2019 US Department of Veterans Affairs and US Department of Defense Guidelines for Stroke Rehabilitation</t>
  </si>
  <si>
    <t>ANNALS OF INTERNAL MEDICINE</t>
  </si>
  <si>
    <t>TRANSCRANIAL MAGNETIC STIMULATION; NEUROMUSCULAR ELECTRICAL-STIMULATION; UPPER-EXTREMITY; RANDOMIZED-TRIAL; SUBACUTE STROKE; DOUBLE-BLIND; RECOVERY; DEPRESSION; THERAPY; INTERVENTION</t>
  </si>
  <si>
    <t>Background: Early rehabilitation after stroke is essential to help reduce disability. Purpose: To summarize evidence on the benefits and harms of nonpharmacologic and pharmacologic treatments for motor deficits and mood disorders in adults who have had stroke. Data Sources: English-language searches of multiple electronic databases from April 2009 through July 2018; targeted searches to December 2018 for studies of selective serotonin reuptake inhibitors (SSRIs) or serotonin-norepinephrine reuptake inhibitors. Study Selection: 19 systematic reviews and 37 randomized controlled trials addressing therapies for motor deficits or mood disorders in adults with stroke. Data Extraction: One investigator abstracted the data, and quality and GRADE assessment were checked by a second investigator. Data Synthesis: Most interventions (for example, SSRIs, mental practice, mirror therapy) did not improve motor function. High-quality evidence did not support use of fluoxetine to improve motor function. Moderate-quality evidence supported use of cardiorespiratory training to improve maximum walking speed and repetitive task training or transcranial direct current stimulation to improve activities of daily living (ADLs). Low-quality evidence supported use of robotic arm training to improve ADLs. Low-quality evidence indicated that antidepressants may reduce depression, whereas the frequency and severity of antidepressant-related adverse effects was unclear. Low-quality evidence suggested that cognitive behavioral therapy and exercise, including mind-body exercise, may reduce symptoms of depression and anxiety. Limitation: Studies were of poor quality, interventions and comparators were heterogeneous, and evidence on harms was scarce. Conclusion: Cardiorespiratory training, repetitive task training, and transcranial direct current stimulation may improve ADLs in adults with stroke. Cognitive behavioral therapy, exercise, and SSRIs may reduce symptoms of poststroke depression, but use of SSRIs to prevent depression or improve motor function was not supported.</t>
  </si>
  <si>
    <t>[D'Anci, Kristen E.; Uhl, Stacey; Oristaglio, Jeffrey; Sullivan, Nancy; Tsou, Amy Y.] ECRI Inst, Plymouth Meeting, PA USA; [D'Anci, Kristen E.; Uhl, Stacey; Oristaglio, Jeffrey; Sullivan, Nancy; Tsou, Amy Y.] ECRI Inst, Ctr Clin Evidence &amp; Guidelines, 5200 Butler Pike, Plymouth Meeting, PA 19462 USA</t>
  </si>
  <si>
    <t>D'Anci, KE (corresponding author), ECRI Inst, Ctr Clin Evidence &amp; Guidelines, 5200 Butler Pike, Plymouth Meeting, PA 19462 USA.</t>
  </si>
  <si>
    <t>kdanci@ecri.org</t>
  </si>
  <si>
    <t>Tsou, Amy/0000-0002-5544-3090</t>
  </si>
  <si>
    <t>U.S. Department of Veterans Affairs, Veterans Health Administration</t>
  </si>
  <si>
    <t>U.S. Department of Veterans Affairs, Veterans Health Administration(US Department of Veterans Affairs)</t>
  </si>
  <si>
    <t>U.S. Department of Veterans Affairs, Veterans Health Administration.</t>
  </si>
  <si>
    <t>AMER COLL PHYSICIANS</t>
  </si>
  <si>
    <t>INDEPENDENCE MALL WEST 6TH AND RACE ST, PHILADELPHIA, PA 19106-1572, UNITED STATES</t>
  </si>
  <si>
    <t>0003-4819</t>
  </si>
  <si>
    <t>1539-3704</t>
  </si>
  <si>
    <t>ANN INTERN MED</t>
  </si>
  <si>
    <t>Ann. Intern. Med.</t>
  </si>
  <si>
    <t>10.7326/M19-2414</t>
  </si>
  <si>
    <t>KB3WA</t>
  </si>
  <si>
    <t>WOS:000506428800017</t>
  </si>
  <si>
    <t>Shek, AC; Biondi, A; Ballard, D; Wykes, T; Simblett, SK</t>
  </si>
  <si>
    <t>Shek, Anthony Chun; Biondi, Andrea; Ballard, Dominic; Wykes, Til; Simblett, Sara Katherine</t>
  </si>
  <si>
    <t>Technology-based interventions for mental health support after stroke: A systematic review of their acceptability and feasibility</t>
  </si>
  <si>
    <t>NEUROPSYCHOLOGICAL REHABILITATION</t>
  </si>
  <si>
    <t>Stroke; Mental health; Technology; Depression; Anxiety</t>
  </si>
  <si>
    <t>COGNITIVE-BEHAVIORAL THERAPY; TELEMENTAL HEALTH; DEPRESSION; PROGRAM; TELEREHABILITATION; EFFICACY; ANXIETY; HOME; REHABILITATION; FREQUENCY</t>
  </si>
  <si>
    <t>Mental health disturbances are common after stroke and linked to a slower recovery. Current face-to-face treatment options are costly and often inaccessible. Technology advances have made it possible to overcome some of these barriers to deliver technology-based mental health interventions remotely, but we do not know how acceptable and feasible they are. This systematic review aims to provide an examination of the acceptability and feasibility of technology-based mental health interventions provided to stroke patients and evaluate any barriers to their adoption. A total of 13 studies were included investigating interventions targeting non-specific mental health, depression or anxiety. The delivery technologies were: video conferencing, computer programmes, telephones, DVDs, CDs, robot-assisted devices, and personal digital assistants. Rates of refusal to participate were low (7.9-25%). Where satisfaction was reported, this was generally high. Many studies achieved high levels of adherence (up to 89.6%). This was lower for some technologies (e.g., robotic assistive devices). Where dropout occurred, this was for reasons including a decline in health as well as technical difficulties. Overall, the literature displays early evidence of using technology to deliver mental health interventions to patients with stroke. This review has identified factors that the design of future studies should take into consideration.</t>
  </si>
  <si>
    <t>[Shek, Anthony Chun; Biondi, Andrea; Ballard, Dominic] Kings Coll London, Inst Psychiat Psychol &amp; Neurosci, Dept Clin Neurosci, London, England; [Wykes, Til; Simblett, Sara Katherine] Kings Coll London, Inst Psychiat Psychol &amp; Neurosci, Dept Psychol, London, England; [Wykes, Til] Kings Coll London, South London &amp; Maudsley NHS Fdn Trust, NIHR Biomed Res Ctr Mental Hlth, London, England</t>
  </si>
  <si>
    <t>University of London; King's College London; University of London; King's College London; South London &amp; Maudsley NHS Trust; University of London; King's College London</t>
  </si>
  <si>
    <t>Shek, AC (corresponding author), Kings Coll London, Inst Psychiat Psychol &amp; Neurosci, Dept Clin Neurosci, London, England.</t>
  </si>
  <si>
    <t>anthony.shek@kcl.ac.uk</t>
  </si>
  <si>
    <t>; Wykes, Til/B-3812-2011</t>
  </si>
  <si>
    <t>Biondi, Andrea/0000-0003-1072-665X; Shek, Anthony/0000-0002-7378-1261; Wykes, Til/0000-0002-5881-8003</t>
  </si>
  <si>
    <t>0960-2011</t>
  </si>
  <si>
    <t>1464-0694</t>
  </si>
  <si>
    <t>NEUROPSYCHOL REHABIL</t>
  </si>
  <si>
    <t>Neuropsychol. Rehabil.</t>
  </si>
  <si>
    <t>MAR 16</t>
  </si>
  <si>
    <t>10.1080/09602011.2019.1701501</t>
  </si>
  <si>
    <t>QP1RY</t>
  </si>
  <si>
    <t>WOS:000502447000001</t>
  </si>
  <si>
    <t>Zilz, W; Pang, YH</t>
  </si>
  <si>
    <t>Zilz, Walter; Pang, Yanhui</t>
  </si>
  <si>
    <t>Application of assistive technology in inclusive classrooms</t>
  </si>
  <si>
    <t>Disability; assistive technology; literature review; adaptive equipment; education technology; classroom technology; special education; adaptive device; teacher training</t>
  </si>
  <si>
    <t>EDUCATION; STUDENTS; CHILDREN</t>
  </si>
  <si>
    <t>Purpose: In recent years more and more students with disabilities are included in general education settings; there is an increased demand for assistive technology application to accommodate their special needs in inclusive settings. This creates an atmosphere for studies on assistive technology applications in K-12 settings. Method: This synthesis study reviewed research articles related to this topic in the past decade. Ten key words were used and relevant databases were searched. Results: Thirty articles were found. After sorting, reviewing and analyzing; the two authors used seven research articles for the study on assistive technology applications in contemporary k-12 schools. Conclusion: The researchers that examined school aged children, all agreed that children with disabilities would benefit from the use of assistive technology. However, they also agree that teachers are not prepared to incorporate advanced technology in the classroom. The results also show that children with physical disabilities in preschool may be too young to independently use advanced technology. IMPLICATIONS FOR REHABILITATION Students with severe disabilities often have limited interactions with same age peers. Technology can provide a means to increase the quality and quantity of time interacting with young student's peers. Robotic technology has been proven to greatly assist with these interactions. In order for a student to maintain a rehabilitation program, they need to be engaged. Current technology promotes building recreational skills that lead to classroom skills, within entertaining and engaging activities. Daily life skills can be impacted by severe disabilities. Assistive technology has been proven to assist with these issues. Caregivers for children with autism reported improvement for life skills activities using both low- and high-tech methods.</t>
  </si>
  <si>
    <t>[Zilz, Walter; Pang, Yanhui] Bloomsburg Univ Penn, Fac Except Programs, 400 East 2nd St, Bloomsburg, PA 17815 USA</t>
  </si>
  <si>
    <t>Pennsylvania State System of Higher Education (PASSHE); Bloomsburg University of Pennsylvania</t>
  </si>
  <si>
    <t>Zilz, W (corresponding author), Bloomsburg Univ Penn, Fac Except Programs, 400 East 2nd St, Bloomsburg, PA 17815 USA.</t>
  </si>
  <si>
    <t>wzilz@bloomu.edu</t>
  </si>
  <si>
    <t>10.1080/17483107.2019.1695963</t>
  </si>
  <si>
    <t>UI7AL</t>
  </si>
  <si>
    <t>WOS:000501537600001</t>
  </si>
  <si>
    <t>Pizzolato, C; Saxby, DJ; Palipana, D; Diamond, LE; Barrett, R; Teng, YD; Lloyd, DG</t>
  </si>
  <si>
    <t>Pizzolato, Claudio; Saxby, David J.; Palipana, Dinesh; Diamond, Laura E.; Barrett, Rod S.; Teng, Yang D.; Lloyd, David G.</t>
  </si>
  <si>
    <t>Neuromusculoskeletal Modeling-Based Prostheses for Recovery After Spinal Cord Injury</t>
  </si>
  <si>
    <t>spinal cord injury; neuromusculoskeletal modeling; neural restoration; functional electrical stimulation; brain-computer interface; real-time; digital twin; rehabilitation robotics</t>
  </si>
  <si>
    <t>FUNCTIONAL ELECTRICAL-STIMULATION; MUSCLE ATROPHY; NEURAL-CONTROL; JOINT MOMENTS; BRAIN; REHABILITATION; GEOMETRY; DRIVEN; NEUROREHABILITATION; SENSORIMOTOR</t>
  </si>
  <si>
    <t>Concurrent stimulation and reinforcement of motor and sensory pathways has been proposed as an effective approach to restoring function after developmental or acquired neurotrauma. This can be achieved by applying multimodal rehabilitation regimens, such as thought-controlled exoskeletons or epidural electrical stimulation to recover motor pattern generation in individuals with spinal cord injury (SCI). However, the human neuromusculoskeletal (NMS) system has often been oversimplified in designing rehabilitative and assistive devices. As a result, the neuromechanics of the muscles is seldom considered when modeling the relationship between electrical stimulation, mechanical assistance from exoskeletons, and final joint movement. A powerful way to enhance current neurorehabilitation is to develop the next generation prostheses incorporating personalized NMS models of patients. This strategy will enable an individual voluntary interfacing with multiple electromechanical rehabilitation devices targeting key afferent and efferent systems for functional improvement. This narrative review discusses how real-time NMS models can be integrated with finite element (FE) of musculoskeletal tissues and interface multiple assistive and robotic devices with individuals with SCI to promote neural restoration. In particular, the utility of NMS models for optimizing muscle stimulation patterns, tracking functional improvement, monitoring safety, and providing augmented feedback during exercise-based rehabilitation are discussed.</t>
  </si>
  <si>
    <t>[Pizzolato, Claudio; Saxby, David J.; Diamond, Laura E.; Barrett, Rod S.; Lloyd, David G.] Griffith Univ, Sch Allied Hlth Sci, Gold Coast, Qld, Australia; [Pizzolato, Claudio; Saxby, David J.; Palipana, Dinesh; Diamond, Laura E.; Barrett, Rod S.; Lloyd, David G.] Griffith Univ, Griffith Ctr Biomed &amp; Rehabil Engn, Menzies Hlth Inst Queensland, Gold Coast, Qld, Australia; [Palipana, Dinesh] Griffith Univ, Hopkins Ctr, Menzies Hlth Inst Queensland, Gold Coast, Qld, Australia; [Palipana, Dinesh] Gold Coast Hosp &amp; Hlth Serv, Gold Coast, Qld, Australia; [Palipana, Dinesh] Griffith Univ, Sch Med, Gold Coast, Qld, Australia; [Teng, Yang D.] Harvard Med Sch, Spaulding Rehabil Hosp, Dept Phys Med &amp; Rehabil, Charlestown, MA USA; [Teng, Yang D.] Harvard Med Sch, Brigham &amp; Womens Hosp, Dept Neurosurg, Boston, MA 02115 USA</t>
  </si>
  <si>
    <t>Griffith University; Griffith University - Gold Coast Campus; Griffith University; Griffith University - Gold Coast Campus; Menzies Health Institute Queensland; Menzies Health Institute Queensland; Griffith University; Griffith University - Gold Coast Campus; Gold Coast University Hospital; Griffith University; Griffith University - Gold Coast Campus; Harvard University; Harvard Medical School; Harvard University Medical Affiliates; Spaulding Rehabilitation Hospital; Harvard University; Harvard Medical School; Harvard University Medical Affiliates; Brigham &amp; Women's Hospital</t>
  </si>
  <si>
    <t>Pizzolato, C (corresponding author), Griffith Univ, Sch Allied Hlth Sci, Gold Coast, Qld, Australia.;Pizzolato, C (corresponding author), Griffith Univ, Griffith Ctr Biomed &amp; Rehabil Engn, Menzies Hlth Inst Queensland, Gold Coast, Qld, Australia.</t>
  </si>
  <si>
    <t>c.pizzolato@griffith.edu.au</t>
  </si>
  <si>
    <t>Saxby, David/T-4036-2019; Pizzolato, Claudio/R-6215-2019; Barrett, Rod/B-4419-2009; Lloyd, David/AAH-6066-2020</t>
  </si>
  <si>
    <t>Palipana, Dinesh/0000-0002-9150-097X; Saxby, David John/0000-0002-0874-7518; Lloyd, David/0000-0002-0824-9682; Diamond, Laura/0000-0002-2197-1856; Barrett, Rod/0000-0002-1784-1629; Pizzolato, Claudio/0000-0002-0292-2776</t>
  </si>
  <si>
    <t>Menzies Health Institute Queensland Capacity Grant Scheme; School of Allied Health Sciences, Griffith University, Strategic Research Grant Scheme; Griffith University New Researcher Grant Scheme; Motor Accident Insurance Commission; Perpetual IMPACT</t>
  </si>
  <si>
    <t>This work was supported by the Menzies Health Institute Queensland Capacity Grant Scheme; School of Allied Health Sciences, Griffith University, Strategic Research Grant Scheme; Griffith University New Researcher Grant Scheme; Motor Accident Insurance Commission; and Perpetual IMPACT.</t>
  </si>
  <si>
    <t>DEC 2</t>
  </si>
  <si>
    <t>10.3389/fnbot.2019.00097</t>
  </si>
  <si>
    <t>JW0IO</t>
  </si>
  <si>
    <t>WOS:000502743300001</t>
  </si>
  <si>
    <t>Krausz, NE; Hargrove, LJ</t>
  </si>
  <si>
    <t>Krausz, Nili E.; Hargrove, Levi J.</t>
  </si>
  <si>
    <t>A Survey of Teleceptive Sensing for Wearable Assistive Robotic Devices</t>
  </si>
  <si>
    <t>assistive robotics; rehabilitation robotics; teleceptive sensing; environment; computer vision; depth sensing; prostheses; exoskeletons</t>
  </si>
  <si>
    <t>RECOGNITION SYSTEM; COMPUTER VISION; SENSOR; WHEELCHAIRS; INTERFACE; DESIGN; IMAGE</t>
  </si>
  <si>
    <t>Teleception is defined as sensing that occurs remotely, with no physical contact with the object being sensed. To emulate innate control systems of the human body, a control system for a semi- or fully autonomous assistive device not only requires feedforward models of desired movement, but also the environmental or contextual awareness that could be provided by teleception. Several recent publications present teleception modalities integrated into control systems and provide preliminary results, for example, for performing hand grasp prediction or endpoint control of an arm assistive device; and gait segmentation, forward prediction of desired locomotion mode, and activity-specific control of a prosthetic leg or exoskeleton. Collectively, several different approaches to incorporating teleception have been used, including sensor fusion, geometric segmentation, and machine learning. In this paper, we summarize the recent and ongoing published work in this promising new area of research.</t>
  </si>
  <si>
    <t>[Krausz, Nili E.; Hargrove, Levi J.] Shirley Ryan AbilityLab, Neural Engn Prosthet &amp; Orthot Lab, Ctr Bion Med, Chicago, IL 60611 USA; [Krausz, Nili E.; Hargrove, Levi J.] Northwestern Univ, Dept Biomed Engn, Evanston, IL 60208 USA; [Hargrove, Levi J.] Northwestern Univ, Phys Med &amp; Rehabil Dept, Evanston, IL 60208 USA</t>
  </si>
  <si>
    <t>Shirley Ryan AbilityLab; Northwestern University; Northwestern University</t>
  </si>
  <si>
    <t>Krausz, NE (corresponding author), Shirley Ryan AbilityLab, Neural Engn Prosthet &amp; Orthot Lab, Ctr Bion Med, Chicago, IL 60611 USA.;Krausz, NE (corresponding author), Northwestern Univ, Dept Biomed Engn, Evanston, IL 60208 USA.</t>
  </si>
  <si>
    <t>nili.krausz@u.northwestern.edu; l-hargrove@northwestern.edu</t>
  </si>
  <si>
    <t>Krausz, Nili/KGM-8617-2024</t>
  </si>
  <si>
    <t>Krausz, Nili/0000-0002-3623-6424</t>
  </si>
  <si>
    <t>National Institutes of Health [R01 HD079428-05]; MSL Renewed Hope Foundation</t>
  </si>
  <si>
    <t>National Institutes of Health(United States Department of Health &amp; Human ServicesNational Institutes of Health (NIH) - USA); MSL Renewed Hope Foundation</t>
  </si>
  <si>
    <t>This research was funded by the National Institutes of Health (R01 HD079428-05) and the MSL Renewed Hope Foundation.</t>
  </si>
  <si>
    <t>10.3390/s19235238</t>
  </si>
  <si>
    <t>KD1BI</t>
  </si>
  <si>
    <t>WOS:000507606200181</t>
  </si>
  <si>
    <t>Bao, GJ; Pan, LF; Fang, H; Wu, XY; Yu, HY; Cai, SB; Yu, BQ; Wan, YH</t>
  </si>
  <si>
    <t>Bao, Guanjun; Pan, Lufeng; Fang, Hui; Wu, Xinyu; Yu, Haoyong; Cai, Shibo; Yu, Bingqing; Wan, Yuehua</t>
  </si>
  <si>
    <t>Academic Review and Perspectives on Robotic Exoskeletons</t>
  </si>
  <si>
    <t>Exoskeletons; rehabilitation robotics; human-robot interaction; bibliometrics</t>
  </si>
  <si>
    <t>UPPER-LIMB REHABILITATION; OF-THE-ART; STROKE REHABILITATION; POWERED EXOSKELETON; CONTROL STRATEGIES; LEG EXOSKELETON; DESIGN; MUSCLES; SYSTEMS; INDICATORS</t>
  </si>
  <si>
    <t>Since the first robotic exoskeleton was developed in 1960, this research field has attracted much interest from both the academic and industrial communities resulting in scientific publications, prototype developments and commercialized products. In this article, to document the progress in and current status of this field, we performed a bibliometric analysis. This analysis evaluated the publications in the field of robotic exoskeletons from 1990 to July 2019 that were retrieved from the Science Citation Index Expanded database. The bibliometric analyses were presented in terms of author keywords, year, country, institution, journal, author, and the citation. Results show that currently the United States has taken the leading position in this field and has built the largest collaborative network with other countries. The Massachusetts Institute of Technology (MIT) made the greatest contribution to the field of robotic exoskeleton investigations in terms of the number of publications, average citations per publication and the h-index. In addition, the Journal of Neuro Engineering and Rehabilitation ranks first among the top 20 academic journals in terms of the number of publications related to robotic exoskeletons during the period investigated. Author keyword analysis indicates that most research has focused on rehabilitation robotics. Biomedical engineering, rehabilitation and the neurosciences are the most common disciplines conducting research in this area according to the Web of Science (WoS). Our study comprehensively assesses the current research status and collaboration network of robotic exoskeletons, thus helping researchers steer their projects or locate potential collaborators.</t>
  </si>
  <si>
    <t>[Bao, Guanjun; Pan, Lufeng; Cai, Shibo; Yu, Bingqing] Zhejiang Univ Technol, Coll Mech Engn, Hangzhou 310023, Zhejiang, Peoples R China; [Fang, Hui; Wan, Yuehua] Lib Zhejiang Univ Technol, Hangzhou 310014, Zhejiang, Peoples R China; [Wu, Xinyu] Chinese Acad Sci, Shenzhen Inst Adv Technol, Shenzhen 518055, Guangdong, Peoples R China; [Yu, Bingqing] Natl Univ Singapore, Dept Biomed Engn, Fac Engn, Singapore 117576, Singapore; [Yu, Haoyong] Natl Univ Singapore, Fac Engn, Singapore, Singapore</t>
  </si>
  <si>
    <t>Zhejiang University of Technology; Chinese Academy of Sciences; Shenzhen Institute of Advanced Technology, CAS; National University of Singapore; National University of Singapore</t>
  </si>
  <si>
    <t>Wan, YH (corresponding author), Lib Zhejiang Univ Technol, Hangzhou 310014, Zhejiang, Peoples R China.</t>
  </si>
  <si>
    <t>gjbao@zjut.edu.cn; 342526538@qq.com; fanghui@zjut.edu.cn; xy.wu@siat.ac.cn; bieyhy@nus.edu.sg; ccc@zjut.edu.cn; 742612750@qq.com; wanyuehua@zjut.edu.cn</t>
  </si>
  <si>
    <t>wu, xinyu/KRQ-4615-2024; Yu, Haoyong/C-2238-2011; Wan, Yuehua/G-2351-2011</t>
  </si>
  <si>
    <t>Yu, Haoyong/0000-0002-9876-4863; Fang, Hui/0000-0002-8982-5978; Wan, Yuehua/0000-0003-3456-8748; Bao, Guanjun/0000-0002-7184-3510</t>
  </si>
  <si>
    <t>National Natural Science Foundation of China [51775499, 51605434]; Zhejiang Provincial Basic Scientific Research Program for Universities [RF-C2019004]; Shenzhen Institute of Artificial Intelligence and Robotics for Society</t>
  </si>
  <si>
    <t>National Natural Science Foundation of China(National Natural Science Foundation of China (NSFC)); Zhejiang Provincial Basic Scientific Research Program for Universities; Shenzhen Institute of Artificial Intelligence and Robotics for Society</t>
  </si>
  <si>
    <t>This work was supported in part by the National Natural Science Foundation of China under Grant 51775499 and Grant 51605434, in part by the Zhejiang Provincial Basic Scientific Research Program for Universities under Grant RF-C2019004, and in part by the Shenzhen Institute of Artificial Intelligence and Robotics for Society.</t>
  </si>
  <si>
    <t>10.1109/TNSRE.2019.2944655</t>
  </si>
  <si>
    <t>JO6KA</t>
  </si>
  <si>
    <t>WOS:000497685300006</t>
  </si>
  <si>
    <t>Pamungkas, DS; Caesarendra, W; Soebakti, H; Analia, R; Susanto, S</t>
  </si>
  <si>
    <t>Pamungkas, Daniel S.; Caesarendra, Wahyu; Soebakti, Hendawan; Analia, Riska; Susanto, Susanto</t>
  </si>
  <si>
    <t>Overview: Types of Lower Limb Exoskeletons</t>
  </si>
  <si>
    <t>actuator; lower limb exoskeleton; wearable robot</t>
  </si>
  <si>
    <t>DESIGN; ROBOT; WALKING; HIP</t>
  </si>
  <si>
    <t>Researchers have given attention to lower limb exoskeletons in recent years. Lower limb exoskeletons have been designed, prototype tested through experiments, and even produced. In general, lower limb exoskeletons have two different objectives: (1) rehabilitation and (2) assisting human work activities. Referring to these objectives, researchers have iteratively improved lower limb exoskeleton designs, especially in the location of actuators. Some of these devices use actuators, particularly on hips, ankles or knees of the users. Additionally, other devices employ a combination of actuators on multiple joints. In order to provide information about which actuator location is more suitable; a review study on the design of actuator locations is presented in this paper. The location of actuators is an important factor because it is related to the analysis of the design and the control system. This factor affects the entire lower limb exoskeleton's performance and functionality. In addition, the disadvantages of several types of lower limb exoskeletons in terms of actuator locations and the challenges of the lower limb exoskeleton in the future are also presented in this paper.</t>
  </si>
  <si>
    <t>[Pamungkas, Daniel S.; Analia, Riska; Susanto, Susanto] Politekn Negeri Batam, Mechatron Study Program, Kota Batam 29432, Kepulauan Riau, Indonesia; [Caesarendra, Wahyu] Univ Brunei Darussalam, Fac Integrated Technol, Jalan Tungku Link, BE-1410 Gadong, Brunei; [Caesarendra, Wahyu] Diponegoro Univ, Dept Mech Engn, Jl Prof H Soedarto SH, Semarang 50275, Indonesia; [Soebakti, Hendawan] Politekn Negeri Batam, Robot Study Program, Kota Batam 29432, Kepulauan Riau, Indonesia</t>
  </si>
  <si>
    <t>University Brunei Darussalam; Diponegoro University</t>
  </si>
  <si>
    <t>Caesarendra, W (corresponding author), Univ Brunei Darussalam, Fac Integrated Technol, Jalan Tungku Link, BE-1410 Gadong, Brunei.;Caesarendra, W (corresponding author), Diponegoro Univ, Dept Mech Engn, Jl Prof H Soedarto SH, Semarang 50275, Indonesia.</t>
  </si>
  <si>
    <t>daniel@polibatam.ac.id; wahyu.caesarendra@ubd.edu.bn; hendawan@polibatam.ac.id; riskaanalia@polibatam.ac.id; susanto@polibatam.ac.id</t>
  </si>
  <si>
    <t>Susanto, Susanto/ISS-7319-2023; Pamungkas, Daniel/AAB-5452-2021; Soebhakti, Hendawan/AAC-3029-2021; Analia, Riska/ISS-5762-2023; Caesarendra, Wahyu/S-5347-2019</t>
  </si>
  <si>
    <t>Caesarendra, Wahyu/0000-0002-9784-4204; pamungkas, Daniel/0000-0002-5541-760X; Analia, Riska/0000-0001-9614-6386; Susanto, Susanto/0000-0001-5639-1467</t>
  </si>
  <si>
    <t>DRPMK emenristekDikti Indonesia</t>
  </si>
  <si>
    <t>The research for this paperwas financially supported by the DRPMK emenristekDikti Indonesia.</t>
  </si>
  <si>
    <t>10.3390/electronics8111283</t>
  </si>
  <si>
    <t>JV3MD</t>
  </si>
  <si>
    <t>WOS:000502269500079</t>
  </si>
  <si>
    <t>Shackleton, C; Evans, R; Shamley, D; West, S; Albertus, Y</t>
  </si>
  <si>
    <t>Shackleton, Claire; Evans, Robert; Shamley, Delva; West, Sacha; Albertus, Yumna</t>
  </si>
  <si>
    <t>EFFECTIVENESS OF OVER-GROUND ROBOTIC LOCOMOTOR TRAINING IN IMPROVING WALKING PERFORMANCE, CARDIOVASCULAR DEMANDS, SECONDARY COMPLICATIONS AND USER-SATISFACTION IN INDIVIDUALS WITH SPINAL CORD INJURIES: A SYSTEMATIC REVIEW</t>
  </si>
  <si>
    <t>spinal cord injury; over-ground robotic locomotor training; exoskeleton device; exercise therapy; gait; blood pressure; muscle spasticity; pain</t>
  </si>
  <si>
    <t>EXOSKELETON-ASSISTED WALKING; POWERED EXOSKELETON; REHABILITATION; AMBULATION; MOBILITY; SAFETY</t>
  </si>
  <si>
    <t>Objectives: To evaluate the effectiveness of overground robotic locomotor training in individuals with spinal cord injuries with regard to walking performance, cardiovascular demands, secondary health complications and user-satisfaction. Data sources: PubMed, Cochrane, Web of Science, Scopus, EBSCOhost and Engineering Village. Study selection: Trials in which robotic locomotor training was used for a minimum of 3 participants with spinal cord injury. Data extraction: Independent extraction of data by 2 reviewers using a pre-established data abstraction table. Quality of evidence assessed using Grading of Recommendations, Assessment, Development and Evaluation (GRADE). Data synthesis: Total of 27 non-controlled studies representing 308 participants. Most studies showed decreases in exertion ratings, pain and spasticity and reported positive well-being post-intervention. Seven studies were included in meta-analyses on walking performance, showing significant improvements post-intervention (p&lt; 0.05), with pooled effects for the 6-min walking test and 10-metre walking test of-0.94 (95% confidence interval (95% CI) -1.53,-0.36) and -L22 (95% CI -1.87,-0.57), respectively. The Timed Up and Go Test showed a positive pooled effect of 0.74 (95% CI 0.36, 1.11). Improvements in walking parameters were seen with an increase in session number; however, no significant cardiovascular changes were found over time. Conclusion: Robotic locomotor training shows promise as a tool for improving neurological rehabilitation; however, there is limited evidence regarding its training benefits. Further high-powered, randomized controlled trials, with homogenous samples, are required to investigate these effects.</t>
  </si>
  <si>
    <t>[Shackleton, Claire; Evans, Robert; Albertus, Yumna] Univ Cape Town, Div Exercise Sci &amp; Sports Med, Dept Human Biol, Fac Hlth Sci,FIMS Int Collaborating Ctr Sports Me, Cape Town, South Africa; [Shamley, Delva] Univ Cape Town, Clin Res Ctr, Cape Town, South Africa; [West, Sacha] Cape Peninsula Univ Technol, Dept Sports Management, Cape Town, Western Cape, South Africa</t>
  </si>
  <si>
    <t>University of Cape Town; University of Cape Town; Cape Peninsula University of Technology</t>
  </si>
  <si>
    <t>Albertus, Y (corresponding author), Univ Cape Town, Div Exercise Sci, Boundary Rd, Cape Town, South Africa.;Albertus, Y (corresponding author), Univ Cape Town, Sports Med Div, Boundary Rd, Cape Town, South Africa.</t>
  </si>
  <si>
    <t>yumna.albertus@uct.ac.za</t>
  </si>
  <si>
    <t>West, Sacha/AAG-9198-2019; Albertus, Yumna/ABF-7088-2020; Shamley, Delva/ABD-2582-2020</t>
  </si>
  <si>
    <t>Shamley, Delva/0000-0003-2355-6629; Albertus, Yumna/0000-0002-6563-8596; West, Sacha/0000-0001-8770-995X</t>
  </si>
  <si>
    <t>National Research Foundation of South Africa; University of Cape Town; Oppenheimer Memorial Trust</t>
  </si>
  <si>
    <t>National Research Foundation of South Africa(National Research Foundation - South Africa); University of Cape Town; Oppenheimer Memorial Trust</t>
  </si>
  <si>
    <t>This Study was supported by the National Research Foundation of South Africa, University of Cape Town and Oppenheimer Memorial Trust.</t>
  </si>
  <si>
    <t>10.2340/16501977-2601</t>
  </si>
  <si>
    <t>JH4HV</t>
  </si>
  <si>
    <t>WOS:000492730500001</t>
  </si>
  <si>
    <t>Hwang, CH</t>
  </si>
  <si>
    <t>Hwang, Chang Ho</t>
  </si>
  <si>
    <t>Immediate muscle strengthening by an end-effector type gait robot with reduced real-time use of leg muscles: A case series and review of literature</t>
  </si>
  <si>
    <t>Robotics; Rehabilitation; Muscles; Neuronal plasticity; Gait; Knee</t>
  </si>
  <si>
    <t>EXCITABILITY CHANGES; SENSORIMOTOR CORTEX; ASSISTED WALKING; RAPID MODULATION; PATTERNS; STROKE; COORDINATION; ACTIVATION; PLASTICITY; TREADMILL</t>
  </si>
  <si>
    <t>BACKGROUND De-afferentation or non-weight bearing induces rapid cortical and spinal a-motor neuron excitability. Author supposed that an end-effector type gait robot (EEGR) could provide patients with a training condition that was specific enough to activate rapid cortical/spinal neuroplasticity, leading to immediate muscle strengthening. The electromyographic and biomechanical comparisons were conducted. AIM To compare the electromyographic activities of the thigh and shank muscles and isometric peak torque (PT) before and after walking training on a floor or in the end-effector gait robot. METHODS Twelve outpatients without ambulatory dysfunction were recruited. Order of two interventions (5-min training on a floor at a comfortable pace or training in an EEGR with non-weight bearing on their feet and 100% guidance force at 2.1 km/h) were randomly chosen. Isometric PT, maximal ratio of torque development, amplitude of compound motor action potential (CMAP), and area under the curve (AUC) were evaluated before and 10 min after both interventions. RESULTS The degree of PT improvement of the dominant knee flexors was larger in the EEGR than on the floor (9.6 +/- 22.4 Nm/BW, P &lt; 0.01). The EEGR-trained patients had greater PT improvement of the dominant knee extensors than those who trained on the floor (4.5 +/- 28.1 Nm/BW, P &lt; 0.01). However, all electromyographic activities of the thigh and shank muscles (peak CMAP, mean and peak AUC) were significantly lower for the use of the EEGR than walking on the floor. CONCLUSION Immediate strengthening of the knee flexors and extensors was induced after the 5-min EEGR training, despite reduced muscular use.</t>
  </si>
  <si>
    <t>[Hwang, Chang Ho] Univ Ulsan, Ulsan Univ Hosp, Dept Phys Med &amp; Rehabil, Coll Med, 93 Daehak Ro, Ulsan 44033, South Korea; [Hwang, Chang Ho] Univ Ulsan, Sch Elect Engn, Dept Biomed Engn, 93 Daehak Ro, Ulsan 44610, South Korea</t>
  </si>
  <si>
    <t>University of Ulsan; Ulsan University Hospital; University of Ulsan</t>
  </si>
  <si>
    <t>Hwang, CH (corresponding author), Univ Ulsan, Ulsan Univ Hosp, Dept Phys Med &amp; Rehabil, Coll Med, 93 Daehak Ro, Ulsan 44033, South Korea.;Hwang, CH (corresponding author), Univ Ulsan, Sch Elect Engn, Dept Biomed Engn, 93 Daehak Ro, Ulsan 44610, South Korea.</t>
  </si>
  <si>
    <t>chhwang1220ciba@gmail.com</t>
  </si>
  <si>
    <t>Hwang, Chang Ho/0000-0003-0444-3602</t>
  </si>
  <si>
    <t>Research Project of Future Growth Engine Flagship Project [CN16040]; National Research Foundation of Korea - Korea government (Ministry of Science, ICT and Future Planning) [NRF-2017R1A2B4011478]</t>
  </si>
  <si>
    <t>Research Project of Future Growth Engine Flagship Project; National Research Foundation of Korea - Korea government (Ministry of Science, ICT and Future Planning)(National Research Foundation of Korea)</t>
  </si>
  <si>
    <t>Supported by the Research Project of Future Growth Engine Flagship Project, No: CN16040) by Minister of Science, ICT and Future Planning; the National Research Foundation of Korea grant funded by the Korea government (Ministry of Science, ICT and Future Planning), No. NRF-2017R1A2B4011478.</t>
  </si>
  <si>
    <t>10.12998/wjcc.v7.i19.2976</t>
  </si>
  <si>
    <t>JB0RR</t>
  </si>
  <si>
    <t>WOS:000488264700006</t>
  </si>
  <si>
    <t>Jouaiti, M; Hénaff, P</t>
  </si>
  <si>
    <t>Jouaiti, Melanie; Henaff, Patrick</t>
  </si>
  <si>
    <t>Robot-Based Motor Rehabilitation in Autism: A Systematic Review</t>
  </si>
  <si>
    <t>Autism; Motor coordination; Therapeutic robotics; Motor rehabilitation</t>
  </si>
  <si>
    <t>FUNCTIONAL CONNECTIVITY; SPECTRUM DISORDER; THALAMOCORTICAL CONNECTIVITY; ASPERGER-SYNDROME; YOUNG-CHILDREN; GAIT FUNCTION; IMITATION; COORDINATION; CEREBELLAR; ASSOCIATION</t>
  </si>
  <si>
    <t>A growing number of studies investigate robot intervention in the case of autism. Most of these studies are either focused on social skills or robot design. However, a large number of autistic children also suffer from motor deficits which are directly correlated with impaired communication skills and severity of autism. While several robot-centered reviews or reviews interested in social robotics for autism have already been made, a review on robot-based motor rehabilitation in autism was still lacking. In this paper, we dedicate our review to motor rehabilitation in autism, notably using robots. To do so, we searched the PubMed, IEEE, PsycNet and Science Direct databases. We show that although this research is promising, it has been neglected and would benefit from more consideration. The goal of this review is to highlight the relevance of past work and insist on the dire need to develop this research.</t>
  </si>
  <si>
    <t>[Jouaiti, Melanie; Henaff, Patrick] Univ Lorraine, LORIA, CNRS, F-54000 Nancy, France</t>
  </si>
  <si>
    <t>Universite de Lorraine; Centre National de la Recherche Scientifique (CNRS)</t>
  </si>
  <si>
    <t>Jouaiti, M (corresponding author), Univ Lorraine, LORIA, CNRS, F-54000 Nancy, France.</t>
  </si>
  <si>
    <t>melanie.jouaiti@loria.fr</t>
  </si>
  <si>
    <t>HENAFF, Pr./ITR-9707-2023</t>
  </si>
  <si>
    <t>HENAFF, Patrick/0000-0002-5186-2466</t>
  </si>
  <si>
    <t>10.1007/s12369-019-00598-9</t>
  </si>
  <si>
    <t>OCT 2019</t>
  </si>
  <si>
    <t>KI9IO</t>
  </si>
  <si>
    <t>WOS:000488990200001</t>
  </si>
  <si>
    <t>Kayani, B; Konan, S; Ayuob, A; Onochie, E; Al-Jabri, T; Haddad, FS</t>
  </si>
  <si>
    <t>Kayani, Babar; Konan, Sujith; Ayuob, Atif; Onochie, Elliot; Al-Jabri, Talal; Haddad, Fares S.</t>
  </si>
  <si>
    <t>Robotic technology in total knee arthroplasty: a systematic review</t>
  </si>
  <si>
    <t>EFORT OPEN REVIEWS</t>
  </si>
  <si>
    <t>functional outcomes; robotic; total knee arthroplasty</t>
  </si>
  <si>
    <t>DOUBLE-BLIND; PATIENT; ALIGNMENT; INTRAMEDULLARY; SURVIVORSHIP; METAANALYSIS; REPLACEMENT; INSTABILITY; ACCURACY; FAILURE</t>
  </si>
  <si>
    <t>Robotic total knee arthroplasty (TKA) improves the accuracy of implant positioning and reduces outliers in achieving the planned limb alignment compared to conventional jig-based TKA. Robotic TKA does not have a learning curve effect for achieving the planned implant positioning. The learning curve for achieving operative times comparable to conventional jig-based TKA is 7-20 robotic TKA cases. Cadaveric studies have shown robotic TKA is associated with reduced iatrogenic injury to the periarticular soft tissue envelope compared to conventional jig-based TKA. Robotic TKA is associated with decreased postoperative pain, enhanced early functional rehabilitation, and decreased time to hospital discharge compared to conventional jig-based TKA. However, there are no differences in medium- to long-term functional outcomes between conventional jig-based TKA and robotic TKA. Limitations of robotic TKA include high installation costs, additional radiation exposure, learning curves for gaining surgical proficiency, and compatibility of the robotic technology with a limited number of implant designs. Further higher quality studies are required to compare differences in conventional TKA versus robotic TKA in relation to long-term functional outcomes, implant survivorship, time to revision surgery, and cost-effectiveness.</t>
  </si>
  <si>
    <t>[Kayani, Babar; Konan, Sujith; Ayuob, Atif; Onochie, Elliot; Al-Jabri, Talal; Haddad, Fares S.] Univ Coll Hosp, 235 Euston Rd, London NW1 2BU, England; [Kayani, Babar; Konan, Sujith; Ayuob, Atif; Haddad, Fares S.] Princess Grace Hosp, London, England</t>
  </si>
  <si>
    <t>University of London; University College London</t>
  </si>
  <si>
    <t>Kayani, B (corresponding author), Univ Coll Hosp, 235 Euston Rd, London NW1 2BU, England.</t>
  </si>
  <si>
    <t>babar.kayani@gmail.com</t>
  </si>
  <si>
    <t>Konan, Sujith/AAK-3849-2020</t>
  </si>
  <si>
    <t>BRITISH EDITORIAL SOC BONE &amp; JOINT SURGERY</t>
  </si>
  <si>
    <t>22 BUCKINGHAM ST, LONDON, WC2N 6ET, ENGLAND</t>
  </si>
  <si>
    <t>2058-5241</t>
  </si>
  <si>
    <t>EFORT OPEN REV</t>
  </si>
  <si>
    <t>EFORT Open Rev.</t>
  </si>
  <si>
    <t>10.1302/2058-5241.4.190022</t>
  </si>
  <si>
    <t>JQ8EQ</t>
  </si>
  <si>
    <t>WOS:000499172200005</t>
  </si>
  <si>
    <t>Mohan, V; Bhat, A; Morasso, P</t>
  </si>
  <si>
    <t>Mohan, Vishwanathan; Bhat, Ajaz; Morasso, Pietro</t>
  </si>
  <si>
    <t>Muscleless motor synergies and actions without movements: From motor neuroscience to cognitive robotics</t>
  </si>
  <si>
    <t>PHYSICS OF LIFE REVIEWS</t>
  </si>
  <si>
    <t>Synergy formation; Motor imagery; Forward/inverse models; Body schema; Tool use and motor skill learning; Embodied cognition</t>
  </si>
  <si>
    <t>NERVOUS-SYSTEM; BODY SCHEMA; RUBBER HAND; TOOL-USE; BRAIN; SIMULATION; FEEDBACK; MODELS; ORGANIZATION; MECHANISMS</t>
  </si>
  <si>
    <t>Emerging trends in neurosciences are providing converging evidence that cortical networks in predominantly motor areas are activated in several contexts related to 'action' that do not cause any overt movement. Indeed for any complex body, human or embodied robot inhabiting unstructured environments, the dual processes of shaping motor output during action execution and providing the self with information related to feasibility, consequence and understanding of potential actions (of oneself/others) must seamlessly alternate during goal -oriented behaviors, social interactions. While prominent approaches like Optimal Control, Active Inference converge on the role of forward models, they diverge on the underlying computational basis. In this context, revisiting older ideas from motor control like the Equilibrium Point Hypothesis and synergy formation, this article offers an alternative perspective emphasizing the functional role of a 'plastic, configurable' internal representation of the body (body-schema) as a critical link enabling the seamless continuum between motor control and imagery. With the central proposition that both real and imagined actions are consequences of an internal simulation process achieved though passive goal -oriented animation of the body schema, the computational/neural basis of muscleless motor synergies (and ensuing simulated actions without movements) is explored. The rationale behind this perspective is articulated in the context of several interdisciplinary studies in motor neurosciences (for example, intracranial depth recordings from the parietal cortex, FMRI studies highlighting a shared cortical basis for action 'execution, imagination and understanding'), animal cognition (in particular, tool -use and neuro-rehabilitation experiments, revealing how coordinated tools are incorporated as an extension to the body schema) and pertinent challenges towards building cognitive robots that can seamlessly act, interact, anticipate and understand in unstructured natural living spaces. (C) 2018 Elsevier B.V. All rights reserved.</t>
  </si>
  <si>
    <t>[Mohan, Vishwanathan] Univ Essex, Sch Comp Sci &amp; Elect Engn, Wivenhoe Pk, Colchester CO34SQ, Essex, England; [Bhat, Ajaz] Univ East Anglia, Dept Psychol, Norwich, Norfolk, England; [Morasso, Pietro] Robot Brain &amp; Cognit Sci Dept, Via Enrico Melen 83, I-16152 Genoa, Italy</t>
  </si>
  <si>
    <t>University of Essex; University of East Anglia; Istituto Italiano di Tecnologia - IIT; Brain Center for Motor &amp; Social Cognition IIT</t>
  </si>
  <si>
    <t>Mohan, V (corresponding author), Univ Essex, Sch Comp Sci &amp; Elect Engn, Wivenhoe Pk, Colchester CO34SQ, Essex, England.</t>
  </si>
  <si>
    <t>vishwanathan.mohan@essex.ac.uk; a.bhat@uea.ac.uk; pietro.morasso@iit.it</t>
  </si>
  <si>
    <t>Bhat, Ajaz/AAG-1252-2020</t>
  </si>
  <si>
    <t>Morasso, Pietro/0000-0002-3837-8004; Bhat, Ajaz/0000-0002-6992-8224; Mohan, Vishwanathan/0000-0001-5537-9503</t>
  </si>
  <si>
    <t>European Union through FP7 project DARWIN [FP7-270138]; U.S. Department of Defense [W911QY-12-C-0078]</t>
  </si>
  <si>
    <t>European Union through FP7 project DARWIN; U.S. Department of Defense(United States Department of Defense)</t>
  </si>
  <si>
    <t>This research presented in this article is supported by the European Union through FP7 project DARWIN (Grant No. FP7-270138), and U.S. Department of Defense through the project Consequences of Loading on Postural-Focal Dynamics grant no. W911QY-12-C-0078. A software implementation of the PMP framework along with a user manual describing installation and use of the software is made available open source at https://svn.code.sf.net/p/robotcub/code/trunk/iCub/contrib/src/morphoGen/under the GNU General Public License. We thank the reviewers for their time and constructive feedback to revise the draft manuscript.</t>
  </si>
  <si>
    <t>1571-0645</t>
  </si>
  <si>
    <t>1873-1457</t>
  </si>
  <si>
    <t>PHYS LIFE REV</t>
  </si>
  <si>
    <t>Phys. Life Rev.</t>
  </si>
  <si>
    <t>10.1016/j.plrev.2018.04.005</t>
  </si>
  <si>
    <t>Biology; Biophysics</t>
  </si>
  <si>
    <t>Life Sciences &amp; Biomedicine - Other Topics; Biophysics</t>
  </si>
  <si>
    <t>JZ0GB</t>
  </si>
  <si>
    <t>WOS:000504781800017</t>
  </si>
  <si>
    <t>Langer, A; Feingold-Polak, R; Mueller, O; Kellmeyer, P; Levy-Tzedek, S</t>
  </si>
  <si>
    <t>Langer, Allison; Feingold-Polak, Ronit; Mueller, Oliver; Kellmeyer, Philipp; Levy-Tzedek, Shelly</t>
  </si>
  <si>
    <t>Trust in socially assistive robots: Considerations for use in rehabilitation</t>
  </si>
  <si>
    <t>Trust; HRI; Social robots; Rehabilitation</t>
  </si>
  <si>
    <t>OLDER-ADULTS; HEALTH; CARE; DETERMINANTS; EXPECTATIONS; METAANALYSIS; PREFERENCES; PROPENSITY; APPEARANCE; ATTITUDES</t>
  </si>
  <si>
    <t>Incorporation of social robots into rehabilitation calls for understanding what factors affect user motivation and success of the interaction. Trust between the user and the robot has been identified as important in human-robot interaction and in human-human interactions in therapy. Trust has been studied in the context of automation technology, (e.g., autonomous cars), but not in the context of social robots for rehabilitation. In this narrative review, we address the unique patient-clinician-robot triad, and argue that this context calls for specific design features in order to foster trust with the users. We review pertinent methods for measuring trust, and studies demonstrating that culture, prior experience and propensity-to-trust affect to what extent users trust robots. We suggest design guidelines for fostering trust and methods for measuring trust in human-robot interactions in rehabilitation. We stress the need to create measures of trust that are accessible to people who suffer from speech or cognitive impairments. This review is pertinent to researchers, roboticists, and clinicians interested in designing and using social robots for rehabilitation.</t>
  </si>
  <si>
    <t>[Langer, Allison; Feingold-Polak, Ronit; Levy-Tzedek, Shelly] Ben Gurion Univ Negev, Dept Phys Therapy, Recanati Sch Community Hlth Profess, Beer Sheva, Israel; [Mueller, Oliver; Kellmeyer, Philipp] Univ Freiburg, Cluster Excellence BrainLinks BrainTools, Freiburg, Germany; [Mueller, Oliver] Univ Freiburg, Dept Philosophy, Freiburg, Germany; [Mueller, Oliver; Kellmeyer, Philipp; Levy-Tzedek, Shelly] Univ Freiburg, Freiburg Inst Adv Studies FRIAS, Freiburg, Germany; [Kellmeyer, Philipp] Univ Freiburg, Med Ctr, Dept Neurosurg, Neuromed Artificial Intelligence Lab, Freiburg, Germany; [Kellmeyer, Philipp] Univ Zurich, Inst Biomed Eth &amp; Hist Med, Zurich, Switzerland; [Levy-Tzedek, Shelly] Ben Gurion Univ Negev, Zlotowski Ctr Neurosci, Beer Sheva, Israel</t>
  </si>
  <si>
    <t>Ben-Gurion University of the Negev; University of Freiburg; University of Freiburg; University of Freiburg; University of Freiburg; University of Zurich; Ben-Gurion University of the Negev</t>
  </si>
  <si>
    <t>Levy-Tzedek, S (corresponding author), Ben Gurion Univ Negev, Dept Phys Therapy, Recanati Sch Community Hlth Profess, Beer Sheva, Israel.</t>
  </si>
  <si>
    <t>shelly@bgu.ac.il</t>
  </si>
  <si>
    <t>Levy-Tzedek, Shelly/E-8612-2017; Kellmeyer, Philipp/ABI-6392-2020; feingold polak, ronit/ABI-8157-2020</t>
  </si>
  <si>
    <t>Kellmeyer, Philipp/0000-0001-5538-373X; Langer, Allison/0000-0002-0003-5700; feingold polak, ronit/0000-0002-6244-9095</t>
  </si>
  <si>
    <t>Helmsley Charitable Trust through the Agricultural, Biological and Cognitive Robotics Initiative at the Ben-Gurion University of the Negev; Marcus Endowment Fund at the Ben-Gurion University of the Negev; Promobilia Foundation; Borten Family Foundation; Israel Science Foundation [535/16, 2166/16]; European Union [754340]; German Research Foundation (DFG) [EXC1086]</t>
  </si>
  <si>
    <t>Helmsley Charitable Trust through the Agricultural, Biological and Cognitive Robotics Initiative at the Ben-Gurion University of the Negev; Marcus Endowment Fund at the Ben-Gurion University of the Negev; Promobilia Foundation; Borten Family Foundation; Israel Science Foundation(Israel Science Foundation); European Union(European Union (EU)); German Research Foundation (DFG)(German Research Foundation (DFG))</t>
  </si>
  <si>
    <t>The research was partially supported by the Helmsley Charitable Trust through the Agricultural, Biological and Cognitive Robotics Initiative and by the Marcus Endowment Fund, both at the Ben-Gurion University of the Negev. Financial support was provided by the Promobilia Foundation and the Borten Family Foundation grants. This research was also supported by the Israel Science Foundation (grants No. 535/16 and 2166/16) and received funding from the European Union's Horizon 2020 research and innovation programme under the Marie Sklodowska-Curie grant agreement No 754340. Authors O.M. and P.K. were partially supported by the grant EXC1086(BrainLinks-BrainTools) of the German Research Foundation (DFG).</t>
  </si>
  <si>
    <t>10.1016/j.neubiorev.2019.07.014</t>
  </si>
  <si>
    <t>IU5PT</t>
  </si>
  <si>
    <t>WOS:000483640500024</t>
  </si>
  <si>
    <t>Sénac, T; Lelevé, A; Moreau, R; Novales, C; Nouaille, L; Pham, MT; Vieyres, P</t>
  </si>
  <si>
    <t>Senac, Thibault; Leleve, Arnaud; Moreau, Richard; Novales, Cyril; Nouaille, Laurence; Minh Tu Pham; Vieyres, Pierre</t>
  </si>
  <si>
    <t>A Review of Pneumatic Actuators Used for the Design of Medical Simulators and Medical Tools</t>
  </si>
  <si>
    <t>MULTIMODAL TECHNOLOGIES AND INTERACTION</t>
  </si>
  <si>
    <t>haptic training simulation; pneumatic control; medical robotics</t>
  </si>
  <si>
    <t>VARIABLE STIFFNESS ACTUATOR; NEEDLE INSERTION; TELEOPERATION SYSTEM; TELE-ECHOGRAPHY; FORCE CONTROL; ROBOT; COMPLIANT; SENSOR; SKILLS; REHABILITATION</t>
  </si>
  <si>
    <t>Simulators have been traditionally used for centuries during medical gestures training. Nowadays, mechatronic technologies have opened the way to more evolved solutions enabling objective assessment and dedicated pedagogic scenarios. Trainees can now practice in virtual environments representing various kind of patient and body parts including physio-pathologies issues. Gestures, to be mastered, vary according to each medical specialty (e.g., ultrasound probe orientations, or forceps installation during assisted delivery). Hence, medical students need kinesthetic feedback in order to significantly improve their learning capabilities. Gesture simulators require haptic devices with variable stiffness actuators. Existing solutions do not always fit the requirements because of their significant size. Contrary to electric actuators, pneumatic technology is low-cost, available off-the-shelf and offers a better mass-power ratio. However, it presents two main drawbacks: nonlinear dynamics and need for a compressed air supply. During the last decade, we have developed several haptic solutions based on pneumatic actuation (e.g., birth simulator, epidural needle insertion simulator) and, recently, in a joint venture with Prisme laboratory, a pneumatic probe master device for remote ultrasonography. This paper recalls literature scientific approaches on pneumatic actuation developed in the medical context and illustrated with the aforementioned applications to highlight the benefits.</t>
  </si>
  <si>
    <t>[Senac, Thibault; Leleve, Arnaud; Moreau, Richard; Minh Tu Pham] Univ Lyon, INSA Lyon, Lab Ampere UMR 5005, F-69621 Lyon, France; [Novales, Cyril; Nouaille, Laurence; Vieyres, Pierre] Univ Orleans, INSA, CVL, Lab PRISME EA 4229, F-18020 Bourges, France</t>
  </si>
  <si>
    <t>Centre National de la Recherche Scientifique (CNRS); CNRS - Institute for Engineering &amp; Systems Sciences (INSIS); Institut National des Sciences Appliquees de Lyon - INSA Lyon; Universite Claude Bernard Lyon 1; Institut National de la Sante et de la Recherche Medicale (Inserm); Universite de Orleans</t>
  </si>
  <si>
    <t>Lelevé, A (corresponding author), Univ Lyon, INSA Lyon, Lab Ampere UMR 5005, F-69621 Lyon, France.</t>
  </si>
  <si>
    <t>arnaud.Leleve@insa-lyon.fr</t>
  </si>
  <si>
    <t>Moreau, Richard/H-2165-2012; Pham, Minh Tu/ADA-6681-2022; Leleve, Arnaud/I-9523-2012</t>
  </si>
  <si>
    <t>Pham, Minh Tu/0000-0001-6799-5899; Moreau, Richard/0000-0003-4885-5107; Leleve, Arnaud/0000-0001-5550-9072</t>
  </si>
  <si>
    <t>ANR (French National Research Agency) CNRS [ANR-12-MONU-0006, ANR-11-IDFI-0034]; Agence Nationale de la Recherche (ANR) [ANR-12-MONU-0006] Funding Source: Agence Nationale de la Recherche (ANR)</t>
  </si>
  <si>
    <t>ANR (French National Research Agency) CNRS; Agence Nationale de la Recherche (ANR)(Agence Nationale de la Recherche (ANR))</t>
  </si>
  <si>
    <t>This research was funded by ANR (French National Research Agency, ANR-12-MONU-0006 and ANR-11-IDFI-0034) CNRS (PEPS SoHappy).</t>
  </si>
  <si>
    <t>2414-4088</t>
  </si>
  <si>
    <t>MULTIMODAL TECHNOLOG</t>
  </si>
  <si>
    <t>Multimodal Technol. Interaction</t>
  </si>
  <si>
    <t>10.3390/mti3030047</t>
  </si>
  <si>
    <t>Computer Science, Artificial Intelligence; Computer Science, Cybernetics; Computer Science, Information Systems</t>
  </si>
  <si>
    <t>VJ7RH</t>
  </si>
  <si>
    <t>WOS:000623568900003</t>
  </si>
  <si>
    <t>Wang, HW; Arceo, R; Chen, SG; Ding, L; Jia, J; Yao, J</t>
  </si>
  <si>
    <t>Wang, Hewei; Arceo, Ray; Chen, Shugeng; Ding, Li; Jia, Jie; Yao, Jun</t>
  </si>
  <si>
    <t>Effectiveness of interventions to improve hand motor function in individuals with moderate to severe stroke: a systematic review protocol</t>
  </si>
  <si>
    <t>review protocol; hand; motor function; rehabilitation; stroke</t>
  </si>
  <si>
    <t>INDUCED MOVEMENT THERAPY; DIRECT-CURRENT STIMULATION; UPPER EXTREMITY FUNCTION; UPPER-LIMB FUNCTION; ROBOT-ASSISTED THERAPY; QUALITY-OF-LIFE; MIRROR THERAPY; OUTCOME MEASURES; SUBACUTE STROKE; PARETIC HAND</t>
  </si>
  <si>
    <t>Introduction The human hand is extremely involved in our daily lives. However, the rehabilitation of hand function after stroke can be rather difficult due to the complexity of hand structure and function, as well as neural basis that supports hand function. Specifically, in individuals with moderate to severe impairment following a stroke, previous evidence for effective treatments that recover hand function in this population is limited, and thus has never been reviewed. With the progress of rehabilitation science and tool development, results from more and more clinical trials are now available, thereby justifying conducting a systematic review. Methods and analysis This systematic review protocol is consistent with the methodology recommended by the Preferred Reporting Items for Systematic Review and Meta-Analysis Protocols and the Cochrane handbook for systematic reviews of interventions. Electronic searches will be carried out in the PubMed, CINAHL, Physiotherapy Evidence Database and Cochrane Library databases, along with manual searches in the reference lists from included studies and published systematic reviews. The date range parameters used in searching all databases is between January 1999 and January 2019. Randomised controlled trials (RCTs) published in English, with the primary outcome focusing on hand motor function, will be included. Two reviewers will screen all retrieved titles, abstracts and full texts, perform the evaluation of the risk bias and extract all data independently. The risk of bias of the included RCTs will be evaluated by the Cochrane Collaboration's tool. A qualitative synthesis will be provided in text and table, to summarise the main results of the selected publications. A meta-analysis will be considered if there is sufficient homogeneity across outcomes. The quality of the included publications will be evaluated by the Grading of Recommendations Assessment, Development and Evaluation system from the Cochrane Handbook for Systematic Reviews of Interventions. Ethics and dissemination No ethical approval is needed, and the results of this review will be disseminated via peer-reviewed publications and conference presentations.</t>
  </si>
  <si>
    <t>[Wang, Hewei; Chen, Shugeng; Ding, Li; Jia, Jie] Fudan Univ, Huashan Hosp, Dept Rehabil, Shanghai, Peoples R China; [Arceo, Ray; Yao, Jun] Northwestern Univ, Phys Therapy &amp; Human Movement Sci, Evanston, IL 60208 USA</t>
  </si>
  <si>
    <t>Fudan University; Northwestern University</t>
  </si>
  <si>
    <t>Yao, J (corresponding author), Northwestern Univ, Phys Therapy &amp; Human Movement Sci, Evanston, IL 60208 USA.</t>
  </si>
  <si>
    <t>shannonjj@126.com; j-yao4@northwestern.edu</t>
  </si>
  <si>
    <t>hewei, wanghew/AAX-3821-2020; Ding, Li/ABG-5372-2020; Yao, Jun/AAK-2006-2020</t>
  </si>
  <si>
    <t>Chen, Shugeng/0000-0003-1886-9233; Hewei, Wang/0000-0001-7632-0607</t>
  </si>
  <si>
    <t>National Key R&amp;D Program of China [2018YFC2002300, 2018YFC2002301]; China National Nature Science Young Foundation [81401859]; Science and Technology Commission of Shanghai Municipality [15441901602, 16441905303]</t>
  </si>
  <si>
    <t>National Key R&amp;D Program of China; China National Nature Science Young Foundation; Science and Technology Commission of Shanghai Municipality(Science &amp; Technology Commission of Shanghai Municipality (STCSM))</t>
  </si>
  <si>
    <t>This research is funded by National Key R&amp;D Program of China (Grant No. 2018YFC2002300 and 2018YFC2002301), the China National Nature Science Young Foundation (Grant No. 81401859) and the Science and Technology Commission of Shanghai Municipality (Grant Nos. 15441901602 and 16441905303).</t>
  </si>
  <si>
    <t>e032413</t>
  </si>
  <si>
    <t>10.1136/bmjopen-2019-032413</t>
  </si>
  <si>
    <t>JO7XE</t>
  </si>
  <si>
    <t>WOS:000497787600411</t>
  </si>
  <si>
    <t>Shi, D; Zhang, WX; Zhang, W; Ding, XL</t>
  </si>
  <si>
    <t>Shi, Di; Zhang, Wuxiang; Zhang, Wei; Ding, Xilun</t>
  </si>
  <si>
    <t>A Review on Lower Limb Rehabilitation Exoskeleton Robots</t>
  </si>
  <si>
    <t>Control method; Lower limb exoskeleton; Mechanical design; Rehabilitation robot</t>
  </si>
  <si>
    <t>SPINAL-CORD-INJURY; ANKLE-FOOT ORTHOSIS; GAIT PARAMETERS; LOWER-EXTREMITY; OVERGROUND GAIT; WALKING; DESIGN; TREADMILL; SPEED; PEOPLE</t>
  </si>
  <si>
    <t>Lower limb rehabilitation exoskeleton robots integrate sensing, control, and other technologies and exhibit the characteristics of bionics, robotics, information and control science, medicine, and other interdisciplinary areas. In this review, the typical products and prototypes of lower limb exoskeleton rehabilitation robots are introduced and state-of-the-art techniques are analyzed and summarized. Because the goal of rehabilitation training is to recover patients' sporting ability to the normal level, studying the human gait is the foundation of lower limb exoskeleton rehabilitation robot research. Therefore, this review critically evaluates research progress in human gait analysis and systematically summarizes developments in the mechanical design and control of lower limb rehabilitation exoskeleton robots. From the performance of typical prototypes, it can be deduced that these robots can be connected to human limbs as wearable forms; further, it is possible to control robot movement at each joint to simulate normal gait and drive the patient's limb to realize robot-assisted rehabilitation training. Therefore human-robot integration is one of the most important research directions, and in this context, rigid-flexible-soft hybrid structure design, customized personalized gait generation, and multimodal information fusion are three key technologies.</t>
  </si>
  <si>
    <t>[Shi, Di; Zhang, Wuxiang; Zhang, Wei; Ding, Xilun] Beihang Univ, Sch Mech Engn &amp; Automat, Beijing 100191, Peoples R China; [Shi, Di; Zhang, Wuxiang; Zhang, Wei; Ding, Xilun] Beihang Univ, Beijing Adv Innovat Ctr Biomed Engn, Beijing 100191, Peoples R China</t>
  </si>
  <si>
    <t>Zhang, WX (corresponding author), Beihang Univ, Sch Mech Engn &amp; Automat, Beijing 100191, Peoples R China.</t>
  </si>
  <si>
    <t>Wei, Zhang/GRF-3600-2022</t>
  </si>
  <si>
    <t>Zhang, Wuxiang/0000-0001-6141-3368</t>
  </si>
  <si>
    <t>National Key R&amp;D Program of China [2016YFE0105000]; National Natural Science Foundation of China [91848104]</t>
  </si>
  <si>
    <t>National Key R&amp;D Program of China; National Natural Science Foundation of China(National Natural Science Foundation of China (NSFC))</t>
  </si>
  <si>
    <t>Supported by National Key R&amp;D Program of China (Grant No. 2016YFE0105000) and National Natural Science Foundation of China (Grant No. 91848104).</t>
  </si>
  <si>
    <t>SPRINGEROPEN</t>
  </si>
  <si>
    <t>10.1186/s10033-019-0389-8</t>
  </si>
  <si>
    <t>IU4BS</t>
  </si>
  <si>
    <t>WOS:000483532200001</t>
  </si>
  <si>
    <t>Shi, B; Chen, XF; Yue, Z; Yin, S; Weng, QP; Zhang, X; Wang, J; Wen, WN</t>
  </si>
  <si>
    <t>Shi, Bin; Chen, Xiaofeng; Yue, Zan; Yin, Shuai; Weng, Qipeng; Zhang, Xue; Wang, Jing; Wen, Weina</t>
  </si>
  <si>
    <t>Wearable Ankle Robots in Post-stroke Rehabilitation of Gait: A Systematic Review</t>
  </si>
  <si>
    <t>wearable ankle robots; actuator; gait event detection; control strategies; performance evaluation</t>
  </si>
  <si>
    <t>OF-THE-ART; FOOT ORTHOSIS; STROKE SURVIVORS; HIP HIKING; WALKING; PERFORMANCE; ACTUATOR; DESIGN; DROP; NEUROREHABILITATION</t>
  </si>
  <si>
    <t>Background: Stroke causes weak functional mobility in survivors and affects the ability to perform activities of daily living. Wearable ankle robots are a potential intervention for gait rehabilitation post-stroke. Objective: The aim of this study is to provide a systematic review of wearable ankle robots, focusing on the overview, classification and comparison of actuators, gait event detection, control strategies, and performance evaluation. Method: Only English-language studies published from December 1995 to July 2018 were searched in the following databases: PubMed, EMBASE, Web of Science, Scopus, IEEE Xplore, Science Direct, SAGE journals. Result: A total of 48 articles were selected and 97 stroke survivors participated in these trials. Findings showed that few comparative trials were conducted among different actuators or control strategies. Moreover, mixed sensing technology which combines kinematic with kinetic information was effective in detecting motion intention of stroke survivors. Furthermore, all the selected clinical studies showed an improvement in the peak dorsiflexion degree of the swing phase, propulsion on the paretic side during push-off, and further enhanced walking speed after a period of robot-assisted ankle rehabilitation training. Conclusions: Preliminary findings suggest that wearable ankle robots have certain clinical benefits for the treatment of hemiplegic gait post-stroke. In the near future, a multicenter randomized controlled clinical trial is extremely necessary to enhance the clinical effectiveness of wearable ankle robots.</t>
  </si>
  <si>
    <t>[Shi, Bin; Yue, Zan; Yin, Shuai; Zhang, Xue; Wang, Jing] Xi An Jiao Tong Univ, Inst Robot &amp; Intelligent Syst, Xian, Shaanxi, Peoples R China; [Shi, Bin; Yue, Zan; Yin, Shuai; Zhang, Xue; Wang, Jing] Shaanxi Key Lab Intelligent Robots, Xian, Shaanxi, Peoples R China; [Chen, Xiaofeng; Weng, Qipeng; Wen, Weina] Baoxing Hosp, Shenzhen, Peoples R China</t>
  </si>
  <si>
    <t>Wang, J (corresponding author), Xi An Jiao Tong Univ, Inst Robot &amp; Intelligent Syst, Xian, Shaanxi, Peoples R China.;Wang, J (corresponding author), Shaanxi Key Lab Intelligent Robots, Xian, Shaanxi, Peoples R China.;Wen, WN (corresponding author), Baoxing Hosp, Shenzhen, Peoples R China.</t>
  </si>
  <si>
    <t>wangpele@gmail.com; szwnwen@szbxyy.com</t>
  </si>
  <si>
    <t>Shi, Bin/B-3461-2019</t>
  </si>
  <si>
    <t>10.3389/fnbot.2019.00063</t>
  </si>
  <si>
    <t>IR8AC</t>
  </si>
  <si>
    <t>WOS:000481662400001</t>
  </si>
  <si>
    <t>Coscia, M; Wessel, MJ; Chaudary, U; Millán, JD; Micera, S; Guggisberg, A; Vuadens, P; Donoghue, J; Birbaumer, N; Hummel, FC</t>
  </si>
  <si>
    <t>Coscia, Martina; Wessel, Maximilian J.; Chaudary, Ujwal; Millan, Jose del R.; Micera, Silvestro; Guggisberg, Adrian; Vuadens, Philippe; Donoghue, John; Birbaumer, Niels; Hummel, Friedhelm C.</t>
  </si>
  <si>
    <t>Neurotechnology-aided interventions for upper limb motor rehabilitation in severe chronic stroke</t>
  </si>
  <si>
    <t>BRAIN</t>
  </si>
  <si>
    <t>stroke rehabilitation; neurotechnologies; severe chronic stroke; upper extremities; clinical trials</t>
  </si>
  <si>
    <t>DIRECT-CURRENT STIMULATION; BRAIN-COMPUTER INTERFACE; TRANSCRANIAL MAGNETIC STIMULATION; FUNCTIONAL ELECTRICAL-STIMULATION; ROBOT-ASSISTED THERAPY; UPPER-EXTREMITY; DOUBLE-BLIND; PROPORTIONAL RECOVERY; CORTICAL STIMULATION; BEHAVIORAL-RESPONSE</t>
  </si>
  <si>
    <t>Upper limb motor deficits in severe stroke survivors often remain unresolved over extended time periods. Novel neurotechnologies have the potential to significantly support upper limb motor restoration in severely impaired stroke individuals. Here, we review recent controlled clinical studies and reviews focusing on the mechanisms of action and effectiveness of single and combined technology-aided interventions for upper limb motor rehabilitation after stroke, including robotics, muscular electrical stimulation, brain stimulation and brain computer/machine interfaces. We aim at identifying possible guidance for the optimal use of these new technologies to enhance upper limb motor recovery especially in severe chronic stroke patients. We found that the current literature does not provide enough evidence to support strict guidelines, because of the variability of the procedures for each intervention and of the heterogeneity of the stroke population. The present results confirm that neurotechnology-aided upper limb rehabilitation is promising for severe chronic stroke patients, but the combination of interventions often lacks understanding of single intervention mechanisms of action, which may not reflect the summation of single intervention's effectiveness. Stroke rehabilitation is a long and complex process, and one single intervention administrated in a short time interval cannot have a large impact for motor recovery, especially in severely impaired patients. To design personalized interventions combining or proposing different interventions in sequence, it is necessary to have an excellent understanding of the mechanisms determining the effectiveness of a single treatment in this heterogeneous population of stroke patients. We encourage the identification of objective biomarkers for stroke recovery for patients' stratification and to tailor treatments. Furthermore, the advantage of longitudinal personalized trial designs compared to classical double-blind placebo-controlled clinical trials as the basis for precise personalized stroke rehabilitation medicine is discussed. Finally, we also promote the necessary conceptual change from 'one-suits-all' treatments within in-patient clinical rehabilitation set-ups towards personalized home-based treatment strategies, by adopting novel technologies merging rehabilitation and motor assistance, including implantable ones.</t>
  </si>
  <si>
    <t>[Coscia, Martina; Chaudary, Ujwal; Donoghue, John; Birbaumer, Niels] Wyss Ctr Bio &amp; Neuroengn, Chemin Mines 9, CH-1202 Geneva, Switzerland; [Wessel, Maximilian J.; Hummel, Friedhelm C.] Swiss Fed Inst Technol EPFL, Clin Neuroengn, Ctr Neuroprosthet CNP, Campus Biotech,Rm H4-3-132-084,9 Chemin Mines, CH-1202 Geneva, Switzerland; [Wessel, Maximilian J.; Hummel, Friedhelm C.] Swiss Fed Inst Technol EPFL, Sch Life Sci, BMI, CH-1202 Geneva, Switzerland; [Wessel, Maximilian J.; Hummel, Friedhelm C.] Swiss Fed Inst Technol EPFL Valais, Clin Neuroengn, Ctr Neuroprosthet CNP, CH-1951 Sion, Switzerland; [Wessel, Maximilian J.; Hummel, Friedhelm C.] Swiss Fed Inst Technol EPFL Valais, Sch Life Sci, BMI, Clin Romande Readaptat, CH-1951 Sion, Switzerland; [Millan, Jose del R.] Ecole Polytech Fed Lausanne, Sch Engn, Ctr Neuroprosthet, Brain Machine Interface, CH-1015 Lausanne, Switzerland; [Micera, Silvestro] Ecole Polytech Fed Lausanne, Ctr Neuroprosthet, Translat Neuroengn, CH-1015 Lausanne, Switzerland; [Micera, Silvestro] Ecole Polytech Fed Lausanne, Sch Engn, Inst Bioengn, CH-1015 Lausanne, Switzerland; [Micera, Silvestro] Scuola Super Sant Anna, Biorobot Inst, Translat Neural Engn Area, I-56025 Pisa, Italy; [Guggisberg, Adrian; Hummel, Friedhelm C.] Univ Geneva Med Sch, Clin Neurosci, CH-1202 Geneva, Switzerland; [Vuadens, Philippe] Clin Romande Readaptat, CH-1951 Sion, Switzerland; [Donoghue, John] Brown Univ, Dept Neurosci, Providence, RI 02906 USA; [Birbaumer, Niels] Univ Tubingen, Inst Med Psychol &amp; Behav Neurobiol, Tubingen, Germany</t>
  </si>
  <si>
    <t>Swiss Federal Institutes of Technology Domain; Ecole Polytechnique Federale de Lausanne; Swiss Federal Institutes of Technology Domain; Ecole Polytechnique Federale de Lausanne; Swiss Federal Institutes of Technology Domain; Ecole Polytechnique Federale de Lausanne; Swiss Federal Institutes of Technology Domain; Ecole Polytechnique Federale de Lausanne; Swiss Federal Institutes of Technology Domain; Ecole Polytechnique Federale de Lausanne; Swiss Federal Institutes of Technology Domain; Ecole Polytechnique Federale de Lausanne; Swiss Federal Institutes of Technology Domain; Ecole Polytechnique Federale de Lausanne; Scuola Superiore Sant'Anna; University of Geneva; Brown University; Eberhard Karls University of Tubingen; Eberhard Karls University Hospital</t>
  </si>
  <si>
    <t>Hummel, FC (corresponding author), Swiss Fed Inst Technol EPFL, Clin Neuroengn, Ctr Neuroprosthet CNP, Campus Biotech,Rm H4-3-132-084,9 Chemin Mines, CH-1202 Geneva, Switzerland.</t>
  </si>
  <si>
    <t>friedhelm.hummel@epfl.ch</t>
  </si>
  <si>
    <t>Chaudhary, Ujwal/GLR-0455-2022; Wessel, Maximilian Jonas/AAC-8036-2021; Micera, Silvestro/AAD-6630-2021; Hummel, Friedhelm/AGS-7403-2022; Coscia, Martina/S-1036-2019; Guggisberg, Adrian/H-7506-2012; Millan, Jose del R./F-1696-2011</t>
  </si>
  <si>
    <t>Micera, Silvestro/0000-0003-4396-8217; Guggisberg, Adrian/0000-0001-7178-7793; Coscia, Martina/0000-0002-0280-3486; Wessel, Maximilian Jonas/0000-0002-4172-9952; Millan, Jose del R./0000-0001-5819-1522; Hummel, Friedhelm/0000-0002-4746-4633</t>
  </si>
  <si>
    <t>Wyss Center for Bioand Neuroengineering [AVANCER WCP030, WCP024]; Defitech Foundation; Strategic Focal Area 'Personalized Health and Related Technologies (PHRT)' of the ETH Domain [2017-205]</t>
  </si>
  <si>
    <t>Wyss Center for Bioand Neuroengineering; Defitech Foundation; Strategic Focal Area 'Personalized Health and Related Technologies (PHRT)' of the ETH Domain</t>
  </si>
  <si>
    <t>The research has been funded by the Wyss Center for Bioand Neuroengineering (AVANCER WCP030, and WCP024), the Defitech Foundation and by the grant #2017-205 of the Strategic Focal Area 'Personalized Health and Related Technologies (PHRT, project PHRT205)' of the ETH Domain.</t>
  </si>
  <si>
    <t>0006-8950</t>
  </si>
  <si>
    <t>1460-2156</t>
  </si>
  <si>
    <t>Brain</t>
  </si>
  <si>
    <t>10.1093/brain/awz181</t>
  </si>
  <si>
    <t>JH9JO</t>
  </si>
  <si>
    <t>Green Submitted, Green Published, hybrid</t>
  </si>
  <si>
    <t>WOS:000493084400013</t>
  </si>
  <si>
    <t>Iandolo, R; Marini, F; Semprini, M; Laffranchi, M; Mugnosso, M; Cherif, A; De Michieli, L; Chiappalone, M; Zenzeri, J</t>
  </si>
  <si>
    <t>Iandolo, Riccardo; Marini, Francesca; Semprini, Marianna; Laffranchi, Matteo; Mugnosso, Maddalena; Cherif, Amel; De Michieli, Lorenzo; Chiappalone, Michela; Zenzeri, Jacopo</t>
  </si>
  <si>
    <t>Perspectives and Challenges in Robotic Neurorehabilitation</t>
  </si>
  <si>
    <t>electrophysiological recordings; end-effector robot; exoskeleton; neuroimaging; robotic rehabilitation; sensorimotor assessment</t>
  </si>
  <si>
    <t>MUSCLE ACTIVATION PATTERNS; BRAIN-COMPUTER INTERFACES; SUBACUTE STROKE PATIENTS; PARTIAL-BODY-WEIGHT; UPPER-LIMB; HEMIPARETIC STROKE; SPINAL-CORD; WRIST REHABILITATION; SUPPORTED TREADMILL; POWERED EXOSKELETON</t>
  </si>
  <si>
    <t>The development of robotic devices for rehabilitation is a fast-growing field. Nowadays, thanks to novel technologies that have improved robots' capabilities and offered more cost-effective solutions, robotic devices are increasingly being employed during clinical practice, with the goal of boosting patients' recovery. Robotic rehabilitation is also widely used in the context of neurological disorders, where it is often provided in a variety of different fashions, depending on the specific function to be restored. Indeed, the effect of robot-aided neurorehabilitation can be maximized when used in combination with a proper training regimen (based on motor control paradigms) or with non-invasive brain machine interfaces. Therapy-induced changes in neural activity and behavioral performance, which may suggest underlying changes in neural plasticity, can be quantified by multimodal assessments of both sensorimotor performance and brain/muscular activity pre/post or during intervention. Here, we provide an overview of the most common robotic devices for upper and lower limb rehabilitation and we describe the aforementioned neurorehabilitation scenarios. We also review assessment techniques for the evaluation of robotic therapy. Additional exploitation of these research areas will highlight the crucial contribution of rehabilitation robotics for promoting recovery and answering questions about reorganization of brain functions in response to disease.</t>
  </si>
  <si>
    <t>[Iandolo, Riccardo; Semprini, Marianna; Laffranchi, Matteo; De Michieli, Lorenzo; Chiappalone, Michela] Ist Italiano Tecnol, Rehab Technol, Via Morego 30, I-16163 Genoa, Italy; [Marini, Francesca; Mugnosso, Maddalena; Cherif, Amel; Zenzeri, Jacopo] Ist Italiano Tecnol, Robot Brain &amp; Cognit Sci, Via Melen 83, I-16152 Genoa, Italy; [Mugnosso, Maddalena; Cherif, Amel] Univ Genoa, Dept Informat Bioengn Robot &amp; Syst Engn, Viale Causa 13, I-16145 Genoa, Italy</t>
  </si>
  <si>
    <t>Istituto Italiano di Tecnologia - IIT; Istituto Italiano di Tecnologia - IIT; University of Genoa</t>
  </si>
  <si>
    <t>Zenzeri, J (corresponding author), Ist Italiano Tecnol, Robot Brain &amp; Cognit Sci, Via Melen 83, I-16152 Genoa, Italy.</t>
  </si>
  <si>
    <t>jacopo.zenzeri@iit.it</t>
  </si>
  <si>
    <t>Zenzeri, Jacopo/X-5206-2019; Semprini, Marianna/AAC-3059-2019</t>
  </si>
  <si>
    <t>Istituto Nazionale per l'Assicurazione contro gli Infortuni sul Lavoro (INAIL)</t>
  </si>
  <si>
    <t>This research was partially funded by Istituto Nazionale per l'Assicurazione contro gli Infortuni sul Lavoro (INAIL).</t>
  </si>
  <si>
    <t>10.3390/app9153183</t>
  </si>
  <si>
    <t>IS4PB</t>
  </si>
  <si>
    <t>WOS:000482134500238</t>
  </si>
  <si>
    <t>Peng, ZQ; Huang, J</t>
  </si>
  <si>
    <t>Peng, Zengqi; Huang, Jian</t>
  </si>
  <si>
    <t>Soft Rehabilitation and Nursing-Care Robots: A Review and Future Outlook</t>
  </si>
  <si>
    <t>soft robot; rehabilitation and nursing-care; tendon-driven; soft intelligent material</t>
  </si>
  <si>
    <t>PNEUMATIC MUSCLE; WEARABLE-ROBOT; PASSIVE BRAKE; DESIGN; DRIVEN; STIFFNESS; MANIPULATION; ACTUATORS; GLOVE</t>
  </si>
  <si>
    <t>Rehabilitation and nursing-care robots have become one of the prevalent methods for assistant treatment of motor disorder patients in the field of medical rehabilitation. Traditional rehabilitation robots are mostly made of rigid materials, which significantly limits their application for medical rehabilitation and nursing-care. Soft robots show great potential in the field of rehabilitation robots because of their inherent compliance and safety when they interact with humans. In this paper, we conduct a systematic summary and discussion on the soft rehabilitation and nursing-care robots. This study reviews typical mechanical structures, modeling methods, and control strategies of soft rehabilitation and nursing-care robots in recent years. We classify soft rehabilitation and nursing-care robots into two categories according to their actuation technology, one is based on tendon-driven actuation and the other is based on soft intelligent material actuation. Finally, we analyze and discuss the future directions and work about soft rehabilitation and nursing-care robots, which can provide useful guidance and help on the development of advanced soft rehabilitation and nursing-care robots.</t>
  </si>
  <si>
    <t>[Huang, Jian] Huazhong Univ Sci &amp; Technol, Sch Artificial Intelligence &amp; Automat, Wuhan 430074, Hubei, Peoples R China; Educ Minist China, Key Lab Image Proc &amp; Intelligent Control, Wuhan 430074, Hubei, Peoples R China</t>
  </si>
  <si>
    <t>Huang, J (corresponding author), Huazhong Univ Sci &amp; Technol, Sch Artificial Intelligence &amp; Automat, Wuhan 430074, Hubei, Peoples R China.</t>
  </si>
  <si>
    <t>huang_jan@mail.hust.edu.cn</t>
  </si>
  <si>
    <t>PENG, Zengqi/KIG-3224-2024; Huang, Jian/I-8521-2014</t>
  </si>
  <si>
    <t>Huang, Jian/0000-0002-6267-8824; Peng, Zengqi/0009-0001-1801-4297</t>
  </si>
  <si>
    <t>International Science and Technology Cooperation Program of China [2017YFE0128300]; Fundamental Research Funds for the Central Universities [HUST: 2019kfyRCPY, 2019kfyXKJC019]</t>
  </si>
  <si>
    <t>International Science and Technology Cooperation Program of China; Fundamental Research Funds for the Central Universities(Fundamental Research Funds for the Central Universities)</t>
  </si>
  <si>
    <t>This work was supported by the International Science and Technology Cooperation Program of China under Grant No. 2017YFE0128300 and the Fundamental Research Funds for the Central Universities (HUST: 2019kfyRCPY, 2019kfyXKJC019).</t>
  </si>
  <si>
    <t>10.3390/app9153102</t>
  </si>
  <si>
    <t>WOS:000482134500157</t>
  </si>
  <si>
    <t>Fromme, NP; Camenzind, M; Riener, R; Rossi, RM</t>
  </si>
  <si>
    <t>Fromme, Nicolas Philip; Camenzind, Martin; Riener, Robert; Rossi, Rene Michel</t>
  </si>
  <si>
    <t>Need for mechanically and ergonomically enhanced tremor-suppression orthoses for the upper limb: a systematic review</t>
  </si>
  <si>
    <t>Tremor; Suppression; Wearable; Upper limb; Orthosis; Device</t>
  </si>
  <si>
    <t>FOCUSED ULTRASOUND THALAMOTOMY; DEEP BRAIN-STIMULATION; PARKINSONS-DISEASE; REHABILITATION ROBOTICS; MOVEMENT; EXOSKELETON; DESIGN; PREVALENCE; VALIDATION; EXTRACTION</t>
  </si>
  <si>
    <t>Introduction: Tremor is the most common movement disorder, affecting 5.6% of the population with Parkinson's disease or essential tremor over the age of 65. Conventionally, tremor diseases like Parkinson's are treated with medication. An alternative non-invasive symptom treatment is the mechanical suppression of the oscillation movement. The purpose of this review is to identify the weaknesses of past wearable tremor-suppression orthoses for the upper limb and identify the need for further research and developments. Method: A systematic literature search was conducted by performing a keyword combination search of the title, abstract and keyword sections in the four databases Web of Science, MedLine, Scopus, and ProQuest. Initially, the retrieved articles were selected by title and abstract using selection criteria. The same criteria were then applied to the full publication text. After the selection process, relevant information on the retrieved orthoses was isolated, sorted and analysed systematically. Results; Forty-six papers, representing 21 orthoses, were identified and analysed according to the mechanical and ergonomic properties. The identified orthoses can be divided into 5 concepts and 16 functional prototypes, then subdivided further based upon their use of passive, semi-active, or active suppression mechanisms. Most of the orthoses concentrate on the wrist and elbow flexion and extension. They mainly rely on rigid structures and actuators while having tremor-suppression efficacies for tremorous subjects from 30 to 98% using power spectral density or other methods. Conclusion: The comparison of tremor-suppression orthoses considered and mapped their various mechanical and ergonomic properties, including the degrees of freedom, weight, suppression characteristics, and efficacies. This review shows that most of the orthoses are bulky and heavy, with a non-adapted human-machine interface which can cause rejection by the user. The main challenge of the design of an effective, minimally intrusive and portable tremor-suppressing orthosis is the integration of compact, powerful, lightweight, and non-cumbersome suppression mechanisms. None of the existing prototypes combine all the desired characteristics. Future research should focus on novel suppression orthoses and mechanisms with compact dimensions and light weight in order to be less cumbersome while giving a good tremor-suppression performance.</t>
  </si>
  <si>
    <t>[Fromme, Nicolas Philip; Camenzind, Martin; Rossi, Rene Michel] Empa, Swiss Fed Labs Mat Sci &amp; Technol, Lab Biomimet Membranes &amp; Text, Lerchenfeldstr 5, CH-9014 St Gallen, Switzerland; [Riener, Robert] Swiss Fed Inst Technol, Inst Robot &amp; Intelligent Syst, Dept Hlth Sci &amp; Technol, Sensory Motor Syst Lab, Tannenstr 1,TAN E 5, CH-8092 Zurich, Switzerland</t>
  </si>
  <si>
    <t>Swiss Federal Institutes of Technology Domain; Swiss Federal Laboratories for Materials Science &amp; Technology (EMPA); Swiss Federal Institutes of Technology Domain; ETH Zurich</t>
  </si>
  <si>
    <t>Rossi, RM (corresponding author), Empa, Swiss Fed Labs Mat Sci &amp; Technol, Lab Biomimet Membranes &amp; Text, Lerchenfeldstr 5, CH-9014 St Gallen, Switzerland.</t>
  </si>
  <si>
    <t>Rene.Rossi@Empa.ch</t>
  </si>
  <si>
    <t>Camenzind, Martin/S-1345-2019; Riener, Robert/B-9868-2016; Rossi, Rene/A-1507-2012</t>
  </si>
  <si>
    <t>Rossi, Rene/0000-0003-0946-682X; Riener, Robert/0000-0002-1726-2950; Camenzind, Martin/0000-0002-0914-7215; Fromme, Nicolas/0000-0002-0970-7729</t>
  </si>
  <si>
    <t>JUL 18</t>
  </si>
  <si>
    <t>10.1186/s12984-019-0543-7</t>
  </si>
  <si>
    <t>IK3RD</t>
  </si>
  <si>
    <t>WOS:000476505200001</t>
  </si>
  <si>
    <t>Clark, WE; Sivan, M; O'Connor, RJ</t>
  </si>
  <si>
    <t>Clark, William E.; Sivan, Manoj; O'Connor, Rory J.</t>
  </si>
  <si>
    <t>Evaluating the use of robotic and virtual reality rehabilitation technologies to improve function in stroke survivors: A narrative review</t>
  </si>
  <si>
    <t>Stroke; brain injury; spinal cord injury; neurorehabilitation; therapy; assistive technology; activities of daily living</t>
  </si>
  <si>
    <t>UPPER-LIMB; ASSISTED THERAPY; OUTCOME MEASURES; IMPAIRMENT; POSTSTROKE; PRINCIPLES; FEEDBACK; PEOPLE</t>
  </si>
  <si>
    <t>This review evaluates the effectiveness of robotic and virtual reality technologies used for neurological rehabilitation in stroke survivors. It examines each rehabilitation technology in turn before considering combinations of these technologies and the complexities of rehabilitation outcome assessment. There is high-quality evidence that upper-limb robotic rehabilitation technologies improve movement, strength and activities of daily living, whilst the evidence for robotic lower-limb rehabilitation is currently not as convincing. Virtual reality technologies also improve activities of daily living. Whilst the benefit of these technologies over dose-controlled conventional rehabilitation is likely to be small, there is a role for both technologies as part of a broader rehabilitation programme, where they may help to increase the intensity and amount of therapy delivered. Combining robotic and virtual reality technologies in a rehabilitation programme may further improve rehabilitation outcomes and we would advocate randomised controlled trials of these technologies in combination.</t>
  </si>
  <si>
    <t>[Clark, William E.; Sivan, Manoj; O'Connor, Rory J.] Univ Leeds, Acad Dept Rehabil Med, Fac Med &amp; Hlth, Leeds Inst Rheumat &amp; Musculoskeletal Med, Leeds, W Yorkshire, England; [Sivan, Manoj; O'Connor, Rory J.] Leeds Teaching Hosp NHS Trust, Natl Demonstrat Ctr Rehabil Med, Leeds, W Yorkshire, England; [O'Connor, Rory J.] Royal Hallamshire Hosp, Natl Inst Hlth Res Devices Dign MedTech Cooperat, Sheffield, S Yorkshire, England</t>
  </si>
  <si>
    <t>University of Leeds; University of Leeds; University of Sheffield</t>
  </si>
  <si>
    <t>Sivan, M (corresponding author), Univ Leeds, Acad Dept Rehabil Med, Leeds Gen Infirm, D Floor,Martin Wing, Leeds LS1 3EX, W Yorkshire, England.</t>
  </si>
  <si>
    <t>m.sivan@leeds.ac.uk</t>
  </si>
  <si>
    <t>O'Connor, Rory/AAG-4503-2020</t>
  </si>
  <si>
    <t>Sivan, Prof Manoj/0000-0002-0334-2968; O'Connor, Rory/0000-0002-4643-9794; Clark, William/0000-0001-5376-0175</t>
  </si>
  <si>
    <t>National Institute for Health Research (NIHR) Academic Foundation Fellowship; NIHR</t>
  </si>
  <si>
    <t>National Institute for Health Research (NIHR) Academic Foundation Fellowship(National Institutes of Health Research (NIHR)); NIHR(National Institutes of Health Research (NIHR))</t>
  </si>
  <si>
    <t>The author(s) disclosed receipt of the following financial support for the research, authorship, and/or publication of this article: WEC is supported by a National Institute for Health Research (NIHR) Academic Foundation Fellowship. RJOC's research is supported by NIHR infrastructure at Leeds and Sheffield. The views expressed are those of the authors and not necessarily those of the United Kingdom's (UK) National Health Service, the NIHR or the UK Department of Health.</t>
  </si>
  <si>
    <t>10.1177/2055668319863557</t>
  </si>
  <si>
    <t>JO3UA</t>
  </si>
  <si>
    <t>WOS:000497504900001</t>
  </si>
  <si>
    <t>Falzarano, V; Marini, F; Morasso, P; Zenzeri, J</t>
  </si>
  <si>
    <t>Falzarano, Valeria; Marini, Francesca; Morasso, Pietro; Zenzeri, Jacopo</t>
  </si>
  <si>
    <t>Devices and Protocols for Upper Limb Robot-Assisted Rehabilitation of Children with Neuromotor Disorders</t>
  </si>
  <si>
    <t>robot-assisted rehabilitation; upper limb; pediatric population; neurological disorders</t>
  </si>
  <si>
    <t>TOXIN TYPE-A; CEREBRAL-PALSY; VIRTUAL ENVIRONMENTS; THERAPY; PERFORMANCE; STROKE; MOVEMENT; NEUROPLASTICITY; MODULATION; PREDICTION</t>
  </si>
  <si>
    <t>Neuromotor disorders negatively affect the sensorimotor system, limiting the ability to perform daily activities autonomously. Rehabilitation of upper limb impairments is therefore essential to improve independence and quality of life. In the last two decades, there has been a growing interest in robot-assisted rehabilitation as a beneficial way to promote children recovery process. However, a common understanding of the best drivers of an effective intervention has not been reached yet. With this aim, the current study reviewed the existing literature on robot-assisted rehabilitation protocols for upper extremities in children, with the goal of examining the effects of robotic therapy on their sensorimotor recovery process. A literature search was conducted in several electronic database to identify the studies related to the application of robotic therapy on upper limbs in the pediatric population. We analyzed three reviews and 35 studies that used 14 different robotic devices, and an overview of their characteristics, applications in the clinical setting and results is provided. Besides, the potential benefits of robot-assisted assessment and therapy are discussed to identify the key factors yielding positive outcomes in children. Finally, this review aim to lay the foundations for more effective neuroplasticity-enhancement protocols and elicit insights into robot-based approaches.</t>
  </si>
  <si>
    <t>[Falzarano, Valeria; Marini, Francesca; Morasso, Pietro; Zenzeri, Jacopo] Ist Italiano Tecnol, Robot Brain &amp; Cognit Sci Dept, Via Enrico Melen 83, I-16152 Genoa, Italy; [Falzarano, Valeria] Univ Genoa, Dept Informat Bioengn Robot &amp; Syst Engn, Viale Causa 13, I-16145 Genoa, Italy</t>
  </si>
  <si>
    <t>Istituto Italiano di Tecnologia - IIT; Brain Center for Motor &amp; Social Cognition IIT; University of Genoa</t>
  </si>
  <si>
    <t>Falzarano, V (corresponding author), Ist Italiano Tecnol, Robot Brain &amp; Cognit Sci Dept, Via Enrico Melen 83, I-16152 Genoa, Italy.;Falzarano, V (corresponding author), Univ Genoa, Dept Informat Bioengn Robot &amp; Syst Engn, Viale Causa 13, I-16145 Genoa, Italy.</t>
  </si>
  <si>
    <t>valeria.falzarano@iit.it</t>
  </si>
  <si>
    <t>Zenzeri, Jacopo/X-5206-2019</t>
  </si>
  <si>
    <t>Falzarano, Valeria/0000-0002-6040-1020</t>
  </si>
  <si>
    <t>10.3390/app9132689</t>
  </si>
  <si>
    <t>WOS:000477031900108</t>
  </si>
  <si>
    <t>Alonso, SG; Hamrioui, S; Díez, ID; Cruz, EM; López-Coronado, M; Franco, M</t>
  </si>
  <si>
    <t>Gongora Alonso, Susel; Hamrioui, Sofiane; de la Torre Diez, Isabel; Motta Cruz, Eduardo; Lopez-Coronado, Miguel; Franco, Manuel</t>
  </si>
  <si>
    <t>Social Robots for People with Aging and Dementia: A Systematic Review of Literature</t>
  </si>
  <si>
    <t>TELEMEDICINE AND E-HEALTH</t>
  </si>
  <si>
    <t>telemedicine; e-health; rehabilitation; home health monitoring; social robot</t>
  </si>
  <si>
    <t>COMMUNICATION ROBOT; OLDER-PEOPLE; CARE; THERAPY; ADULTS; PARO</t>
  </si>
  <si>
    <t>Background: Social robots are currently a form of assistive technology for the elderly, healthy, or with cognitive impairment, helping to maintain their independence and improve their well-being. Objective: The main aim of this article is to present a review of the existing research in the literature, referring to the use of social robots for people with dementia and/or aging. Methods: Academic databases that were used to perform the searches are IEEE Xplore, PubMed, Science Direct, and Google Scholar, taking into account as date of publication the last 10 years, from 2007 to the present. Several search criteria were established such as robot AND dementia, robot AND cognitive impairment, robot AND social AND aging, and so on., selecting the articles of greatest interest regarding the use of social robots in elderly people with or without dementia. Results: This search found a total of 96 articles on social robots in healthy people and with dementia, of which 38 have been identified as relevant work. Many of the articles show the acceptance of older people toward social robots. Conclusion: From the review of the research articles analyzed, it can be said that use of social robots in elderly people without cognitive impairment and with dementia, help in a positive way to work independently in basic activities and mobility, provide security, and reduce stress.</t>
  </si>
  <si>
    <t>[Gongora Alonso, Susel; de la Torre Diez, Isabel; Lopez-Coronado, Miguel] Univ Valladolid, Dept Signal Theory &amp; Commun &amp; Telemat Engn, Paseo Belen 15, E-47011 Valladolid, Spain; [Hamrioui, Sofiane; Motta Cruz, Eduardo] Bretagne Loire Univ, Dept Telecommun &amp; Networks, Rennes, France; [Hamrioui, Sofiane; Motta Cruz, Eduardo] Nantes Univ, Polytech Nantes, Nantes, France; [Franco, Manuel] Hosp Zamora, Psychiat Serv, Zamora, Spain</t>
  </si>
  <si>
    <t>Universidad de Valladolid; Nantes Universite</t>
  </si>
  <si>
    <t>Díez, ID (corresponding author), Univ Valladolid, Dept Signal Theory &amp; Commun &amp; Telemat Engn, Paseo Belen 15, E-47011 Valladolid, Spain.</t>
  </si>
  <si>
    <t>isator@tel.uva.es</t>
  </si>
  <si>
    <t>Hamrioui, Sofiane/IAM-8084-2023; Góngora Alonso, Susel/KLC-8183-2024; de la Torre, Isabel/B-7064-2008; Franco-Martin, Manuel/D-1752-2011</t>
  </si>
  <si>
    <t>Franco-Martin, Manuel/0000-0002-3639-2523; De la Torre, Isabel/0000-0003-3134-7720; Gongora Alonso, Susel/0000-0003-3500-4100</t>
  </si>
  <si>
    <t>1530-5627</t>
  </si>
  <si>
    <t>1556-3669</t>
  </si>
  <si>
    <t>TELEMED E-HEALTH</t>
  </si>
  <si>
    <t>Telemed. e-Health</t>
  </si>
  <si>
    <t>10.1089/tmj.2018.0051</t>
  </si>
  <si>
    <t>II8SW</t>
  </si>
  <si>
    <t>WOS:000475463100003</t>
  </si>
  <si>
    <t>Zheng, QX; Ge, L; Wang, CC; Ma, QS; Liao, YT; Huang, PP; Wang, GD; Xie, QL; Rask, M</t>
  </si>
  <si>
    <t>Zheng, Qing-Xiang; Ge, Li; Wang, Carol Chunfeng; Ma, Qi-Shou; Liao, Yan-Tan; Huang, Ping-Ping; Wang, Guan-Dong; Xie, Qiu-Lin; Rask, Mikael</t>
  </si>
  <si>
    <t>Robot-assisted therapy for balance function rehabilitation after stroke: A systematic review and meta-analysis</t>
  </si>
  <si>
    <t>Robot-assisted therapy; Balance function; Stroke; Randomized controlled trial; Systematic review; Meta-analysis</t>
  </si>
  <si>
    <t>ELECTROMECHANICAL GAIT TRAINER; SUBACUTE STROKE; STIMULATION; ANKLE</t>
  </si>
  <si>
    <t>Objective: To identify the rehabilitative effects of robot-assisted therapy on balance function among stroke patients. Design: A systematic review and meta-analysis of randomized controlled trials. Data sources: Thirteen electronic databases were systematically searched from inception to March 2018: Web of Science, PubMed, EMBase, The Cochrane Library, Science Direct, CINAHL, MEDLINE, AMED, Physiotherapy Evidence Database, SPORTDiscus, WanFang Data, China National Knowledge Infrastructure and Chinese Scientific Journal Database. Review methods: Randomized controlled trials were retrieved for identifying the effects of robot-assisted therapy on balance function among stroke patients. Two authors independently searched databases, screened studies, extracted data, and evaluated the methodological quality and risk bias of each included study. A standardized protocol and data-collection form were used to extract information. Effect size was evaluated by mean difference with corresponding 95% confidence intervals. Methodological quality and risk bias evaluation for each included study followed the quality appraisal criteria for randomized controlled trials that were recommended by Cochrane Handbook. Meta-analysis was conducted by utilizing Review Manager 5.3, a Cochrane Collaboration tool. Data was synthesized with descriptive analysis instead of meta analysis where comparisons were not possible to be conducted with a meta-analysis. Results: Thirty-one randomized controlled trials with a total of 1249 participants were included. The majority of the included studies contained some methodological flaws. The results of the meta-analysis indicated that robot-assisted therapy produced positive effects on balance function, as shown by an increase in the Berg balance scale score [random effects model, mean difference =4.64, 95%CI=3.22-6.06, P&lt;0.01], as well as Fugl-Meyer balance scale scores [fixed effects model, mean difference = 3.57, 95% CI=2.81-4.34, P&lt;0.01]. After subgroup and sensitivity analyses, the positive effects were not influenced by different types of robotic devices, by whether robot-assisted therapy was combined with another intervention or not, or by differences in duration and intensity of intervention. Conclusion: Evidence in the present systematic review indicates that robot-assisted therapy may produce significantly positive improvements on balance function among stroke patients compared with those not using this method. More multi-center, high-quality and large-scale randomized controlled trials following the guidelines of CONSORT are necessary to generate high-quality evidence in further research. (C) 2019 Elsevier Ltd. All rights reserved.</t>
  </si>
  <si>
    <t>[Zheng, Qing-Xiang; Ge, Li; Huang, Ping-Ping; Wang, Guan-Dong; Xie, Qiu-Lin] Fujian Univ Tradit Chinese Med, Sch Nursing, 1 Qiu Yang Rd, Fuzhou, Fujian, Peoples R China; [Wang, Carol Chunfeng] Edith Cowan Univ, Sch Nursing &amp; Midwifery, Joondalup, WA 6027, Australia; [Ma, Qi-Shou; Liao, Yan-Tan] Fujian Univ Tradit Chinese Med, Rehabil Hosp, Fuzhou, Fujian, Peoples R China; [Rask, Mikael] Linnaeus Univ, Dept Hlth &amp; Caring Sci, S-35195 Vaxjo, Sweden</t>
  </si>
  <si>
    <t>Fujian University of Traditional Chinese Medicine; Edith Cowan University; Fujian University of Traditional Chinese Medicine; Linnaeus University</t>
  </si>
  <si>
    <t>Ge, L (corresponding author), Fujian Univ Tradit Chinese Med, Sch Nursing, 1 Qiu Yang Rd, Fuzhou, Fujian, Peoples R China.</t>
  </si>
  <si>
    <t>2000005@fjtcm.edu.cn</t>
  </si>
  <si>
    <t>Wang, Dr Carol Chunfeng/0000-0002-6672-7187; Zheng, Qing-Xiang/0000-0003-2149-7776</t>
  </si>
  <si>
    <t>Fujian University of Traditional Chinese Medicine</t>
  </si>
  <si>
    <t>We thank Dr. Benjamin TAN at the Charles Darwin University for methodological guidance. We thank Professor David Brunt at Linnaeus University for revising the language in the manuscript. This work was also supported by Fujian University of Traditional Chinese Medicine.</t>
  </si>
  <si>
    <t>10.1016/j.ijnurstu.2019.03.015</t>
  </si>
  <si>
    <t>IF8YV</t>
  </si>
  <si>
    <t>WOS:000473380100003</t>
  </si>
  <si>
    <t>Berger, A; Horst, F; Müller, S; Steinberg, F; Doppelmayr, M</t>
  </si>
  <si>
    <t>Berger, Alisa; Horst, Fabian; Mueller, Sophia; Steinberg, Fabian; Doppelmayr, Michael</t>
  </si>
  <si>
    <t>Current State and Future Prospects of EEG and fNIRS in Robot-Assisted Gait Rehabilitation: A Brief Review</t>
  </si>
  <si>
    <t>multi-modal approach; electroencephalography; functional near-infrared spectroscopy; robot-assisted gait training; motor recovery; neurorehabilitation; brain-machine interface; brain stimulation</t>
  </si>
  <si>
    <t>NEAR-INFRARED SPECTROSCOPY; SPINAL-CORD-INJURY; CORTICAL ACTIVATION; SPEED CONTROL; WALKING; TREADMILL; NEUROPLASTICITY; INTERFERENCE; PERFORMANCE; ARTIFACT</t>
  </si>
  <si>
    <t>Gait and balance impairments are frequently considered as the most significant concerns among individuals suffering from neurological diseases. Robot-assisted gait training (RAGT) has shown to be a promising neurorehabilitation intervention to improve gait recovery in patients following stroke or brain injury by potentially initiating neuroplastic changes. However, the neurophysiological processes underlying gait recovery through RAGT remain poorly understood. As non-invasive, portable neuroimaging techniques, electroencephalography (EEG) and functional near-infrared spectroscopy (fNIRS) provide new insights regarding the neurophysiological processes occurring during RAGT by measuring different perspectives of brain activity. Due to spatial information about changes in cortical activation patterns and the rapid temporal resolution of bioelectrical changes, more features correlated with brain activation and connectivity can be identified when using fused EEG-fNIRS, thus leading to a detailed understanding of neurophysiological mechanisms underlying motor behavior and impairments due to neurological diseases. Therefore, multi-modal integrations of EEG-fNIRS appear promising for the characterization of neurovascular coupling in brain network dynamics induced by RAGT. In this brief review, we surveyed neuroimaging studies focusing specifically on robotic gait rehabilitation. While previous studies have examined either EEG or fNIRS with respect to RAGT, a multi-modal integration of both approaches is lacking. Based on comparable studies using fused EEG-fNIRS integrations either for guiding non-invasive brain stimulation or as part of brain-machine interface paradigms, the potential of this methodologically combined approach in RAGT is discussed. Future research directions and perspectives for targeted, individualized gait recovery that optimize the outcome and efficiency of RAGT in neurorehabilitation were further derived.</t>
  </si>
  <si>
    <t>[Berger, Alisa; Mueller, Sophia; Steinberg, Fabian; Doppelmayr, Michael] Johannes Gutenberg Univ Mainz, Inst Sport Sci, Dept Sport Psychol, Mainz, Germany; [Horst, Fabian] Johannes Gutenberg Univ Mainz, Inst Sport Sci, Dept Training &amp; Movement Sci, Mainz, Germany; [Doppelmayr, Michael] Univ Salzburg, Ctr Cognit Neurosci, Salzburg, Austria</t>
  </si>
  <si>
    <t>Johannes Gutenberg University of Mainz; Johannes Gutenberg University of Mainz; Salzburg University</t>
  </si>
  <si>
    <t>Berger, A (corresponding author), Johannes Gutenberg Univ Mainz, Inst Sport Sci, Dept Sport Psychol, Mainz, Germany.</t>
  </si>
  <si>
    <t>alisa.berger@uni-mainz.de</t>
  </si>
  <si>
    <t>Horst, Fabian/V-2242-2019; Steinberg, Fabian/AAI-5247-2020; Doppelmayr, Michael/GRF-5286-2022</t>
  </si>
  <si>
    <t>Steinberg, Fabian/0000-0001-8313-0529; Doppelmayr, Michael/0000-0002-3435-7193; Horst, Fabian/0000-0002-3299-5896</t>
  </si>
  <si>
    <t>10.3389/fnhum.2019.00172</t>
  </si>
  <si>
    <t>IB5EG</t>
  </si>
  <si>
    <t>WOS:000470293500001</t>
  </si>
  <si>
    <t>Ren, T; Zhang, Y; Li, YJ; Chen, YH; Liu, QY</t>
  </si>
  <si>
    <t>Ren, Tao; Zhang, Yin; Li, Yujia; Chen, Yonghua; Liu, Qingyou</t>
  </si>
  <si>
    <t>Driving Mechanisms, Motion, and Mechanics of Screw Drive In-Pipe Robots: A Review</t>
  </si>
  <si>
    <t>screw drive; in-pipe robot; driving mechanisms; motion; mechanics</t>
  </si>
  <si>
    <t>INSPECTION ROBOT; ACCIDENTS; DESIGN</t>
  </si>
  <si>
    <t>In recent years, interest in in-pipe robot research has been steadily increasing. This phenomenon reflects the necessity and urgency of pipe inspection and rehabilitation as several pipe networks have become outdated around the globe. In-pipe robots can be divided into several groups in accordance with their locomotion principles, each with its own advantages and best suited application scope. Research on the screw drive in-pipe robot (SDIR) has had a rising trend due to the robot's simple driving mechanism design and numerous advantages. This study compares and analyzes the characteristics of various SDIRs from the aspects of mechanism design, driving principle, and motion and mechanical behaviors. Each SDIR has its own advantages and disadvantages depending on its design requirements and intended applications. A number of prototypes have been fabricated to verify their functionality and efficiency in inspection tasks. This study can provide an up-to-date reference for researchers to conduct further analysis on SDIRs.</t>
  </si>
  <si>
    <t>[Ren, Tao; Zhang, Yin; Chen, Yonghua] Xihua Univ, Robot Res Ctr, Chengdu 610039, Sichuan, Peoples R China; [Li, Yujia] Southwest Petr Univ, Sch Mechatron Engn, Chengdu 610500, Sichuan, Peoples R China; [Li, Yujia] Southwest Petr Univ, Postdoctoral Res Stn, Chengdu 610500, Sichuan, Peoples R China; [Li, Yujia] Xihua Univ, Key Lab Fluid &amp; Power Machinery, Minist Educ, Chengdu 610039, Sichuan, Peoples R China; [Chen, Yonghua] Univ Hong Kong, Dept Mech Engn, Pok Fu Lam, Hong Kong, Peoples R China; [Liu, Qingyou] Chengdu Univ Technol, State Key Lab Oil &amp; Gas Reservoir Geol &amp; Exploita, Chengdu 610059, Sichuan, Peoples R China</t>
  </si>
  <si>
    <t>Xihua University; Southwest Petroleum University; Southwest Petroleum University; Ministry of Education - China; Xihua University; University of Hong Kong; Chengdu University of Technology</t>
  </si>
  <si>
    <t>Ren, T (corresponding author), Xihua Univ, Robot Res Ctr, Chengdu 610039, Sichuan, Peoples R China.;Li, YJ (corresponding author), Southwest Petr Univ, Sch Mechatron Engn, Chengdu 610500, Sichuan, Peoples R China.;Li, YJ (corresponding author), Southwest Petr Univ, Postdoctoral Res Stn, Chengdu 610500, Sichuan, Peoples R China.;Li, YJ (corresponding author), Xihua Univ, Key Lab Fluid &amp; Power Machinery, Minist Educ, Chengdu 610039, Sichuan, Peoples R China.</t>
  </si>
  <si>
    <t>rtone@foxmail.com; zyin_94@163.com; yujiali321@foxmail.com; yhchen@hku.hk; liuqy666@yahoo.com</t>
  </si>
  <si>
    <t>Ren, Tao/AAL-5246-2020</t>
  </si>
  <si>
    <t>National Natural Science Foundation of China (NSFC) [51805443]; Sichuan Science and Technology Program [2019YFG0123, 2019YFG0336]; Key Laboratory of Fluid and Power Machinery, Ministry of Education Open Research Fund [SZJJ2019-003]</t>
  </si>
  <si>
    <t>National Natural Science Foundation of China (NSFC)(National Natural Science Foundation of China (NSFC)); Sichuan Science and Technology Program; Key Laboratory of Fluid and Power Machinery, Ministry of Education Open Research Fund</t>
  </si>
  <si>
    <t>This research was supported in part by National Natural Science Foundation of China (NSFC) under Project 51805443, Sichuan Science and Technology Program under Project 2019YFG0123 and 2019YFG0336, Young Scholar of Xihua University, Key Laboratory of Fluid and Power Machinery, Ministry of Education Open Research Fund under Project SZJJ2019-003.</t>
  </si>
  <si>
    <t>JUN 2</t>
  </si>
  <si>
    <t>10.3390/app9122514</t>
  </si>
  <si>
    <t>IG4DR</t>
  </si>
  <si>
    <t>WOS:000473754800123</t>
  </si>
  <si>
    <t>Aravind, N; Harvey, LA; Glinsky, JV</t>
  </si>
  <si>
    <t>Aravind, Nisha; Harvey, Lisa A.; Glinsky, Joanne, V</t>
  </si>
  <si>
    <t>Physiotherapy interventions for increasing muscle strength in people with spinal cord injuries: a systematic review</t>
  </si>
  <si>
    <t>WEIGHT-SUPPORTED TREADMILL; ELECTRICAL-STIMULATION; CLINICAL-TRIALS; INCOMPLETE TETRAPLEGIA; WRIST STRENGTH; ICCP PANEL; THERAPY; WALKING; REHABILITATION; INDIVIDUALS</t>
  </si>
  <si>
    <t>Study design A systematic review. Objective The aim of this review was to determine the effectiveness of physiotherapy (PT) interventions for increasing voluntary muscle strength in people with spinal cord injuries (SCI). Methods We included randomised controlled trials of PT interventions for people with SCI. We were interested in two comparisons: PT interventions compared with sham or no intervention, and PT interventions compared to each other. The outcome of interest was voluntary strength of muscles directly affected by SCI. All included studies were rated according to the Cochrane Risk of Bias Tool and results of similar trials were pooled using meta-analyses where possible. Results Twenty-six trials met the inclusion criteria and provided useable data. A statistically significant between-group difference was found in four comparisons, namely, resistance training versus no intervention (standardised mean difference (SMD) = 0.64; 95% CI, 0.22-1.07; p = 0.003); resistance training combined with electrical stimulation versus no intervention (mean difference (MD) = 14 Nm; 95% CI, 1-27; p = 0.03); a package of PT interventions versus no intervention (MD = 4.8/50 points on the Lower Extremity Motor Score (LEMS); 95% CI 1.9-7.7; p = 0.01); and robotic gait training versus overground gait training (MD = 3.1/50 points on the LEMS; 95% CI, 1.3-5.0; p = 0.0008). Conclusion There is evidence that a small number of PT interventions increase voluntary strength in muscles directly affected by SCI.</t>
  </si>
  <si>
    <t>[Aravind, Nisha; Harvey, Lisa A.; Glinsky, Joanne, V] Univ Sydney, Sydney Med Sch, John Walsh Ctr Rehabil Res, Sydney, NSW, Australia</t>
  </si>
  <si>
    <t>Harvey, Lisa A/0000-0002-4365-0236; Glinsky, Joanne/0000-0002-8188-3583; Aravind, Nisha/0000-0001-6073-9366</t>
  </si>
  <si>
    <t>This systematic review was in part funded by Icare, NSW, Australia.</t>
  </si>
  <si>
    <t>NATURE PUBLISHING GROUP</t>
  </si>
  <si>
    <t>MACMILLAN BUILDING, 4 CRINAN ST, LONDON N1 9XW, ENGLAND</t>
  </si>
  <si>
    <t>10.1038/s41393-019-0242-z</t>
  </si>
  <si>
    <t>IC0VJ</t>
  </si>
  <si>
    <t>WOS:000470677900003</t>
  </si>
  <si>
    <t>Lo, K; Stephenson, M; Lockwood, C</t>
  </si>
  <si>
    <t>Lo, Kenneth; Stephenson, Matthew; Lockwood, Craig</t>
  </si>
  <si>
    <t>Analysis of heterogeneity in a systematic review using meta-regression technique</t>
  </si>
  <si>
    <t>INTERNATIONAL JOURNAL OF EVIDENCE-BASED HEALTHCARE</t>
  </si>
  <si>
    <t>Meta-analysis; meta-regression; robotic rehabilitation; stroke; systematic review</t>
  </si>
  <si>
    <t>METAANALYSIS</t>
  </si>
  <si>
    <t>Aim: Heterogeneity is an important consideration in systematic reviews, as high heterogeneity may imply that it is not suitable to perform meta-analysis. The degree of variation could be caused by clinical or methodological differences among the studies, or it could be due to the randomness of chance. Methods of assessing heterogeneity are calculating a statistical test for heterogeneity (the I-2 value), visual evaluations of forest plots, conducting subgroup analysis or meta-regression. We conducted meta-regression on data of our previous systematic review on the effectiveness of robotic rehabilitation, and in this article, we present the findings and discuss its implications. Method: In our meta-regression plots, plotted on the x-axis was the trial covariate (duration of intervention group therapy), and plotted on the y-axis was the effect size measure (standardized mean differences), with positive effect sizes favouring robotic intervention. Analysis using random effects was applied, and each study symbol was sized in proportion to its precision (inverse-variance weighting). Results: Differences were observed in the meta-regression plots between the subgroups of therapy ratio = 0 and therapy ratio more than 0 for upper limb movement, lower limb walking and activities of daily living. For upper limb movement, positive linear relationships were found for both subgroups. However, in terms of the strength of the relationship, a stronger relationship was found for therapy ratio = 0. For lower limb walking, opposing linear relationships were found in both subgroups: therapy ratio = 0 had a negative linear relationship, whereas therapy ratio more than 0 had a positive linear relationship. For activities of daily living, positive linear relationships were found for both subgroups, but a stronger linear relationship was found for therapy ratio = 0. Conclusion: From the meta-regression analysis, we found that differing levels of linear relationships and the varying spread of effect sizes across positive and negative ranges were the likely sources of heterogeneity. This was especially so in the meta-regression of lower limb walking, which showed opposing directions of linear relationships. The wider spread of effect sizes for therapy ratio = 0 could indicate that some robotic devices were more effective than others. In addition, for therapy ratio more than 0, the effect sizes were mainly found in the positive region, which implied that adding conventional training to robotic training was generally positive for robotic devices.</t>
  </si>
  <si>
    <t>[Lo, Kenneth; Stephenson, Matthew; Lockwood, Craig] Univ Adelaide, Joanna Briggs Inst, Fac Hlth &amp; Med Sci, Adelaide, SA, Australia</t>
  </si>
  <si>
    <t>University of Adelaide</t>
  </si>
  <si>
    <t>Lo, K (corresponding author), Univ Adelaide, Joanna Briggs Inst, Fac Hlth &amp; Med Sci, Adelaide, SA, Australia.</t>
  </si>
  <si>
    <t>kenneth.lo@adelaide.edu.au</t>
  </si>
  <si>
    <t>Lockwood, Craig/F-8444-2015; Stephenson, Matthew/A-4917-2017</t>
  </si>
  <si>
    <t>Lo, Kenneth/0000-0002-8871-7895</t>
  </si>
  <si>
    <t>1744-1609</t>
  </si>
  <si>
    <t>INT J EVID-BASED HEA</t>
  </si>
  <si>
    <t>Int. J. Evid.-Based Healthc.</t>
  </si>
  <si>
    <t>10.1097/XEB.0000000000000163</t>
  </si>
  <si>
    <t>Health Care Sciences &amp; Services; Medicine, General &amp; Internal</t>
  </si>
  <si>
    <t>Health Care Sciences &amp; Services; General &amp; Internal Medicine</t>
  </si>
  <si>
    <t>IQ4AD</t>
  </si>
  <si>
    <t>WOS:000480692300006</t>
  </si>
  <si>
    <t>Nematollahi, M; Baghbaderani, KS; Amerinatanzi, A; Zamanian, H; Elahinia, M</t>
  </si>
  <si>
    <t>Nematollahi, Mohammadreza; Baghbaderani, Keyvan Safaei; Amerinatanzi, Amirhesam; Zamanian, Hashem; Elahinia, Mohammad</t>
  </si>
  <si>
    <t>Application of NiTi in Assistive and Rehabilitation Devices: A Review</t>
  </si>
  <si>
    <t>biomedical applications; NiTi; shape memory alloys; assistive and rehabilitation devices</t>
  </si>
  <si>
    <t>Shape memory alloys (SMAs) have found widespread applications as biomedical devices. Biocompatibility, corrosion resistance, and ductility make these alloys attractive for medical devices such as stents and filters. For these implants, the superelastic property is the primary function of SMAs. Additionally, these alloys, such as NiTi as the prime example, can be used for actuation. Several modes of actuation such as displacement control, force control, and compliance control have been used as harnesses with SMA devices. These two unique properties have opened another application in the form of neurosurgery and robot-assisted surgery devices, as well as controlled assistive and rehabilitation devices. This paper reviews the state of the art of application of SMAs in the latter category where control is applied to harness innovative medical devices. To this end, two major subsets of these devices: prosthesis and orthosis which take the advantage of SMAs in assistive and rehabilitation devices are studied. These devices are further categorized to hand prosthetics, elbow, knee and ankle orthotics. In most of these designs, SMA wires act as artificial muscles to mimic the motion of limbs in the target joints. The evolution of each category is explained, and the specific results of them are reported. The paper also reviews the SMA applications for neurological and neuromuscular rehabilitation. To this end, different categories of rehabilitation devices as a passive and aided exercise for the ankle, knee, and elbow are highlighted. The SMA actuator in these devices can be EMG-controlled to improved patient outcome. In addition to providing a comprehensive overview of the biomedical devices, this paper identifies several possible future directions of SMA related research in the area of assistive and rehabilitation devices.</t>
  </si>
  <si>
    <t>[Nematollahi, Mohammadreza; Baghbaderani, Keyvan Safaei; Elahinia, Mohammad] Univ Toledo, Dynam &amp; Smart Syst Lab, Mech Ind &amp; Mfg Engn Dept, 2801 W Bancroft St, Toledo, OH 43606 USA; [Amerinatanzi, Amirhesam] Univ Texas Arlington, Dept Mech &amp; Aerosp Engn, Arlington, TX 76019 USA; [Zamanian, Hashem] Penn State Univ, Dept Bioengn, CBEB Bldg, State Coll, PA 16802 USA</t>
  </si>
  <si>
    <t>University System of Ohio; University of Toledo; University of Texas System; University of Texas Arlington; Pennsylvania Commonwealth System of Higher Education (PCSHE); Pennsylvania State University; Pennsylvania State University - University Park</t>
  </si>
  <si>
    <t>Elahinia, M (corresponding author), Univ Toledo, Dynam &amp; Smart Syst Lab, Mech Ind &amp; Mfg Engn Dept, 2801 W Bancroft St, Toledo, OH 43606 USA.</t>
  </si>
  <si>
    <t>mnemato@rockets.utoledo.edu; ksafaei@rockets.utoledo.edu; amir.ameri@uta.edu; Hqz5213@psu.edu; mohammad.elahinia@utoledo.edu</t>
  </si>
  <si>
    <t>; Nematollahi, Mohammadreza/Y-8187-2018</t>
  </si>
  <si>
    <t>Elahinia, Mohammad/0000-0003-3720-7067; Zamanian, Hashem/0000-0003-4515-8875; Nematollahi, Mohammadreza/0000-0001-6878-6546</t>
  </si>
  <si>
    <t>NSF Research; NSF I-Corps; Ohio Third Frontier Technology Validation; Start-Up Program, and International Organization on Shape Memory and Superelasticity Fellowship Technologies Program</t>
  </si>
  <si>
    <t>NSF Research(National Science Foundation (NSF)); NSF I-Corps; Ohio Third Frontier Technology Validation; Start-Up Program, and International Organization on Shape Memory and Superelasticity Fellowship Technologies Program</t>
  </si>
  <si>
    <t>The authors would like to acknowledge the financial support of the following programs: NSF Research to Aid Persons with Disabilities Program, NSF I-Corps, Ohio Third Frontier Technology Validation, and Start-Up Program, and International Organization on Shape Memory and Superelasticity Fellowship Technologies Program.</t>
  </si>
  <si>
    <t>10.3390/bioengineering6020037</t>
  </si>
  <si>
    <t>II6IW</t>
  </si>
  <si>
    <t>WOS:000475298500010</t>
  </si>
  <si>
    <t>Sanchez-Villamañan, MD; Gonzalez-Vargas, J; Torricelli, D; Moreno, JC; Pons, JL</t>
  </si>
  <si>
    <t>del Carmen Sanchez-Villamanan, Maria; Gonzalez-Vargas, Jose; Torricelli, Diego; Moreno, Juan C.; Pons, Jose L.</t>
  </si>
  <si>
    <t>Compliant lower limb exoskeletons: a comprehensive review on mechanical design principles</t>
  </si>
  <si>
    <t>Assistance; Compliant actuation; Mechanical compliance; Mechanical design; Lower limb exoskeleton; Rehabilitation</t>
  </si>
  <si>
    <t>ANKLE-FOOT ORTHOSIS; VARIABLE STIFFNESS ACTUATORS; SERIES ELASTIC ACTUATORS; GAIT REHABILITATION; WEARABLE-ROBOTS; WALKING; JOINT; KNEE; ASSISTANCE; SYSTEM</t>
  </si>
  <si>
    <t>Exoskeleton technology has made significant advances during the last decade, resulting in a considerable variety of solutions for gait assistance and rehabilitation. The mechanical design of these devices is a crucial aspect that affects the efficiency and effectiveness of their interaction with the user. Recent developments have pointed towards compliant mechanisms and structures, due to their promising potential in terms of adaptability, safety, efficiency, and comfort. However, there still remain challenges to be solved before compliant lower limb exoskeletons can be deployed in real scenarios. In this review, we analysed 52 lower limb wearable exoskeletons, focusing on three main aspects of compliance: actuation, structure, and interface attachment components. We highlighted the drawbacks and advantages of the different solutions, and suggested a number of promising research lines. We also created and made available a set of data sheets that contain the technical characteristics of the reviewed devices, with the aim of providing researchers and end-users with an updated overview on the existing solutions.</t>
  </si>
  <si>
    <t>[del Carmen Sanchez-Villamanan, Maria; Gonzalez-Vargas, Jose; Torricelli, Diego; Moreno, Juan C.; Pons, Jose L.] CSIC, Cajal Inst, Neural Rehabil Grp, Avda Doctor Arce 37, E-28002 Madrid, Spain</t>
  </si>
  <si>
    <t>Consejo Superior de Investigaciones Cientificas (CSIC); CSIC - Instituto Cajal (IC)</t>
  </si>
  <si>
    <t>Torricelli, D (corresponding author), CSIC, Cajal Inst, Neural Rehabil Grp, Avda Doctor Arce 37, E-28002 Madrid, Spain.</t>
  </si>
  <si>
    <t>mcarmen.sanchez@csic.es; diego.torricelli@csic.es</t>
  </si>
  <si>
    <t>Torricelli, Diego/B-3737-2017; Moreno, Juan/G-3622-2016; Gonzalez, Jose/M-2629-2014</t>
  </si>
  <si>
    <t>project EUROBENCH (European ROBotic framework for bipedal locomotion bENCHmarking) - H2020 Topic ICT 27-2017: System abilities, SME &amp; benchmarking actions, safety certification [779963]</t>
  </si>
  <si>
    <t>project EUROBENCH (European ROBotic framework for bipedal locomotion bENCHmarking) - H2020 Topic ICT 27-2017: System abilities, SME &amp; benchmarking actions, safety certification</t>
  </si>
  <si>
    <t>This work is supported by the project EUROBENCH (European ROBotic framework for bipedal locomotion bENCHmarking) funded by H2020 Topic ICT 27-2017: System abilities, SME &amp; benchmarking actions, safety certification (reference: 779963). We acknowledge support of the publication fee by the CSIC Open Access Publication Support Initiative through its Unit of Information Resources for Research (URICI).</t>
  </si>
  <si>
    <t>MAY 9</t>
  </si>
  <si>
    <t>10.1186/s12984-019-0517-9</t>
  </si>
  <si>
    <t>HX6WA</t>
  </si>
  <si>
    <t>WOS:000467543100001</t>
  </si>
  <si>
    <t>Alwardat, M; Etoom, M</t>
  </si>
  <si>
    <t>Alwardat, Mohammad; Etoom, Mohammad</t>
  </si>
  <si>
    <t>Effectiveness of robot-assisted gait training on freezing of gait in people with Parkinson disease: evidence from a literature review</t>
  </si>
  <si>
    <t>Parkinson disease; Robot-assisted gait training; Freezing of gait; Physiotherapy; Rehabilitation</t>
  </si>
  <si>
    <t>REHABILITATION; THERAPY; WALKING; FALLS</t>
  </si>
  <si>
    <t>The aim of this review was to evaluate, summarize and discuss the available literature concerning the effect of robot-assisted gait training (RAGT) on patient with Parkinson disease (PD) and freezing of gait (FOG). A comprehensive literature search was conducted utilizing of MEDLINE, Embase, Scopus, Web of Science, PEDro (Physiotherapy Evidence Database), and the Cochrane Review. Search terms used included 'Parkinson disease','Freezing of gait','RAGT','robot-assisted gait training', 'Locomotor rehabilitation','gait trainer', and 'robotics assisted gait training'. A total of 4 studies were evaluated, but these studies were primarily of low-level evidence. All the 4 studies noted positive outcomes with using RAGT on FOG. No adverse events or side effects that occurred during and/or after the interventions. While the current literature generally offers support for the use of RAGT for FOG treatment, there is a paucity of strong evidence to support its widespread use. The increasing availability of RAGT technology offers the potential for engaging therapy in FOG rehabilitation, but its utility remains uncertain given the limited studies available at this time.</t>
  </si>
  <si>
    <t>[Alwardat, Mohammad] Univ Roma Tor Vergata, Dept Syst Med, Rome, Italy; [Alwardat, Mohammad] Univ Roma Tor Vergata, Neurosci PhD Sch, Rome, Italy; [Etoom, Mohammad] Al Isra Univ, Dept Phys Therapy, Amman, Jordan</t>
  </si>
  <si>
    <t>University of Rome Tor Vergata; University of Rome Tor Vergata; Isra University</t>
  </si>
  <si>
    <t>Alwardat, M (corresponding author), Univ Roma Tor Vergata, Fac Med &amp; Surg, Neurosci PhD Sch, Via Montpellier 1, I-00133 Rome, Italy.</t>
  </si>
  <si>
    <t>wardatm1@gmail.com</t>
  </si>
  <si>
    <t>Etoom, Mohammad/AAX-3163-2021; Al-Wardat, Mohammad/J-8462-2019</t>
  </si>
  <si>
    <t>Etoom, Mohammad/0000-0002-5607-1030; Al-Wardat, Mohammad/0000-0003-2106-4524</t>
  </si>
  <si>
    <t>10.12965/jer.1836618.309</t>
  </si>
  <si>
    <t>HV7FL</t>
  </si>
  <si>
    <t>WOS:000466146800004</t>
  </si>
  <si>
    <t>Binet, A; Fourcade, L; Amar, S; Alzahrani, K; Cook, AR; Braïk, K; Cros, J; Longis, B; Villemagne, T; Lardy, H; Ballouhey, Q</t>
  </si>
  <si>
    <t>Binet, Aurelien; Fourcade, Laurent; Amar, Sarah; Alzahrani, Khalid; Cook, Ann-Rose; Braik, Karim; Cros, Jerome; Longis, Bernard; Villemagne, Thierry; Lardy, Hubert; Ballouhey, Quentin</t>
  </si>
  <si>
    <t>Robot-Assisted Laparoscopic Fundoplications in Pediatric Surgery: Experience Review</t>
  </si>
  <si>
    <t>EUROPEAN JOURNAL OF PEDIATRIC SURGERY</t>
  </si>
  <si>
    <t>robotics; laparoscopy; fundoplication; pediatric surgery</t>
  </si>
  <si>
    <t>GASTROESOPHAGEAL-REFLUX DISEASE; ANTIREFLUX SURGERY; LEARNING-CURVE; NISSEN FUNDOPLICATION; META-ANALYSIS; METAANALYSIS; COMPLICATIONS; OUTCOMES</t>
  </si>
  <si>
    <t>Introduction Laparoscopic fundoplicature for gastroesophageal reflux disease has become the gold standard because of the improvement of postoperative rehabilitation compared with the open procedure. The robot-assisted surgery has brought new advantages for the patient and the surgeon compared with laparoscopy. We studied this new approach and the learning curve. Materials and Methods Sixty robot-assisted fundoplicatures were performed in two university pediatric surgery centers. Data of the patients were recorded, including peroperative data (operation length and complications), postoperative recoveries, and clinical evolution. The learning curve was evaluated retrospectively and each variable was compared along this learning curve. Results We observed a flattening of the learning curve after the 20th case for one surgeon. The mean operative time decreased significantly to 8010 minutes after 20 cases. There were no conversions to an open procedure. A revision surgery was indicated for 4.7% of the patients by a surgical robot-assisted laparoscopic approach. Conclusion The robotic system appears to add many advantages for surgical ergonomic procedures. There is a potential benefit in operating time with a short technical apprenticeship period. The setting up system is easy with a short docking time.</t>
  </si>
  <si>
    <t>[Binet, Aurelien; Amar, Sarah; Alzahrani, Khalid; Cook, Ann-Rose; Braik, Karim; Villemagne, Thierry; Lardy, Hubert] CHRU Tours, Pediat Surg Unit, 49 Blvd Beranger, F-37044 Tours, France; [Fourcade, Laurent; Cros, Jerome; Longis, Bernard; Ballouhey, Quentin] CHU Limoges, Pediat Surg Unit, Limoges, Limousin, France</t>
  </si>
  <si>
    <t>CHU Tours; CHU Limoges</t>
  </si>
  <si>
    <t>Binet, A (corresponding author), CHRU Tours, Pediat Surg Unit, 49 Blvd Beranger, F-37044 Tours, France.</t>
  </si>
  <si>
    <t>aurelien.binet@univ-tours.fr</t>
  </si>
  <si>
    <t>Alzahrani, Khalid/ABD-2678-2020</t>
  </si>
  <si>
    <t>BINET, Aurelien/0000-0002-4378-0583; ALZAHRANI, khalid/0000-0003-3339-3835</t>
  </si>
  <si>
    <t>GEORG THIEME VERLAG KG</t>
  </si>
  <si>
    <t>STUTTGART</t>
  </si>
  <si>
    <t>RUDIGERSTR 14, D-70469 STUTTGART, GERMANY</t>
  </si>
  <si>
    <t>0939-7248</t>
  </si>
  <si>
    <t>1439-359X</t>
  </si>
  <si>
    <t>EUR J PEDIATR SURG</t>
  </si>
  <si>
    <t>Eur. J. Pediatr. Surg.</t>
  </si>
  <si>
    <t>10.1055/s-0037-1615279</t>
  </si>
  <si>
    <t>Pediatrics; Surgery</t>
  </si>
  <si>
    <t>HQ8LC</t>
  </si>
  <si>
    <t>WOS:000462675200006</t>
  </si>
  <si>
    <t>Carvalho, R; Dias, N; Cerqueira, JJ</t>
  </si>
  <si>
    <t>Carvalho, Raquel; Dias, Nuno; Cerqueira, Joao Jose</t>
  </si>
  <si>
    <t>Brain-machine interface of upper limb recovery in stroke patients rehabilitation: A systematic review</t>
  </si>
  <si>
    <t>PHYSIOTHERAPY RESEARCH INTERNATIONAL</t>
  </si>
  <si>
    <t>arm; brain-computer interface; hemiplegia; neurofeedback</t>
  </si>
  <si>
    <t>DIRECT-CURRENT STIMULATION; FUNCTIONAL ELECTRICAL-STIMULATION; COMPUTER-INTERFACE; MOTOR RECOVERY; MENTAL PRACTICE; UPPER-EXTREMITY; HANDS THERAPY; IMAGERY; BCI; ACTIVATION</t>
  </si>
  <si>
    <t>Background Technologies such as brain-computer interfaces are able to guide mental practice, in particular motor imagery performance, to promote recovery in stroke patients, as a combined approach to conventional therapy. Objective The aim of this systematic review was to provide a status report regarding advances in brain-computer interface, focusing in particular in upper limb motor recovery. Methods The databases PubMed, Scopus, and PEDro were systematically searched for articles published between January 2010 and December 2017. The selected studies were randomized controlled trials involving brain-computer interface interventions in stroke patients, with upper limb assessment as primary outcome measures. Reviewers independently extracted data and assessed the methodological quality of the trials, using the PEDro methodologic rating scale. Results From 309 titles, we included nine studies with high quality (PEDro &gt;= 6). We found that the most common interface used was non-invasive electroencephalography, and the main neurofeedback, in stroke rehabilitation, was usually visual abstract or a combination with the control of an orthosis/robotic limb. Moreover, the Fugl-Meyer Assessment Scale was a major outcome measure in eight out of nine studies. In addition, the benefits of functional electric stimulation associated to an interface were found in three studies. Conclusions Neurofeedback training with brain-computer interface systems seem to promote clinical and neurophysiologic changes in stroke patients, in particular those with long-term efficacy.</t>
  </si>
  <si>
    <t>[Carvalho, Raquel] CESPU, Dept Phys Therapy, Inst Res &amp; Adv Training Hlth Sci &amp; Technol, Gandra, Portugal; [Carvalho, Raquel; Dias, Nuno; Cerqueira, Joao Jose] Univ Minho, Sch Hlth Sci, Life &amp; Hlth Sci Res Inst ICVS, Braga, Portugal; [Dias, Nuno; Cerqueira, Joao Jose] ICVS 3Bs PT Govt Associate Lab, Braga, Portugal; [Dias, Nuno] 2Ai Polytech Inst Cavado &amp; Ave, Barcelos, Portugal</t>
  </si>
  <si>
    <t>Universidade do Minho; Laboratorio Associado ICVS 3B's</t>
  </si>
  <si>
    <t>Carvalho, R (corresponding author), CESPU IPSN, ESSVS, Dept Fisioterapia, Rua Cent Gandra 1317, P-4585116 Gandra, Paredes, Portugal.</t>
  </si>
  <si>
    <t>raquel.carvalho@ipsn.cespu.pt</t>
  </si>
  <si>
    <t>Carvalho, Raquel/AAK-2636-2020; Dias, Nuno/AAB-1051-2020; Cerqueira, Joao/B-4579-2008</t>
  </si>
  <si>
    <t>Cerqueira, Joao/0000-0003-3155-2775; Carvalho, Raquel/0000-0002-7946-7708</t>
  </si>
  <si>
    <t>1358-2267</t>
  </si>
  <si>
    <t>1471-2865</t>
  </si>
  <si>
    <t>PHYSIOTHER RES INT</t>
  </si>
  <si>
    <t>Physiother. Res. Int.</t>
  </si>
  <si>
    <t>e1764</t>
  </si>
  <si>
    <t>10.1002/pri.1764</t>
  </si>
  <si>
    <t>HR3ID</t>
  </si>
  <si>
    <t>WOS:000463029100004</t>
  </si>
  <si>
    <t>Mirkowski, M; McIntyre, A; Faltynek, P; Sequeira, N; Cassidy, C; Teasell, R</t>
  </si>
  <si>
    <t>Mirkowski, Magdalena; McIntyre, Amanda; Faltynek, Pavlina; Sequeira, Nicholas; Cassidy, Caitlin; Teasell, Robert</t>
  </si>
  <si>
    <t>Nonpharmacological rehabilitation interventions for motor and cognitive outcomes following pediatric stroke: a systematic review</t>
  </si>
  <si>
    <t>EUROPEAN JOURNAL OF PEDIATRICS</t>
  </si>
  <si>
    <t>Pediatric stroke; Stroke rehabilitation; Motor function; Cognitive function; Neurorehabilitation</t>
  </si>
  <si>
    <t>ARTERIAL ISCHEMIC-STROKE; INDUCED MOVEMENT THERAPY; DIRECT-CURRENT STIMULATION; TRANSCRANIAL MAGNETIC STIMULATION; RISK-FACTORS; CONGENITAL HEMIPARESIS; PERINATAL STROKE; CEREBRAL-PALSY; SICKLE-CELL; CHILDREN</t>
  </si>
  <si>
    <t>The aim of this review was to evaluate the evidence for nonpharmacological rehabilitation interventions for motor and cognitive impairment following pediatric stroke. A literature search was conducted using multiple scientific databases. Studies were included if (1) the study population was &gt;50% pediatric (&lt;18years) stroke, (2) a diagnosis of stroke was explicitly stated, (3) there were 3 pediatric stroke participants included in the study sample, and (4) motor or cognitive outcome measures were used to assess effect of treatment. Levels of evidence were assigned to each study to determine the strength of the evidence for each intervention. A total of 18 articles met inclusion criteria. Most studies (N=14) examined rehabilitation of the upper limb, with constraint-induced movement therapy (CIMT) as the most common intervention. Overall, the evidence supports the use of CIMT, forced use therapy, repetitive transcranial magnetic stimulation, functional electrical stimulation, and robotics, but suggests no beneficial effect of transcranial direct current stimulation. Very few studies assessed interventions for the lower limb (N=1) or cognitive impairment (N=3).Conclusion: Effective rehabilitation approaches are important for optimizing outcomes in children who have had a stroke. Although the number of published clinical trials has increased in recent years, little evidence-based guidance exists for this clinical population.</t>
  </si>
  <si>
    <t>[Mirkowski, Magdalena; McIntyre, Amanda; Faltynek, Pavlina; Sequeira, Nicholas; Teasell, Robert] Parkwood Inst, Lawson Hlth Res Inst, Parkwood Inst Res, London, ON, Canada; [Cassidy, Caitlin; Teasell, Robert] St Josephs Hlth Care London, Parkwood Inst, London, ON, Canada; [Cassidy, Caitlin; Teasell, Robert] Univ Western Ontario, Schulich Sch Med &amp; Dent, London, ON, Canada</t>
  </si>
  <si>
    <t>Mirkowski, M (corresponding author), Parkwood Inst, Lawson Hlth Res Inst, Parkwood Inst Res, London, ON, Canada.</t>
  </si>
  <si>
    <t>Magdalena.Mirkowski@sjhc.london.on.ca; Amanda.McIntyre@sjhc.london.on.ca; Pavlina.Faltynek@sjhc.london.on.ca; nicholas.sequeira@mail.utoronto.ca; Caitlin.Cassidy@sjhc.london.on.ca; Robert.Teasell@sjhc.london.on.ca</t>
  </si>
  <si>
    <t>Cassidy, Caitlin/LFU-0327-2024</t>
  </si>
  <si>
    <t>Sequeira, Nicholas/0000-0002-0263-6518; Mirkowski, Magdalena/0000-0001-6263-7750</t>
  </si>
  <si>
    <t>Heart and Stroke Foundation of Canada; Canadian Partnership for Stroke Recovery</t>
  </si>
  <si>
    <t>Heart and Stroke Foundation of Canada(Heart &amp; Stroke Foundation of Canada); Canadian Partnership for Stroke Recovery</t>
  </si>
  <si>
    <t>This project was funded by the Heart and Stroke Foundation of Canada and the Canadian Partnership for Stroke Recovery.</t>
  </si>
  <si>
    <t>0340-6199</t>
  </si>
  <si>
    <t>1432-1076</t>
  </si>
  <si>
    <t>EUR J PEDIATR</t>
  </si>
  <si>
    <t>Eur. J. Pediatr.</t>
  </si>
  <si>
    <t>10.1007/s00431-019-03350-7</t>
  </si>
  <si>
    <t>HS4LP</t>
  </si>
  <si>
    <t>WOS:000463834900001</t>
  </si>
  <si>
    <t>Asakawa, T; Sugiyama, K; Nozaki, T; Sameshima, T; Kobayashi, S; Wang, L; Hong, Z; Chen, SJ; Li, CD; Namba, H</t>
  </si>
  <si>
    <t>Asakawa, Tetsuya; Sugiyama, Kenji; Nozaki, Takao; Sameshima, Tetsuro; Kobayashi, Susumu; Wang, Liang; Hong, Zhen; Chen, Shujiao; Li, Candong; Namba, Hiroki</t>
  </si>
  <si>
    <t>Conventional Assessment Tools and Therapies for a Neurological Disease? The Example of Parkinson's Disease</t>
  </si>
  <si>
    <t>NEUROLOGIA MEDICO-CHIRURGICA</t>
  </si>
  <si>
    <t>neurological diseases; Parkinson's disease; motor fluctuations; behavioral assessments; wearable device; augmented reality (AR)/virtual reality (VR); robot assistant system; rehabilitation</t>
  </si>
  <si>
    <t>DEEP BRAIN-STIMULATION; BODY AREA NETWORK; VIRTUAL-REALITY; BEHAVIORAL ASSESSMENTS; MOTOR FLUCTUATIONS; WEARABLE SYSTEM; ROBOT; GAIT; LEVODOPA; MOVEMENT</t>
  </si>
  <si>
    <t>Dramatic breakthroughs in the treatment and assessment of neurological diseases are lacking. We believe that conventional methods have several limitations. Computerized technologies, including virtual reality, augmented reality, and robot assistant systems, are advancing at a rapid pace. In this study, we used Parkinson's disease (PD) as an example to elucidate how the latest computerized technologies can improve the diagnosis and treatment of neurological diseases. Dopaminergic medication and deep brain stimulation remain the most effective interventions for treating PD. Subjective scales, such as the Unified Parkinson's Disease Rating Scale and the Hoehn and Yahr stage, are still the most widely used assessments. Wearable sensors, virtual reality, augmented reality, and robot assistant systems are increasingly being used for evaluation of patients with PD. The use of such computerized technologies can result in safe, objective, real-time behavioral assessments. Our experiences and understanding of PD have led us to believe that such technologies can provide real-time assessment, which will revolutionize the traditional assessment and treatment of PD. New technologies are desired that can revolutionize PD treatment and facilitate real-time adjustment of treatment based on motor fluctuations, such as telediagnosis systems and smart treatment systems. The use of these technologies will substantially improve both the assessment and the treatment of neurological diseases before next-generation treatments, such as stem cell and genetic therapy, and next-generation assessments, can be clinically practiced, although the current level of artificial intelligence cannot replace the role of clinicians.</t>
  </si>
  <si>
    <t>[Asakawa, Tetsuya; Sugiyama, Kenji; Nozaki, Takao; Sameshima, Tetsuro; Kobayashi, Susumu; Namba, Hiroki] Hamamatsu Univ Sch Med, Dept Neurosurg, Hamamatsu, Shizuoka, Japan; [Asakawa, Tetsuya; Chen, Shujiao; Li, Candong] Fujian Univ Tradit Chinese Med, Res Base Tradit Chinese Med Syndrome, Fuzhou, Fujian, Peoples R China; [Wang, Liang; Hong, Zhen] Fudan Univ, Dept Neurol, Huashan Hosp, Shanghai, Peoples R China</t>
  </si>
  <si>
    <t>Hamamatsu University School of Medicine; Fujian University of Traditional Chinese Medicine; Fudan University</t>
  </si>
  <si>
    <t>Asakawa, T (corresponding author), Hamamatsu Univ Sch Med, Dept Neurosurg, Higashi Ku, Handayama,1-20-1, Hamamatsu, Shizuoka 4313192, Japan.</t>
  </si>
  <si>
    <t>asakawat1971@gmail.com</t>
  </si>
  <si>
    <t>Asakawa, Tetsuya/ABE-5307-2020</t>
  </si>
  <si>
    <t>JAPAN NEUROSURGICAL SOC</t>
  </si>
  <si>
    <t>5-25-16 HONGO, BUNKYO-KU, TOKYO, 113-0033, JAPAN</t>
  </si>
  <si>
    <t>0470-8105</t>
  </si>
  <si>
    <t>1349-8029</t>
  </si>
  <si>
    <t>NEUROL MED-CHIR</t>
  </si>
  <si>
    <t>Neurol. Med.-Chir.</t>
  </si>
  <si>
    <t>10.2176/nmc.ra.2018-0045</t>
  </si>
  <si>
    <t>HR0KR</t>
  </si>
  <si>
    <t>WOS:000462817600001</t>
  </si>
  <si>
    <t>Chen, Y; Abel, KT; Janecek, JT; Chen, YA; Zheng, K; Cramer, SC</t>
  </si>
  <si>
    <t>Chen, Yu; Abel, Kingsley Travis; Janecek, John T.; Chen, Yunan; Zheng, Kai; Cramer, Steven C.</t>
  </si>
  <si>
    <t>Home-based technologies for stroke rehabilitation: A systematic review</t>
  </si>
  <si>
    <t>INTERNATIONAL JOURNAL OF MEDICAL INFORMATICS</t>
  </si>
  <si>
    <t>Stroke rehabilitation; Home-based; Technologies; Evaluation; Systematic review</t>
  </si>
  <si>
    <t>VIRTUAL-REALITY; OUTCOME MEASURES; ARM FUNCTION; TELEREHABILITATION; PROGRAM; EXERCISE; THERAPY; INDIVIDUALS; RECOVERY; BALANCE</t>
  </si>
  <si>
    <t>Background: Many forms of home-based technology targeting stroke rehabilitation have been devised, and a number of human factors are important to their application, suggesting the need to examine this information in a comprehensive review. Objective: The systematic review aims to synthesize the current knowledge of technologies and human factors in home-based technologies for stroke rehabilitation. Methods: We conducted a systematic literature search in three electronic databases (IEEE, ACM, PubMed), including secondary citations from the literature search. We included articles that used technological means to help stroke patients conduct rehabilitation at home, reported empirical studies that evaluated the technologies with patients in the home environment, and were published in English. Three authors independently conducted the content analysis of searched articles using a list of interactively defined factors. Results: The search yielded 832 potentially relevant articles, leading to 31 articles that were included for in-depth analysis. The types of technology of reviewed articles included games, telerehabilitation, robotic devices, virtual reality devices, sensors, and tablets. We present the merits and limitations of each type of technology. We then derive two main human factors in designing home-based technologies for stroke rehabilitation: designing for engagement (including external and internal motivation) and designing for the home environment (including understanding the social context, practical challenges, and technical proficiency). Conclusion: This systematic review presents an overview of key technologies and human factors for designing home-based technologies for stroke rehabilitation.</t>
  </si>
  <si>
    <t>[Chen, Yu] San Jose State Univ, Sch Informat Syst &amp; Technol, San Jose, CA 95192 USA; [Abel, Kingsley Travis; Chen, Yunan; Zheng, Kai] Univ Calif Irvine, Dept Informat, Irvine, CA USA; [Janecek, John T.] Univ Calif Irvine, Dept Comp Sci, Irvine, CA USA; [Cramer, Steven C.] Univ Calif Irvine, Dept Neurol, Irvine, CA 92717 USA</t>
  </si>
  <si>
    <t>California State University System; San Jose State University; University of California System; University of California Irvine; University of California System; University of California Irvine; University of California System; University of California Irvine</t>
  </si>
  <si>
    <t>Chen, Y (corresponding author), San Jose State Univ, Sch Informat Syst &amp; Technol, Lucas Coll, San Jose, CA 95192 USA.;Chen, Y (corresponding author), San Jose State Univ, Grad Sch Business, San Jose, CA 95192 USA.</t>
  </si>
  <si>
    <t>yu.chen@sjsu.edu</t>
  </si>
  <si>
    <t>zheng, kai/LDF-6248-2024</t>
  </si>
  <si>
    <t>Janecek, John/0000-0002-2941-3701</t>
  </si>
  <si>
    <t>National Science Foundation [HCC-1219197]; National Institutes of Health [K24HD074722]</t>
  </si>
  <si>
    <t>National Science Foundation(National Science Foundation (NSF)); National Institutes of Health(United States Department of Health &amp; Human ServicesNational Institutes of Health (NIH) - USA)</t>
  </si>
  <si>
    <t>This work was supported by the National Science Foundation (HCC-1219197) and National Institutes of Health (K24HD074722). We also thank Anna Francesca Africa Ramirez and Cherrie Ho for contributing in article analysis.</t>
  </si>
  <si>
    <t>1386-5056</t>
  </si>
  <si>
    <t>1872-8243</t>
  </si>
  <si>
    <t>INT J MED INFORM</t>
  </si>
  <si>
    <t>Int. J. Med. Inform.</t>
  </si>
  <si>
    <t>10.1016/j.ijmedinf.2018.12.001</t>
  </si>
  <si>
    <t>Computer Science, Information Systems; Health Care Sciences &amp; Services; Medical Informatics</t>
  </si>
  <si>
    <t>Computer Science; Health Care Sciences &amp; Services; Medical Informatics</t>
  </si>
  <si>
    <t>HH4AI</t>
  </si>
  <si>
    <t>Bronze, Green Submitted, Green Accepted</t>
  </si>
  <si>
    <t>WOS:000455662000002</t>
  </si>
  <si>
    <t>Midha, R; Grochmal, J</t>
  </si>
  <si>
    <t>Midha, Rajiv; Grochmal, Joey</t>
  </si>
  <si>
    <t>Surgery for nerve injury: current and future perspectives</t>
  </si>
  <si>
    <t>JOURNAL OF NEUROSURGERY</t>
  </si>
  <si>
    <t>nerve grafting; nerve transfers; neurolysis; peripheral nerve</t>
  </si>
  <si>
    <t>BRACHIAL-PLEXUS INJURY; DOUBLE FASCICULAR TRANSFER; CONTRALATERAL C7 TRANSFER; RESTORE ELBOW FLEXION; ULNAR NERVE; MUSCULOCUTANEOUS NERVE; AVULSION INJURY; MOTOR BRANCH; SHOULDER ABDUCTION; ROOT AVULSION</t>
  </si>
  <si>
    <t>In this review article, the authors offer their perspective on nerve surgery for nerve injury, with a focus on recent evolution of management and the current surgical management. The authors provide a brief historical perspective to lay the foundations of the modern understanding of clinical nerve injury and its evolving management, especially over the last century. The shift from evaluation of the nerve injury using macroscopic techniques of exploration and external neurolysis to microscopic interrogation, interfascicular dissection, and internal neurolysis along with the use of intraoperative electrophysiology were important advances of the past 50 years. By the late 20th century, the advent and popularization of interfascicular nerve grafting techniques heralded a major advance in nerve reconstruction and allowed good outcomes to be achieved in a large percentage of nerve injury repair cases. In the past 2 decades, there has been a paradigm shift in surgical nerve repair, wherein surgeons are not only directing the repair at the injury zone, but also are deliberately performing distal-targeted nerve transfers as a preferred alternative in an attempt to restore function. The peripheral rewiring approach allows the surgeon to convert a very proximal injury with long regeneration distances and (often) uncertain outcomes to a distal injury and repair with a greater potential of regenerative success and functional recovery. Nerve transfers, originally performed as a salvage procedure for severe brachial plexus avulsion injuries, are now routinely done for various less severe brachial plexus injuries and many other proximal nerve injuries, with reliably good to even excellent results. The outcomes from nerve transfers for select clinical nerve injury are emphasized in this review. Extension of the rewiring paradigm with nerve transfers for CNS lesions such as spinal cord injury and stroke are showing great potential and promise. Cortical reeducation is required for success, and an emerging field of rehabilitation and restorative neurosciences is evident, which couples a nerve transfer procedure to robotically controlled limbs and mind-machine interfacing. The future for peripheral nerve repair has never been more exciting.</t>
  </si>
  <si>
    <t>[Midha, Rajiv] Univ Calgary, Cumming Sch Med, Hotchkiss Brain Inst, Dept Clin Neurosci, Calgary, AB, Canada; [Grochmal, Joey] Univ Med Ctr, Neurosurg, Lubbock, TX USA</t>
  </si>
  <si>
    <t>University of Calgary; Texas Tech University System; Texas Tech University Health Sciences Center Lubbock</t>
  </si>
  <si>
    <t>Midha, R (corresponding author), Univ Calgary, Calgary, AB, Canada.;Midha, R (corresponding author), Foothills Med Ctr, Calgary, AB, Canada.</t>
  </si>
  <si>
    <t>rajmidha@ucalgary.ca</t>
  </si>
  <si>
    <t>AMER ASSOC NEUROLOGICAL SURGEONS</t>
  </si>
  <si>
    <t>ROLLING MEADOWS</t>
  </si>
  <si>
    <t>5550 MEADOWBROOK DRIVE, ROLLING MEADOWS, IL 60008 USA</t>
  </si>
  <si>
    <t>0022-3085</t>
  </si>
  <si>
    <t>1933-0693</t>
  </si>
  <si>
    <t>J NEUROSURG</t>
  </si>
  <si>
    <t>J. Neurosurg.</t>
  </si>
  <si>
    <t>10.3171/2018.11.JNS181520</t>
  </si>
  <si>
    <t>HO6AW</t>
  </si>
  <si>
    <t>WOS:000461011900001</t>
  </si>
  <si>
    <t>Atashzar, SF; Shahbazi, M; Patel, RV</t>
  </si>
  <si>
    <t>Atashzar, Seyed Farokh; Shahbazi, Mahya; Patel, Rajni V.</t>
  </si>
  <si>
    <t>Haptics-enabled Interactive NeuroRehabilitation Mechatronics: Classification, Functionality, Challenges and Ongoing Research</t>
  </si>
  <si>
    <t>Haptics-enabled Rehabilitation Robotics; Neuro-Rehabilitation Mechatronics; Tele-rehabilitation; Physical Patient-Robot interaction</t>
  </si>
  <si>
    <t>UPPER-LIMB REHABILITATION; ROBOT-AIDED NEUROREHABILITATION; AS-NEEDED CONTROL; VIRTUAL-REALITY; CHRONIC STROKE; BILATERAL TELEOPERATION; MOTOR FUNCTION; SENSORY SUBSTITUTION; SCIENTIFIC STATEMENT; GAIT REHABILITATION</t>
  </si>
  <si>
    <t>This review paper defines NeuroRehabilitation Mechatronics (NRM) as an overlap between two areas of applied science: Bio-mechatronics and Neural Engineering. NRM is an umbrella terminology which covers diverse existing mechatronic technologies that assist patients to regain their motor functions that are lost due to neural and/or physical damage. Two major categories of NRM technologies are identified in this paper: (a) Haptics-enabled Interactive Robotic Neuro-rehabilitation (HIRN) systems, and (b) Assistive Neural Technologies. The main functional difference between the two categories is explained in this paper to provide a better understanding of the boundaries and main functionality of each category. HIRN systems accelerate brain or spinal cord plasticity and recovery, over time. However, assistive neural systems instantly augment the capabilities of an injured individual in performing activities of daily living and the primary goal of this category is not to produce a carryover recovery effect. Accelerated trends of society aging and under-resourced world healthcare systems are discussed as the factors which necessitate further development of NRM technology. This review paper mainly focuses on the first category of NRM systems, i.e., HIRN technology. The paper introduces different classes of this technology and aims to provide a view of the existing technical, technological and control challenges of the current state of this technology together with the ongoing lines of research. For this purpose, the existing commercialized HIRN systems, the specific design, modes of operation, functionality, effectiveness, existing technical issues, control design and possible future developments are studied. In this regard, it is shown that although the effectiveness of HIRN technology is widely accepted and endorsed by official organizations, such as the American Heart Association, there are still conflicting clinical studies with contradictory conclusions. Reasons for these contradictions are discussed in the paper. Two major challenges are identified in this regard, namely conservative patient-robot interaction stabilizing algorithms, and insufficient adaptability of the control parameters to the needs and biomechanics of the patient. Accordingly, based on recent literature, possible future trends for this technology are envisioned such as (a) making the control design of the robots more flexible and intelligent to better match the patients' needs and biomechanics; (b) designing stabilizing algorithms which can guarantee physical patient-robot interaction stability with minimum conservatism while maximizing the fidelity of force field applied to the patient's limb; and (c) making it possible to have rehabilitation robots in patients' homes (e.g., via cloud-based and remote neurorehabilitation) to increase the duration of interactive rehabilitation and thereby improve outcomes while reducing cost. (C) 2018 Published by Elsevier Ltd.</t>
  </si>
  <si>
    <t>[Atashzar, Seyed Farokh; Shahbazi, Mahya; Patel, Rajni V.] Univ Western Ontario, Dept Elect &amp; Comp Engn, London, ON, Canada; [Atashzar, Seyed Farokh; Shahbazi, Mahya; Patel, Rajni V.] CSTAR, London, ON, Canada; [Patel, Rajni V.] Univ Western Ontario, Dept Surg, London, ON, Canada; [Patel, Rajni V.] Univ Western Ontario, Dept Clin Neurol Sci, London, ON, Canada; [Atashzar, Seyed Farokh] Imperial Coll London, Dept Bioengn, London, England; [Shahbazi, Mahya] Johns Hopkins Univ, Lab Computat Sensing &amp; Robot, Whiting Sch Engn, Baltimore, MD USA</t>
  </si>
  <si>
    <t>Western University (University of Western Ontario); Western University (University of Western Ontario); Western University (University of Western Ontario); Imperial College London; Johns Hopkins University</t>
  </si>
  <si>
    <t>Atashzar, SF (corresponding author), Imperial Coll London, Dept Bioengn, London, England.</t>
  </si>
  <si>
    <t>s.atashzar@imperial.ac.uk</t>
  </si>
  <si>
    <t>Atashzar, Seyed/AAB-8243-2019; Patel, Rajni/B-3731-2015</t>
  </si>
  <si>
    <t>Patel, Rajni V/0000-0003-3431-4617; Atashzar, Seyed Farokh/0000-0001-8495-8440</t>
  </si>
  <si>
    <t>Canadian Institutes of Health Research (CIHR); Natural Sciences and Engineering Research Council (NSERC) of Canada under the Collaborative Health Research Projects (CHRP) [316170]; Quanser Inc. (Markham, ON, Canada); AGE-WELL Network of Centres of Excellence [AW CRP 2015-WP5.3]</t>
  </si>
  <si>
    <t>Canadian Institutes of Health Research (CIHR)(Canadian Institutes of Health Research (CIHR)); Natural Sciences and Engineering Research Council (NSERC) of Canada under the Collaborative Health Research Projects (CHRP)(Natural Sciences and Engineering Research Council of Canada (NSERC)); Quanser Inc. (Markham, ON, Canada); AGE-WELL Network of Centres of Excellence</t>
  </si>
  <si>
    <t>This research was supported by the Canadian Institutes of Health Research (CIHR) and the Natural Sciences and Engineering Research Council (NSERC) of Canada under the Collaborative Health Research Projects (CHRP) Grant #316170 with industry partner, Quanser Inc. (Markham, ON, Canada). Funding was also provided by the AGE-WELL Network of Centres of Excellence under the project AW CRP 2015-WP5.3. The authors would like to acknowledge the assistance of Chloe Nicholson-Smith (from Canadian Surgical Technologies and Advanced Robotics (CSTAR), Canada, email: cnicho29@uwo.ca) in preparing the generic sketches of Figs. 3, 4, and 5.</t>
  </si>
  <si>
    <t>10.1016/j.mechatronics.2018.03.002</t>
  </si>
  <si>
    <t>HL3CC</t>
  </si>
  <si>
    <t>WOS:000458589400001</t>
  </si>
  <si>
    <t>Dimitri, P</t>
  </si>
  <si>
    <t>Dimitri, Paul</t>
  </si>
  <si>
    <t>Child health technology: shaping the future of paediatrics and child health and improving NHS productivity</t>
  </si>
  <si>
    <t>ARCHIVES OF DISEASE IN CHILDHOOD</t>
  </si>
  <si>
    <t>MENTAL-HEALTH; REHABILITATION; INTERVENTIONS; TRIAL</t>
  </si>
  <si>
    <t>In the last decade, technology has revolutionised the way we deliver healthcare. Smartphones, tablets, personal computers and bespoke devices have provided patients with the means to access health information, manage their healthcare and communicate with health professionals remotely. Advances in technology have the potential to change how acute and long-term conditions are diagnosed and managed and how illness is prevented using technological advances in artificial intelligence, virtual and augmented reality, robotics, 3D printing, new materials, biosensor technologies and data analytics. In the future, predictive analytics will help with earlier disease diagnosis in at-risk populations. Historically, development of child health innovation and technology has taken place in a relatively emergent manner with little formal coordination. The aim is to move away from the traditional approach of repurposing adult technologies to provide a large-scale and coordinated approach for the development of bespoke health technology for children that is anatomically, physiologically and developmentally appropriate, versatile and that has been designed with children and young people. The challenge for the National Health Service alongside healthcare systems across the world is to deliver increasingly complex healthcare at lower cost and with better quality of life and greater efficiency.</t>
  </si>
  <si>
    <t>[Dimitri, Paul] Sheffield Childrens NHS Fdn Trust, NIHR Children &amp; Young People MedTech Cooperat, Sheffield S10 2TH, S Yorkshire, England</t>
  </si>
  <si>
    <t>Sheffield Children's NHS Foundation Trust</t>
  </si>
  <si>
    <t>Dimitri, P (corresponding author), Sheffield Childrens NHS Fdn Trust, NIHR Children &amp; Young People MedTech Cooperat, Sheffield S10 2TH, S Yorkshire, England.</t>
  </si>
  <si>
    <t>Paul.Dimitri@sch.nhs.uk</t>
  </si>
  <si>
    <t>Dimitri, Paul/0000-0001-7625-6713</t>
  </si>
  <si>
    <t>National Institute of Health Research; NIHR Children &amp; Young People MedTech Cooperative</t>
  </si>
  <si>
    <t>National Institute of Health Research(National Institutes of Health Research (NIHR)); NIHR Children &amp; Young People MedTech Cooperative</t>
  </si>
  <si>
    <t>The author has received a grant from the National Institute of Health Research to establish and lead the NIHR Children &amp; Young People MedTech Cooperative</t>
  </si>
  <si>
    <t>0003-9888</t>
  </si>
  <si>
    <t>1468-2044</t>
  </si>
  <si>
    <t>ARCH DIS CHILD</t>
  </si>
  <si>
    <t>Arch. Dis. Child.</t>
  </si>
  <si>
    <t>10.1136/archdischild-2017-314309</t>
  </si>
  <si>
    <t>HM7DY</t>
  </si>
  <si>
    <t>WOS:000459638700022</t>
  </si>
  <si>
    <t>Furusho, J; Takesue, N</t>
  </si>
  <si>
    <t>Furusho, Junji; Takesue, Naoyuki</t>
  </si>
  <si>
    <t>Research and Development of Rehabilitation Systems for the Upper Limbs PLEMO Series</t>
  </si>
  <si>
    <t>rehabilitation systems for upper limbs; virtual reality; force display; stroke; mechatronics</t>
  </si>
  <si>
    <t>THERAPY; MOVEMENT; ACTUATOR</t>
  </si>
  <si>
    <t>The human brain has excellent plasticity in terms of recovery from a stroke. It is expected that neuroreha-bilitation using an apparatus that applies robotic and virtual reality technology has rehabilitation training effects on stroke patients. Rehabilitation of the upper limbs consists of rehabilitation for shoulders and elbows, and rehabilitation of the fingers and wrists. Both rehabilitations are necessary to improve activities of daily living. Many rehabilitation systems for shoulders and elbows have been effective thus far. In this review, we introduce rehabilitation systems for the shoulders, elbows, and wrists of the upper limbs PLEMO series using force presentation technology with brakes. Rehabilitation systems using brakes are essentially safe unlike rehabilitation systems using actuators.</t>
  </si>
  <si>
    <t>[Furusho, Junji] Fuzzy Log Syst Inst, 680-41 Kawatsu, Iizuka, Fukuoka 8200067, Japan; [Furusho, Junji; Takesue, Naoyuki] Tokyo Metropolitan Univ, 6-6 Asahigaoka, Hino, Tokyo 1910065, Japan</t>
  </si>
  <si>
    <t>Tokyo Metropolitan University</t>
  </si>
  <si>
    <t>Furusho, J (corresponding author), Fuzzy Log Syst Inst, 680-41 Kawatsu, Iizuka, Fukuoka 8200067, Japan.;Furusho, J (corresponding author), Tokyo Metropolitan Univ, 6-6 Asahigaoka, Hino, Tokyo 1910065, Japan.</t>
  </si>
  <si>
    <t>jfurusho@gaia.eonet.ne.jp; ntakesue@tmu.ac.jp</t>
  </si>
  <si>
    <t>Takesue, Naoyuki/T-2506-2019</t>
  </si>
  <si>
    <t>Takesue, Naoyuki/0000-0002-8029-5480</t>
  </si>
  <si>
    <t>10.20965/jrm.2019.p0035</t>
  </si>
  <si>
    <t>HM1HS</t>
  </si>
  <si>
    <t>WOS:000459201800008</t>
  </si>
  <si>
    <t>Kawasaki, H; Mouri, T</t>
  </si>
  <si>
    <t>Kawasaki, Haruhisa; Mouri, Tetsuya</t>
  </si>
  <si>
    <t>Humanoid Robot Hand and its Applied Research</t>
  </si>
  <si>
    <t>robot hand; haptics; hand rehabilitation; myoelectric prosthetic hand; telepalpation</t>
  </si>
  <si>
    <t>ADAPTIVE COORDINATED CONTROL; RUTGERS-MASTER-II; HAPTIC INTERFACE; DESIGN; OBJECT; PERFORMANCE; PERCEPTION; STRATEGY; MOTION</t>
  </si>
  <si>
    <t>Humanoid robot hands are expected to replace human hands in the dexterous manipulation of objects. This paper presents a review of humanoid robot hand research and development. Humanoid hands are also applied to multifingered haptic interfaces, hand rehabilitation support systems, sEMG prosthetic hands, telepalpation systems, etc. The developed application systems in our group are briefly introduced.</t>
  </si>
  <si>
    <t>[Kawasaki, Haruhisa; Mouri, Tetsuya] Gifu Univ, 1-1 Yanagido, Gifu 5011193, Japan</t>
  </si>
  <si>
    <t>Gifu University</t>
  </si>
  <si>
    <t>Kawasaki, H (corresponding author), Gifu Univ, 1-1 Yanagido, Gifu 5011193, Japan.</t>
  </si>
  <si>
    <t>h_kawasa@gifu-u.ac.jp; mouri@gifu-u.ac.jp</t>
  </si>
  <si>
    <t>10.20965/jrm.2019.p0016</t>
  </si>
  <si>
    <t>WOS:000459201800006</t>
  </si>
  <si>
    <t>Krishnan, R; Björsell, N; Gutierrez-Farewik, EM; Smith, C</t>
  </si>
  <si>
    <t>Krishnan, Rakesh; Bjorsell, Niclas; Gutierrez-Farewik, Elena M.; Smith, Christian</t>
  </si>
  <si>
    <t>A survey of human shoulder functional kinematic representations</t>
  </si>
  <si>
    <t>Kinematics; Robot-assisted rehabilitation; Human movement understanding; Human-robot interaction; Shoulder</t>
  </si>
  <si>
    <t>NATURAL ARM CONFIGURATION; GLENOHUMERAL JOINT; UPPER-EXTREMITY; SCAPULAR KINEMATICS; COORDINATE SYSTEM; THORACOHUMERAL KINEMATICS; ACROMIOCLAVICULAR JOINT; CLAVICULAR KINEMATICS; 3-DIMENSIONAL MOTIONS; DETERMINISTIC MODELS</t>
  </si>
  <si>
    <t>In this survey, we review the field of human shoulder functional kinematic representations. The central question of this review is to evaluate whether the current approaches in shoulder kinematics can meet the high-reliability computational challenge. This challenge is posed by applications such as robot-assisted rehabilitation. Currently, the role of kinematic representations in such applications has been mostly overlooked. Therefore, we have systematically searched and summarised the existing literature on shoulder kinematics. The shoulder is an important functional joint, and its large range of motion (ROM) poses several mathematical and practical challenges. Frequently, in kinematic analysis, the role of the shoulder articulation is approximated to a ball-and-socket joint. Following the high-reliability computational challenge, our review challenges this inappropriate use of reductionism. Therefore, we propose that this challenge could be met by kinematic representations, that are redundant, that use an active interpretation and that emphasise on functional understanding.</t>
  </si>
  <si>
    <t>[Krishnan, Rakesh; Bjorsell, Niclas] Univ Gavle, Dept Elect Math &amp; Nat Sci, Gavle, Sweden; [Krishnan, Rakesh; Smith, Christian] Royal Inst Technol KTH, Sch Comp Sci &amp; Commun, RPL, Stockholm, Sweden; [Gutierrez-Farewik, Elena M.] Royal Inst Technol KTH, KTH Engn Sci, Stockholm, Sweden; [Krishnan, Rakesh; Gutierrez-Farewik, Elena M.; Smith, Christian] Royal Inst Technol KTH, BioMEx Ctr, Stockholm, Sweden</t>
  </si>
  <si>
    <t>University of Gavle; Royal Institute of Technology; Royal Institute of Technology; Royal Institute of Technology</t>
  </si>
  <si>
    <t>Krishnan, R (corresponding author), Univ Gavle, Dept Elect Math &amp; Nat Sci, Gavle, Sweden.;Krishnan, R (corresponding author), Royal Inst Technol KTH, Sch Comp Sci &amp; Commun, RPL, Stockholm, Sweden.;Krishnan, R (corresponding author), Royal Inst Technol KTH, BioMEx Ctr, Stockholm, Sweden.</t>
  </si>
  <si>
    <t>rkth@kth.se; niclas.bjorsell@hig.se; lanie@mech.kth.se; ccs@kth.se</t>
  </si>
  <si>
    <t>Farewik, Elena/AAU-9832-2020; Smith, Christian/C-5228-2013; Gutierrez Farewik, Elena/G-6945-2012</t>
  </si>
  <si>
    <t>Gutierrez Farewik, Elena/0000-0001-5417-5939</t>
  </si>
  <si>
    <t>VINNOVA [AAL 2013-6-042]</t>
  </si>
  <si>
    <t>VINNOVA(Vinnova)</t>
  </si>
  <si>
    <t>This work was funded by VINNOVA project AAL Call 6-AXO-SUIT (AAL 2013-6-042).</t>
  </si>
  <si>
    <t>10.1007/s11517-018-1903-3</t>
  </si>
  <si>
    <t>HI9AL</t>
  </si>
  <si>
    <t>WOS:000456747000001</t>
  </si>
  <si>
    <t>Tanioka, T</t>
  </si>
  <si>
    <t>Tanioka, Tetsuya</t>
  </si>
  <si>
    <t>Nursing and Rehabilitative Care of the Elderly Using Humanoid Robots</t>
  </si>
  <si>
    <t>Nursing; Rehabilitative Care; Humanoid Nursing Robots (HNRs); Transactive relationship; the Elderly</t>
  </si>
  <si>
    <t>Japan's declining birth rate and increasing aging population prompted intercessory efforts towards robot technologies in nursing practice for the elderly. Today, technological companies are developing robots that meet universal health care technology demands. While human caring focus on human-to-human relationships, but between humans and nonhumans, e.g. Humanoid Nursing Robot (HNRs)-to-human relationships, caring practices have not been forthcoming. When HNRs can support patients independently, capabilities much like being human will be required, including intelligence and skill competencies. Currently, Tanioka's research group is conducting clinical trials of humanoid robots equipped with applications using Pepper (manufactured by SOFTBANK CORPORATION), towards elderly care and rehabilitation at the Mifune Hospital, Kagawa prefecture. Care Prevention Gymnastics Exercises (Pepper-CPGE) was made by Xing Company, Japan. Therefore, this paper aims to describe the clinical trial outcomes based on the Transactive Relationship Theory of Nursing (TRETON) (Tanioka, 2017) emphasizing nursing engagement processes between HNRs and human persons. Observable effects include positive changes in relationships of patients, humanoid robots and healthcare providers. Emphasizing ethical concerns and human person safety as critical factors of care, and fears for divergent robot use are observed. Cooperative undertakings with various interdisciplinary activities mark the visioning of Japanese human caring ideas for an aging society.</t>
  </si>
  <si>
    <t>[Tanioka, Tetsuya] Tokushima Univ, Grad Sch, Inst Biomed Sci, Tokushima, Japan</t>
  </si>
  <si>
    <t>Tokushima University</t>
  </si>
  <si>
    <t>Tanioka, T (corresponding author), 3-18-15 Kuramoto Cho, Tokushima 7708509, Japan.</t>
  </si>
  <si>
    <t>Tetsuya, Tanioka/AAO-9095-2021</t>
  </si>
  <si>
    <t>Tanioka, Tetsuya/0000-0002-2847-1862</t>
  </si>
  <si>
    <t>JSPS KAKENHI [JP17H01609]</t>
  </si>
  <si>
    <t>JSPS KAKENHI(Ministry of Education, Culture, Sports, Science and Technology, Japan (MEXT)Japan Society for the Promotion of ScienceGrants-in-Aid for Scientific Research (KAKENHI))</t>
  </si>
  <si>
    <t>This work was supported in part by JSPS KAKENHI Grant Number JP17H01609.</t>
  </si>
  <si>
    <t>HX9QX</t>
  </si>
  <si>
    <t>WOS:000467744400006</t>
  </si>
  <si>
    <t>Adiputra, D; Nazmi, N; Bahiuddin, I; Ubaidillah, U; Imaduddin, F; Rahman, MAA; Mazlan, SA; Zamzuri, H</t>
  </si>
  <si>
    <t>Adiputra, Dimas; Nazmi, Nurhazimah; Bahiuddin, Irfan; Ubaidillah, Ubaidillah; Imaduddin, Fitrian; Rahman, Mohd Azizi Abdul; Mazlan, Saiful Amri; Zamzuri, Hairi</t>
  </si>
  <si>
    <t>A Review on the Control of the Mechanical Properties of Ankle Foot Orthosis for Gait Assistance</t>
  </si>
  <si>
    <t>Ankle-Foot Orthosis; gait control; gait assistance; bending stiffness; damping stiffness; assistive torque; motion path; non-linear; walking; mechanical properties</t>
  </si>
  <si>
    <t>EMG-TORQUE MODEL; CONSTANT-POSTURE; JOINT ANGLE; STROKE; REHABILITATION; KNEE; PERFORMANCE; PROSTHESES; STIFFNESS; CHILDREN</t>
  </si>
  <si>
    <t>In the past decade, advanced technologies in robotics have been explored to enhance the rehabilitation of post-stroke patients. Previous works have shown that gait assistance for post-stroke patients can be provided through the use of robotics technology in ancillary equipment, such as Ankle Foot Orthosis (AFO). An AFO is usually used to assist patients with spasticity or foot drop problems. There are several types of AFOs, depending on the flexibility of the joint, such as rigid, flexible rigid, and articulated AFOs. A rigid AFO has a fixed joint, and a flexible rigid AFO has a more flexible joint, while the articulated AFO has a freely rotating ankle joint, where the mechanical properties of the AFO are more controllable compared to the other two types of AFOs. This paper reviews the control of the mechanical properties of existing AFOs for gait assistance in post-stroke patients. Several aspects that affect the control of the mechanical properties of an AFO, such as the controller input, number of gait phases, controller output reference, and controller performance evaluation are discussed and compared. Thus, this paper will be of interest to AFO researchers or developers who would like to design their own AFOs with the most suitable mechanical properties based on their application. The controller input and the number of gait phases are discussed first. Then, the discussion moves forward to the methods of estimating the controller output reference, which is the main focus of this study. Based on the estimation method, the gait control strategies can be classified into subject-oriented estimations and phase-oriented estimations. Finally, suggestions for future studies are addressed, one of which is the application of the adaptive controller output reference to maximize the benefits of the AFO to users.</t>
  </si>
  <si>
    <t>[Adiputra, Dimas; Nazmi, Nurhazimah; Rahman, Mohd Azizi Abdul; Mazlan, Saiful Amri; Zamzuri, Hairi] Univ Teknol Malaysia, Malaysia Japan Int Inst Technol, Adv Vehicle Syst Lab, Kuala Lumpur 54100, Malaysia; [Adiputra, Dimas] Inst Teknol Telkom Surabaya, Elect Engn Dept, Surabaya 60234, Indonesia; [Bahiuddin, Irfan] Univ Gadjah Mada, Vocat Sch, Yogyakarta 55281, Indonesia; [Ubaidillah, Ubaidillah; Imaduddin, Fitrian] Univ Sebelas Maret, Mech Engn Dept, Surakarta 57126, Surakarta, Indonesia</t>
  </si>
  <si>
    <t>Universiti Teknologi Malaysia; Telkom University; Gadjah Mada University; Sebelas Maret University</t>
  </si>
  <si>
    <t>Rahman, MAA (corresponding author), Univ Teknol Malaysia, Malaysia Japan Int Inst Technol, Adv Vehicle Syst Lab, Kuala Lumpur 54100, Malaysia.</t>
  </si>
  <si>
    <t>adimas2@live.utm.my; nurhazimah2@live.utm.my; irfan.bahiuddin@ugm.ac.id; ubaidillah@uns.ac.id; fitrian.imaduddin@mmu.edu.my; azizi.kl@utm.my; amri.kl@utm.my; hairi.kl@utm.my</t>
  </si>
  <si>
    <t>Nazmi, Nurhazimah/X-1712-2019; Mazlan, Saiful/AAG-3423-2021; Ubaidillah, Ubaidillah/H-4841-2018; ABDUL RAHMAN, MOHD AZIZI/N-1556-2019; Imaduddin, Fitrian/GZA-8216-2022; Zamzuri, Hairi/F-5053-2011; Adiputra, Dimas/AFE-1366-2022; Shabdin, Muhammad Kashfi/AAC-4163-2020; Abdul Rahman, Mohd Azizi/D-7983-2013; Bahiuddin, Irfan/P-6820-2018</t>
  </si>
  <si>
    <t>Mohammed Ariff, Mohd Hatta/0000-0002-3213-5992; Nazmi, Nurhazimah/0000-0002-4757-9596; Imaduddin, Fitrian/0000-0001-6478-018X; Shabdin, Muhammad Kashfi/0000-0002-4016-3563; Mazlan, Saiful Amri/0000-0002-0096-8877; Adiputra, Dimas/0000-0001-9382-580X; Abdul Rahman, Mohd Azizi/0000-0001-9969-8792; Bahiuddin, Irfan/0000-0001-9070-3348</t>
  </si>
  <si>
    <t>Ministry of Education and Universiti Teknologi Malaysia [VOTE: 19H94]; Universitas Sebelas Maret</t>
  </si>
  <si>
    <t>Ministry of Education and Universiti Teknologi Malaysia; Universitas Sebelas Maret</t>
  </si>
  <si>
    <t>The authors would like to express their appreciation to the Ministry of Education and Universiti Teknologi Malaysia for their support under the research university grant [VOTE: 19H94]. To Universitas Sebelas Maret for their support in product development of MR brake for Ankle Foot Orthoses under Hibah Kolaborasi Internasional 2019. Also, to Institut Teknologi Telkom Surabaya for their support in publication under Dana Publikasi Jurnal Ilmiah ITTelkom Surabaya.2019 The funders had no role in the study design, data collection and analysis, decision to publish, or preparation of the manuscript.</t>
  </si>
  <si>
    <t>10.3390/act8010010</t>
  </si>
  <si>
    <t>HS7KP</t>
  </si>
  <si>
    <t>WOS:000464048700001</t>
  </si>
  <si>
    <t>Avutu, SR; Paul, S; Bhatia, D</t>
  </si>
  <si>
    <t>Paul, S</t>
  </si>
  <si>
    <t>Avutu, Sateesh Reddy; Paul, Sudip; Bhatia, Dinesh</t>
  </si>
  <si>
    <t>Smart Rehabilitation for Neuro-Disability: A Review</t>
  </si>
  <si>
    <t>APPLICATION OF BIOMEDICAL ENGINEERING IN NEUROSCIENCE</t>
  </si>
  <si>
    <t>Neuro-rehabilitation; Wearable devices; Neural stimulators; Neuro-robotic systems</t>
  </si>
  <si>
    <t>STIMULATION</t>
  </si>
  <si>
    <t>Neurological disorders are increasing globally due to various factors such as change in lifestyle patterns as well as personal and professional stress. Scientists belonging to various research and development organizations from a variety of disciplines are working together to invent new rehabilitation devices. Emerging trends in electronics and information technology-enabled devices provide a platform for scientists to engage in innovation to enhance the independence of patients with neurological disorders. This chapter summarizes the use of advanced technology to create smart rehabilitation devices such as wearable devices, non-invasive stimulators, brain-computer interface (BCI), and neurorobotic systems. By the end of this chapter, the reader will have acquired knowledge about various advanced smart neuro-rehabilitation devices related to several neurological disorders. The current challenges faced by neurorehabilitation scientists are discussed at the end of the chapter.</t>
  </si>
  <si>
    <t>[Avutu, Sateesh Reddy; Paul, Sudip; Bhatia, Dinesh] North Eastern Hill Univ, Dept Biomed Engn, Shillong, Meghalaya, India</t>
  </si>
  <si>
    <t>Paul, S (corresponding author), North Eastern Hill Univ, Dept Biomed Engn, Shillong, Meghalaya, India.</t>
  </si>
  <si>
    <t>Paul, Sudip/AAE-8890-2020; AVUTU, SATEESH REDDY/ABB-7056-2021; Bhatia, Deepika/JPY-1148-2023</t>
  </si>
  <si>
    <t>PAUL, SUDIP/0000-0001-9856-539X; Avutu, Sateesh Reddy/0000-0002-0817-8474</t>
  </si>
  <si>
    <t>SPRINGER-VERLAG SINGAPORE PTE LTD</t>
  </si>
  <si>
    <t>152 BEACH ROAD, #21-01/04 GATEWAY EAST, SINGAPORE, 189721, SINGAPORE</t>
  </si>
  <si>
    <t>978-981-13-7142-4; 978-981-13-7141-7</t>
  </si>
  <si>
    <t>10.1007/978-981-13-7142-4_24</t>
  </si>
  <si>
    <t>10.1007/978-981-13-7142-4</t>
  </si>
  <si>
    <t>BQ0BZ</t>
  </si>
  <si>
    <t>WOS:000571507200025</t>
  </si>
  <si>
    <t>S</t>
  </si>
  <si>
    <t>Chew, E; Turner, DA</t>
  </si>
  <si>
    <t>Sequeira, JS</t>
  </si>
  <si>
    <t>Chew, Esyin; Turner, David A.</t>
  </si>
  <si>
    <t>Can a Robot Bring Your Life Back? A Systematic Review for Robotics in Rehabilitation</t>
  </si>
  <si>
    <t>ROBOTICS IN HEALTHCARE: FIELD EXAMPLES AND CHALLENGES</t>
  </si>
  <si>
    <t>Advances in Experimental Medicine and Biology</t>
  </si>
  <si>
    <t>Robot in rehabilitation; Robotics in healthcare; Interdisciplinary robotics research</t>
  </si>
  <si>
    <t>STROKE; BURDEN; THERAPY; DESIGN</t>
  </si>
  <si>
    <t>Stroke is a leading cause of disability in the world and the use of robots in rehabilitation has become increasingly common. The Fourth Industrial Revolutions has created a novel and wide range of options for the involvement of computer-guided and artificially intelligent machines to be used in rehabilitation. In this chapter we critically review some of the literature on the use of robots in rehabilitation, and emphasize the diversity of approaches in this burgeoning field. We argue that there is a need to consolidate interdisciplinary evidence on robotics and rehabilitation in a systematic way, as the alternative is to have a literature that continues to grow, following the interests of various specialists, but without offering a synoptic assessment of what is available to medical specialists and patients. A literature review using Scopus and Web of Science, coupled with the Briggs Institute's Critical Appraisal Tool: Checklist for Case Reports was conducted. The two databases were systematically searched using inter-disciplinary keywords in Feb 2019. An initial search of the databases produced 9894 articles. After rigorous reviews, 35 articles were screened and selected for further interpretation. We examined the current studies on the efficiency and effectiveness of the robot interventions and produced a taxonomy of the review. An original finding of the current robotics in rehabilitation landscaping are critical presented with recommendations and concluding remarks concerning interdisciplinary impact.</t>
  </si>
  <si>
    <t>[Chew, Esyin] Cardiff Metropolitan Univ, Cardiff Sch Technol, EUREKA Robot Lab, Cardiff, Wales; [Turner, David A.] Beijing Normal Univ, Inst Int &amp; Comparat Educ, Beijing, Peoples R China; [Turner, David A.] South Wales Univ, Pontypridd, M Glam, Wales</t>
  </si>
  <si>
    <t>Cardiff Metropolitan University; Beijing Normal University</t>
  </si>
  <si>
    <t>Chew, E (corresponding author), Cardiff Metropolitan Univ, Cardiff Sch Technol, EUREKA Robot Lab, Cardiff, Wales.</t>
  </si>
  <si>
    <t>echew@cardiffmet.ac.uk</t>
  </si>
  <si>
    <t>Chew, Esyin/Q-1287-2016; Turner, David/JKJ-4517-2023</t>
  </si>
  <si>
    <t>Chew, Esyin/0000-0003-2644-9888</t>
  </si>
  <si>
    <t>SPRINGER INTERNATIONAL PUBLISHING AG</t>
  </si>
  <si>
    <t>0065-2598</t>
  </si>
  <si>
    <t>2214-8019</t>
  </si>
  <si>
    <t>978-3-030-24230-5; 978-3-030-24229-9</t>
  </si>
  <si>
    <t>ADV EXP MED BIOL</t>
  </si>
  <si>
    <t>Adv.Exp.Med.Biol.</t>
  </si>
  <si>
    <t>10.1007/978-3-030-24230-5_1</t>
  </si>
  <si>
    <t>10.1007/978-3-030-24230-5</t>
  </si>
  <si>
    <t>Engineering, Biomedical; Medicine, Research &amp; Experimental</t>
  </si>
  <si>
    <t>Book Citation Index – Science (BKCI-S); Science Citation Index Expanded (SCI-EXPANDED)</t>
  </si>
  <si>
    <t>Engineering; Research &amp; Experimental Medicine</t>
  </si>
  <si>
    <t>BO9BY</t>
  </si>
  <si>
    <t>WOS:000530682700002</t>
  </si>
  <si>
    <t>Jia, WD; Liu, WB; Qiao, XF</t>
  </si>
  <si>
    <t>Jia, Weidong; Liu, Wenbin; Qiao, Xiaofei</t>
  </si>
  <si>
    <t>Chinese Expert Consensus on Enhanced Recovery After Hepatectomy (Version 2017)</t>
  </si>
  <si>
    <t>Hepatectomy; Enhanced recovery after surgery; Consensus</t>
  </si>
  <si>
    <t>RANDOMIZED CLINICAL-TRIAL; FAST-TRACK PROGRAM; LAPAROSCOPIC LIVER SURGERY; PERIOPERATIVE CARE; ABDOMINAL DRAINAGE; GUIDELINES; MANAGEMENT; ANALGESIA; OUTCOMES</t>
  </si>
  <si>
    <t>Enhanced recovery after surgery (ERAS) is a series of perioperative optimized treatment measures based on evidence-based medicine which can control perioperative pathological and physiological responses, reduce surgical trauma and postoperative stress, and then achieve rapid recovery. This is a new concept in the 21st century, which is a revolution to the medical treatment and rehabilitation mode. Based on the clinical application study and expert experience in present ERAS in hepatectomy field at home and abroad, Chinese Expert Consensus on Enhanced Recovery After Hepatectomy (Version 2017) is established. The Chinese Expert consensus is the first guideline in the area of ERAS in hepatic surgery in China, which is drafted by the committee organized by Chinese Medical Association and China International Exchange and Promotive Association for Medical and Health Care. (C) 2018 Asian Surgical Association and Taiwan Robotic Surgery Association. Publishing services by Elsevier B.V.</t>
  </si>
  <si>
    <t>[Jia, Weidong; Liu, Wenbin; Qiao, Xiaofei] Univ Sci &amp; Technol China, Anhui Prov Key Lab Hepatopancreatobiliary Surg, Affiliated Hosp 1, Dept Hepat Surg,Anhui Prov Hosp, 17 Lujiang Rd, Hefei 230001, Anhui, Peoples R China</t>
  </si>
  <si>
    <t>Chinese Academy of Sciences; University of Science &amp; Technology of China, CAS</t>
  </si>
  <si>
    <t>Jia, WD (corresponding author), Univ Sci &amp; Technol China, Anhui Prov Key Lab Hepatopancreatobiliary Surg, Affiliated Hosp 1, Dept Hepat Surg,Anhui Prov Hosp, 17 Lujiang Rd, Hefei 230001, Anhui, Peoples R China.</t>
  </si>
  <si>
    <t>jwd1968@sina.com</t>
  </si>
  <si>
    <t>Liu, Wenbin/GVU-0680-2022</t>
  </si>
  <si>
    <t>Key Programs for Research and Development of Anhui Province [1704a0802150]</t>
  </si>
  <si>
    <t>Key Programs for Research and Development of Anhui Province</t>
  </si>
  <si>
    <t>This research was supported by the Key Programs for Research and Development of Anhui Province in 2017(No. 1704a0802150).</t>
  </si>
  <si>
    <t>10.1016/j.asjsur.2018.01.007</t>
  </si>
  <si>
    <t>HF3NZ</t>
  </si>
  <si>
    <t>WOS:000454143100003</t>
  </si>
  <si>
    <t>Koroleva, ES; Alifirova, VM; Latypova, AV; Cheban, SV; Ott, VA; Brazovskiy, KS; Tolmachev, IV; Brazovskaya, NG; Semkina, AA; Kataeva, NG</t>
  </si>
  <si>
    <t>Koroleva, E. S.; Alifirova, V. M.; Latypova, A., V; Cheban, S., V; Ott, V. A.; Brazovskiy, K. S.; Tolmachev, I., V; Brazovskaya, N. G.; Semkina, A. A.; Kataeva, N. G.</t>
  </si>
  <si>
    <t>Principles and global experience of applying robotic rehabilitation technologies in patients after stroke</t>
  </si>
  <si>
    <t>stroke; neurorehabilitation; robotic rehabilitation technologies; neuroplasticity; biological feedback; the principle of motor learning; exoskeletons</t>
  </si>
  <si>
    <t>UPPER-LIMB; MOTOR REHABILITATION; BRAIN PLASTICITY; ASSISTANCE; MOVEMENT; RECOVERY; THERAPY; MODEL; GAIT; NEUROREHABILITATION</t>
  </si>
  <si>
    <t>This literature review is devoted to the study of recent advances in the field of neurorehabilitation using robotic technologies. Objective: to study best practices of applying robotic rehabilitation technologies in stroke patients, its clinical efficacy and influence on the molecular mechanisms of neuroplasticity. Keywords were searched in the Web of Science, Core Collection, Scopus and PubMed databases. Results. Robotic neurorehabilitation occupies a certain place in the comprehensive rehabilitation of patients with motor deficiency after stroke. An interdisciplinary patient-oriented approach and consistency at all stages of medical rehabilitation are especially important when using rehabilitation methods that implement advances in robotics and information technologies in patients after stroke. Rehabilitation with the use of high-tech computerized rehabilitation systems operating in the biofeedback mode is one of the promising areas and requires further neurophysiological and laboratory studies to create scientifically based methodological approaches. It will have great social significance and tangible economic effects from improving the quality of neurorehabilitation and reducing its duration.</t>
  </si>
  <si>
    <t>[Koroleva, E. S.; Alifirova, V. M.; Latypova, A., V; Cheban, S., V; Ott, V. A.; Brazovskiy, K. S.; Tolmachev, I., V; Brazovskaya, N. G.; Semkina, A. A.; Kataeva, N. G.] Siberian State Med Univ, 2 Moskovsky Trakt, Tomsk 634050, Russia</t>
  </si>
  <si>
    <t>Siberian State Medical University</t>
  </si>
  <si>
    <t>Alifirova, VM (corresponding author), Siberian State Med Univ, 2 Moskovsky Trakt, Tomsk 634050, Russia.</t>
  </si>
  <si>
    <t>v_alifirova@mail.ru</t>
  </si>
  <si>
    <t>Alifirova, Valentina/JWP-9765-2024; Brazovskii, Konstantin/U-8758-2019; Tolmachev, Ivan/ABD-3418-2020; Latypova, Alina/P-9019-2016; Ekaterina, Koroleva/M-8192-2016; Cheban, Sophia/E-8076-2018; Ott, Valeriya/L-8709-2018; Syomkina, Anastasia/S-5109-2016; Brazovskii, Konstantin/O-4043-2016</t>
  </si>
  <si>
    <t>Tolmachev, Ivan/0000-0002-2888-5539; Cheban, Sophia/0000-0003-4554-7969; Ott, Valeriya/0000-0002-0033-9544; Koroleva, Ekaterina/0000-0003-1911-166X; Alifirova, Valentina/0000-0002-4140-3223; Syomkina, Anastasia/0000-0001-5117-2337; Brazovskii, Konstantin/0000-0002-4779-9820</t>
  </si>
  <si>
    <t>Russian Science Foundation [18-15-00082 173]</t>
  </si>
  <si>
    <t>Russian Science Foundation(Russian Science Foundation (RSF))</t>
  </si>
  <si>
    <t>The review was supported by the grant of the Russian Science Foundation Developing the scientific foundations of robotic neurorehabilitation (No. 18-15-00082 173).</t>
  </si>
  <si>
    <t>10.20538/1682-0363-2019-2-223-233</t>
  </si>
  <si>
    <t>IQ0FG</t>
  </si>
  <si>
    <t>WOS:000480425600022</t>
  </si>
  <si>
    <t>Kumar, A; Gao, L; Pirogova, E; Fang, Q</t>
  </si>
  <si>
    <t>Kumar, Akshay; Gao, Lin; Pirogova, Elena; Fang, Qiang</t>
  </si>
  <si>
    <t>A Review of Error-Related Potential-Based Brain-Computer Interfaces for Motor Impaired People</t>
  </si>
  <si>
    <t>Assistive devices; brain-computer interface; electroencephalography; error-related potential; rehabilitation devices; stroke rehabilitation</t>
  </si>
  <si>
    <t>OBSESSIVE-COMPULSIVE DISORDER; ERP COMPONENTS; PERFORMANCE; NEGATIVITY; ANXIETY; MOTIVATION; ATTENTION; IMAGERY; STROKE; PSYCHOPATHOLOGY</t>
  </si>
  <si>
    <t>Regaining the lost functionality of limbs is the top priority for people with motor skills impairment as it directly affects their ability to execute activities of daily living and hence, worsens their quality of life. In the last two decades, a great deal of research has focused on error-related potential (ErrP) based brain-computer interfaces (BCIs). Many applications have been developed to assist motor-impaired people in their rehabilitation and among these are robots, spellers, gesture recognition systems, and brain-controlled wheelchairs. In this paper, we present a review of various ErrP based BCI that can potentially aid motor-disabled people in their rehabilitation and execution of their daily activities. First, we describe the ErrP phenomenon and its characteristics followed by a comprehensive application-driven discussion on ErrP based rehabilitation and assistive strategies for motor-impaired people, including studies conducted since the inception of ErrP to the current state-of-the-art applications. Lastly, we discuss the potential issues and challenges being faced by current state-of-the-art applications as well as important future pathways and research directions that might be adopted for advanced ErrP-BCIs used in clinical settings.</t>
  </si>
  <si>
    <t>[Kumar, Akshay; Gao, Lin; Fang, Qiang] Shantou Univ, Dept Biomed Engn, Shantou 515041, Peoples R China; [Kumar, Akshay; Pirogova, Elena] RMIT Univ, Sch Engn, Melbourne, Vic 3000, Australia</t>
  </si>
  <si>
    <t>Shantou University; Royal Melbourne Institute of Technology (RMIT)</t>
  </si>
  <si>
    <t>Fang, Q (corresponding author), Shantou Univ, Dept Biomed Engn, Shantou 515041, Peoples R China.</t>
  </si>
  <si>
    <t>qiang.fang@stu.edu.cn</t>
  </si>
  <si>
    <t>Kumar, Akshay/ABC-5405-2020</t>
  </si>
  <si>
    <t>Pirogova, Elena/0000-0001-9422-1370; Kumar, Akshay/0000-0002-3684-8498; Fang, Qiang/0000-0003-3209-6417</t>
  </si>
  <si>
    <t>National Key R&amp;D Program of China [2018YFC2001600]</t>
  </si>
  <si>
    <t>This work was supported by the National Key R&amp;D Program of China under Grant 2018YFC2001600.</t>
  </si>
  <si>
    <t>10.1109/ACCESS.2019.2944067</t>
  </si>
  <si>
    <t>KG8SK</t>
  </si>
  <si>
    <t>WOS:000510220900001</t>
  </si>
  <si>
    <t>Simbaña, EDO; Baeza, PSH; Huete, AJ; Balaguer, C</t>
  </si>
  <si>
    <t>Ona Simbana, Edwin Daniel; Sanchez-Herrera Baeza, Patricia; Jardon Huete, Alberto; Balaguer, Carlos</t>
  </si>
  <si>
    <t>Review of Automated Systems for Upper Limbs Functional Assessment in Neurorehabilitation</t>
  </si>
  <si>
    <t>Automatic assessment; biomedical engineering; motor function; neurorehabilitation; rehabilitation robotics; robotics and automation; upper extremity</t>
  </si>
  <si>
    <t>MOTOR FUNCTION IMPAIRMENT; FUGL-MEYER ASSESSMENT; OUTCOME MEASURES; STROKE; REHABILITATION; CLASSIFICATION; DISABILITY; FRAMEWORK</t>
  </si>
  <si>
    <t>Traditionally, the assessment of upper limb (UL) motor function in neurorehabilitation is carried out by clinicians using standard clinical tests for objective evaluation, but which could be influenced by the clinician's subjectivity or expertise. The automation of such traditional outcome measures (tests) is an interesting and emerging field in neurorehabilitation. In this paper, a systematic review of systems focused on automation of traditional tests for assessment of UL motor function used in neurological rehabilitation is presented. A systematic search and review of related articles in the literature were conducted. The chosen works were analyzed according to the automation level, the data acquisition systems, the outcome generation method, and the focus of assessment. Finally, a series of technical requirements, guidelines, and challenges that must be considered when designing and implementing fully-automated systems for upper extremity functional assessment are summarized. This paper advocates the use of automated assessment systems (AAS) to build a rehabilitation framework that is more autonomous and objective.</t>
  </si>
  <si>
    <t>[Ona Simbana, Edwin Daniel; Jardon Huete, Alberto; Balaguer, Carlos] Univ Carlos III Madrid, Robot Lab, Dept Syst Engn &amp; Autom, Leganes 28911, Spain; [Sanchez-Herrera Baeza, Patricia] Rey Juan Carlos Univ, Dept Phys Therapy Occupat Therapy Rehabil &amp; Phys, Alcorcon 28922, Spain</t>
  </si>
  <si>
    <t>Universidad Carlos III de Madrid; Universidad Rey Juan Carlos</t>
  </si>
  <si>
    <t>Simbaña, EDO (corresponding author), Univ Carlos III Madrid, Robot Lab, Dept Syst Engn &amp; Autom, Leganes 28911, Spain.</t>
  </si>
  <si>
    <t>JARDON HUETE, ALBERTO/E-4906-2010; Sanchez Herrera, Patricia/ABF-4611-2020; Ona Simbana, Edwin Daniel/F-1999-2016</t>
  </si>
  <si>
    <t>Ona Simbana, Edwin Daniel/0000-0003-0791-860X; Sanchez-Herrera Baeza, Patricia/0000-0003-1340-8278; BALAGUER, CARLOS/0000-0003-4864-4625</t>
  </si>
  <si>
    <t>Spanish Ministry of Economy and Competitiveness [DPI2013-47944-C4-1-R, DPI2017-87562-C2-1-R]; RoboCity2030-III-CM project - Programas de Actividades I+D Comunidad de Madrid [S2013/MIT-2748]; Structural Funds of the EU</t>
  </si>
  <si>
    <t>Spanish Ministry of Economy and Competitiveness(Spanish Government); RoboCity2030-III-CM project - Programas de Actividades I+D Comunidad de Madrid; Structural Funds of the EU</t>
  </si>
  <si>
    <t>This work was supported in part by the Spanish Ministry of Economy and Competitiveness via the ROBOHEALTH (DPI2013-47944-C4-1-R) and ROBOESPAS (DPI2017-87562-C2-1-R) Projects, and in part by the RoboCity2030-III-CM project (S2013/MIT-2748) which is funded by the Programas de Actividades I+D Comunidad de Madrid and cofunded by the Structural Funds of the EU.</t>
  </si>
  <si>
    <t>10.1109/ACCESS.2019.2901814</t>
  </si>
  <si>
    <t>HR8QU</t>
  </si>
  <si>
    <t>WOS:000463424800001</t>
  </si>
  <si>
    <t>Postol, N; Marquez, J; Spartalis, S; Bivard, A; Spratt, NJ</t>
  </si>
  <si>
    <t>Postol, Nicola; Marquez, Jodie; Spartalis, Stephanie; Bivard, Andrew; Spratt, Neil James</t>
  </si>
  <si>
    <t>Do powered over-ground lower limb robotic exoskeletons affect outcomes in the rehabilitation of people with acquired brain injury?</t>
  </si>
  <si>
    <t>Robotics; exoskeletons; acquired brain injury; lower limb; stroke; rehabilitation</t>
  </si>
  <si>
    <t>STROKE PATIENTS; WEARABLE ROBOT; FOLLOW-UP; GAIT; BALANCE; FEASIBILITY; RECOVERY; INDIVIDUALS; QUALITY; SCALE</t>
  </si>
  <si>
    <t>Purpose: To assess the effects of lower limb robotic exoskeletons on outcomes in the rehabilitation of people with acquired brain injury. Materials and methods: A systematic review of seven electronic databases was conducted. The primary outcome of interest was neuromuscular function. Secondary outcomes included quality of life, mood, acceptability and safety. Studies were assessed for methodological quality and recommendations were made using the GRADE system. Results: Of 2469 identified studies, 13 (n=322) were included in the review. Five contained data suitable for meta-analysis. When the data were pooled, there were no differences between exoskeleton and control for 6-Minute Walk Test, Timed Up and Go or 10-Meter Walk Test. Berg Balance Scale outcomes were significantly better in controls (MD=2.74, CI=1.12-4.36, p=0.0009). There were no severe adverse events but drop-outs were 11.5% (n=37). No studies reported the effect of robotic therapy on quality of life or mood. Methodological quality was on average fair (15.6/27 on Downs and Black Scale). Conclusions: Only small numbers of people with acquired brain injury had data suitable for analysis. The available data suggests no more benefit for gait or balance with robotic therapy than conventional therapy. However, some important outcomes have not been studied and further well-conducted research is needed to determine whether such devices offer benefit over conventional therapy, in particular subgroups of those with acquired brain injury. IMPLICATIONS FOR REHABILITATION There is adequate evidence to recommend that powered over-ground lower limb robotic exoskeletons should not be used clinically in those with ABI, and that use should be restricted to research. Further research (controlled trials) with dependent ambulators is recommended. Research of other outcomes such as acceptability, spasticity, sitting posture, cardiorespiratory and psychological function, should be considered.</t>
  </si>
  <si>
    <t>[Postol, Nicola; Marquez, Jodie; Spartalis, Stephanie; Bivard, Andrew] Univ Newcastle, Fac Hlth &amp; Med, Callaghan, NSW 2308, Australia; [Postol, Nicola; Marquez, Jodie; Bivard, Andrew; Spratt, Neil James] Univ Newcastle, Prior Res Ctr Stroke &amp; Brain Injury, Callaghan, NSW, Australia; [Postol, Nicola; Marquez, Jodie; Spartalis, Stephanie; Bivard, Andrew; Spratt, Neil James] Univ Newcastle, Hunter Med Res Inst, New Lambton, Australia; [Spratt, Neil James] Hunter New England Local Hlth Dist, New Lambton, Australia</t>
  </si>
  <si>
    <t>University of Newcastle; University of Newcastle; University of Newcastle; Hunter Medical Research Institute; Hunter New England Local Health District</t>
  </si>
  <si>
    <t>Postol, N (corresponding author), Univ Newcastle, Fac Hlth &amp; Med, Callaghan, NSW 2308, Australia.</t>
  </si>
  <si>
    <t>Nicola.Postol@uon.edu.au</t>
  </si>
  <si>
    <t>Postol, Nicola/GYR-2865-2022; Spratt, Neil/K-4208-2012; Marquez, Jodie/G-8105-2013</t>
  </si>
  <si>
    <t>Marquez, Jodie/0000-0002-9845-5788; Postol, Nicola/0000-0002-2188-9078; Bivard, Andrew/0000-0001-7762-5832; Spratt, Neil/0000-0002-9023-6177</t>
  </si>
  <si>
    <t>10.1080/17483107.2018.1499137</t>
  </si>
  <si>
    <t>KE0SQ</t>
  </si>
  <si>
    <t>WOS:000508271700008</t>
  </si>
  <si>
    <t>Schnieders, TM; Stone, RT</t>
  </si>
  <si>
    <t>Zhang, D; Wei, B</t>
  </si>
  <si>
    <t>Schnieders, Thomas M.; Stone, Richard T.</t>
  </si>
  <si>
    <t>A Current Review of Human Factors and Ergonomic Intervention With Exoskeletons</t>
  </si>
  <si>
    <t>NOVEL DESIGN AND APPLICATIONS OF ROBOTICS TECHNOLOGIES</t>
  </si>
  <si>
    <t>Advances in Computational Intelligence and Robotics (ACIR) Book Series</t>
  </si>
  <si>
    <t>EMG-BASED CONTROL; OF-THE-ART; DESIGN; REHABILITATION; ROBOT; FEEDBACK; THERAPY; FATIGUE; STROKE; DEVICE</t>
  </si>
  <si>
    <t>Research and development of exoskeletons began as early as the 1960s. Recent advancement in technology has spurred a further research into the field specifically at rehabilitation and human performance augmentation. Human performance augmenting exoskeletons find use in the military, emergency services, industrial and space applications, and training. Rehabilitation exoskeletons assist in posture support and replacing lost function. Exoskeleton research is broadly broken up in this chapter by anthropometry: lower body, upper body, and extremities. The development for various anthropometry has their own unique set of challenges. This chapter provides a brief history, discusses current trends in research, looks at some of the technology involved in development, the potential benefits of using exoskeletons, and looks at the possible future improvements in research.</t>
  </si>
  <si>
    <t>[Schnieders, Thomas M.] Iowa State Univ, ATHENA Lab, Ames, IA 50011 USA; [Schnieders, Thomas M.] Iowa State Univ, Ind Engn, Ames, IA 50011 USA; [Stone, Richard T.] Iowa State Univ, Dept Ind &amp; Mfg Syst Engn, Ames, IA USA</t>
  </si>
  <si>
    <t>Iowa State University; Iowa State University; Iowa State University</t>
  </si>
  <si>
    <t>Schnieders, TM (corresponding author), Iowa State Univ, ATHENA Lab, Ames, IA 50011 USA.;Schnieders, TM (corresponding author), Iowa State Univ, Ind Engn, Ames, IA 50011 USA.</t>
  </si>
  <si>
    <t>HERSEY</t>
  </si>
  <si>
    <t>701 E CHOCOLATE AVE, STE 200, HERSEY, PA 17033-1240 USA</t>
  </si>
  <si>
    <t>978-1-5225-8763-7; 978-1-5225-5277-2; 978-1-5225-5276-5</t>
  </si>
  <si>
    <t>ADV COMPU INTELL ROB</t>
  </si>
  <si>
    <t>10.4018/978-1-5225-5276-5.ch008</t>
  </si>
  <si>
    <t>10.4018/978-1-5225-5276-5</t>
  </si>
  <si>
    <t>BN7XB</t>
  </si>
  <si>
    <t>WOS:000487732700009</t>
  </si>
  <si>
    <t>Tedla, JS; Dixit, S; Gular, K; Abohashrh, M</t>
  </si>
  <si>
    <t>Tedla, Jaya Shanker; Dixit, Snehil; Gular, Kumar; Abohashrh, Mohammed</t>
  </si>
  <si>
    <t>Robotic-Assisted Gait Training Effect on Function and Gait Speed in Subacute and Chronic Stroke Population: A Systematic Review and Meta-Analysis of Randomized Controlled Trials</t>
  </si>
  <si>
    <t>EUROPEAN NEUROLOGY</t>
  </si>
  <si>
    <t>Stroke; Robotic-assisted gait training; Gait speed</t>
  </si>
  <si>
    <t>REHABILITATION; IMPROVEMENTS</t>
  </si>
  <si>
    <t>Background: The review is intended to provide the effectiveness of robotic-assisted gait training (RAGT) for functional gait recovery in poststroke survivors through a systematic review and to provide evidence for gait speed improvements through the meta-analysis of randomized controlled trials (RCTs). Summary: In this systematic review, PubMed, Web of Science, Wiley Online Library, Science Direct, Science Robotics, Scopus, UpToDate, MEDLINE, Google Scholar, CINHAL, EMBASE, and EBSCO were reviewed to identify relevant RCTs. Articles included in the study were thoroughly examined by 2 independent reviewers. The included RCTs were having a PEDro score between 6 and 8 points. The initial database review yielded 1,371 studies and, following further screening; 9 studies finally were selected for systematic review and meta-analysis. Out of the 9 studies, 4 were on chronic stroke and 5 were on subacute stroke. The meta-analysis of gait speed showed an effect size value ranging between -0.91 and 0.64, with the total effect size of all the studies being -0.12. During subgroup analysis, the subacute stroke total effect size was identified as -0.48, and the chronic stroke total effect size was noted as 0.04. Meta-analysis revealed no significant differences between RAGT and conventional gait training (CGT). Key Messages: Our systematic review revealed that the RAGT application demonstrated a better or similar effect to that of CGT in a poststroke population. A meta-analysis of gait speed involving all the studies identified here indicated no significant differences between RAGT and CGT. However, the subanalysis of chronic stroke survivors showed a slight positive effect of RAGT on gait speed. (C) 2019 S. Karger AG, Basel</t>
  </si>
  <si>
    <t>[Tedla, Jaya Shanker; Dixit, Snehil; Gular, Kumar] King Khalid Univ, Dept Med Rehabil Sci, Coll Appl Med Sci, C-3-108, Abha, Saudi Arabia; [Abohashrh, Mohammed] King Khalid Univ, Dept Basic Med Sci, Coll Appl Med Sci, Abha, Saudi Arabia</t>
  </si>
  <si>
    <t>King Khalid University; King Khalid University</t>
  </si>
  <si>
    <t>Tedla, JS (corresponding author), King Khalid Univ, Dept Med Rehabil Sci, Coll Appl Med Sci, C-3-108, Abha, Saudi Arabia.</t>
  </si>
  <si>
    <t>jtedla@kku.edu.sa</t>
  </si>
  <si>
    <t>Gular, Kumar/HGU-2166-2022; Dixit, Snehil/H-2757-2019; Tedla, Dr. Jaya Shanker/ABG-8394-2020</t>
  </si>
  <si>
    <t>Dixit, Snehil/0000-0003-1617-6935; Tedla, Jaya Shanker/0000-0002-2876-4227</t>
  </si>
  <si>
    <t>Deanship of Scientific Research, King Khalid University, Abha, Kingdom of Saudi Arabia [R.G.P.1/133/40]</t>
  </si>
  <si>
    <t>Deanship of Scientific Research, King Khalid University, Abha, Kingdom of Saudi Arabia</t>
  </si>
  <si>
    <t>We sincerely thank the Deanship of Scientific Research, King Khalid University, Abha, Kingdom of Saudi Arabia for funding this research project - number R.G.P.1/133/40.</t>
  </si>
  <si>
    <t>KARGER</t>
  </si>
  <si>
    <t>ALLSCHWILERSTRASSE 10, CH-4009 BASEL, SWITZERLAND</t>
  </si>
  <si>
    <t>0014-3022</t>
  </si>
  <si>
    <t>1421-9913</t>
  </si>
  <si>
    <t>EUR NEUROL</t>
  </si>
  <si>
    <t>Eur. Neurol.</t>
  </si>
  <si>
    <t>3-4</t>
  </si>
  <si>
    <t>10.1159/000500747</t>
  </si>
  <si>
    <t>IU8ST</t>
  </si>
  <si>
    <t>WOS:000483852500001</t>
  </si>
  <si>
    <t>Troccaz, J; Dagnino, G; Yang, GZ</t>
  </si>
  <si>
    <t>Yamush, ML</t>
  </si>
  <si>
    <t>Troccaz, Jocelyne; Dagnino, Giulio; Yang, Guang-Zhong</t>
  </si>
  <si>
    <t>Frontiers of Medical Robotics: From Concept to Systems to Clinical Translation</t>
  </si>
  <si>
    <t>ANNUAL REVIEW OF BIOMEDICAL ENGINEERING, VOL 21</t>
  </si>
  <si>
    <t>Annual Review of Biomedical Engineering</t>
  </si>
  <si>
    <t>medical robotics; surgical robots; minimally invasive surgery; MIS; computer-assisted medical intervention; human-robot interaction; clinical translation</t>
  </si>
  <si>
    <t>FACET SCREW PLACEMENT; FRACTURE REDUCTION; PEDICLE SCREW; NAVIGATION SYSTEM; CAPSULE ENDOSCOPE; ASSISTED SURGERY; SURGICAL SYSTEM; HEALTH-CARE; CT-SCAN; ACCURACY</t>
  </si>
  <si>
    <t>Medical robotics is poised to transform all aspects of medicine-from surgical intervention to targeted therapy, rehabilitation, and hospital automation. A key area is the development of robots for minimally invasive interventions. This review provides a detailed analysis of the evolution of interventional robots and discusses how the integration of imaging, sensing, and robotics can influence the patient care pathway toward precision intervention and patient-specific treatment. It outlines how closer coupling of perception, decision, and action can lead to enhanced dexterity, greater precision, and reduced invasiveness. It provides a critical analysis of some of the key interventional robot platforms developed over the years and their relative merit and intrinsic limitations. The review also presents a future outlook for robotic interventions and emerging trends in making them easier to use, lightweight, ergonomic, and intelligent, and thus smarter, safer, and more accessible for clinical use.</t>
  </si>
  <si>
    <t>[Troccaz, Jocelyne] Univ Grenoble Alpes, Grenoble INP, CNRS, TIMC IMAG, F-38000 Grenoble, France; [Dagnino, Giulio; Yang, Guang-Zhong] Imperial Coll London, Hamlyn Ctr Robot Surg, London SW7 2AZ, England</t>
  </si>
  <si>
    <t>Communaute Universite Grenoble Alpes; Institut National Polytechnique de Grenoble; Universite Grenoble Alpes (UGA); Centre National de la Recherche Scientifique (CNRS); Imperial College London</t>
  </si>
  <si>
    <t>Troccaz, J (corresponding author), Univ Grenoble Alpes, Grenoble INP, CNRS, TIMC IMAG, F-38000 Grenoble, France.</t>
  </si>
  <si>
    <t>Jocelyne.Troccaz@univ-grenoble-alpes.fr; g.dagnino@imperial.ac.uk; g.z.yang@imperial.ac.uk</t>
  </si>
  <si>
    <t>Yang, Guangzhong/ABB-7316-2021</t>
  </si>
  <si>
    <t>EPSRC [EP/P012779/1, EP/N024877/1] Funding Source: UKRI</t>
  </si>
  <si>
    <t>4139 EL CAMINO WAY, PO BOX 10139, PALO ALTO, CA 94303-0897 USA</t>
  </si>
  <si>
    <t>10.1146/annurev-bioeng-060418-052502</t>
  </si>
  <si>
    <t>BM9FB</t>
  </si>
  <si>
    <t>WOS:000470875500008</t>
  </si>
  <si>
    <t>Aguirre-Güemez, AV; Pérez-Sanpablo, AI; Quinzaños-Fresnedo, J; Pérez-Zavala, R; Barrera-Ortiz, A</t>
  </si>
  <si>
    <t>Valeria Aguirre-Guemez, Ana; Isaac Perez-Sanpablo, Aberto; Quinzanos-Fresnedo, Jimena; Perez-Zavala, Ramiro; Barrera-Ortiz, Aida</t>
  </si>
  <si>
    <t>Walking speed is not the best outcome to evaluate the effect of robotic assisted gait training in people with motor incomplete Spinal Cord Injury: A Systematic Review with meta-analysis</t>
  </si>
  <si>
    <t>Spinal cord injuries; robot-assisted gait training; locomotor training; robotics; walking</t>
  </si>
  <si>
    <t>MODULAR CONTROL; REHABILITATION; INDIVIDUALS; RESISTANCE; SIZE</t>
  </si>
  <si>
    <t>Context: While there are previous systematic reviews on the effectiveness of the use of robotic-assisted gait training (RAGT) in people with spinal cord injuries (SCI), as this is a dynamic field, new studies have been produced that are now incorporated on this systematic review (SR) with meta-analysis, updating the available evidence on this area. Objective: To synthesise the available evidence on the use of RAGT, to improve gait, strength and functioning. Methods: SR and meta-analysis following the Cochrane Handbook for Systematic Reviews of Interventions were implemented. Cochrane Injuries Group Specialized Register, PubMed, MEDLINE, EMBASE, CINAHL, ISIWeb of Science (SCIEXPANDED) databases were reviewed for the period 1990 to December 2016. Three researchers independently identified and categorized trials; 293 studies were identified, 273 eliminated; remaining 15 randomized clinical trials (RCT) and five SR. Six studies had available data for meta-analysis (222 participants). Results: The pooled mean demonstrated a beneficial effect of RAGT for WISCI, FIM-L and LEMS (3.01, 2.74 and 1.95 respectively), and no effect for speed. Conclusions: The results show a positive effect in the use of RAGT. However, this should be taken carefully due to heterogeneity of the studies, small samples and identified limitations of some of the included trials. These results highlight the relevance of implementing a well-designed multicenter RCT powered enough to evaluate different RAGT approaches.</t>
  </si>
  <si>
    <t>[Valeria Aguirre-Guemez, Ana; Quinzanos-Fresnedo, Jimena; Perez-Zavala, Ramiro; Barrera-Ortiz, Aida] Inst Nacl Rehabil, Div Rehabil Neurol, Ave Mexico Xochimilco 289, Mexico City 14389, DF, Mexico; [Isaac Perez-Sanpablo, Aberto] Inst Nacl Rehabil, Lab Anal Movimiento, Mexico City, DF, Mexico</t>
  </si>
  <si>
    <t>Quinzaños-Fresnedo, J (corresponding author), Inst Nacl Rehabil, Div Rehabil Neurol, Ave Mexico Xochimilco 289, Mexico City 14389, DF, Mexico.</t>
  </si>
  <si>
    <t>jimenaqf@hotmail.com</t>
  </si>
  <si>
    <t>PEREZ, ALBERTO/AAS-7430-2020; Perez-Sanpablo, Alberto Isaac/C-1175-2014</t>
  </si>
  <si>
    <t>Perez-Sanpablo, Alberto Isaac/0000-0003-0550-928X</t>
  </si>
  <si>
    <t>10.1080/10790268.2017.1390644</t>
  </si>
  <si>
    <t>IH4TV</t>
  </si>
  <si>
    <t>WOS:000474485900002</t>
  </si>
  <si>
    <t>Valkenborghs, SR; Callister, R; Visser, MM; Nilsson, M; van Vliet, P</t>
  </si>
  <si>
    <t>Valkenborghs, Sarah R.; Callister, Robin; Visser, Milanka M.; Nilsson, Michael; van Vliet, Paulette</t>
  </si>
  <si>
    <t>Interventions combined with task-specific training to improve upper limb motor recovery following stroke: a systematic review with meta-analyses</t>
  </si>
  <si>
    <t>Stroke; rehabilitation; upper limb; task-specific training; motor function</t>
  </si>
  <si>
    <t>FUNCTIONAL ELECTRICAL-STIMULATION; TRANSCRANIAL MAGNETIC STIMULATION; INTENSIVE OCCUPATIONAL-THERAPY; QUALITY-OF-LIFE; UPPER-EXTREMITY FUNCTION; WRIST-HAND ORTHOSIS; LOW-FREQUENCY RTMS; NERVE-STIMULATION; MENTAL PRACTICE; POSTSTROKE PATIENTS</t>
  </si>
  <si>
    <t>Background: Upper limb (UL) hemiparesis is a common, disabling and persistent problem, and a major contributor to poor well-being and quality of life in persons after stroke. Conventional UL rehabilitation has had limited success. Novel combined interventions are being investigated in an effort to stimulate greater recovery. Objective: To identify and assess the efficacy of interventions combined with task-specific training aimed at UL motor recovery after stroke. Methods: A systematic search was undertaken in databases including MEDLINE, MEDLINE InProcess, EMBASE, AMED, CINAHL, OTseeker, and PEDro. Key inclusion criteria were: peerreviewed articles published in English, adults after stroke, and an intervention combined with task-specific training targeted to improve motor function and/or impairment of the UL following stroke. Findings from included studies were synthesized qualitatively and metaanalyzed where there was sufficient homogeneity. Results: From 3494 citations identified, 120 papers (72 randomized controlled trials and 4 pseudo-randomized controlled trials) were included. Adjunctive interventions (21 categories) identified included electrical stimulation, transcranial magnetic stimulation, robotic devices, mental practice, action observation, trunk restraint, virtual reality, and resistance training. Of the interventions meta-analyzed, only peripheral nerve stimulation demonstrated small additional benefits over those of task-specific training alone for UL impairment, as measured by the Fugl-Meyer scale (MD 2.69, 95% 0 1.12, 4.26). Several individual studies found benefits for other interventions combined with task-specific training, but further investigations are needed to provide more comprehensive evidence of their efficacy. Conclusion: To date, there is little evidence that adding another intervention to TST confers additional benefits and therefore there is no evidence to guide rehabilitation professionals. Further research is required as heterogeneity of studies limited ability to conduct meta-analyses.</t>
  </si>
  <si>
    <t>[Valkenborghs, Sarah R.; Callister, Robin] Univ Newcastle, Prior Res Ctr Phys Act &amp; Nutr, Newcastle, NSW, Australia; [Valkenborghs, Sarah R.; Nilsson, Michael; van Vliet, Paulette] Univ Newcastle, Prior Res Ctr Stroke &amp; Brain Injury, Newcastle, NSW, Australia; [Valkenborghs, Sarah R.; Callister, Robin; Nilsson, Michael; van Vliet, Paulette] Hunter Med Res Inst, Ctr Res Excellence Stroke Rehabil &amp; Recovery, Newcastle, NSW, Australia; [Valkenborghs, Sarah R.; Callister, Robin] Univ Newcastle, Fac Hlth, Sch Biomed Sci &amp; Pharm, Newcastle, NSW, Australia; [Visser, Milanka M.; Nilsson, Michael] Univ Newcastle, Sch Med &amp; Publ Hlth, Callaghan, NSW, Australia</t>
  </si>
  <si>
    <t>University of Newcastle; University of Newcastle; Hunter Medical Research Institute; University of Newcastle; University of Newcastle; University of Newcastle</t>
  </si>
  <si>
    <t>Valkenborghs, SR (corresponding author), Univ Newcastle, Prior Res Ctr Phys Act &amp; Nutr, ATC301, Callaghan, NSW 2308, Australia.</t>
  </si>
  <si>
    <t>sarah.valkenborghs@uon.edu.au</t>
  </si>
  <si>
    <t>NILSSON, MICHAEL/ABE-7821-2020; van Vliet, Paulette/F-4616-2010; Callister, Robin/G-7109-2013; Valkenborghs, Sarah/AAQ-4449-2020</t>
  </si>
  <si>
    <t>Callister, Robin/0000-0001-5592-6132; Nilsson, Michael/0000-0002-8826-1621; Visser, Milanka/0000-0001-6535-2953; Valkenborghs, Sarah/0000-0003-2259-4682</t>
  </si>
  <si>
    <t>10.1080/10833196.2019.1597439</t>
  </si>
  <si>
    <t>VL3WS</t>
  </si>
  <si>
    <t>WOS:000840668200001</t>
  </si>
  <si>
    <t>Wang, XY; Guo, JJ; Gu, DX; Yang, Y; Yang, XJ; Zhu, KY</t>
  </si>
  <si>
    <t>Wang, Xiaoyu; Guo, Jingjing; Gu, Dongxiao; Yang, Ying; Yang, Xuejie; Zhu, Keyu</t>
  </si>
  <si>
    <t>Tracking knowledge evolution, hotspots and future directions of emerging technologies in cancers research: a bibliometrics review</t>
  </si>
  <si>
    <t>JOURNAL OF CANCER</t>
  </si>
  <si>
    <t>cancers; emerging information technology; hotspots; knowledge evolution; bibliometrics</t>
  </si>
  <si>
    <t>BIG DATA; WEARABLE DEVICES; TUMOR; TRENDS; PATTERNS; NETWORK</t>
  </si>
  <si>
    <t>Due to various environmental pollution issues, cancers have become the first killer of human beings in the 21st century and their control has become a global strategy of human health. The increasing development of emerging information technologies has provided opportunities for prevention, early detection, diagnosis, intervention, prognosis, nursing, and rehabilitation of cancers. In recent years, the literature associated with emerging technologies in cancer has grown rapidly, but few studies have used bibliometrics and a visualization approach to conduct deep mining and reveal a panorama of this field. To explore the dynamic knowledge evolution of emerging information technologies in cancer literature, we comprehensively analyzed the development status and research hotspots in this field from bibliometrics perspective. We collected 7,136 articles (2000-2017) from the Web of Science database and visually displayed the dynamic knowledge evolution process via the analysis on time-sequence changes, spatial distribution, knowledge base, and hotspots. Much institutional cooperation occurs in this field, and research groups are relatively concentrated. BMC Bioinformatics, PLOS One, Journal of Urology, Scientific Reports, and Bioinformatics are the top five journals in this field. Research hotspots are mainly concentrated in two dimensions: the disease dimension (e.g., cancer, breast cancer, and prostate cancer), and the technical dimension (e.g., robotics, machine learning, data mining, and etc.). The emerging technologies in cancer research is fast ascending and promising. This study also provides researchers with panoramic knowledge of this field, as well as research hotspots and future directions.</t>
  </si>
  <si>
    <t>[Wang, Xiaoyu] Anhui Univ Tradit Chinese Med, Affiliated Hosp 1, Hefei 230031, Anhui, Peoples R China; [Guo, Jingjing; Gu, Dongxiao; Yang, Ying; Yang, Xuejie; Zhu, Keyu] Hefei Univ Technol, Sch Management, Hefei 230009, Anhui, Peoples R China; [Gu, Dongxiao] Minist Educ, Key Lab Proc Optimizat &amp; Intelligent Decis Making, Hefei 230009, Anhui, Peoples R China</t>
  </si>
  <si>
    <t>Anhui University of Chinese Medicine; Hefei University of Technology; Ministry of Education - China</t>
  </si>
  <si>
    <t>Gu, DX (corresponding author), Hefei Univ Technol, Sch Management, Hefei 230009, Anhui, Peoples R China.;Gu, DX (corresponding author), Minist Educ, Key Lab Proc Optimizat &amp; Intelligent Decis Making, Hefei 230009, Anhui, Peoples R China.</t>
  </si>
  <si>
    <t>gudongxiao@hfut.edu.cn</t>
  </si>
  <si>
    <t>Yang, Xuejie/HJZ-3453-2023; Yang, Ying/KAM-7198-2024</t>
  </si>
  <si>
    <t>Gu, Dongxiao/0000-0003-3557-009X</t>
  </si>
  <si>
    <t>National Natural Science Foundation of China [71771077, 71771075, 71501054, 71573071]</t>
  </si>
  <si>
    <t>We would like to thank Ms Jingjing Li for her insightful comments on an earlier version of this manuscript. This research is partially supported in the collection, analysis and interpretation of data by the National Natural Science Foundation of China under Grant Nos. 71771077, 71771075, 71501054, and 71573071.</t>
  </si>
  <si>
    <t>IVYSPRING INT PUBL</t>
  </si>
  <si>
    <t>LAKE HAVEN</t>
  </si>
  <si>
    <t>PO BOX 4546, LAKE HAVEN, NSW 2263, AUSTRALIA</t>
  </si>
  <si>
    <t>1837-9664</t>
  </si>
  <si>
    <t>J CANCER</t>
  </si>
  <si>
    <t>J. Cancer</t>
  </si>
  <si>
    <t>10.7150/jca.32739</t>
  </si>
  <si>
    <t>IB2HC</t>
  </si>
  <si>
    <t>WOS:000470089300007</t>
  </si>
  <si>
    <t>Wilmart, R; Garone, E; Innocenti, B</t>
  </si>
  <si>
    <t>Wilmart, R.; Garone, E.; Innocenti, B.</t>
  </si>
  <si>
    <t>The use of robotics devices in knee rehabilitation: a critical review</t>
  </si>
  <si>
    <t>MLTJ-MUSCLES LIGAMENTS AND TENDONS JOURNAL</t>
  </si>
  <si>
    <t>Biomechanics; Continuous Passive Motion (CPM); Exoskeletons; Gait-trainers; Self-aligning; Therapeutic Exercise Machines</t>
  </si>
  <si>
    <t>CONTINUOUS PASSIVE MOTION; GAIT; ARTHROPLASTY; EXOSKELETON; DESIGN; THERAPY; STROKE; TREADMILL; ORTHOSIS; EFFICACY</t>
  </si>
  <si>
    <t>Knee surgery is a common procedure to treat cartilage defects, soft tissue lesions as cruciate ligaments (ACL/PCL), and osteoarthritis with total or unicondylar knee arthroplasty. After knee surgery, every patient undergoes a long period of rehabilitation (typically from 6 weeks to 6 months) consisting of long sessions of physiotherapy and medical training therapy carried out by qualified personnel. This procedure is long and expensive, and may cause work-related pathologies to physiotherapists. Fortunately, it is generally agreed that robotics may benefit to both patients and physiotherapists due to its ability to repeat tasks with accuracy and its potential to measure the progress of the rehabilitation. This paper aims at providing a critical review of the different proposed robotic solutions and the associated rehabilitation techniques for the knee in particular and for the lower limb in general, with the sake of highlighting the pros and cons and to identify possible promising directions of research.</t>
  </si>
  <si>
    <t>[Wilmart, R.; Garone, E.] Univ Libre Bruxelles, SAAS Dept, Brussels, Belgium; [Innocenti, B.] Univ Libre Bruxelles, BEAMS Dept, Brussels, Belgium</t>
  </si>
  <si>
    <t>Universite Libre de Bruxelles; Universite Libre de Bruxelles</t>
  </si>
  <si>
    <t>Innocenti, B (corresponding author), Univ Libre Bruxelles, BEAMS Dept Bio Electro &amp; Mech Syst, Av F Roosevelt 50, B-1050 Brussels, Belgium.</t>
  </si>
  <si>
    <t>bernardo.innocenti@ulb.ac.be</t>
  </si>
  <si>
    <t>Innocenti, Bernardo/J-1896-2018; Innocenti, Bernardo/B-8033-2009</t>
  </si>
  <si>
    <t>Innocenti, Bernardo/0000-0001-8992-8865; Garone, Emanuele/0000-0003-0419-8483</t>
  </si>
  <si>
    <t>EDRA SPA</t>
  </si>
  <si>
    <t>MILANO</t>
  </si>
  <si>
    <t>VIA G SPADOLINI, 7, MILANO, 20141, ITALY</t>
  </si>
  <si>
    <t>2240-4554</t>
  </si>
  <si>
    <t>MLTJ-MUSCLE LIGAMENT</t>
  </si>
  <si>
    <t>MLTJ-Muscles Ligaments Tendons J.</t>
  </si>
  <si>
    <t>10.32098/mltj.01.2019.07</t>
  </si>
  <si>
    <t>IE1QQ</t>
  </si>
  <si>
    <t>WOS:000472161000005</t>
  </si>
  <si>
    <t>Alwardat, M; Etoom, M; Al Dajah, S; Schirinzi, T; Di Lazzaro, G; Salimei, PS; Mercuri, NB; Pisani, A</t>
  </si>
  <si>
    <t>Alwardat, Mohammad; Etoom, Mohammad; Al Dajah, Salameh; Schirinzi, Tommaso; Di Lazzaro, Giulia; Salimei, Paola Sinibaldi; Mercuri, Nicola Biagio; Pisani, Antonio</t>
  </si>
  <si>
    <t>Effectiveness of robot-assisted gait training on motor impairments in people with Parkinson's disease: a systematic review and meta-analysis</t>
  </si>
  <si>
    <t>balance; gait; locomotor; meta-analysis; motor impairments; Parkinson's disease; physiotherapy; rehabilitation; robot-assisted gait training</t>
  </si>
  <si>
    <t>POSTURAL INSTABILITY; EXERCISE; BALANCE; GASTROCNEMIUS; SUPERIOR; SYMPTOMS; THERAPY; FALLS</t>
  </si>
  <si>
    <t>The aim of this systematic review and meta-analysis was to evaluate the effectiveness of robot-assisted gait training (RAGT) on motor impairments in people with Parkinson's disease (PD). A computer-based systematic literature search was performed in six databases according to PRISMA guidelines. Randomized controlled trials (RCTs) that assessed the effects of RAGT on motor impairments in people with PD were included. GRADE approach and PEDro scale were used to determine the studies' quality of evidence. Meta-analyses were performed by calculating the weighted mean difference (WMD) at 95% confidence interval. Seven RCTs (PEDro: 5-8) met the inclusion criteria for systematic review and meta-analyses. The meta-analysis showed significant improvement on Unified Parkinson Disease Rating Scale Part III after intervention [WMD=3.292; 95% confidence interval (CI)=1.378-5.207; P=0.000], and after 1-month follow-up (WMD=5.512; 95% CI=2.396-8.629; P=0.001). Stride length (WMD=9.283; 95% CI=7.153-11.414; P=0.00) and gait speed (WMD=0.166; 95% CI=-0.090 to 0.243; P=0.000) showed significant improvements after RAGT. Balance as measured by Berg Balance Scale was improved significantly after intervention (WMD=3.87; 95% CI=0.374-6.735; P=0.029) and at 1-month follow-up (WMD=3.87; 95% CI=1.324-6.413; P=0.002). The pooled analysis did not detect any significant changes regarding stride time, cadence and functional balance scales. GRADE level of evidence ranged between high and low. The RAGT showed better outcomes than conventional interventions on some motor aspects in PD. However, RAGT did not seem superior to control interventions. Further RCTs that examine the effect of RAGT on more specific outcomes and at different medication statuses are required.</t>
  </si>
  <si>
    <t>[Alwardat, Mohammad; Schirinzi, Tommaso; Di Lazzaro, Giulia; Mercuri, Nicola Biagio; Pisani, Antonio] Univ Roma Tor Vergata, Dept Syst Med, Rome, Italy; [Alwardat, Mohammad; Mercuri, Nicola Biagio; Pisani, Antonio] Univ Roma Tor Vergata, Neurosci PhD Sch, Rome, Italy; [Salimei, Paola Sinibaldi] Univ Roma Tor Vergata, Dept Biomed &amp; Prevent, Rome, Italy; [Schirinzi, Tommaso] Bambino Gesu Children Hosp, Dept Neurosci, Rome, Italy; [Mercuri, Nicola Biagio; Pisani, Antonio] IRCSS Fdn Santa Lucia, Rome, Italy; [Etoom, Mohammad; Al Dajah, Salameh] Al Isra Univ, Dept Phys Therapy, Amman, Jordan</t>
  </si>
  <si>
    <t>University of Rome Tor Vergata; University of Rome Tor Vergata; University of Rome Tor Vergata; IRCCS Bambino Gesu; IRCCS Santa Lucia; Isra University</t>
  </si>
  <si>
    <t>Alwardat, M (corresponding author), Univ Roma Tor Vergata, Neurosci PhD Sch, Fac Med &amp; Surg, Via Montpellier 1, I-00133 Rome, Italy.</t>
  </si>
  <si>
    <t>Mercuri, Nicola/K-5348-2016; Etoom, Mohammad/AAX-3163-2021; di lazzaro, giulia/AAC-7866-2022; Schirinzi, Tommaso/J-4596-2018; Al-Wardat, Mohammad/J-8462-2019</t>
  </si>
  <si>
    <t>Etoom, Mohammad/0000-0002-5607-1030; Al-Wardat, Mohammad/0000-0003-2106-4524; Di Lazzaro, Giulia/0000-0003-2413-1788</t>
  </si>
  <si>
    <t>10.1097/MRR.0000000000000312</t>
  </si>
  <si>
    <t>HA7AH</t>
  </si>
  <si>
    <t>WOS:000450432600002</t>
  </si>
  <si>
    <t>Fu, J; Wang, YN; Li, X; Yu, BZ; Ni, M; Chai, W; Hao, LB; Chen, JY</t>
  </si>
  <si>
    <t>Fu, Jun; Wang, Yuning; Li, Xiang; Yu, Baozhan; Ni, Ming; Chai, Wei; Hao, Libo; Chen, Jiying</t>
  </si>
  <si>
    <t>Robot-assisted vs. conventional unicompartmental knee arthroplasty: Systematic review and meta-analysis</t>
  </si>
  <si>
    <t>ORTHOPADE</t>
  </si>
  <si>
    <t>Orthopedic surgery; Comparative study; Randomized controlled trial; Adverse events; Implant</t>
  </si>
  <si>
    <t>ACCURACY; REPLACEMENT; PROSTHESIS; REGISTRY; FAILURE</t>
  </si>
  <si>
    <t>Numerous advances have been made in prosthesis design, instrumentation and postoperative rehabilitation for unicompartmental knee arthroplasty; however, only 70-86% of patients are satisfied with the functional outcome and revision rates range between 10% and 20%. The primary outcome for this meta-analysis was implantation accuracy of component positioning and tibiofemoral component safe zone. Atotal of three randomized controlled trials (RCT), three quasi-RCTs and one prospective trial were included in this review. It was found that the use of robotic-assisted systems reduces implantation errors without an increase in adverse events. There are only a few reports about clinical outcome and long-term follow-up and whether the more accurate component positioning results in abetter clinical effect or abetter long-term survival of the implants is unknown. ZusammenfassungTrotz vieler Fortschritte bezuglich des Prothesendesigns, Instrumentariums und der postoperativen Rehabilitation bei unikompartimentaren Knieendoprothesen sind nur 70-86% der Patienten mit dem funktionellen Outcome zufrieden; die Revisionsraten liegen zwischen 10% und 20%. Das primare Outcome dieser Metaanalyse war die Genauigkeit der Positionierung von Komponenten bei Implantation sowie die Sicherheitszone bei tibiofemoralen Komponenten. Insgesamt 3randomisierte kontrollierte Studien (RCT), drei Quasi-RCT und eine prospektive Studie wurden in diesen Review eingeschlossen. Es wurde festgestellt, dass die Verwendung roboterassistierter Systeme die Implantationsfehler reduziert, ohne dass die Zahl der unerwunschten Ereignisse steigt. Hinsichtlich des klinischen Outcomes und Langzeit-Follow-up liegen nur wenige Berichte vor. Ob eine genauere Positionierung der Komponenten bessere klinische Effekt oder eine langere Langzeithaltbarkeit der Implantate erzielt, ist unbekannt.</t>
  </si>
  <si>
    <t>[Fu, Jun; Li, Xiang; Yu, Baozhan; Ni, Ming; Chai, Wei; Hao, Libo; Chen, Jiying] Chinese Peoples Liberat Army Gen Hosp, Hosp 301, Dept Orthopaed, 28 Fuxing Rd, Beijing 100853, Peoples R China; [Wang, Yuning] Chinese Peoples Liberat Army Gen Hosp, Hosp 301, Clin Dept Surg, Beijing, Peoples R China</t>
  </si>
  <si>
    <t>Chinese People's Liberation Army General Hospital; Chinese People's Liberation Army General Hospital</t>
  </si>
  <si>
    <t>Chen, JY (corresponding author), Chinese Peoples Liberat Army Gen Hosp, Hosp 301, Dept Orthopaed, 28 Fuxing Rd, Beijing 100853, Peoples R China.</t>
  </si>
  <si>
    <t>jiyingchen_301@163.com</t>
  </si>
  <si>
    <t>Wang, Yuning/NHQ-7595-2025; Hao, Li/AAY-3842-2021</t>
  </si>
  <si>
    <t>Fu, Jun/0000-0002-8692-6810</t>
  </si>
  <si>
    <t>Translational Medicine Project of Chinese People's Liberation Army General Hospital [2016TM-004]</t>
  </si>
  <si>
    <t>Translational Medicine Project of Chinese People's Liberation Army General Hospital</t>
  </si>
  <si>
    <t>This work was supported by the Translational Medicine Project of Chinese People's Liberation Army General Hospital (2016TM-004).</t>
  </si>
  <si>
    <t>0085-4530</t>
  </si>
  <si>
    <t>1433-0431</t>
  </si>
  <si>
    <t>Orthopade</t>
  </si>
  <si>
    <t>10.1007/s00132-018-3604-x</t>
  </si>
  <si>
    <t>HB7ZE</t>
  </si>
  <si>
    <t>WOS:000451301000006</t>
  </si>
  <si>
    <t>Lin, DJ; Finklestein, SP; Cramer, SC</t>
  </si>
  <si>
    <t>Lin, David J.; Finklestein, Seth P.; Cramer, Steven C.</t>
  </si>
  <si>
    <t>New Directions in Treatments Targeting Stroke Recovery</t>
  </si>
  <si>
    <t>brain; clinical trials; rehabilitation; stroke; therapeutics</t>
  </si>
  <si>
    <t>CONSTRAINT-INDUCED MOVEMENT; ROBOT-ASSISTED THERAPY; TRANSCRANIAL MAGNETIC STIMULATION; UPPER-LIMB IMPAIRMENT; MOTOR RECOVERY; FUNCTIONAL RECOVERY; DOUBLE-BLIND; RANDOMIZED-TRIAL; STEM-CELLS; REHABILITATION</t>
  </si>
  <si>
    <t>[Lin, David J.] Massachusetts Gen Hosp, Ctr Neurotechnol &amp; Neurorecovery, Dept Neurol, Div Neurocrit Care &amp; Emergency Neurol, Boston, MA 02114 USA; [Finklestein, Seth P.] Massachusetts Gen Hosp, Dept Neurol, Stroke Serv, Boston, MA 02114 USA; [Cramer, Steven C.] Univ Calif Irvine, Dept Neurol, Irvine, CA 92717 USA</t>
  </si>
  <si>
    <t>Harvard University; Harvard University Medical Affiliates; Massachusetts General Hospital; Harvard University; Harvard University Medical Affiliates; Massachusetts General Hospital; University of California System; University of California Irvine</t>
  </si>
  <si>
    <t>Cramer, SC (corresponding author), Univ Calif Irvine, 843 Hlth Sci Rd,Hewitt Hall, Irvine, CA 92697 USA.</t>
  </si>
  <si>
    <t>scramer@uci.edu</t>
  </si>
  <si>
    <t>National Institutes of Health [R25NS065743, R44NS095381, K24HD074722]</t>
  </si>
  <si>
    <t>This work was supported by grants from the National Institutes of Health (R25NS065743, R44NS095381, and K24HD074722).</t>
  </si>
  <si>
    <t>10.1161/STROKEAHA.118.021359</t>
  </si>
  <si>
    <t>HI4NO</t>
  </si>
  <si>
    <t>Green Accepted, Green Published, Bronze</t>
  </si>
  <si>
    <t>WOS:000456427700060</t>
  </si>
  <si>
    <t>Grosu, S; De Rijcke, L; Grosu, V; Geeroms, J; Vanderboght, B; Lefeber, D; Rodriguez-Guerrero, C</t>
  </si>
  <si>
    <t>Grosu, Svetlana; De Rijcke, Laura; Grosu, Victor; Geeroms, Joost; Vanderboght, Bram; Lefeber, Dirk; Rodriguez-Guerrero, Carlos</t>
  </si>
  <si>
    <t>Driving Robotic Exoskeletons Using Cable-Based Transmissions: A Qualitative Analysis and Overview</t>
  </si>
  <si>
    <t>APPLIED MECHANICS REVIEWS</t>
  </si>
  <si>
    <t>HAND EXOSKELETON; POWERED EXOSKELETON; ACTUATION SYSTEM; DESIGN; REHABILITATION; FORCE; MECHANISMS; GAIT; COMPENSATION; LIGHTWEIGHT</t>
  </si>
  <si>
    <t>Wearable robotics is a field receiving increasing attention from the scientific community. It has great potential to improve rehabilitation process or increase the human capabilities but faces a number of challenges. On the one side, powerful actuation is required, leading to considerable system weight. On the other side, due to the close physical interaction with a human and taking into consideration safety requirements, the displacement of the actuators is crucial to the operational efficiency and functionality of exoskeleton devices. One possible solution for the design of an operational and efficient wearable device is to relocate its actuators out of joints and transmit the force by means of cable-based transmission systems. This paper presents an overview of various cable-based configurations correlated to conventional mechanical designs and their implementation in exoskeleton's structures and an overview of exoskeleton robots including comparison and trend analyses.</t>
  </si>
  <si>
    <t>[Grosu, Svetlana; De Rijcke, Laura; Grosu, Victor; Geeroms, Joost; Vanderboght, Bram; Lefeber, Dirk; Rodriguez-Guerrero, Carlos] VUB, Dept MECH Engn, Pl Laan 2, B-1050 Brussels, Belgium; [Grosu, Svetlana] Flanders Make, B-3920 Lommel, Belgium</t>
  </si>
  <si>
    <t>Vrije Universiteit Brussel</t>
  </si>
  <si>
    <t>Grosu, S (corresponding author), VUB, Dept MECH Engn, Pl Laan 2, B-1050 Brussels, Belgium.;Grosu, S (corresponding author), Flanders Make, B-3920 Lommel, Belgium.</t>
  </si>
  <si>
    <t>sgrosu@vub.be; laderi@hotmail.com; vgrosu@vub.be; joost.geeroms@vub.be; carlos.rodriguez.guerrero@vub.be</t>
  </si>
  <si>
    <t>Lefeber, Dirk/B-2881-2009; Rodriguez-Guerrero, Carlos/ABF-2669-2021</t>
  </si>
  <si>
    <t>Lefeber, Dirk/0000-0003-4442-4473; Grosu, Victor/0000-0002-3386-0811; Rodriguez-Guerrero, Carlos/0000-0002-0297-9748</t>
  </si>
  <si>
    <t>Research Foundation-Flanders (FWO) SBO-E [S000118N]; Flanders Make</t>
  </si>
  <si>
    <t>Research Foundation-Flanders (FWO) SBO-E(FWO); Flanders Make</t>
  </si>
  <si>
    <t>Flanders Make and the Research Foundation-Flanders (FWO) SBO-E (Grant No. S000118N), Exo4Work-Wearable Robotic Upper Body Exoskeleton for Workers.</t>
  </si>
  <si>
    <t>ASME</t>
  </si>
  <si>
    <t>TWO PARK AVE, NEW YORK, NY 10016-5990 USA</t>
  </si>
  <si>
    <t>0003-6900</t>
  </si>
  <si>
    <t>2379-0407</t>
  </si>
  <si>
    <t>APPL MECH REV</t>
  </si>
  <si>
    <t>Appl. Mech. Rev.</t>
  </si>
  <si>
    <t>10.1115/1.4042399</t>
  </si>
  <si>
    <t>Mechanics</t>
  </si>
  <si>
    <t>HL2DA</t>
  </si>
  <si>
    <t>WOS:000458512200001</t>
  </si>
  <si>
    <t>Shakti, D; Mathew, L; Kumar, N; Kataria, C</t>
  </si>
  <si>
    <t>Shakti, Divya; Mathew, Lini; Kumar, Neelesh; Kataria, Chitra</t>
  </si>
  <si>
    <t>Effectiveness of robo-assisted lower limb rehabilitation for spastic patients: A systematic review</t>
  </si>
  <si>
    <t>BIOSENSORS &amp; BIOELECTRONICS</t>
  </si>
  <si>
    <t>Central Nervous System (CNS); Spasticity; Dorsiflexion (DF); Plantar Flexion (PF); Active Ankle Foot Orthosis(AAFO)</t>
  </si>
  <si>
    <t>ANKLE-FOOT ORTHOSIS; NEUROMUSCULAR ELECTRICAL-STIMULATION; MOTOR RELEARNING PROGRAM; STROKE PATIENTS; GAIT; DROP; DORSIFLEXION; PERFORMANCE; VIBRATION; WALKING</t>
  </si>
  <si>
    <t>Background: Though many rehabilitative treatments are available for treatment of spasticity, thus the effectiveness of different robo-rehabilitative devices needs to be evaluated through a systematic review. Objective: The objective of this study is to focuses on the efficacy of Robot assistive rehabilitation device for the removal of spasticity from the lower limb of Spastic patients. Data Sourcessources: PubMed, Web of Sciences, EMBASE (Excerpta Medical database), CDSR (Cochrane database of systematic reviews), Scopus, IEEE Xplore, Wiley online library, MEDLINE (OvidSP), Science Direct, Springer Link were from January 1980 to September 2017 Data Extractionextraction: Seventy-one publications from eleven databases published were selected using keywords Ankle foot, spasticity, robotic rehabilitation, efficacy of robotics and Ankle foot rehabilitation. The review is narrowed down to twenty-six articles which were selected for they focused on effects of Robot assistive rehabilitation device quantitatively. Result A quantitative study from analyzing 26 studies comprising of 786 subjects is carried out. The major outcome of the effectiveness of the robot assistive therapy for the movement of ankle and functioning of gait is deduced. As the used protocols and treatment procedures vary, made comparative study complex or impracticable. Conclusion: Robo-rehabilitation possesses an ability to provide unified therapy protocols with greater ease in comparison to conventional therapies. They continuously prove to be irreplaceable assistant devices when it comes to providing excellent treatment in terms of improvement from this study. Though many mechatronic devices are available but the devices for treatment of early stage rehabilitation of stroke patients is very limited.</t>
  </si>
  <si>
    <t>[Shakti, Divya; Mathew, Lini] Natl Inst Tech Teachers Training &amp; Res, Dept Elect Engn, Chandigarh, India; [Kumar, Neelesh] Cent Sci Instruments Org, Biomed Instrumentat Div, Chandigarh, India; [Kataria, Chitra] Indian Spinal Injuries Ctr, Dept Rehabil Serv, New Delhi, India</t>
  </si>
  <si>
    <t>National Institute of Technical Teachers Training &amp; Research, Chandigarh; Council of Scientific &amp; Industrial Research (CSIR) - India; CSIR - Central Scientific Instruments Organisation (CSIO)</t>
  </si>
  <si>
    <t>Shakti, D (corresponding author), Natl Inst Tech Teachers Training &amp; Res, Dept Elect Engn, Chandigarh, India.</t>
  </si>
  <si>
    <t>goeldivyashakti@gmail.com</t>
  </si>
  <si>
    <t>Shakti, Divya/0000-0001-7471-8662</t>
  </si>
  <si>
    <t>National Institute of Technical Teachers Training and Research, Chandigarh; Council of Scientific and Industrial Research Central Scientific Instruments Organization, Chandigarh</t>
  </si>
  <si>
    <t>This paper is supported by Prof. S. S. Pattnaik, Director National Institute of Technical Teachers Training and Research, Chandigarh and Prof. R. K. Sinha, Director Council of Scientific and Industrial Research Central Scientific Instruments Organization, Chandigarh.</t>
  </si>
  <si>
    <t>ELSEVIER ADVANCED TECHNOLOGY</t>
  </si>
  <si>
    <t>OXFORD FULFILLMENT CENTRE THE BOULEVARD, LANGFORD LANE, KIDLINGTON, OXFORD OX5 1GB, OXON, ENGLAND</t>
  </si>
  <si>
    <t>0956-5663</t>
  </si>
  <si>
    <t>1873-4235</t>
  </si>
  <si>
    <t>BIOSENS BIOELECTRON</t>
  </si>
  <si>
    <t>Biosens. Bioelectron.</t>
  </si>
  <si>
    <t>10.1016/j.bios.2018.06.027</t>
  </si>
  <si>
    <t>Biophysics; Biotechnology &amp; Applied Microbiology; Chemistry, Analytical; Electrochemistry; Nanoscience &amp; Nanotechnology</t>
  </si>
  <si>
    <t>Biophysics; Biotechnology &amp; Applied Microbiology; Chemistry; Electrochemistry; Science &amp; Technology - Other Topics</t>
  </si>
  <si>
    <t>GR0GH</t>
  </si>
  <si>
    <t>WOS:000442191900049</t>
  </si>
  <si>
    <t>Manna, SK; Dubey, VN</t>
  </si>
  <si>
    <t>Manna, Soumya K.; Dubey, Venketesh N.</t>
  </si>
  <si>
    <t>Comparative study of actuation systems for portable upper limb exoskeletons</t>
  </si>
  <si>
    <t>Exoskeleton; Actuator; Stroke; Rehabilitation; Portable; Safety</t>
  </si>
  <si>
    <t>VARIABLE STIFFNESS ACTUATOR; ROBOT-ASSISTED THERAPY; POWERED ORTHOSIS; REHABILITATION; DESIGN; FORCE; SAFE; MOVEMENT; SUPPORT; DRIVEN</t>
  </si>
  <si>
    <t>During the last two decades, a large variety of upper limb exoskeletons have been developed. Out of these, majority are platform based systems which might be the reason for not being widely adopted for post-stroke rehabilitation. Despite the potential benefits of platform-based exoskeletons as being rugged and reliable, stroke patients prefer to have a portable and user-friendly device that they can take home. However, the types of actuator as well as the actuation mechanism used in the exoskeleton are the inhibiting factors why portable exoskeletons are mostly non-existent for patient use. This paper presents a quantitative analysis of the actuation systems available for developing portable upper arm exoskeletons with their specifications. Finally, it has been concluded from this research that there are not many stand-alone arm exoskeletons which can provide all forms of rehabilitation, therefore, a generic solution has been proposed as the rehabilitation strategy to get best out of the portable arm exoskeletons. (C) 2018 IPEM. Published by Elsevier Ltd. All rights reserved.</t>
  </si>
  <si>
    <t>[Manna, Soumya K.; Dubey, Venketesh N.] Bournemouth Univ, Fac Sci &amp; Technol, Talbot Campus, Poole BH12 5BB, Dorset, England</t>
  </si>
  <si>
    <t>Bournemouth University</t>
  </si>
  <si>
    <t>Dubey, VN (corresponding author), Bournemouth Univ, Fac Sci &amp; Technol, Talbot Campus, Poole BH12 5BB, Dorset, England.</t>
  </si>
  <si>
    <t>smanna@bournemouth.ac.uk; vdubey@bmth.ac.uk</t>
  </si>
  <si>
    <t>Manna, Soumya/ACS-0829-2022</t>
  </si>
  <si>
    <t>Dubey, Venketesh/0000-0001-6327-711X; Manna, Soumya Kanti/0000-0003-2622-1963</t>
  </si>
  <si>
    <t>10.1016/j.medengphy.2018.07.017</t>
  </si>
  <si>
    <t>HE7UK</t>
  </si>
  <si>
    <t>WOS:000453645300001</t>
  </si>
  <si>
    <t>Moltedo, M; Bacek, T; Verstraten, T; Rodriguez-Guerrero, C; Vanderborght, B; Lefeber, D</t>
  </si>
  <si>
    <t>Moltedo, Marta; Bacek, Tomislav; Verstraten, Tom; Rodriguez-Guerrero, Carlos; Vanderborght, Bram; Lefeber, Dirk</t>
  </si>
  <si>
    <t>Powered ankle-foot orthoses: the effects of the assistance on healthy and impaired users while walking</t>
  </si>
  <si>
    <t>Powered ankle-foot orthosis; Robotics; Orthotics; Gait; Wearable robots</t>
  </si>
  <si>
    <t>TO-STEP TRANSITIONS; EXOSKELETON PLANTARFLEXION ASSISTANCE; ARTIFICIAL PNEUMATIC MUSCLES; ROBOTIC EXOSKELETONS; STROKE SURVIVORS; MECHANICAL WORK; METABOLIC COST; GAIT; ENERGETICS; REHABILITATION</t>
  </si>
  <si>
    <t>In the last two decades, numerous powered ankle-foot orthoses have been developed. Despite similar designs and control strategies being shared by some of these devices, their performance in terms of achieving a comparable goal varies. It has been shown that the effect of powered ankle-foot orthoses on healthy users is altered by some factors of the testing protocol. This paper provides an overview of the effect of powered walking on healthy and weakened users. It identifies a set of key factors influencing the performance of powered ankle-foot orthoses, and it presents the effects of these factors on healthy subjects, highlighting the similarities and differences of the results obtained in different works. Furthermore, the outcomes of studies performed on elderly and impaired subjects walking with powered ankle-foot orthoses are compared, to outline the effects of powered walking on these users. This article shows that several factors mutually influence the performance of powered ankle-foot orthoses on their users and, for this reason, the determination of their effects on the user is not straightforward. One of the key factors is the adaptation of users to provided assistance. This factor is very important for the assessment of the effects of powered ankle-foot orthoses on users, however, it is not always reported by studies. Moreover, future works should report, together with the results, the list of influencing factors used in the protocol, to facilitate the comparison of the obtained results. This article also underlines the need for a standardized method to benchmark the actuators of powered ankle-foot orthoses, which would ease the comparison of results between the performed studies. In this paper, the lack of studies on elderly and impaired subjects is highlighted. The insufficiency of these studies makes it difficult to assess the effects of powered ankle-foot orthoses on these users. To summarize, this article provides a detailed overview of the work performed on powered ankle-foot orthoses, presenting and analyzing the results obtained, but also emphasizing topics on which more research is still required.</t>
  </si>
  <si>
    <t>[Moltedo, Marta] Vrije Univ Brussel, Dept Mech Engn, R&amp;MM Res Grp, Pl Laan 2, B-1050 Brussels, Belgium; Vrije Univ Brussel, Flanders Make, Pl Laan 2, B-1050 Brussels, Belgium</t>
  </si>
  <si>
    <t>Vrije Universiteit Brussel; Vrije Universiteit Brussel</t>
  </si>
  <si>
    <t>Moltedo, M (corresponding author), Vrije Univ Brussel, Dept Mech Engn, R&amp;MM Res Grp, Pl Laan 2, B-1050 Brussels, Belgium.</t>
  </si>
  <si>
    <t>marta.moltedo@vub.be</t>
  </si>
  <si>
    <t>Lefeber, Dirk/B-2881-2009; Vanderborght, Bram/A-1599-2008; Bacek, Tomislav/MBG-5986-2025; Verstraten, Tom/MIT-8095-2025; Rodriguez-Guerrero, Carlos/ABF-2669-2021</t>
  </si>
  <si>
    <t>Moltedo, Marta/0000-0001-9907-3418; Bacek, Tomislav/0000-0001-9875-6997; Lefeber, Dirk/0000-0003-4442-4473; Verstraten, Tom/0000-0001-7398-5398; Rodriguez-Guerrero, Carlos/0000-0002-0297-9748</t>
  </si>
  <si>
    <t>European Commission's 7th Framework Program as part of the project BioMot [IFP7-ICT-2013-10-611695]; Flemish agency for Innovation by Science and Technology as part of the project MIRAD [120057]; Academy of Finland (AKA) [120057] Funding Source: Academy of Finland (AKA)</t>
  </si>
  <si>
    <t>European Commission's 7th Framework Program as part of the project BioMot; Flemish agency for Innovation by Science and Technology as part of the project MIRAD; Academy of Finland (AKA)(Research Council of Finland)</t>
  </si>
  <si>
    <t>The work was partly supported by the European Commission's 7th Framework Program as part of the project BioMot [grant number IFP7-ICT-2013-10-611695] and by the Flemish agency for Innovation by Science and Technology as part of the project MIRAD [grant number 120057]. None of the funding bodies had any role in the writing of the manuscript.</t>
  </si>
  <si>
    <t>OCT 1</t>
  </si>
  <si>
    <t>10.1186/s12984-018-0424-5</t>
  </si>
  <si>
    <t>GV8CY</t>
  </si>
  <si>
    <t>WOS:000446364700001</t>
  </si>
  <si>
    <t>Sohn, JW; Kim, GW; Choi, SB</t>
  </si>
  <si>
    <t>Sohn, Jung Woo; Kim, Gi-Woo; Choi, Seung-Bok</t>
  </si>
  <si>
    <t>A State-of-the-Art Review on Robots and Medical Devices Using Smart Fluids and Shape Memory Alloys</t>
  </si>
  <si>
    <t>smart materials; actuators; robots; electro-rheological fluids; magneto-rheological fluids; shape memory alloys; medical devices; rehabilitation system</t>
  </si>
  <si>
    <t>POSITION CONTROL; LEG-ROBOT; ACTUATOR; DESIGN; CLUTCH</t>
  </si>
  <si>
    <t>Over the last two decades, smart materials have received significant attention over a broad range of engineering applications because of their unique and inherent characteristics for actuating and sensing aspects. In this review article, recent research works on various robots, medical devices and rehabilitation mechanisms whose main functions are activated by smart materials are introduced and discussed. Among many smart materials, electro-rheological fluids, magneto-rheological fluids, and shape memory alloys are considered since there are mostly appropriate application candidates for the robot and medical devices. Many different types of robots proposed to date, such as parallel planar robots, are investigated focusing on design configuration and operating principles. In addition, specific mechanism and operating principles of medical devices and rehabilitation systems are introduced and commented in terms of practical realization.</t>
  </si>
  <si>
    <t>[Sohn, Jung Woo] Kumoh Natl Inst Technol, Dept Mech Design Engn, Gumi 39177, South Korea; [Kim, Gi-Woo; Choi, Seung-Bok] Inha Univ, Dept Mech Engn, Incheon 22212, South Korea</t>
  </si>
  <si>
    <t>Kumoh National University Technology; Inha University</t>
  </si>
  <si>
    <t>Choi, SB (corresponding author), Inha Univ, Dept Mech Engn, Incheon 22212, South Korea.</t>
  </si>
  <si>
    <t>jwsohn@kumoh.ac.kr; gwkim@inha.ac.kr; seungbok@inha.ac.kr</t>
  </si>
  <si>
    <t>Choi, Seung/G-6922-2011; Sohn, Jung/K-4567-2012</t>
  </si>
  <si>
    <t>INHA IST-NASA Deep Space Exploration Joint Research Center [NRF-2017K1A4A3013662]</t>
  </si>
  <si>
    <t>INHA IST-NASA Deep Space Exploration Joint Research Center</t>
  </si>
  <si>
    <t>This research was funded by INHA IST-NASA Deep Space Exploration Joint Research Center (NRF-2017K1A4A3013662).</t>
  </si>
  <si>
    <t>10.3390/app8101928</t>
  </si>
  <si>
    <t>GY5WG</t>
  </si>
  <si>
    <t>WOS:000448653700223</t>
  </si>
  <si>
    <t>Gorgey, AS</t>
  </si>
  <si>
    <t>Gorgey, Ashraf S.</t>
  </si>
  <si>
    <t>Robotic exoskeletons: The current pros and cons</t>
  </si>
  <si>
    <t>Spinal cord injury; Exoskeleton; Robotics; Rehabilitation; Locomotion</t>
  </si>
  <si>
    <t>SPINAL-CORD-INJURY; TIME PHYSICAL-ACTIVITY; PEOPLE; BONE; RISK; POPULATION; PREVENTION; DISEASE</t>
  </si>
  <si>
    <t>Robotic exoskeletons have emerged as rehabilitation tool that may ameliorate several of the existing healthrelated consequences after spinal cord injury (SCI). However, evidence to support its clinical application is still lacking considering their prohibitive cost. The current mini-review is written to highlight the main limitations and potential benefits of using exoskeletons in the rehabilitation of persons with SCI. We have recognized two main areas relevant to the design of exoskeletons and to their applications on major health consequences after SCI. The design prospective refers to safety concerns, fitting time and speed of exoskeletons. The health prospective refers to factors similar to body weight, physical activity, pressure injuries and bone health. Clinical trials are currently underway to address some of these limitations and to maximize the benefits in rehabilitation settings. Future directions highlight the need to use exoskeletons in conjunction with other existing and emerging technologies similar to functional electrical stimulation and brain-computer interface to address major limitations. Exoskeletons have the potential to revolutionize rehabilitation following SCI; however, it is still premature to make solid recommendations about their clinical use after SCI.</t>
  </si>
  <si>
    <t>[Gorgey, Ashraf S.] Hunter Holmes McGuire VAMC, Spinal Cord Injury &amp; Disorders Ctr, 1201 Broad Rock Blvd, Richmond, VA 23249 USA; [Gorgey, Ashraf S.] Virginia Commonwealth Univ, Dept Phys Med &amp; Rehabil, Richmond, VA 23249 USA</t>
  </si>
  <si>
    <t>Hunter Holmes McGuire Veterinary Affairs Medical Center; Virginia Commonwealth University</t>
  </si>
  <si>
    <t>Gorgey, AS (corresponding author), Hunter Holmes McGuire VAMC, Spinal Cord Injury &amp; Disorders Ctr, 1201 Broad Rock Blvd, Richmond, VA 23249 USA.</t>
  </si>
  <si>
    <t>ashraf.gorgey@va.gov</t>
  </si>
  <si>
    <t>Gorgey, Ashraf/I-5455-2019</t>
  </si>
  <si>
    <t>Gorgey, Asrhaf/0000-0002-9157-6034</t>
  </si>
  <si>
    <t>8226 REGENCY DR, PLEASANTON, CA 94588 USA</t>
  </si>
  <si>
    <t>10.5312/wjo.v9.i9.112</t>
  </si>
  <si>
    <t>GU2KK</t>
  </si>
  <si>
    <t>Green Published, hybrid, Green Submitted</t>
  </si>
  <si>
    <t>WOS:000445098100001</t>
  </si>
  <si>
    <t>Onose, G; Popescu, N; Munteanu, C; Ciobanu, V; Sporea, C; Mirea, MD; Daia, C; Andone, I; Spînu, A; Mirea, A</t>
  </si>
  <si>
    <t>Onose, Gelu; Popescu, Nirvana; Munteanu, Constantin; Ciobanu, Vlad; Sporea, Corina; Mirea, Marian-Daniel; Daia, Cristina; Andone, Ioana; Spinu, Aura; Mirea, Andrada</t>
  </si>
  <si>
    <t>Mobile Mechatronic/Robotic Orthotic Devices to Assist-Rehabilitate Neuromotor Impairments in the Upper Limb: A Systematic and Synthetic Review</t>
  </si>
  <si>
    <t>upper limb rehabilitation; robotic exoskeletons; mobile robotic orthotic devices; mechatronic wearable orthoses; systematic and synthetic review</t>
  </si>
  <si>
    <t>STROKE REHABILITATION; ROBOTIC EXOSKELETON; ADMITTANCE CONTROL; VIRTUAL-REALITY; DESIGN; THERAPY; ARM; IMPLEMENTATION; STIMULATION; TECHNOLOGY</t>
  </si>
  <si>
    <t>This paper overviews the state-of-the-art in upper limb robot-supported approaches, focusing on advancements in the related mechatronic devices for the patients' rehabilitation and/or assistance. Dedicated to the technical, comprehensively methodological and global effectiveness and improvement in this inter-disciplinary field of research, it includes information beyond the therapy administrated in clinical settings-but with no diminished safety requirements. Our systematic review, based on PRISMA guidelines, searched articles published between January 2001 and November 2017 from the following databases: Cochrane, Medline/PubMed, PMC, Elsevier, PEDro, and ISI Web of Knowledge/Science. Then we have applied a new innovative PEDro-inspired technique to classify the relevant articles. The article focuses on the main indications, current technologies, categories of intervention and outcome assessment modalities. It includes also, in tabular form, the main characteristics of the most relevant mobile (wearable and/or portable) mechatronic/robotic orthoses/exoskeletons prototype devices used to assist-rehabilitate neuromotor impairments in the upper limb.</t>
  </si>
  <si>
    <t>[Onose, Gelu; Daia, Cristina; Mirea, Andrada] Carol Davila Univ Med &amp; Pharm, Dept Phys &amp; Rehabil Med, Bucharest, Romania; [Onose, Gelu; Munteanu, Constantin; Daia, Cristina; Andone, Ioana; Spinu, Aura] Emergency Clin Hosp Bagdasar Arseni, Bucharest, Romania; [Popescu, Nirvana; Ciobanu, Vlad] Univ Politehn Bucuresti, Comp Sci Dept, Bucharest, Romania; [Sporea, Corina; Mirea, Marian-Daniel; Mirea, Andrada] Natl Teaching Ctr Neuropsyhomotor Rehabil Childre, Bucharest, Romania</t>
  </si>
  <si>
    <t>Carol Davila University of Medicine &amp; Pharmacy; National University of Science &amp; Technology POLITEHNICA Bucharest</t>
  </si>
  <si>
    <t>Onose, G (corresponding author), Carol Davila Univ Med &amp; Pharm, Dept Phys &amp; Rehabil Med, Bucharest, Romania.;Onose, G (corresponding author), Emergency Clin Hosp Bagdasar Arseni, Bucharest, Romania.</t>
  </si>
  <si>
    <t>geluonose@gmail.com</t>
  </si>
  <si>
    <t>Munteanu, Constantin/ACM-9541-2022; Spinu, Aura/AAE-1561-2021; Mirea, Andrada/LSL-6375-2024; Daia, Cristina/R-6294-2018; Onose, Gelu/AAC-6786-2021; Ioana, Andone/AAD-5933-2021; Ciobanu, Vlad/D-5072-2016; Munteanu, Constantin/F-4672-2011; Sporea, Corina/R-8074-2017</t>
  </si>
  <si>
    <t>Spinu, Aura/0000-0002-0823-1511; Onose, Gelu/0000-0002-6346-8941; Ciobanu, Vlad/0000-0001-5482-4046; Munteanu, Constantin/0000-0002-1084-7710; Sporea, Corina/0000-0003-3481-9690; Ioana, Andone/0000-0001-9720-7742</t>
  </si>
  <si>
    <t>10.3389/fnins.2018.00577</t>
  </si>
  <si>
    <t>GS6AK</t>
  </si>
  <si>
    <t>WOS:000443762100001</t>
  </si>
  <si>
    <t>Barry, DT</t>
  </si>
  <si>
    <t>Barry, Daniel T.</t>
  </si>
  <si>
    <t>Adaptation, Artificial Intelligence, and Physical Medicine and Rehabilitation</t>
  </si>
  <si>
    <t>MULTIPLE-HEN CAGES; GROUP SELECTION; EXOSKELETON; RESPONSES; INJURY; GAIT</t>
  </si>
  <si>
    <t>Adaptation, cooperation, and trust are at the center of rehabilitation. Artificial intelligence and robots enhance adaptation with guidance for movement, cues for sensation, control of environment, and improved situational awareness. That said, how do we decide to trust complex technologies that might seek personal information or control dangerous equipment?</t>
  </si>
  <si>
    <t>[Barry, Daniel T.] Denbar Robot, 46 Ashton Lane, S Hadley, MA 01075 USA</t>
  </si>
  <si>
    <t>Barry, DT (corresponding author), Denbar Robot, 46 Ashton Lane, S Hadley, MA 01075 USA.</t>
  </si>
  <si>
    <t>dbarry@denbarrobtics.com</t>
  </si>
  <si>
    <t>360 PARK AVE SOUTH, NEW YORK, NY 10010-1710 USA</t>
  </si>
  <si>
    <t>S131</t>
  </si>
  <si>
    <t>S143</t>
  </si>
  <si>
    <t>10.1016/j.pmrj.2018.04.013</t>
  </si>
  <si>
    <t>WOS:000445927400002</t>
  </si>
  <si>
    <t>Jakob, I; Kollreider, A; Germanotta, M; Benetti, F; Cruciani, A; Padua, L; Aprile, I</t>
  </si>
  <si>
    <t>Jakob, Iris; Kollreider, Alexander; Germanotta, Marco; Benetti, Filippo; Cruciani, Arianna; Padua, Luca; Aprile, Irene</t>
  </si>
  <si>
    <t>Robotic and Sensor Technology for Upper Limb Rehabilitation</t>
  </si>
  <si>
    <t>ASSISTED THERAPY; STROKE PATIENTS; IMPAIRMENT; TIME; COST</t>
  </si>
  <si>
    <t>Robotic and sensor-based neurologic rehabilitation for the upper limb is an established concept for motor learning and is recommended in many national guidelines. The complexity of the human hands and arms and the different activities of daily living are leading to an approach in which robotic and sensor-based devices are used in combination to fulfill the multiple requirements of this intervention. A multidisciplinary team of the Fondazione Don Carlo Gnocchi (FDG), an Italian nonprofit foundation, which spans across the entire Italian territory with 28 rehabilitation centers, developed a strategy for the implementation of robotic rehabilitation within the FDG centers. Using an ad hoc form developed by the team, 4 robotic and sensor-based devices were identified among the robotic therapy devices commercially available to treat the upper limb in a more comprehensive way (from the shoulder to the hand). Encouraging results from a pilot study, which compared this robotic approach with a conventional treatment, led to the deployment of the same set of robotic devices in 8 other FDG centers to start a multicenter randomized controlled trial. Efficiency and economic factors are just as important as clinical outcome. The comparison showed that robotic group therapy costs less than half per session in Germany than standard individual arm therapy with equivalent outcomes. To ensure access to high-quality therapy to the largest possible patient group and lower health care costs, robot-assisted group training is a likely option.</t>
  </si>
  <si>
    <t>[Jakob, Iris] Tyromot GmbH, Dept Res &amp; Innovat, Bahnhofgurtel 59, A-8020 Graz, Austria; [Kollreider, Alexander] Tyromotion GmbH, Graz, Austria; [Germanotta, Marco; Benetti, Filippo; Cruciani, Arianna; Padua, Luca; Aprile, Irene] IRCCS Fdn Don Carlo Gnocchi, Milan, Italy; [Padua, Luca] Univ Cattolica Sacro Cuore, Dept Geriatr Neurosci &amp; Orthopaed, Rome, Italy</t>
  </si>
  <si>
    <t>IRCCS Fondazione Don Carlo Gnocchi Onlus; Catholic University of the Sacred Heart; IRCCS Policlinico Gemelli</t>
  </si>
  <si>
    <t>Jakob, I (corresponding author), Tyromot GmbH, Dept Res &amp; Innovat, Bahnhofgurtel 59, A-8020 Graz, Austria.</t>
  </si>
  <si>
    <t>Iris.jakob@tyromotion.com</t>
  </si>
  <si>
    <t>Padua, Luca/K-5398-2016; Cruciani, Angelo/G-3465-2015; aprile, irene/AAC-4986-2022; Germanotta, Marco/J-3893-2018</t>
  </si>
  <si>
    <t>Germanotta, Marco/0000-0002-0747-831X; Jakob, Iris/0000-0002-4147-0880; Padua, Luca/0000-0003-2570-9326; Aprile, Irene/0000-0001-8123-9977</t>
  </si>
  <si>
    <t>European Commission FP7; Austrian Government FFG</t>
  </si>
  <si>
    <t>European Commission FP7(European Union (EU)European Commission Joint Research Centre); Austrian Government FFG</t>
  </si>
  <si>
    <t>grants, European Commission FP7, Austrian Government FFGgrants, European Commission FP7, Austrian Goverment FFG</t>
  </si>
  <si>
    <t>S189</t>
  </si>
  <si>
    <t>S197</t>
  </si>
  <si>
    <t>10.1016/j.pmrj.2018.07.011</t>
  </si>
  <si>
    <t>WOS:000445927400008</t>
  </si>
  <si>
    <t>Jiang, JY; Lee, KM; Ji, JJ</t>
  </si>
  <si>
    <t>Jiang, Jiaoying; Lee, Kok-Meng; Ji, Jingjing</t>
  </si>
  <si>
    <t>Review of anatomy-based ankle-foot robotics for mind, motor and motion recovery following stroke: design considerations and needs</t>
  </si>
  <si>
    <t>INTERNATIONAL JOURNAL OF INTELLIGENT ROBOTICS AND APPLICATIONS</t>
  </si>
  <si>
    <t>Rehabilitation devices; Ankle-foot-orthosis; Stroke recovery; Ankle-foot</t>
  </si>
  <si>
    <t>REHABILITATION ROBOT; BALANCE PERFORMANCE; ORTHOSIS; GAIT; THERAPY; EXOSKELETON; WALKING; SYSTEM; INITIATION; MODEL</t>
  </si>
  <si>
    <t>This review paper has been motivated by recent studies revealing that early rehabilitation of stroke patients is effective for the recovery of their motor functions. Specifically, this paper reviews the design considerations and needs of anatomy-based ankle-foot robotic devices for mind, motor and motion recovery (M3R) based on neuroplasticity, brain reorganization and functional recovery, which make it possible to alleviate muscle atrophy and promote nerve recovery through exercise to ensure the best chance of regaining skills damaged by stroke. Specifically, the optimal roles of anatomy-based ankle-foot orthoses (AFOs) for M3R are analyzed. The needs of specific AFO featuring in each stroke rehabilitation stage, the corresponding ankle-foot joints, ligaments and muscles, and the kinematic models of the ankle-foot complex are investigated to provide a rational means to account for the bio-joint features when developing the mechanical design/sensing/control of a practical M3R-AFO. Existing ankle-foot rehabilitation devices are reviewed from the perspectives of mechanism designs, control strategies and clinical trials. The findings provide physically intuitive insights into the effects of different AFO design functions on the M3R throughout the rehabilitation process following stroke.</t>
  </si>
  <si>
    <t>[Jiang, Jiaoying; Lee, Kok-Meng; Ji, Jingjing] Huazhong Univ Sci &amp; Technol, State Key Lab Digital Mfg Equipment &amp; Technol, Wuhan 430074, Hubei, Peoples R China; [Lee, Kok-Meng] Georgia Inst Technol, Woodruff Sch Mech Engn, Atlanta, GA 30332 USA</t>
  </si>
  <si>
    <t>Huazhong University of Science &amp; Technology; University System of Georgia; Georgia Institute of Technology</t>
  </si>
  <si>
    <t>Lee, KM; Ji, JJ (corresponding author), Huazhong Univ Sci &amp; Technol, State Key Lab Digital Mfg Equipment &amp; Technol, Wuhan 430074, Hubei, Peoples R China.;Lee, KM (corresponding author), Georgia Inst Technol, Woodruff Sch Mech Engn, Atlanta, GA 30332 USA.</t>
  </si>
  <si>
    <t>kokmeng.lee@me.gatech.edu; jijingjing@hust.edu.cn</t>
  </si>
  <si>
    <t>Lee, Kok-Meng/0000-0002-9547-094X</t>
  </si>
  <si>
    <t>National Science Foundation of China [U1713204]; U.S. National Science Foundation [EFRI-M3C-1137172]; Innovative Leading Talents Programme of Dongguan</t>
  </si>
  <si>
    <t>National Science Foundation of China(National Natural Science Foundation of China (NSFC)); U.S. National Science Foundation(National Science Foundation (NSF)); Innovative Leading Talents Programme of Dongguan</t>
  </si>
  <si>
    <t>This work was supported in part by the National Science Foundation of China under Grant U1713204, U.S. National Science Foundation EFRI-M3C-1137172 and Innovative Leading Talents Programme of Dongguan. The authors greatly appreciate the valuable discussions and clinical collaboration with Chief Physician Bo Hu and Deputy Chief Physician Jie Gao of Shenzhen Occupational Disease Prevention and Treatment Center, and Doctor Lihua Tang of Dongguan Kanghua Hospital.</t>
  </si>
  <si>
    <t>2366-5971</t>
  </si>
  <si>
    <t>2366-598X</t>
  </si>
  <si>
    <t>INT J INTELL ROBOT</t>
  </si>
  <si>
    <t>Int. J. Intell. Robot.</t>
  </si>
  <si>
    <t>10.1007/s41315-018-0065-7</t>
  </si>
  <si>
    <t>HJ0CJ</t>
  </si>
  <si>
    <t>WOS:000456824400001</t>
  </si>
  <si>
    <t>Kuhn, D; Freyberg-Hanl, B</t>
  </si>
  <si>
    <t>Kuhn, D.; Freyberg-Hanl, B.</t>
  </si>
  <si>
    <t>Exoskeleton: therapy system or aid for disability compensation</t>
  </si>
  <si>
    <t>TRAUMA UND BERUFSKRANKHEIT</t>
  </si>
  <si>
    <t>Spinal cord injury; Neurological gait disorder; Robot-assisted walking training; Rehabilitation; Paraplegia</t>
  </si>
  <si>
    <t>Estimates of the worldwide incidence of spinal cord injury (SCI) are 40-80new cases annually per million inhabitants. Historically, up to 90% of cases of SCI were of traumatic origin. The people affected by non-traumatic SCI are usually older and suffer from progressive diseases. Asignificant proportion of accidents leading to SCI are occupational. The need for assistive technology usually begins with the occurrence of SCI and persists throughout the life of the person concerned. The type of assistive technology needed depends on the level of SCI and the associated impairments, environmental factors and personal factors and any existing secondary health problems. Arelatively new supporting technology is robotic walking training with the help of an exoskeleton. The application of these systems in the field of rehabilitation not only show great positive effects on sensorimotor disorders but also on comorbidities/concomitant complications of underlying diseases and mental health. At the present time, exoskeletal therapy in the rehabilitation of neurological gait disorders is an excellent supplement to the established therapeutic procedures, both in the context of acute treatment and in the context of lifelong aftercare.</t>
  </si>
  <si>
    <t>[Kuhn, D.; Freyberg-Hanl, B.] BG Klinikum Bergmannstrost Halle, Merseburger Str 165, D-06112 Halle, Germany</t>
  </si>
  <si>
    <t>Kuhn, D (corresponding author), BG Klinikum Bergmannstrost Halle, Merseburger Str 165, D-06112 Halle, Germany.</t>
  </si>
  <si>
    <t>daniel.kuhn@bergmannstrost.de</t>
  </si>
  <si>
    <t>1436-6274</t>
  </si>
  <si>
    <t>1436-6282</t>
  </si>
  <si>
    <t>TRAUMA BERUFSKRANKH</t>
  </si>
  <si>
    <t>Trauma Berufskrankh.</t>
  </si>
  <si>
    <t>10.1007/s10039-018-0394-7</t>
  </si>
  <si>
    <t>Emergency Medicine</t>
  </si>
  <si>
    <t>GV2YC</t>
  </si>
  <si>
    <t>WOS:000445956700010</t>
  </si>
  <si>
    <t>Mahon, ST; Roberts, JO; Sayed, ME; Chun, DHT; Aracri, S; McKenzie, RM; Nemitz, MP; Stokes, AA</t>
  </si>
  <si>
    <t>Mahon, Stephen T.; Roberts, Jamie O.; Sayed, Mohammed E.; Chun, Derek Ho-Tak; Aracri, Simona; McKenzie, Ross M.; Nemitz, Markus P.; Stokes, Adam A.</t>
  </si>
  <si>
    <t>Capability by Stacking: The Current Design Heuristic for Soft Robots</t>
  </si>
  <si>
    <t>soft robots; stacking; hierarchy; functional blocks; complexity; capability; design</t>
  </si>
  <si>
    <t>ACTUATORS; FABRICATION</t>
  </si>
  <si>
    <t>Soft robots are a new class of systems being developed and studied by robotics scientists. These systems have a diverse range of applications including sub-sea manipulation and rehabilitative robotics. In their current state of development, the prevalent paradigm for the control architecture in these systems is a one-to-one mapping of controller outputs to actuators. In this work, we define functional blocks as the physical implementation of some discrete behaviors, which are presented as a decomposition of the behavior of the soft robot. We also use the term 'stacking' as the ability to combine functional blocks to create a system that is more complex and has greater capability than the sum of its parts. By stacking functional blocks a system designer can increase the range of behaviors and the overall capability of the system. As the community continues to increase the capabilities of soft systems-by stacking more and more functional blocks we will encounter a practical limit with the number of parallelized control lines. In this paper, we review 20 soft systems reported in the literature and we observe this trend of one-to-one mapping of control outputs to functional blocks. We also observe that stacking functional blocks results in systems that are increasingly capable of a diverse range of complex motions and behaviors, leading ultimately to systems that are capable of performing useful tasks. The design heuristic that we observe is one of increased capability by stacking simple units-a classic engineering approach. As we move towards more capability in soft robotic systems, and begin to reach practical limits in control, we predict that we will require increased amounts of autonomy in the system. The field of soft robotics is in its infancy, and as we move towards realizing the potential of this technology, we will need to develop design tools and control paradigms that allow us to handle the complexity in these stacked, non-linear systems.</t>
  </si>
  <si>
    <t>[Mahon, Stephen T.; Roberts, Jamie O.; Sayed, Mohammed E.; Chun, Derek Ho-Tak; Aracri, Simona; McKenzie, Ross M.; Nemitz, Markus P.; Stokes, Adam A.] Univ Edinburgh, Sch Engn, Inst Integrated Micro &amp; Nano Syst, Kings Bldg, Edinburgh EH9 3LJ, Midlothian, Scotland; [Roberts, Jamie O.; Chun, Derek Ho-Tak; McKenzie, Ross M.] Univ Edinburgh, EPSRC, Ctr Doctoral Training CDT Robot &amp; Autonomous Syst, Sch Informat, Edinburgh EH9 3LJ, Midlothian, Scotland; [Nemitz, Markus P.] Univ Michigan, Dept Comp Sci &amp; Engn, 2260 Hayward St BBB3737, Ann Arbor, MI 48109 USA</t>
  </si>
  <si>
    <t>University of Edinburgh; University of Edinburgh; UK Research &amp; Innovation (UKRI); Engineering &amp; Physical Sciences Research Council (EPSRC); University of Michigan System; University of Michigan</t>
  </si>
  <si>
    <t>Stokes, AA (corresponding author), Univ Edinburgh, Sch Engn, Inst Integrated Micro &amp; Nano Syst, Kings Bldg, Edinburgh EH9 3LJ, Midlothian, Scotland.</t>
  </si>
  <si>
    <t>s.mahon@ed.ac.uk; s1686485@sms.ed.ac.uk; m.mohammed@ed.ac.uk; derek.chun@ed.ac.uk; simona.aracri@ed.ac.uk; r.m.mckenzie@ed.ac.uk; m.nemitz@ed.ac.uk; adam.stokes@ed.ac.uk</t>
  </si>
  <si>
    <t>Stokes, Adam/A-3560-2012; Aracri, Simona/ADM-8606-2022; Nemitz, Markus/IVH-6271-2023</t>
  </si>
  <si>
    <t>Nemitz, Markus/0000-0003-0771-5407; Aracri, Simona/0000-0002-1736-5829; Mahon, Stephen/0000-0001-8108-5082</t>
  </si>
  <si>
    <t>Engineering and Physical Sciences Research Council (EPSRC) via the Robotarium Capital Equipment, Centre for Doctoral Training (CDT) Capital Equipment Grants [EP/L016834/1]; CDT in Robotics and Autonomous Systems at Heriot-Watt University; University of Edinburgh; CDT in Intelligent Sensing and Measurement, UK [EP/L016753/1]; EPSRC ORCA Hub [EP/R026173/1]; ISCF [EP/R026173/1] Funding Source: UKRI</t>
  </si>
  <si>
    <t>Engineering and Physical Sciences Research Council (EPSRC) via the Robotarium Capital Equipment, Centre for Doctoral Training (CDT) Capital Equipment Grants(UK Research &amp; Innovation (UKRI)Engineering &amp; Physical Sciences Research Council (EPSRC)); CDT in Robotics and Autonomous Systems at Heriot-Watt University; University of Edinburgh; CDT in Intelligent Sensing and Measurement, UK; EPSRC ORCA Hub(UK Research &amp; Innovation (UKRI)Engineering &amp; Physical Sciences Research Council (EPSRC)); ISCF(UK Research &amp; Innovation (UKRI))</t>
  </si>
  <si>
    <t>This study was supported by Engineering and Physical Sciences Research Council (EPSRC) via the Robotarium Capital Equipment, Centre for Doctoral Training (CDT) Capital Equipment Grants (EP/L016834/1), and the CDT in Robotics and Autonomous Systems at Heriot-Watt University and The University of Edinburgh. M.P.N. gratefully acknowledges support from the CDT in Intelligent Sensing and Measurement (EP/L016753/1), UK. A.A.S. and S.A. acknowledge support from the EPSRC ORCA Hub (EP/R026173/1).</t>
  </si>
  <si>
    <t>10.3390/biomimetics3030016</t>
  </si>
  <si>
    <t>GX6ZL</t>
  </si>
  <si>
    <t>WOS:000447913100003</t>
  </si>
  <si>
    <t>Molteni, F; Gasperini, G; Cannaviello, G; Guanziroli, E</t>
  </si>
  <si>
    <t>Molteni, Franco; Gasperini, Giulio; Cannaviello, Giovanni; Guanziroli, Eleonora</t>
  </si>
  <si>
    <t>Exoskeleton and End-Effector Robots for Upper and Lower Limbs Rehabilitation: Narrative Review</t>
  </si>
  <si>
    <t>SPINAL-CORD-INJURY; NON-AMBULATORY PATIENTS; OF-THE-ART; STROKE PATIENTS; GAIT REHABILITATION; ASSISTED THERAPY; WALKING; PEOPLE; BALANCE; BRAIN</t>
  </si>
  <si>
    <t>Recovery of upper and lower limbs function is essential to reach independence in daily activities in patients with upper motor neuron syndrome (UMNS). Rehabilitation can provide a guide for motor recovery influencing the neurobiology of neuronal plasticity providing controlled, repetitive, and variable patterns. Increasing therapy dosage, intensity, number of repetition, execution of task-oriented exercises, and combining top-down and bottom-up approaches can promote plasticity and functional recovery. Robotic exoskeletons for upper and lower limbs, based on the principle of motor learning, have been introduced in neurorehabilitation. In this narrative review, we provide an overview of literature published on exoskeleton devices for upper and lower limb rehabilitation in patients with UMNS; we summarized the available current research evidence and outlined the new challenges that neurorehabilitation and bioengineering will have to face in the upcoming years. Robotic treatment should be considered a rehabilitation tool useful to generate a more complex, controlled multisensory stimulation of the patient and useful to modify the plasticity of neural connections through the experience of movement. Efficacy and efficiency of robotic treatment should be defined starting from intensity, complexity, and specificity of the robotic exercise, that are related to human-robot interaction in terms of motion, emotion, motivation, meaning of the task, feedback from the exoskeleton, and fine motion assistance. Duration of a single session, global period of the treatment, and the timing for beginning of robotic treatment are still open questions. There is the need to evaluate and individualize the treatment according to patient's characteristics. Robotic devices for upper and lower limbs open a window to define therapeutic modalities as possible beneficial drug, able to boost biological, neurobiological, and epigenetic changes in central nervous system. We need to implement large and innovative research programs to answer these issues in the near future.</t>
  </si>
  <si>
    <t>[Molteni, Franco; Gasperini, Giulio; Cannaviello, Giovanni; Guanziroli, Eleonora] Valduce Hosp, Villa Beretta Rehabil Ctr, Via N Sauro 17, Costa Masnaga, Italy</t>
  </si>
  <si>
    <t>Guanziroli, E (corresponding author), Valduce Hosp, Villa Beretta Rehabil Ctr, Via N Sauro 17, Costa Masnaga, Italy.</t>
  </si>
  <si>
    <t>eleonora.guanziroli@gmail.com</t>
  </si>
  <si>
    <t>Cannaviello, Giovanni/AAX-1196-2020; Molteni, Franco/J-4455-2016; Guanziroli, Eleonora/K-5078-2016</t>
  </si>
  <si>
    <t>Guanziroli, Eleonora/0000-0002-7512-5372; Cannaviello, Giovanni/0000-0001-8553-5781; Gasperini, Giulio/0000-0002-3992-3246</t>
  </si>
  <si>
    <t>Ekso Bionics; Rewalk</t>
  </si>
  <si>
    <t>grant, Ekso Bionics, Rewalk</t>
  </si>
  <si>
    <t>S174</t>
  </si>
  <si>
    <t>S188</t>
  </si>
  <si>
    <t>10.1016/j.pmrj.2018.06.005</t>
  </si>
  <si>
    <t>WOS:000445927400007</t>
  </si>
  <si>
    <t>Näf, MB; Junius, K; Rossini, M; Rodriguez-Guerrero, C; Vanderborght, B; Lefeber, D</t>
  </si>
  <si>
    <t>Naf, Matthias B.; Junius, Karen; Rossini, Marco; Rodriguez-Guerrero, Carlos; Vanderborght, Bram; Lefeber, Dirk</t>
  </si>
  <si>
    <t>Misalignment Compensation for Full Human-Exoskeleton Kinematic Compatibility: State of the Art and Evaluation</t>
  </si>
  <si>
    <t>LOWER-LIMB EXOSKELETON; JOINT CENTER LOCATION; ROBOTIC EXOSKELETONS; BIOMECHANICAL DESIGN; KNEE-JOINT; WALKING; REHABILITATION; GAIT; MECHANICS; ORTHOSIS</t>
  </si>
  <si>
    <t>The use of exoskeletons by the elderly, disabled people, heavy labor workers, and soldiers can have great social and economic benefit. However, limitations in usability are impeding the widespread adoption of exoskeletal devices. Kinematic compatibility, comfort, volume, mass, simplicity, expandability, and the ability to transmit forces, relative angles between the exoskeleton and the human, and the donning and doffing procedure need to be considered. Over the last decades, a large number of exoskeletons have been developed, to assert kinematic compatibility and compensate for misalignment. To such a degree, that it has become difficult to keep an overview of the different strategies. Therefore, this review article presents an extensive overview of different misalignment compensation strategies existing in the literature. Further, these strategies are organized in nine categories, evaluated and discussed around the exoskeleton's application domain and its specific requirements and needs.</t>
  </si>
  <si>
    <t>[Naf, Matthias B.; Junius, Karen; Rossini, Marco; Rodriguez-Guerrero, Carlos; Vanderborght, Bram; Lefeber, Dirk] Vrije Univ Brussel, Mech Engn Dept, Pl Laan 2, B-1050 Brussels, Belgium</t>
  </si>
  <si>
    <t>Näf, MB (corresponding author), Vrije Univ Brussel, Mech Engn Dept, Pl Laan 2, B-1050 Brussels, Belgium.</t>
  </si>
  <si>
    <t>Matthias.Basil.Naf@vub.be; Karen.Junius@vub.be; Marco.Rossini@vub.be; Carlos.Rodriguez.Guerrero@vub.be</t>
  </si>
  <si>
    <t>Vanderborght, Bram/A-1599-2008; Lefeber, Dirk/B-2881-2009; Rodriguez-Guerrero, Carlos/ABF-2669-2021</t>
  </si>
  <si>
    <t>Rodriguez-Guerrero, Carlos/0000-0002-0297-9748; Rossini, Marco/0000-0001-5152-5294; Lefeber, Dirk/0000-0003-4442-4473</t>
  </si>
  <si>
    <t>Agentschap Innoveren en Ondernemen [120057]; Fonds Wetenschappelijk Onderzoek [S000118N]; Horizon 2020 [687662]; Academy of Finland (AKA) [120057] Funding Source: Academy of Finland (AKA)</t>
  </si>
  <si>
    <t>Agentschap Innoveren en Ondernemen; Fonds Wetenschappelijk Onderzoek(FWO); Horizon 2020(Horizon 2020); Academy of Finland (AKA)(Research Council of Finland)</t>
  </si>
  <si>
    <t>Agentschap Innoveren en Ondernemen (120057; Funder ID: 10.13039/100012331).r Fonds Wetenschappelijk Onderzoek (S000118N; Funder ID: 10.13039/501100003130).r Horizon 2020 (687662; Funder ID: 10.13039/501100007601).</t>
  </si>
  <si>
    <t>10.1115/1.4042523</t>
  </si>
  <si>
    <t>HL2CR</t>
  </si>
  <si>
    <t>WOS:000458511300002</t>
  </si>
  <si>
    <t>Park, SW; Kim, JH; Yang, YJ</t>
  </si>
  <si>
    <t>Park, Si-Woon; Kim, Jae-Hyung; Yang, Yun-Jung</t>
  </si>
  <si>
    <t>Mental practice for upper limb rehabilitation after stroke: a systematic review and meta-analysis</t>
  </si>
  <si>
    <t>brain-computer interface; imagery; neurofeedback; rehabilitation; stroke</t>
  </si>
  <si>
    <t>UPPER EXTREMITY FUNCTION; TRIGGERED ELECTRICAL-STIMULATION; BRAIN-COMPUTER INTERFACE; INDUCED MOVEMENT THERAPY; MOTOR IMAGERY; CORTICAL REORGANIZATION; RECOVERY; IMPAIRMENT; NEUROREHABILITATION; EFFICACY</t>
  </si>
  <si>
    <t>Mental practice (MP) is usually provided in combination with other therapies, and new developments for neurofeedback to support MP have been made recently. The objectives of this study were to evaluate the effectiveness of MP and to investigate the intervention characteristics including neurofeedback that may affect treatment outcome. The Cochrane Central Register of Controlled Trials, PubMed, Embase, KoreaMed, Scopus, Web of Science, PEDro, and CIRRIE were searched from inception to March 2017 for randomized controlled trials to assess the effect of MP for upper limb rehabilitation after stroke. Fugl-Meyer Assessment (FMA) was used as the outcome measure for meta-analysis. Twenty-five trials met the inclusion criteria, and 15 trials were eligible for meta-analysis. Among the trials selected for meta-analysis, MP was added to conventional therapy in eight trials or to modified constraint-induced movement therapy in one trial. The other trials provided neurofeedback to support MP: MP-guided neuromuscular electrical stimulation (NMES) in four trials and MP-guided robot-assisted therapy (RAT) in two trials. MP added to conventional therapy resulted in significantly higher FMA gain than conventional therapy alone. MP-guided NMES showed superior result than conventional NMES as well. However, the FMA gain of MP-guided RAT was not significantly higher than RAT alone. We suggest that MP is an effective complementary therapy either given with neurofeedback or not. Neurofeedback applied to MP showed different results depending on the therapy provided. This study has limitations because of heterogeneity and inadequate quality of trials. Further research is requested.</t>
  </si>
  <si>
    <t>[Park, Si-Woon; Kim, Jae-Hyung] Catholic Kwandong Univ, Int St Marys Hosp, Dept Rehabil Med, 25 Simgok Ro 100beon Gil, Incheon 22711, South Korea; [Yang, Yun-Jung] Catholic Kwandong Univ, Int St Marys Hosp, Inst Integrat Med, Incheon, South Korea</t>
  </si>
  <si>
    <t>Catholic Kwandong University; Catholic Kwandong University</t>
  </si>
  <si>
    <t>Park, SW (corresponding author), Catholic Kwandong Univ, Int St Marys Hosp, Dept Rehabil Med, 25 Simgok Ro 100beon Gil, Incheon 22711, South Korea.</t>
  </si>
  <si>
    <t>seanpark05@gmail.com</t>
  </si>
  <si>
    <t>Kim, Jae-hyung/J-8504-2012</t>
  </si>
  <si>
    <t>10.1097/MRR.0000000000000298</t>
  </si>
  <si>
    <t>GQ7IX</t>
  </si>
  <si>
    <t>WOS:000441913200002</t>
  </si>
  <si>
    <t>Porciuncula, F; Roto, AV; Kumar, D; Davis, I; Roy, S; Walsh, CJ; Awad, LN</t>
  </si>
  <si>
    <t>Porciuncula, Franchino; Roto, Anna Virginia; Kumar, Deepak; Davis, Irene; Roy, Serge; Walsh, Conor J.; Awad, Louis N.</t>
  </si>
  <si>
    <t>Wearable Movement Sensors for Rehabilitation: A Focused Review of Technological and Clinical Advances</t>
  </si>
  <si>
    <t>GROUND REACTION FORCE; PARKINSONS-DISEASE; KNEE OSTEOARTHRITIS; HUNTINGTONS-DISEASE; SEDENTARY BEHAVIOR; GAIT; INDIVIDUALS; WALKING; RUNNERS; PAIN</t>
  </si>
  <si>
    <t>Recent technologic advancements have enabled the creation of portable, low-cost, and unobtrusive sensors with tremendous potential to alter the clinical practice of rehabilitation. The application of wearable sensors to track movement has emerged as a promising paradigm to enhance the care provided to patients with neurologic or musculoskeletal conditions. These sensors enable quantification of motor behavior across disparate patient populations and emerging research shows their potential for identifying motor biomarkers, differentiating between restitution and compensation motor recovery mechanisms, remote monitoring, telerehabilitation, and robotics. Moreover, the big data recorded across these applications serve as a pathway to personalized and precision medicine. This article presents state-of-the-art and next-generation wearable movement sensors, ranging from inertial measurement units to soft sensors. An overview of clinical applications is presented across a wide spectrum of conditions that have potential to benefit from wearable sensors, including stroke, movement disorders, knee osteoarthritis, and running injuries. Complementary applications enabled by next-generation sensors that will enable point-of-care monitoring of neural activity and muscle dynamics during movement also are discussed.</t>
  </si>
  <si>
    <t>[Porciuncula, Franchino; Awad, Louis N.] Harvard Univ, Paulson Sch Engn &amp; Appl Sci, Cambridge, MA 02138 USA; [Porciuncula, Franchino; Walsh, Conor J.] Harvard Univ, Wyss Inst Biol Inspired Engn, Cambridge, MA 02138 USA; [Roto, Anna Virginia; Kumar, Deepak; Roy, Serge; Awad, Louis N.] Boston Univ, Sargent Coll, Coll Hlth &amp; Rehabil Sci, Boston, MA 02215 USA; [Davis, Irene; Awad, Louis N.] Harvard Med Sch, Dept Phys Med &amp; Rehabil, Cambridge, MA 02139 USA</t>
  </si>
  <si>
    <t>Harvard University; Harvard University; Boston University</t>
  </si>
  <si>
    <t>Awad, LN (corresponding author), Harvard Univ, Paulson Sch Engn &amp; Appl Sci, Cambridge, MA 02138 USA.;Awad, LN (corresponding author), Boston Univ, Sargent Coll, Coll Hlth &amp; Rehabil Sci, Boston, MA 02215 USA.;Awad, LN (corresponding author), Harvard Med Sch, Dept Phys Med &amp; Rehabil, Cambridge, MA 02139 USA.</t>
  </si>
  <si>
    <t>Kumar, Deepak/M-3223-2013; Awad, Louis/O-1799-2014; Kumar, Deepak/D-2499-2013</t>
  </si>
  <si>
    <t>Awad, Louis/0000-0002-0159-8011; Kumar, Deepak/0000-0003-1728-484X; Roto, Anna/0000-0001-6035-5215</t>
  </si>
  <si>
    <t>National Institutes of Health [1KL2TR001411, 1ULT1TR001430, 1K01AR069720, R01HD088619]; National Science Foundation [CNS-1446464]</t>
  </si>
  <si>
    <t>National Institutes of Health(United States Department of Health &amp; Human ServicesNational Institutes of Health (NIH) - USA); National Science Foundation(National Science Foundation (NSF))</t>
  </si>
  <si>
    <t>We are grateful for the consultation and technical input provided by Jaehyun Bae. This work was funded in part by the National Institutes of Health (award numbers 1KL2TR001411, 1ULT1TR001430, 1K01AR069720, and R01HD088619) and the National Science Foundation (CNS-1446464).</t>
  </si>
  <si>
    <t>S220</t>
  </si>
  <si>
    <t>S232</t>
  </si>
  <si>
    <t>10.1016/j.pmrj.2018.06.013</t>
  </si>
  <si>
    <t>WOS:000445927400011</t>
  </si>
  <si>
    <t>Rehmat, N; Zuo, J; Meng, W; Liu, Q; Xie, SQ; Liang, H</t>
  </si>
  <si>
    <t>Rehmat, Naqash; Zuo, Jie; Meng, Wei; Liu, Quan; Xie, Sheng Q.; Liang, Hui</t>
  </si>
  <si>
    <t>Upper limb rehabilitation using robotic exoskeleton systems: a systematic review</t>
  </si>
  <si>
    <t>Robot-assisted rehabilitation; Upper limb exoskeleton; Clinical trials</t>
  </si>
  <si>
    <t>CHRONIC STROKE PATIENTS; OF-THE-ART; FUNCTIONAL RECOVERY; POWERED EXOSKELETON; ASSISTED THERAPY; ORTHOSIS; IMPAIRMENT; COMPLIANT; EXERCISE; OUTCOMES</t>
  </si>
  <si>
    <t>Exoskeleton assisted therapy has been reported as a significant reduction in impairment and gain in functional abilities of stroke patients. In this paper, we conduct a systematic review on the upper limb rehabilitation using robotic exoskeleton systems. This review is based on typical mechanical structures and control strategies for exoskeletons in clinical rehabilitation conditions. A variety of upper limb exoskeletons are classified and reviewed according to their rehabilitation joints. Special attentions are paid to the performance control strategies and mechanism designs in clinical trials and to promote the adaptability to different patients and conditions. Finally, we analyze and highlight the current research gaps and the future directions in this field. We intend to offer informative resources and reliable guidance for relevant researcher's further studies, and exert a far-reaching influence on the development of advanced upper limb exoskeleton robotic systems.</t>
  </si>
  <si>
    <t>[Rehmat, Naqash] Univ Auckland, Dept Mech Engn, Auckland, New Zealand; [Zuo, Jie; Meng, Wei; Liu, Quan] Wuhan Univ Technol, Sch Informat Engn, Wuhan, Hubei, Peoples R China; [Meng, Wei; Xie, Sheng Q.] Univ Leeds, Sch Elect &amp; Elect Engn, Leeds, W Yorkshire, England; [Liang, Hui] Qingdao Univ Sci &amp; Technol, Coll Electromech Engn, Qingdao, Peoples R China</t>
  </si>
  <si>
    <t>University of Auckland; Wuhan University of Technology; University of Leeds; Qingdao University of Science &amp; Technology</t>
  </si>
  <si>
    <t>Xie, SQ (corresponding author), Univ Leeds, Sch Elect &amp; Elect Engn, Leeds, W Yorkshire, England.</t>
  </si>
  <si>
    <t>s.q.xie@leeds.ac.uk</t>
  </si>
  <si>
    <t>Zuo, Jie/0000-0002-9167-6780; Xie, Sheng Quan/0000-0003-2641-2620; Meng, Wei/0000-0003-0209-8753</t>
  </si>
  <si>
    <t>National Natural Science Foundation of China [51675389, 51475342]; Excellent Dissertation Cultivation Funds of Wuhan University of Technology [2016-YS-060]</t>
  </si>
  <si>
    <t>National Natural Science Foundation of China(National Natural Science Foundation of China (NSFC)); Excellent Dissertation Cultivation Funds of Wuhan University of Technology</t>
  </si>
  <si>
    <t>This research is funded by the National Natural Science Foundation of China (Nos. 51675389 and 51475342), and the Excellent Dissertation Cultivation Funds of Wuhan University of Technology (No. 2016-YS-060).</t>
  </si>
  <si>
    <t>SPRINGER SINGAPORE PTE LTD</t>
  </si>
  <si>
    <t>152 Beach Road, #21-01 Gateway East, SINGAPORE, SINGAPORE</t>
  </si>
  <si>
    <t>10.1007/s41315-018-0064-8</t>
  </si>
  <si>
    <t>WOS:000456824400002</t>
  </si>
  <si>
    <t>Shahid, T; Gouwanda, D; Nurzaman, SG; Gopalai, AA</t>
  </si>
  <si>
    <t>Shahid, Talha; Gouwanda, Darwin; Nurzaman, Surya G.; Gopalai, Alpha A.</t>
  </si>
  <si>
    <t>Moving toward Soft Robotics: A Decade Review of the Design of Hand Exoskeletons</t>
  </si>
  <si>
    <t>hand exoskeletons; soft robotics; rehabilitation; activities of daily living; systematic and chronological review</t>
  </si>
  <si>
    <t>GLOVE; REHABILITATION; STROKE; ASSISTANCE</t>
  </si>
  <si>
    <t>Soft robotics is a branch of robotics that deals with mechatronics and electromechanical systems primarily made of soft materials. This paper presents a summary of a chronicle study of various soft robotic hand exoskeletons, with different electroencephalography (EEG)- and electromyography (EMG)-based instrumentations and controls, for rehabilitation and assistance in activities of daily living. A total of 45 soft robotic hand exoskeletons are reviewed. The study follows two methodological frameworks: a systematic review and a chronological review of the exoskeletons. The first approach summarizes the designs of different soft robotic hand exoskeletons based on their mechanical, electrical and functional attributes, including the degree of freedom, number of fingers, force transmission, actuation mode and control strategy. The second approach discusses the technological trend of soft robotic hand exoskeletons in the past decade. The timeline analysis demonstrates the transformation of the exoskeletons from rigid ferrous materials to soft elastomeric materials. It uncovers recent research, development and integration of their mechanical and electrical components. It also approximates the future of the soft robotic hand exoskeletons and some of their crucial design attributes.</t>
  </si>
  <si>
    <t>[Shahid, Talha; Gouwanda, Darwin; Nurzaman, Surya G.; Gopalai, Alpha A.] Monash Univ Malaysia, Sch Engn, Jalan Lagoon Selatan, Bandar Sunway 47500, Malaysia</t>
  </si>
  <si>
    <t>Monash University; Monash University Malaysia</t>
  </si>
  <si>
    <t>Gouwanda, D (corresponding author), Monash Univ Malaysia, Sch Engn, Jalan Lagoon Selatan, Bandar Sunway 47500, Malaysia.</t>
  </si>
  <si>
    <t>talha.shahid@monash.edu; darwin.gouwanda@monash.edu; surya.nurzaman@monash.edu; alpha.agape@monash.edu</t>
  </si>
  <si>
    <t>Gouwanda, Darwin/F-8474-2013; Gopalai, Alpha/N-5541-2018; Shahid, Talha/AGZ-8875-2022; Nurzaman, Surya Girinatha/G-9486-2017</t>
  </si>
  <si>
    <t>Shahid, Talha/0000-0002-0022-6160; Nurzaman, Surya Girinatha/0000-0002-8157-6495; Gouwanda, Darwin/0000-0002-6166-2214</t>
  </si>
  <si>
    <t>10.3390/biomimetics3030017</t>
  </si>
  <si>
    <t>WOS:000447913100004</t>
  </si>
  <si>
    <t>Bui, KD; Johnson, MJ</t>
  </si>
  <si>
    <t>Bui, Kevin D.; Johnson, Michelle J.</t>
  </si>
  <si>
    <t>Designing robot-assisted neurorehabilitation strategies for people with both HIV and stroke</t>
  </si>
  <si>
    <t>HIV; Stroke; Neurorehabilitation; Robotics; Developing countries</t>
  </si>
  <si>
    <t>MONTREAL COGNITIVE ASSESSMENT; ISCHEMIC-STROKE; MOTOR RECOVERY; UNINFECTED INDIVIDUALS; ANTIRETROVIRAL THERAPY; QUANTIFY IMPAIRMENTS; NEURAL PLASTICITY; LONGITUDINAL FMRI; INFECTED PATIENTS; GLOBAL BURDEN</t>
  </si>
  <si>
    <t>There is increasing evidence that HIV is an independent risk factor for stroke, resulting in an emerging population of people living with both HIV and stroke all over the world. However, neurorehabilitation strategies for the HIV-stroke population are distinctly lacking, which poses an enormous global health challenge. In order to address this gap, a better understanding of the HIV-stroke population is needed, as well as potential approaches to design effective neurorehabilitation strategies for this population. This review goes into the mechanisms, manifestations, and treatment options of neurologic injury in stroke and HIV, the additional challenges posed by the HIV-stroke population, and rehabilitation engineering approaches for both high and low resource areas. The aim of this review is to connect the underlying neurologic properties in both HIV and stroke to rehabilitation engineering. It reviews what is currently known about the association between HIV and stroke and gaps in current treatment strategies for the HIV-stroke population. We highlight relevant current areas of research that can help advance neurorehabilitation strategies specifically for the HIV-stroke population. We then explore how robot-assisted rehabilitation combined with community-based rehabilitation could be used as a potential approach to meet the challenges posed by the HIV-stroke population. We include some of our own work exploring a community-based robotic rehabilitation exercise system. The most relevant strategies will be ones that not only take into account the individual status of the patient but also the cultural and economic considerations of their respective environment.</t>
  </si>
  <si>
    <t>[Bui, Kevin D.; Johnson, Michelle J.] Univ Penn, Dept Bioengn, Philadelphia, PA 19104 USA; [Bui, Kevin D.; Johnson, Michelle J.] Univ Penn, Rehabil Robot Lab, 1800 Lombard St, Philadelphia, PA 19146 USA; [Johnson, Michelle J.] Univ Penn, Perelman Sch Med, Dept Phys Med &amp; Rehabil, Philadelphia, PA 19104 USA</t>
  </si>
  <si>
    <t>University of Pennsylvania; University of Pennsylvania; University of Pennsylvania</t>
  </si>
  <si>
    <t>Johnson, MJ (corresponding author), Univ Penn, Dept Bioengn, Philadelphia, PA 19104 USA.;Johnson, MJ (corresponding author), Univ Penn, Rehabil Robot Lab, 1800 Lombard St, Philadelphia, PA 19146 USA.;Johnson, MJ (corresponding author), Univ Penn, Perelman Sch Med, Dept Phys Med &amp; Rehabil, Philadelphia, PA 19104 USA.</t>
  </si>
  <si>
    <t>johnmic@pennmedicine.upenn.edu</t>
  </si>
  <si>
    <t>Penn Center for Biomedical Image Computing and Analytic; Penn Center for AIDS Research; NIH [P30AI045008]; NIAID; NCI; NICHD; NHLBI; NIDA; NIMH; NIA; FIC; NIGMS; NIDDK; OAR; Penn Center for AIDS Research [P30AI045008]</t>
  </si>
  <si>
    <t>Penn Center for Biomedical Image Computing and Analytic; Penn Center for AIDS Research; NIH(United States Department of Health &amp; Human ServicesNational Institutes of Health (NIH) - USA); NIAID(United States Department of Health &amp; Human ServicesNational Institutes of Health (NIH) - USANIH National Institute of Allergy &amp; Infectious Diseases (NIAID)); NCI(United States Department of Health &amp; Human ServicesNational Institutes of Health (NIH) - USANIH National Cancer Institute (NCI)); NICHD(United States Department of Health &amp; Human ServicesNational Institutes of Health (NIH) - USANIH Eunice Kennedy Shriver National Institute of Child Health &amp; Human Development (NICHD)); NHLBI(United States Department of Health &amp; Human ServicesNational Institutes of Health (NIH) - USANIH National Heart Lung &amp; Blood Institute (NHLBI)); NIDA(United States Department of Health &amp; Human ServicesNational Institutes of Health (NIH) - USANIH National Institute on Drug Abuse (NIDA)); NIMH(United States Department of Health &amp; Human ServicesNational Institutes of Health (NIH) - USANIH National Institute of Mental Health (NIMH)); NIA(United States Department of Health &amp; Human ServicesNational Institutes of Health (NIH) - USANIH National Institute on Aging (NIA)); FIC(UK Research &amp; Innovation (UKRI)); NIGMS(United States Department of Health &amp; Human ServicesNational Institutes of Health (NIH) - USANIH National Institute of General Medical Sciences (NIGMS)); NIDDK(United States Department of Health &amp; Human ServicesNational Institutes of Health (NIH) - USANIH National Institute of Diabetes &amp; Digestive &amp; Kidney Diseases (NIDDK)); OAR; Penn Center for AIDS Research</t>
  </si>
  <si>
    <t>This publication also resulted from research supported by a seed grant from the Penn Center for Biomedical Image Computing and Analytic and a pilot grant from the Penn Center for AIDS Research, an NIH funded program (P30AI045008), which is supported by the following NIH Co-Funding and Participating Institutes and Centers: NIAID, NCI, NICHD, NHLBI, NIDA, NIMH, NIA, FIC, NIGMS, NIDDK, and OAR. The content is solely the responsibility of the authors and does not necessarily represent the official views of the NIH. Penn Center for AIDS Research (P30AI045008).</t>
  </si>
  <si>
    <t>AUG 14</t>
  </si>
  <si>
    <t>10.1186/s12984-018-0418-3</t>
  </si>
  <si>
    <t>GQ6OE</t>
  </si>
  <si>
    <t>WOS:000441836400001</t>
  </si>
  <si>
    <t>Tariq, M; Trivailo, PM; Simic, M</t>
  </si>
  <si>
    <t>Tariq, Madiha; Trivailo, Pavel M.; Simic, Milan</t>
  </si>
  <si>
    <t>EEG-Based BCI Control Schemes for Lower-Limb Assistive-Robots</t>
  </si>
  <si>
    <t>brain-computer interface (BCI); electroencephalography (EEG); spinal cord injury (SCI); exoskeletons; orthosis; assistive-robot devices</t>
  </si>
  <si>
    <t>BRAIN-COMPUTER-INTERFACE; MOTOR IMAGERY; MUSCLE SYNERGIES; ACTUATED WHEELCHAIR; HUMANOID ROBOT; CORTEX; WALKING; CLASSIFICATION; VOLUNTARY; SYSTEMS</t>
  </si>
  <si>
    <t>Over recent years, brain-computer interface (BCI) has emerged as an alternative communication system between the human brain and an output device. Deciphered intents, after detecting electrical signals from the human scalp, are translated into control commands used to operate external devices, computer displays and virtual objects in the real-time. BCI provides an augmentative communication by creating a muscle-free channel between the brain and the output devices, primarily for subjects having neuromotor disorders, or trauma to nervous system, notably spinal cord injuries (SCI), and subjects with unaffected sensorimotor functions but disarticulated or amputated residual limbs. This review identifies the potentials of electroencephalography (EEG) based BCI applications for locomotion and mobility rehabilitation. Patients could benefit from its advancements such as wearable lower-limb (LL) exoskeletons, orthosis, prosthesis, wheelchairs, and assistive-robot devices. The EEG communication signals employed by the aforementioned applications that also provide feasibility for future development in the field are sensorimotor rhythms (SMR), event-related potentials (ERP) and visual evoked potentials (VEP). The review is an effort to progress the development of user's mental task related to LL for BCI reliability and confidence measures. As a novel contribution, the reviewed BCI control paradigms for wearable LL and assistive-robots are presented by a general control framework fitting in hierarchical layers. It reflects informatic interactions, between the user, the BCI operator, the shared controller, the robotic device and the environment. Each sub layer of the BCI operator is discussed in detail, highlighting the feature extraction, classification and execution methods employed by the various systems. All applications' key features and their interaction with the environment are reviewed for the EEG-based activity mode recognition, and presented in form of a table. It is suggested to structure EEG-BCI controlled LL assistive devices within the presented framework, for future generation of intent-based multifunctional controllers. Despite the development of controllers, for BCI-based wearable or assistive devices that can seamlessly integrate user intent, practical challenges associated with such systems exist and have been discerned, which can be constructive for future developments in the field.</t>
  </si>
  <si>
    <t>[Tariq, Madiha; Trivailo, Pavel M.; Simic, Milan] RMIT Univ Melbourne, Sch Engn, Melbourne, Vic, Australia</t>
  </si>
  <si>
    <t>Royal Melbourne Institute of Technology (RMIT)</t>
  </si>
  <si>
    <t>Simic, M (corresponding author), RMIT Univ Melbourne, Sch Engn, Melbourne, Vic, Australia.</t>
  </si>
  <si>
    <t>milan.simic@rmit.edu.au</t>
  </si>
  <si>
    <t>Simic, Milan/AAF-7308-2020; TRIVAILO, Pavel/B-6335-2013; Simic, Milan/U-9332-2017</t>
  </si>
  <si>
    <t>TRIVAILO, Pavel M./0000-0002-3129-8044; Simic, Milan/0000-0002-3403-4765; Tariq, Madiha/0000-0002-1005-7284</t>
  </si>
  <si>
    <t>RMIT University Ph.D. International Scholarship (RPIS)</t>
  </si>
  <si>
    <t>Authors acknowledge the financial support received for this research provided by RMIT University Ph.D. International Scholarship (RPIS).</t>
  </si>
  <si>
    <t>AUG 6</t>
  </si>
  <si>
    <t>10.3389/fnhum.2018.00312</t>
  </si>
  <si>
    <t>GP4IT</t>
  </si>
  <si>
    <t>WOS:000440825700001</t>
  </si>
  <si>
    <t>Ferreira, FMR; Chaves, MEA; Oliveira, VC; Van Petten, AMVN; Vimieiro, CBS</t>
  </si>
  <si>
    <t>Rodrigues Martins Ferreira, Fernanda Marcia; Abreu Chaves, Maria Emilia; Oliveira, Vinicius Cunha; Valladao Novais Van Petten, Adriana Maria; Santos Vimieiro, Claysson Bruno</t>
  </si>
  <si>
    <t>Effectiveness of robot therapy on body function and structure in people with limited upper limb function: A systematic review and meta-analysis</t>
  </si>
  <si>
    <t>ASSISTED THERAPY; CHRONIC STROKE; UPPER-EXTREMITY; MOTOR RECOVERY; RANDOMIZED-TRIAL; AIDED THERAPY; ARM ACTIVITY; POST STROKE; REHABILITATION; STIMULATION</t>
  </si>
  <si>
    <t>Robot-Assisted Therapy (RT) is an innovative approach to neurological rehabilitation that uses intensive, repetitive, interactive, and individualized practice. This systematic review aimed to investigate the effectiveness of RT on the body function and structure of people with upper limb impairments (PROSPERO registration: CRD42017054982). A search strategy conducted on seven databases identified randomized controlled studies. Methodological quality was assessed using the PEDro scale. When possible, the data were pooled, the strength of evidence was assessed using the GRADE system, and the effect sizes were assessed using Cohen coefficient. Subgroup analyses investigated the impact on the estimated effects of the following parameters: methodological quality; portion of the assessed upper limb; duration of stroke; and intervention dose and duration. Thirty-eight studies involving 1174 participants were included. Pooled estimates revealed small effects of RT on motor control and medium effects on strength compared with other intervention (OI) at a short-term follow-up. Standardized differences in means were as follows: 0.3 (95% CI 0.1 to 0.4) and 0.5 (95% CI 0.2 to 0.8). Effects at other time points and on other investigated outcomes related to body function and structure were not found (p&gt;0.05). The strength of the current evidence was usually low quality. Subgroup analyses suggested that the methodological quality, and duration and dose of RT may influence the estimated effects. In conclusion, RT has small effects on motor control and medium effects on strength in people with limited upper limb function. Poor methodological quality, and lower treatment dose and duration may impact negatively the estimated effects.</t>
  </si>
  <si>
    <t>[Rodrigues Martins Ferreira, Fernanda Marcia] Univ Fed Minas Gerais, Programa Posgrad Engn Mecan, Bioengn Lab, Belo Horizonte, MG, Brazil; [Abreu Chaves, Maria Emilia] Univ Fed Minas Gerais, Bioengn Lab, Belo Horizonte, MG, Brazil; [Oliveira, Vinicius Cunha] Univ Fed Vales Jequitinhonha &amp; Mucuri, Posgrad Reabil &amp; Desempenho Func, Diamantina, MG, Brazil; [Valladao Novais Van Petten, Adriana Maria] Univ Fed Minas Gerais, Dept Occupat Therapy, Belo Horizonte, MG, Brazil; [Santos Vimieiro, Claysson Bruno] Univ Fed Minas Gerais, Grad Program Mech Engn, Belo Horizonte, MG, Brazil; [Santos Vimieiro, Claysson Bruno] Pontificia Univ Catolica Minas Gerais, Grad Program Mech Engn, Belo Horizonte, MG, Brazil</t>
  </si>
  <si>
    <t>Universidade Federal de Minas Gerais; Universidade Federal de Minas Gerais; Universidade Federal dos Vales do Jequitinhonha e Mucuri (UFVJM); Universidade Federal de Minas Gerais; Universidade Federal de Minas Gerais; Pontificia Universidade Catolica de Minas Gerais</t>
  </si>
  <si>
    <t>Vimieiro, CBS (corresponding author), Univ Fed Minas Gerais, Grad Program Mech Engn, Belo Horizonte, MG, Brazil.;Vimieiro, CBS (corresponding author), Pontificia Univ Catolica Minas Gerais, Grad Program Mech Engn, Belo Horizonte, MG, Brazil.</t>
  </si>
  <si>
    <t>Van Petten, Adriana/AAL-1545-2020; Santos Vimieiro, Claysson Bruno/R-4765-2017; Cunha Oliveira, Vinicius/E-1366-2014</t>
  </si>
  <si>
    <t>Ferreira, Fernanda/0000-0003-1031-7389; Santos Vimieiro, Claysson Bruno/0000-0003-1916-0517; Cunha Oliveira, Vinicius/0000-0002-8658-3774</t>
  </si>
  <si>
    <t>JUL 12</t>
  </si>
  <si>
    <t>e0200330</t>
  </si>
  <si>
    <t>10.1371/journal.pone.0200330</t>
  </si>
  <si>
    <t>GM8FT</t>
  </si>
  <si>
    <t>WOS:000438457400045</t>
  </si>
  <si>
    <t>Liu, LY; Li, YL; Lamontagne, A</t>
  </si>
  <si>
    <t>Liu, Le Yu; Li, Youlin; Lamontagne, Anouk</t>
  </si>
  <si>
    <t>The effects of error-augmentation versus error-reduction paradigms in robotic therapy to enhance upper extremity performance and recovery post-stroke: a systematic review</t>
  </si>
  <si>
    <t>Cerebrovascular accident; Upper extremity; Robotics; Error-augmentation; Error-reduction; Haptic guidance; Evidence; PEDro</t>
  </si>
  <si>
    <t>COCHRANE COLLABORATIONS TOOL; RANDOMIZED CONTROLLED-TRIALS; MINIMAL DETECTABLE CHANGE; STROKE PATIENTS; MOTOR RECOVERY; ARM FUNCTION; FORCE-FIELDS; REHABILITATION; RELIABILITY; IMPAIRMENT</t>
  </si>
  <si>
    <t>Despite upper extremity function playing a crucial role in maintaining one's independence in activities of daily living, upper extremity impairments remain one of the most prevalent post-stroke deficits. To enhance the upper extremity motor recovery and performance among stroke survivors, two training paradigms in the fields of robotics therapy involving modifying haptic feedback were proposed: the error-augmentation (EA) and error-reduction (ER) paradigms. There is a lack of consensus, however, as to which of the two paradigms yields superior training effects. This systematic review aimed to determine (i) whether EA is more effective than conventional repetitive practice; (ii) whether ER is more effective than conventional repetitive practice and; (iii) whether EA is more effective than ER in improving post-stroke upper extremity motor recovery and performance. The study search and selection process as well as the ratings of methodological quality of the articles were conducted by two authors separately, and the results were then compared and discussed among the two reviewers. Findings were analyzed and synthesized using the level of evidence. By August 1st 2017, 269 articles were found after searching 6 databases, and 13 were selected based on criteria such as sample size, type of participants recruited, type of interventions used, etc. Results suggest, with a moderate level of evidence, that EA is overall more effective than conventional repetitive practice (motor recovery and performance) and ER (motor performance only), while ER appears to be no more effective than conventional repetitive practice. However, intervention effects as measured using clinical outcomes were under most instance not 'clinically meaningful' and effect sizes were modest. While stronger evidence is required to further support the efficacy of error modification therapies, the influence of factors related to the delivery of the intervention (such as intensity, duration) and personal factors (such as stroke severity and time of stroke onset) deserves further investigations as well.</t>
  </si>
  <si>
    <t>[Liu, Le Yu; Li, Youlin; Lamontagne, Anouk] McGill Univ, Sch Phys &amp; Occupat Therapy, 3654 Promenade Sir William Osler, Montreal, PQ H3G 1Y5, Canada; [Liu, Le Yu; Li, Youlin; Lamontagne, Anouk] Jewish Rehabil Hosp, Site CRIR CISSS Laval, Feil &amp; Oberfeld Res Ctr, Laval, PQ, Canada</t>
  </si>
  <si>
    <t>Liu, LY (corresponding author), McGill Univ, Sch Phys &amp; Occupat Therapy, 3654 Promenade Sir William Osler, Montreal, PQ H3G 1Y5, Canada.;Liu, LY (corresponding author), Jewish Rehabil Hosp, Site CRIR CISSS Laval, Feil &amp; Oberfeld Res Ctr, Laval, PQ, Canada.</t>
  </si>
  <si>
    <t>le.liu@mail.mcgill.ca</t>
  </si>
  <si>
    <t>Liu, Le Yu/0000-0002-3325-3181; Lamontagne, Anouk/0000-0003-2033-9063</t>
  </si>
  <si>
    <t>Canadian Institutes of Health Research (CIHR) [MOP-77548]</t>
  </si>
  <si>
    <t>Canadian Institutes of Health Research (CIHR)(Canadian Institutes of Health Research (CIHR))</t>
  </si>
  <si>
    <t>The research in this publication was funded by the Canadian Institutes of Health Research (CIHR. MOP-77548).</t>
  </si>
  <si>
    <t>10.1186/s12984-018-0408-5</t>
  </si>
  <si>
    <t>GL7YK</t>
  </si>
  <si>
    <t>WOS:000437425000001</t>
  </si>
  <si>
    <t>Mekki, M; Delgado, AD; Fry, A; Putrino, D; Huang, V</t>
  </si>
  <si>
    <t>Mekki, Marwa; Delgado, Andrew D.; Fry, Adam; Putrino, David; Huang, Vincent</t>
  </si>
  <si>
    <t>Robotic Rehabilitation and Spinal Cord Injury: a Narrative Review</t>
  </si>
  <si>
    <t>NEUROTHERAPEUTICS</t>
  </si>
  <si>
    <t>Robotics; spinal cord injury; exoskeleton; neurorehabilitation; paraplegia; tetraplegia</t>
  </si>
  <si>
    <t>EXOSKELETON-ASSISTED WALKING; DIRECT-CURRENT STIMULATION; OVERGROUND BIONIC AMBULATION; BONE-MINERAL DENSITY; POWERED EXOSKELETON; VIRTUAL-REALITY; CHRONIC PAIN; UPPER-LIMB; PATIENT ENGAGEMENT; MOTOR CORTEX</t>
  </si>
  <si>
    <t>Mobility after spinal cord injury (SCI) is among the top goals of recovery and improvement in quality of life. Those with tetraplegia rank hand function as the most important area of recovery in their lives, and those with paraplegia, walking. Without hand function, emphasis in rehabilitation is placed on accessing one's environment through technology. However, there is still much reliance on caretakers for many activities of daily living. For those with paraplegia, if incomplete, orthoses exist to augment walking function, but they require a significant amount of baseline strength and significant energy expenditure to use. Options for those with motor complete paraplegia have traditionally been limited to the wheelchair. While wheelchairs provide a modified level of independence, wheelchair users continue to face difficulties in access and mobility. In the past decade, research in SCI rehabilitation has expanded to include external motorized or robotic devices that initiate or augment movement. These robotic devices are used with 2 goals: to enhance recovery through repetitive, functional movement and increased neural plasticity and to act as a mobility aid beyond orthoses and wheelchairs. In addition, lower extremity exoskeletons have been shown to provide benefits to the secondary medical conditions after SCI such as pain, spasticity, decreased bone density, and neurogenic bowel. In this review, we discuss advances in robot-guided rehabilitation after SCI for the upper and lower extremities, as well as potential adjuncts to robotics.</t>
  </si>
  <si>
    <t>[Mekki, Marwa; Delgado, Andrew D.; Fry, Adam; Putrino, David; Huang, Vincent] Icahn Sch Med Mt Sinai, Dept Rehabil Med, New York, NY 10029 USA</t>
  </si>
  <si>
    <t>Huang, V (corresponding author), Icahn Sch Med Mt Sinai, Dept Rehabil Med, New York, NY 10029 USA.</t>
  </si>
  <si>
    <t>vincent.huang@mountsinai.org</t>
  </si>
  <si>
    <t>Delgado, Andrew/0000-0001-5675-4096</t>
  </si>
  <si>
    <t>1933-7213</t>
  </si>
  <si>
    <t>1878-7479</t>
  </si>
  <si>
    <t>Neurotherapeutics</t>
  </si>
  <si>
    <t>10.1007/s13311-018-0642-3</t>
  </si>
  <si>
    <t>Clinical Neurology; Neurosciences; Pharmacology &amp; Pharmacy</t>
  </si>
  <si>
    <t>GQ8JH</t>
  </si>
  <si>
    <t>WOS:000441999200007</t>
  </si>
  <si>
    <t>Collins, KC; Kennedy, NC; Clark, A; Pomeroy, VM</t>
  </si>
  <si>
    <t>Collins, Kathryn C.; Kennedy, Niamh C.; Clark, Allan; Pomeroy, Valerie M.</t>
  </si>
  <si>
    <t>Kinematic Components of the Reach-to-Target Movement After Stroke for Focused Rehabilitation Interventions: Systematic Review and Meta-Analysis</t>
  </si>
  <si>
    <t>stroke rehabilitation; reaching; upper limb; kinematics; movement performance</t>
  </si>
  <si>
    <t>UPPER EXTREMITY FUNCTION; UPPER-LIMB IMPAIRMENTS; POINTING MOVEMENTS; SENSORIMOTOR IMPAIRMENTS; INTERJOINT COORDINATION; JOINT COORDINATION; MUSCLE ACTIVATION; NONPARETIC ARMS; ROBOTIC DEVICE; PERFORMANCE</t>
  </si>
  <si>
    <t>Background: Better upper limb recovery after stroke could be achieved through tailoring rehabilitation interventions directly at movement deficits. Aim: To identify potential; targets for therapy by synthesizing findings of differences in kinematics and muscle activity between stroke survivors and healthy adults performing reach-to-target tasks. Methods: A systematic review with identification of studies, data extraction, and potential risk of bias was completed independently by two reviewers. Online databases were searched from their inception to November 2017 to find studies of reach-to-target in people-with-stroke and healthy adults. Potential risk-of-bias was assessed using the Down's and Black Tool. Synthesis was undertaken via: (a) meta-analysis of kinematic characteristics utilizing the standardized mean difference (SMD) [95% confidence intervals]; and (b), narrative synthesis of muscle activation. Results: Forty-six studies met the review criteria but 14 had insufficient data for extraction. Consequently, 32 studies were included in the meta-analysis. Potential risk-of-bias was low for one study, unclear for 30, and high for one. Reach-to-target was investigated with 618 people-with-stroke and 429 healthy adults. The meta analysis found, in all areas of workspace, that people-with-stroke had: greater movement times (seconds) e.g., SMD 2.57 [0.89, 4.25]; lower peak velocity (millimeters/second) e.g., SMD -1.76 [-2.29, -1.24]; greater trunk displacement (millimeters) e.g. SMD 1.42 [0.90, 1.93]; a more curved reach-path-ratio e.g., SMD 0.77 [0.32, 1.22] and reduced movement smoothness e.g., SMD 0.92 [0.32, 1.52]. In the ipsilateral and contralateral workspace, people-with-stroke exhibited: larger errors in target accuracy e.g., SMD 0.70 [0.39, 1.01]. In contralateral workspace, stroke survivors had: reduced elbow extension and shoulder flexion (degrees) e.g., elbow extension SMD -1.10 [-1.62, -0.58] and reduced shoulder flexion SMD -1.91 [-1.96, -0.42]. Narrative synthesis of muscle activation found that people-with-stroke, compared with healthy adults, exhibited: delayed muscle activation; reduced coherence between muscle pairs; and use of a greater percentage of muscle power. Conclusions: This first-ever meta-analysis of the kinematic differences between people with stroke and healthy adults performing reach-to-target found statistically significant differences for 21 of the 26 comparisons. The differences identified and values provided are potential foci for tailored rehabilitation interventions to improve upper limb recovery after stroke.</t>
  </si>
  <si>
    <t>[Collins, Kathryn C.] Bournemouth Univ, Fac Human Sci &amp; Publ Heath, Sch Hlth &amp; Social Sci, Bournemouth, Dorset, England; [Kennedy, Niamh C.] Ulster Univ, Sch Psychol, Coleraine, Londonderry, North Ireland; [Clark, Allan] Univ East Anglia, Norwich Med Sch, Norwich, Norfolk, England; [Pomeroy, Valerie M.] Univ East Anglia, Sch Hlth Sci, Acquired Brain Injury Rehabil Alliance, Norwich, Norfolk, England</t>
  </si>
  <si>
    <t>Bournemouth University; Ulster University; University of East Anglia; University of East Anglia</t>
  </si>
  <si>
    <t>Pomeroy, VM (corresponding author), Univ East Anglia, Sch Hlth Sci, Acquired Brain Injury Rehabil Alliance, Norwich, Norfolk, England.</t>
  </si>
  <si>
    <t>v.pomeroy@usa.ac.uk</t>
  </si>
  <si>
    <t>Clark, Allan/S-1063-2019; Kennedy, Niamh/J-8196-2019</t>
  </si>
  <si>
    <t>Kennedy, Niamh/0000-0001-7492-0828; Clark, Allan/0000-0003-2965-8941; Pomeroy, Valerie/0000-0003-4487-823X</t>
  </si>
  <si>
    <t>10.3389/fneur.2018.00472</t>
  </si>
  <si>
    <t>GK4QN</t>
  </si>
  <si>
    <t>Green Accepted, Green Published, gold</t>
  </si>
  <si>
    <t>WOS:000436148100001</t>
  </si>
  <si>
    <t>Jurdi, S; Montaner, J; Garcia-Sanjuan, F; Jaen, J; Nacher, V</t>
  </si>
  <si>
    <t>Jurdi, Sandra; Montaner, Jorge; Garcia-Sanjuan, Fernando; Jaen, Javier; Nacher, Vicente</t>
  </si>
  <si>
    <t>A systematic review of game technologies for pediatric patients</t>
  </si>
  <si>
    <t>Videogames; Game technologies; Children; Hospital</t>
  </si>
  <si>
    <t>PHYSICAL-ACTIVITY; VIDEO GAMES; VIRTUAL-REALITY; HEALTH-BENEFITS; HOSPITALIZED CHILDREN; PREPARE CHILDREN; CEREBRAL-PALSY; YOUNG-CHILDREN; DISTRACTION; ROBOT</t>
  </si>
  <si>
    <t>Children in hospital are subjected to multiple negative stimuli that may hinder their development and social interactions. Although game technologies are thought to improve children's experience in hospital, there is a lack of information on how they can be used effectively. This paper presents a systematic review of the literature on the existing approaches in this context to identify gaps for future research. A total of 1305 studies were identified, of which 75 were thoroughly analyzed according to our review protocol. The results show that the most common approach is to design mono-user games with traditional computers or monitor-based video consoles, which serve as a distractor or a motivator for physical rehabilitation for primary school children undergoing fearful procedures such as venipuncture, or those suffering chronic, neurological, or traumatic diseases/injures. We conclude that, on the one hand, game technologies seem to present physical and psychological benefits to pediatric patients, but more research is needed on this. On the other hand, future designers of games for pediatric hospitalization should consider: 1. The development for kindergarten patients and adolescents, 2. Address the psychological impact caused by long-term hospitalization, 3. Use collaboration as an effective game strategy to reduce patient isolation, 4. Have purposes other than distraction, such as socialization, coping with emotions, or fostering physical mobility, 5. Include parents/caregivers and hospital staff in the game activities; and 6. Exploit new technological artifacts such as robots and tangible interactive elements to encourage intrinsic motivation.</t>
  </si>
  <si>
    <t>[Jurdi, Sandra; Montaner, Jorge; Garcia-Sanjuan, Fernando; Jaen, Javier; Nacher, Vicente] Univ Politecn Valencia, ISSI Grp, DSIC, Camino Vera S-N, E-46022 Valencia, Spain</t>
  </si>
  <si>
    <t>Universitat Politecnica de Valencia</t>
  </si>
  <si>
    <t>Garcia-Sanjuan, F (corresponding author), Univ Politecn Valencia, ISSI Grp, DSIC, Camino Vera S-N, E-46022 Valencia, Spain.</t>
  </si>
  <si>
    <t>saneljur@dsic.upv.es; jormonm5@inf.upv.es; fegarcia@dsic.upv.es; fjaen@upv.es; vnacher@dsic.upv.es</t>
  </si>
  <si>
    <t>Montaner, Julio/K-7621-2012; Garcia-Sanjuan, Fernando/I-5776-2016; Montaner, Joan/D-3063-2015</t>
  </si>
  <si>
    <t>Montaner, Joan/0000-0003-4845-2279; Montaner Marco, Jorge/0000-0002-5009-7627</t>
  </si>
  <si>
    <t>Spanish Ministry of Economy and Competitiveness; European Development Regional Fund (EDRF-FEDER) [TIN2014-60077-R]</t>
  </si>
  <si>
    <t>Spanish Ministry of Economy and Competitiveness(Spanish Government); European Development Regional Fund (EDRF-FEDER)</t>
  </si>
  <si>
    <t>This work is supported by the Spanish Ministry of Economy and Competitiveness and the European Development Regional Fund (EDRF-FEDER) with Project TIN2014-60077-R.</t>
  </si>
  <si>
    <t>10.1016/j.compbiomed.2018.04.019</t>
  </si>
  <si>
    <t>GJ8FC</t>
  </si>
  <si>
    <t>WOS:000435623700010</t>
  </si>
  <si>
    <t>Hong, HJ; Ali, J; Ren, L</t>
  </si>
  <si>
    <t>Hong, Huajie; Ali, Jabran; Ren, Lei</t>
  </si>
  <si>
    <t>A review on topological architecture and design methods of cable-driven mechanism</t>
  </si>
  <si>
    <t>Cable-driven mechanism; topological architecture; novel mechanism; cable-driven serial robot; cable-driven parallel robot</t>
  </si>
  <si>
    <t>BEVEL-GEAR TRAINS; KINEMATIC ANALYSIS; PARALLEL; MANIPULATORS; ROBOT; OPTIMIZATION; WORKSPACE; REHABILITATION; SINGULARITY; EXOSKELETON</t>
  </si>
  <si>
    <t>Research on the cable-driven mechanism has greatly developed with the booming of the robots in the past 30 years, and a range of corresponding theoretical studies have been published on them. The large-scale robot or manipulator with the complex cable-driven mechanism can be reconfigured. However, more theoretical studies are required on their topological architecture design and optimization to achieve this. Therefore, the applied cable-driven architectures and the corresponding theoretical studies are reviewed and summarized here. The parallel, serial, and differential architecture are illustrated, as well as their theories and methods, such as the workspace analysis based on the Jacobian matrix, particle swarm optimization and genetic algorithm, and kinematic design based on the graph theory are described. The features of the architecture and the theory studies are concluded. It is hoped that this study will help with design of future studies.</t>
  </si>
  <si>
    <t>[Hong, Huajie] Natl Univ Def Technol, Changsha 410073, Hunan, Peoples R China; [Ali, Jabran; Ren, Lei] Univ Manchester, Manchester, Lancs, England</t>
  </si>
  <si>
    <t>National University of Defense Technology - China; University of Manchester</t>
  </si>
  <si>
    <t>Hong, HJ (corresponding author), Natl Univ Def Technol, Changsha 410073, Hunan, Peoples R China.</t>
  </si>
  <si>
    <t>willie_hong@hotmail.com</t>
  </si>
  <si>
    <t>Jabran, Ali/F-5312-2018</t>
  </si>
  <si>
    <t>Jabran, Ali/0000-0002-2354-281X</t>
  </si>
  <si>
    <t>National Science Funding of China [201503170138]; Advanced Research of National University of Defense Technology [2016042]; Collaborative Innovative projects of China North Industries Group Corporation and Advanced Colleges [KH201504]</t>
  </si>
  <si>
    <t>National Science Funding of China; Advanced Research of National University of Defense Technology; Collaborative Innovative projects of China North Industries Group Corporation and Advanced Colleges</t>
  </si>
  <si>
    <t>The author(s) disclosed receipt of the following financial support for the research, authorship, and/or publication of this article: This work was supported by the National Science Funding of China (grant number: 201503170138), Advanced Research of National University of Defense Technology (grant number: 2016042), and Collaborative Innovative projects of China North Industries Group Corporation and Advanced Colleges (grant number: KH201504).</t>
  </si>
  <si>
    <t>10.1177/1687814018774186</t>
  </si>
  <si>
    <t>GF7VO</t>
  </si>
  <si>
    <t>WOS:000432176600001</t>
  </si>
  <si>
    <t>He, YT; Eguren, D; Azorín, JM; Grossman, RG; Luu, TP; Contreras-Vidal, JL</t>
  </si>
  <si>
    <t>He, Yongtian; Eguren, David; Azorin, Jose M.; Grossman, Robert G.; Trieu Phat Luu; Contreras-Vidal, Jose L.</t>
  </si>
  <si>
    <t>Brain-machine interfaces for controlling lower-limb powered robotic systems</t>
  </si>
  <si>
    <t>BMI; EEG; lower-limb; exoskeleton; walk; classification; neural decoding</t>
  </si>
  <si>
    <t>SPINAL-CORD-INJURY; COMPUTER INTERFACE; GAIT; EXOSKELETONS; REHABILITATION; WALKING; MOVEMENT; OSCILLATIONS; IMAGINATION; WHEELCHAIR</t>
  </si>
  <si>
    <t>Objective. Lower-limb, powered robotics systems such as exoskeletons and orthoses have emerged as novel robotic interventions to assist or rehabilitate people with walking disabilities. These devices are generally controlled by certain physical maneuvers, for example pressing buttons or shifting body weight. Although effective, these control schemes are not what humans naturally use. The usability and clinical relevance of these robotics systems could be further enhanced by brain-machine interfaces (BMIs). A number of preliminary studies have been published on this topic, but a systematic understanding of the experimental design, tasks, and performance of BMI-exoskeleton systems for restoration of gait is lacking. Approach. To address this gap, we applied standard systematic review methodology for a literature search in PubMed and EMBASE databases and identified 11 studies involving BMI-robotics systems. The devices, user population, input and output of the BMIs and robot systems respectively, neural features, decoders, denoising techniques, and system performance were reviewed and compared. Main results. Results showed BMIs classifying walk versus stand tasks are the most common. The results also indicate that electroencephalography (EEG) is the only recording method for humans. Performance was not clearly presented in most of the studies. Several challenges were summarized, including EEG denoising, safety, responsiveness and others. Significance. We conclude that lower-body powered exoskeletons with automated gait intention detection based on BMIs open new possibilities in the assistance and rehabilitation fields, although the current performance, clinical benefits and several key challenging issues indicate that additional research and development is required to deploy these systems in the clinic and at home. Moreover, rigorous EEG denoising techniques, suitable performance metrics, consistent trial reporting, and more clinical trials are needed to advance the field.</t>
  </si>
  <si>
    <t>[He, Yongtian; Eguren, David; Azorin, Jose M.; Trieu Phat Luu; Contreras-Vidal, Jose L.] Univ Houston, Dept Elect &amp; Comp Engn, Noninvas Brain Machine Interface Syst Lab, Houston, TX 77204 USA; [Azorin, Jose M.] Miguel Hernandez Univ Elche, Brain Machine Interface Syst Lab, Av Univ S-N, Elche 03202, Spain; [Grossman, Robert G.] Houston Methodist Res Inst, Dept Neurosurg, Houston, TX 77030 USA</t>
  </si>
  <si>
    <t>University of Houston System; University of Houston; Universidad Miguel Hernandez de Elche; Houston Methodist</t>
  </si>
  <si>
    <t>He, YT (corresponding author), Univ Houston, Dept Elect &amp; Comp Engn, Noninvas Brain Machine Interface Syst Lab, Houston, TX 77204 USA.</t>
  </si>
  <si>
    <t>chrissshe@gmail.com</t>
  </si>
  <si>
    <t>Contreras-Vidal, Jose/AAW-9299-2020; Azorin, Jose M./G-2157-2011</t>
  </si>
  <si>
    <t>Azorin, Jose M./0000-0001-5548-9657; He, Yongtian/0000-0002-3700-4406</t>
  </si>
  <si>
    <t>TIRR foundation: Mission Connect; Cullen Foundation; Fulbright/Spanish Ministry of Education [PRX16/00014]</t>
  </si>
  <si>
    <t>TIRR foundation: Mission Connect; Cullen Foundation; Fulbright/Spanish Ministry of Education(Spanish Government)</t>
  </si>
  <si>
    <t>This work was partially supported by TIRR foundation: Mission Connect and Cullen Foundation to JCV, and Fulbright/Spanish Ministry of Education Visiting Scholar Academic Year 2016/2017 (PRX16/00014) to JMA. Andrew Paek provided assistance when producing figure 4.</t>
  </si>
  <si>
    <t>IOP PUBLISHING LTD</t>
  </si>
  <si>
    <t>10.1088/1741-2552/aaa8c0</t>
  </si>
  <si>
    <t>FW3AI</t>
  </si>
  <si>
    <t>WOS:000425177200001</t>
  </si>
  <si>
    <t>Li, M; Xu, GH; Xie, J; Chen, CY</t>
  </si>
  <si>
    <t>Li, Min; Xu, Guanghua; Xie, Jun; Chen, Chaoyang</t>
  </si>
  <si>
    <t>A review: Motor rehabilitation after stroke with control based on human intent</t>
  </si>
  <si>
    <t>Stroke rehabilitation; motor rehabilitation; human motor intent; brain-computer interface; neuroplasticity</t>
  </si>
  <si>
    <t>BRAIN-COMPUTER-INTERFACE; LIGHT BIOLOGICAL MOTION; MIRROR NEURON SYSTEM; VIRTUAL-REALITY; ELECTRICAL-STIMULATION; FUNCTIONAL RECOVERY; CORTICAL REORGANIZATION; IMAGERY; PLASTICITY; ROBOT</t>
  </si>
  <si>
    <t>Strokes are a leading cause of acquired disability worldwide, and there is a significant need for novel interventions and further research to facilitate functional motor recovery in stroke patients. This article reviews motor rehabilitation methods for stroke survivors with a focus on rehabilitation controlled by human motor intent. The review begins with the neurodevelopmental principles of motor rehabilitation that provide the neuroscientific basis for intuitively controlled rehabilitation, followed by a review of methods allowing human motor intent detection, biofeedback approaches, and quantitative motor rehabilitation assessment. Challenges for future advances in motor rehabilitation after stroke using intuitively controlled approaches are addressed.</t>
  </si>
  <si>
    <t>[Li, Min; Xu, Guanghua; Xie, Jun] Xi An Jiao Tong Univ, Sch Mech Engn, 28 Xianning Rd, Xian 710049, Shaanxi, Peoples R China; [Chen, Chaoyang] Wayne State Univ, Dept Biomed Engn, Detroit, MI USA</t>
  </si>
  <si>
    <t>Xi'an Jiaotong University; Wayne State University</t>
  </si>
  <si>
    <t>Li, M; Xu, GH (corresponding author), Xi An Jiao Tong Univ, Sch Mech Engn, 28 Xianning Rd, Xian 710049, Shaanxi, Peoples R China.</t>
  </si>
  <si>
    <t>min.li@mail.xjtu.edu.cn; xugh@mail.xjtu.edu.cn</t>
  </si>
  <si>
    <t>Chen, Chaoyang/H-3605-2012; Li, Min/W-2652-2017</t>
  </si>
  <si>
    <t>Li, Min/0000-0002-2959-9147</t>
  </si>
  <si>
    <t>National Natural Science Foundation of China [91420301, 51505363]; China Postdoctoral Science Foundation [2015M570821]</t>
  </si>
  <si>
    <t>National Natural Science Foundation of China(National Natural Science Foundation of China (NSFC)); China Postdoctoral Science Foundation(China Postdoctoral Science Foundation)</t>
  </si>
  <si>
    <t>The author(s) disclosed receipt of the following financial support for the research, authorship, and/or publication of this article: This research was supported by the National Natural Science Foundation of China (91420301 and 51505363) and the China Postdoctoral Science Foundation Grant (2015M570821).</t>
  </si>
  <si>
    <t>10.1177/0954411918755828</t>
  </si>
  <si>
    <t>GC6QD</t>
  </si>
  <si>
    <t>WOS:000429916100002</t>
  </si>
  <si>
    <t>Anaya, F; Thangavel, P; Yu, HY</t>
  </si>
  <si>
    <t>Anaya, Francisco; Thangavel, Pavithra; Yu, Haoyong</t>
  </si>
  <si>
    <t>Hybrid FES-robotic gait rehabilitation technologies: a review on mechanical design, actuation, and control strategies</t>
  </si>
  <si>
    <t>Functional electrical stimulation; FES; Neuroprosthesis; Robotic assisted gait; Robot control; Muscle fatigue; Rehabilitation; Gait; Hybrid control</t>
  </si>
  <si>
    <t>FUNCTIONAL ELECTRICAL-STIMULATION; CONTROLLED-BRAKE ORTHOSIS; KNEE MECHANISM; RESTORE GAIT; WALKING; EXOSKELETONS; NEUROPROSTHESIS; DEVICE; LEG</t>
  </si>
  <si>
    <t>Gait disorders in neurologically disabled people can be treated by various techniques available today which include passive orthoses, functional electrical stimulation (FES) and robot assisted gait training devices (RAGT). However, each system has its own drawback. For example, gait rehabilitation with orthosis is physically taxing for the patient with no significant functional improvement. FES uses muscle powers as physiological actuators to promote balance and improve gait but leads to fatigue, along with poor control of joint trajectories. RAGT devices including powered exoskeletons, gait rehabilitation systems employing programmable footplates and mobile training platforms, have shown significant advantages but the devices are not yet mature due to numerous drawbacks associated with physical and cognitive interaction, energy-management and portability issues. The combination of FES technology and RAGT devices, often named hybrid FES-robot technologies, has arisen as a promising approach to aid in gait restoration. This work reports a comprehensive review on the hybrid FES-robot technologies over the last decades, focusing on different mechanical structures, actuator designs, sensing technologies, and control approaches. The hybrid robotic structures are classified into two categories: (i) orthotic-based hybrid systems, where (a) FES is used to stimulate the muscles and produce joint torque while the robotic system acts as energy dissipating device, and (b) FES and robotic systems are both torque-generating devices; and (ii) non-orthotic based hybrid systems. The review compiles a variety of sources and illustrates the technology's most important challenges in the fields of hybrid rehabilitation robotics which may contribute towards further development of hybrid robot systems.</t>
  </si>
  <si>
    <t>[Anaya, Francisco; Thangavel, Pavithra; Yu, Haoyong] Natl Univ Singapore, Dept Biomed Engn, 9 Engn Dr 1, Singapore 117575, Singapore</t>
  </si>
  <si>
    <t>Yu, HY (corresponding author), Natl Univ Singapore, Dept Biomed Engn, 9 Engn Dr 1, Singapore 117575, Singapore.</t>
  </si>
  <si>
    <t>bieyhy@nus.edu.sg</t>
  </si>
  <si>
    <t>Yu, Haoyong/C-2238-2011</t>
  </si>
  <si>
    <t>Yu, Haoyong/0000-0002-9876-4863; Anaya Reyes, Francisco/0000-0003-3345-0422</t>
  </si>
  <si>
    <t>FRC Tier 1 Grant, Faculty of Engineering, National University of Singapore [R-397-000-218-112]; NMRC BAMP;B Grant, Ministry of Health, Singapore [NMRC/BnB/0019b/2015]</t>
  </si>
  <si>
    <t>FRC Tier 1 Grant, Faculty of Engineering, National University of Singapore(National University of Singapore); NMRC BAMP;B Grant, Ministry of Health, Singapore</t>
  </si>
  <si>
    <t>The work was funded in part by the FRC Tier 1 Grant R-397-000-218-112, Faculty of Engineering, National University of Singapore, and in part by the NMRC B&amp;B Grant No. NMRC/BnB/0019b/2015, Ministry of Health, Singapore.</t>
  </si>
  <si>
    <t>10.1007/s41315-017-0042-6</t>
  </si>
  <si>
    <t>GP8VR</t>
  </si>
  <si>
    <t>WOS:000441193700001</t>
  </si>
  <si>
    <t>Tran, VD; Dario, P; Mazzoleni, S</t>
  </si>
  <si>
    <t>Vi Do Tran; Dario, Paolo; Mazzoleni, Stefano</t>
  </si>
  <si>
    <t>Kinematic measures for upper limb robot-assisted therapy following stroke and correlations with clinical outcome measures: A review</t>
  </si>
  <si>
    <t>Robotics; Rehabilitation; Stroke; Upper limb; ICF</t>
  </si>
  <si>
    <t>AIDED NEUROREHABILITATION; UPPER EXTREMITY; ARM MOVEMENT; REACHING MOVEMENTS; MOTOR RECOVERY; REHABILITATION; SUBACUTE; EXERCISE; COORDINATION; IMPAIRMENT</t>
  </si>
  <si>
    <t>Aim of the study: This review classifies the kinematic measures used to evaluate post-stroke motor impairment following upper limb robot-assisted rehabilitation and investigates their correlations with clinical outcome measures. Methods: An online literature search was carried out in PubMed, MEDLINE, Scopus and IEEE-Xplore databases. Kinematic parameters mentioned in the studies included were categorized into the International Classification of Functioning, Disability and Health (ICF) domains. The correlations between these parameters and the clinical scales were summarized. Results: Forty-nine kinematic parameters were identified from 67 articles involving 1750 patients. The most frequently used parameters were: movement speed, movement accuracy, peak speed, number of speed peaks, and movement distance and duration. According to the ICF domains, 44 kinematic parameters were categorized into Body Functions and Structure, 5 into Activities and no parameters were categorized into Participation and Personal and Environmental Factors. Thirteen articles investigated the correlations between kinematic parameters and clinical outcome measures. Some kinematic measures showed a significant correlation coefficient with clinical scores, but most were weak or moderate. Conclusions: The proposed classification of kinematic measures into ICF domains and their correlations with clinical scales could contribute to identifying the most relevant ones for an integrated assessment of upper limb robot-assisted rehabilitation treatments following stroke. Increasing the assessment frequency by means of kinematic parameters could optimize clinical assessment procedures and enhance the effectiveness of rehabilitation treatments. (C) 2018 IPEM. Published by Elsevier Ltd. All rights reserved.</t>
  </si>
  <si>
    <t>[Vi Do Tran; Dario, Paolo; Mazzoleni, Stefano] Scuola Super Sant Anna, BioRobot Inst, Polo St Anna Valdera, Vle R Piaggio 34, I-56025 Pontedera, Italy; [Vi Do Tran; Mazzoleni, Stefano] Rehabil Bioengn Lab, Volterra, Italy</t>
  </si>
  <si>
    <t>Scuola Superiore Sant'Anna</t>
  </si>
  <si>
    <t>Mazzoleni, S (corresponding author), Scuola Super Sant Anna, BioRobot Inst, Polo St Anna Valdera, Vle R Piaggio 34, I-56025 Pontedera, Italy.</t>
  </si>
  <si>
    <t>stefano.mazzoleni@santannapisa.it</t>
  </si>
  <si>
    <t>Mazzoleni, Stefano/AAM-8581-2020; Do Tran, Vi/AAM-9233-2020; Mazzoleni, Stefano/B-5875-2011</t>
  </si>
  <si>
    <t>Mazzoleni, Stefano/0000-0002-9528-3239</t>
  </si>
  <si>
    <t>10.1016/j.medengphy.2017.12.005</t>
  </si>
  <si>
    <t>GC1BC</t>
  </si>
  <si>
    <t>WOS:000429510600002</t>
  </si>
  <si>
    <t>Chu, CY; Patterson, RM</t>
  </si>
  <si>
    <t>Chu, Chia-Ye; Patterson, Rita M.</t>
  </si>
  <si>
    <t>Soft robotic devices for hand rehabilitation and assistance: a narrative review</t>
  </si>
  <si>
    <t>Soft robotics; Wearable robots; Rehabilitation; Hand</t>
  </si>
  <si>
    <t>GLOVE</t>
  </si>
  <si>
    <t>Introduction: The debilitating effects on hand function from a number of a neurologic disorders has given rise to the development of rehabilitative robotic devices aimed at restoring hand function in these patients. To combat the shortcomings of previous traditional robotics, soft robotics are rapidly emerging as an alternative due to their inherent safety, less complex designs, and increased potential for portability and efficacy. While several groups have begun designing devices, there are few devices that have progressed enough to provide clinical evidence of their design's therapeutic abilities. Therefore, a global review of devices that have been previously attempted could facilitate the development of new and improved devices in the next step towards obtaining clinical proof of the rehabilitative effects of soft robotics in hand dysfunction. Methods: A literature search was performed in SportDiscus, Pubmed, Scopus, and Web of Science for articles related to the design of soft robotic devices for hand rehabilitation. A framework of the key design elements of the devices was developed to ease the comparison of the various approaches to building them. This framework includes an analysis of the trends in portability, safety features, user intent detection methods, actuation systems, total DOF, number of independent actuators, device weight, evaluation metrics, and modes of rehabilitation. Results: In this study, a total of 62 articles representing 44 unique devices were identified and summarized according to the framework we developed to compare different design aspects. By far, the most common type of device was that which used a pneumatic actuator to guide finger flexion/extension. However, the remainder of our framework elements yielded more heterogeneous results. Consequently, those results are summarized and the advantages and disadvantages of many design choices as well as their rationales were highlighted. Conclusion: The past 3 years has seen a rapid increase in the development of soft robotic devices for hand rehabilitative applications. These mostly preclinical research prototypes display a wide range of technical solutions which have been highlighted in the framework developed in this analysis. More work needs to be done in actuator design, safety, and implementation in order for these devices to progress to clinical trials. It is our goal that this review will guide future developers through the various design considerations in order to develop better devices for patients with hand impairments.</t>
  </si>
  <si>
    <t>[Chu, Chia-Ye] Univ North Texas, Hlth Sci Ctr, Texas Coll Osteopath Med, 3500 Camp Bowie Blvd, Ft Worth, TX 76107 USA; [Patterson, Rita M.] Univ North Texas, Hlth Sci Ctr, Dept Family &amp; Manipulat Med, 3500 Camp Bowie Blvd, Ft Worth, TX 76107 USA</t>
  </si>
  <si>
    <t>University of North Texas System; University of North Texas Health Science Center; University of North Texas Denton; University of North Texas System; University of North Texas Health Science Center; University of North Texas Denton</t>
  </si>
  <si>
    <t>Patterson, RM (corresponding author), Univ North Texas, Hlth Sci Ctr, Dept Family &amp; Manipulat Med, 3500 Camp Bowie Blvd, Ft Worth, TX 76107 USA.</t>
  </si>
  <si>
    <t>Rita.Patterson@unthsc.edu</t>
  </si>
  <si>
    <t>University of North Texas Health Science Center; Div Of Chem, Bioeng, Env, &amp; Transp Sys; Directorate For Engineering [1605635] Funding Source: National Science Foundation</t>
  </si>
  <si>
    <t>University of North Texas Health Science Center; Div Of Chem, Bioeng, Env, &amp; Transp Sys; Directorate For Engineering(National Science Foundation (NSF)NSF - Directorate for Engineering (ENG))</t>
  </si>
  <si>
    <t>The work was supported by the University of North Texas Health Science Center.</t>
  </si>
  <si>
    <t>10.1186/s12984-018-0350-6</t>
  </si>
  <si>
    <t>FW6HQ</t>
  </si>
  <si>
    <t>WOS:000425419400001</t>
  </si>
  <si>
    <t>Bruni, MF; Melegari, C; De Cola, MC; Bramanti, A; Bramanti, P; Calabrò, RS</t>
  </si>
  <si>
    <t>Bruni, Maria Federica; Melegari, Corrado; De Cola, Maria Cristina; Bramanti, Alessia; Bramanti, Placido; Calabro, Rocco Salvatore</t>
  </si>
  <si>
    <t>What does best evidence tell us about robotic gait rehabilitation in stroke patients: A systematic review and meta-analysis</t>
  </si>
  <si>
    <t>Stroke; Gait rehabilitation; Robotics; Lokomat; End-effector; Exoskeleton</t>
  </si>
  <si>
    <t>FUNCTIONAL ELECTRICAL-STIMULATION; BODY-WEIGHT SUPPORT; SUBACUTE STROKE; FLOOR WALKING; RECOVERY; TRAINER; ABILITY; TRIAL</t>
  </si>
  <si>
    <t>Background: Studies about electromechanical-assisted devices proved the validity and effectiveness of these tools in gait rehabilitation, especially if used in association with conventional physiotherapy in stroke patients. Objective: The aim of this study was to compare the effects of different robotic devices in improving post stroke gait abnormalities. Methods: A computerized literature research of articles was conducted in the databases MEDLINE, PEDro, COCHRANE, besides a search for the same items in the Library System of the University of Parma (Italy). We selected 13 randomized controlled trials, and the results were divided into sub-acute stroke patients and chronic stroke patients. We selected studies including at least one of the following test: 10-Meter Walking Test, 6-Minute Walk Test, Timed-Up-and-Go, 5-Meter Walk Test, and Functional Ambulation Categories. Results: Stroke patients who received physiotherapy treatment in combination with robotic devices, such as Lokomat or Gait Trainer, were more likely to reach better results, compared to patients who receive conventional gait training alone. Moreover, electromechanical-assisted gait training in association with Functional Electrical Stimulations produced more benefits than the only robotic treatment (-0.80 [-1.14; -0.46], p &gt;.05). Conclusions: The evaluation of the results confirm that the use of robotics can positively affect the outcome of a gait rehabilitation in patients with stroke. The effects of different devices seems to be similar on the most commonly outcome evaluated by this review. (C) 2017 Elsevier Ltd. All rights reserved.</t>
  </si>
  <si>
    <t>[Bruni, Maria Federica; Melegari, Corrado] Univ Parma, Parma, Italy; [De Cola, Maria Cristina; Bramanti, Alessia; Bramanti, Placido; Calabro, Rocco Salvatore] IRCCS Ctr Neurolesi Bonino Pulejo, SS 113 Via Palermo C Casazza, I-98123 Messina, Italy</t>
  </si>
  <si>
    <t>University of Parma; IRCCS Bonino Pulejo</t>
  </si>
  <si>
    <t>Calabrò, RS (corresponding author), IRCCS Ctr Neurolesi Bonino Pulejo, SS 113 Via Palermo C Casazza, I-98123 Messina, Italy.</t>
  </si>
  <si>
    <t>calabro, rocco/L-9570-2019; Bramanti, Alessia/AGE-3236-2022; Bramanti, Placido/K-5117-2016; De Cola, Maria/B-7714-2017</t>
  </si>
  <si>
    <t>calabro, rocco salvatore/0000-0002-8566-3166; Bramanti, Alessia/0000-0002-5247-9901; Bramanti, Placido/0000-0003-0394-8166; De Cola, Maria Cristina/0000-0002-7509-3833</t>
  </si>
  <si>
    <t>10.1016/j.jocn.2017.10.048</t>
  </si>
  <si>
    <t>FV6TX</t>
  </si>
  <si>
    <t>WOS:000424716100003</t>
  </si>
  <si>
    <t>Wattchow, KA; McDonnell, MN; Hillier, SL</t>
  </si>
  <si>
    <t>Wattchow, Kimberley A.; McDonnell, Michelle N.; Hillier, Susan L.</t>
  </si>
  <si>
    <t>Rehabilitation Interventions for Upper Limb Function in the First Four Weeks Following Stroke: A Systematic Review and Meta-Analysis of the Evidence</t>
  </si>
  <si>
    <t>Meta-analysis; Rehabilitation; Review; Stroke; Upper extremity</t>
  </si>
  <si>
    <t>CONSTRAINT-INDUCED MOVEMENT; RANDOMIZED CONTROLLED-TRIAL; NEUROMUSCULAR ELECTRICAL-STIMULATION; UPPER-EXTREMITY FUNCTION; ROBOT-ASSISTED THERAPY; SHOULDER-HAND SYNDROME; HEMIPLEGIC UPPER-LIMB; ARM FUNCTION; MOTOR RECOVERY; VIRTUAL-REALITY</t>
  </si>
  <si>
    <t>Objective: To investigate the therapeutic interventions reported in the research literature and synthesize their effectiveness in improving upper limb (UL) function in the first 4 weeks poststroke. Data Sources: Electronic databases and trial registries were searched from inception until June 2016, in addition to searching systematic reviews by hand. Study Selection: Randomized controlled trials (RCTs), controlled trials, and interventional studies with pre/posttest design were included for adults within 4 weeks of any type of stroke with UL impairment. Participants all received an intervention of any physiotherapeutic or occupational therapeutic technique designed to address impairment or activity of the affected UL, which could be compared with usual care, sham, or another technique. Data Extraction: Two reviewers independently assessed eligibility of full texts, and methodological quality of included studies was assessed using the Cochrane Risk of Bias Tool. Data Synthesis: A total of 104 trials (83 RCTs, 21 nonrandomized studies) were included (N=5225 participants). Meta-analyses of RCTs only (20 comparisons) and narrative syntheses were completed. Key findings included significant positive effects for modified constraint-induced movement therapy (mCIMT) (standardized mean difference [SMD] = 1.09; 95% confidence interval [CI], .21-1.97) and task-specific training (SMD = .37; 95% CI, .05-68). Evidence was found to support supplementary use of biofeedback and electrical stimulation. Use of Bobath therapy was not supported. Conclusions: Use of mCIMT and task-specific training was supported, as was supplementary use of biofeedback and electrical simulation, within the acute phase poststroke. Further high-quality studies into the initial 4 weeks poststroke are needed to determine therapies for targeted functional UL outcomes. (C) 2017 by the American Congress of Rehabilitation Medicine</t>
  </si>
  <si>
    <t>[Wattchow, Kimberley A.; Hillier, Susan L.] Univ South Australia, Sch Hlth Sci, GPO Box 2471, Adelaide, SA, Australia; [McDonnell, Michelle N.] Univ South Australia, Sch Hlth Sci, Stroke &amp; Rehabil Res Grp, Adelaide, SA, Australia; [McDonnell, Michelle N.; Hillier, Susan L.] Univ South Australia, Sansom Inst Hlth Res, Adelaide, SA, Australia</t>
  </si>
  <si>
    <t>McDonnell, MN (corresponding author), Univ South Australia, Sch Hlth Sci, GPO Box 2471, Adelaide, SA, Australia.</t>
  </si>
  <si>
    <t>michelle.mcdonnell@unisa.edu.au</t>
  </si>
  <si>
    <t>McDonnell, Michelle/B-9712-2009; Hillier, Susan/D-4590-2009</t>
  </si>
  <si>
    <t>Hillier, Susan/0000-0002-6071-6137</t>
  </si>
  <si>
    <t>10.1016/j.apmr.2017.06.014</t>
  </si>
  <si>
    <t>FU7YX</t>
  </si>
  <si>
    <t>WOS:000424069800019</t>
  </si>
  <si>
    <t>Nagy, I; Fabo, D</t>
  </si>
  <si>
    <t>Nagy, Ildiko; Fabo, Daniel</t>
  </si>
  <si>
    <t>CLINICAL NEUROPHYSIOLOGICAL METHODS IN DIAGNOSIS AND TREATMENT OF CEREBROVASCULAR DISEASES</t>
  </si>
  <si>
    <t>IDEGGYOGYASZATI SZEMLE-CLINICAL NEUROSCIENCE</t>
  </si>
  <si>
    <t>qEEG; intraoperativ neuromonitoring; neurorehabilitation; cerebrovascular disease; thrombolysis</t>
  </si>
  <si>
    <t>DELAYED CEREBRAL-ISCHEMIA; QUANTITATIVE EEG; SUBARACHNOID HEMORRHAGE; EPILEPTIFORM DISCHARGES; CAROTID-ENDARTERECTOMY; CRITICALLY-ILL; STROKE; DIFFUSION; ELECTROENCEPHALOGRAPHY; STIMULATION</t>
  </si>
  <si>
    <t>Neurophysiological methods are gaining ground in the diagnosis and therapy of cerebrovascular disease. While the role of the EEG (electroencephalography) in the diagnosis of post-stroke epilepsy is constant, quantitative EEG parameters, as new indicators of early efficiency after thrombolysis or in prognosis of patient's condition have proved their effectiveness in several clinical studies. In intensive care units, continuous EEG monitoring of critically ill patients became part of neurointenzive care protocols. SSEP (somatosesnsory evoked potencial) and EEG performed during carotid endarterectomy, are early indicative intraoperativ neuromonitoring methods of poor outcome. Neurorehabilitation is a newly discovered area of neurophysiology. Clinical studies have demonstrated the effectiveness of repetitive transcranial magnetic stimulation (rTMS) in the rehabilitation of stroke patients. Brain computer interface mark the onset of modern rehabilitation, where the function deficit is replaced by robotic tehnology.</t>
  </si>
  <si>
    <t>[Nagy, Ildiko] Szentendre Varos Egeszsegugyi Intezmenyei, Neurofiziol Lab, Szentendre, Hungary; [Fabo, Daniel] Juhasz Pal Epilepszia Ctr, Orszagos Klin Idegtudomanyi Intezet, Neurol Osztaly, Budapest, Hungary</t>
  </si>
  <si>
    <t>Nagy, I (corresponding author), Szentendre Varos Egeszsegugyi Intezmenyei, Kanonok U 1, H-2000 Szentendre, Hungary.;Nagy, I (corresponding author), Pf 58, H-2001 Szentendre, Hungary.</t>
  </si>
  <si>
    <t>nagyildikodr@citromail.hu</t>
  </si>
  <si>
    <t>Fabo, Daniel/AAM-3226-2020</t>
  </si>
  <si>
    <t>Fabo, Daniel/0000-0001-5141-5351</t>
  </si>
  <si>
    <t>LITERATURA MEDICA</t>
  </si>
  <si>
    <t>MARGIT KRT 31-33, BUDAPEST, 1024, HUNGARY</t>
  </si>
  <si>
    <t>0019-1442</t>
  </si>
  <si>
    <t>IDEGGYOGY SZEMLE</t>
  </si>
  <si>
    <t>Ideggyogy. Szle.</t>
  </si>
  <si>
    <t>10.18071/isz.71.0007</t>
  </si>
  <si>
    <t>FU9NA</t>
  </si>
  <si>
    <t>WOS:000424181400001</t>
  </si>
  <si>
    <t>Mardomingo-Medialdea, H; Fernández-González, P; Molina-Rueda, F</t>
  </si>
  <si>
    <t>Mardomingo-Medialdea, Hector; Fernandez-Gonzalez, Pilar; Molina-Rueda, Francisco</t>
  </si>
  <si>
    <t>Usability and acceptability of portable exoskeletons for gait training in subjects with spinal cord injury: a systematic review</t>
  </si>
  <si>
    <t>Exoskeleton; Rehabilitation; Spinal cord injury; Training of the gait</t>
  </si>
  <si>
    <t>TEST-RETEST RELIABILITY; POWERED EXOSKELETON; ROBOTIC EXOSKELETONS; ASSISTED WALKING; MUSCLE-ACTIVITY; HEALTH SURVEY; VALIDITY; VERSION; REHABILITATION; DESIGN</t>
  </si>
  <si>
    <t>Introduction. Spinal cord injury limits severely life expectancy and it causes in a restriction in the activities of the daily life of the subjects who suffer it. Training the gait with portable exoskeletons in subjects with spinal cord injury is a new approach to rehabilitation. Aim. To examine the usability and acceptability of these devices for gait training in subjects with spinal cord injury. Patients and methods. A literature search was conducted until February 2017 in the databases: Medline (PubMed, EBSCO), PEDro, Scopus and Web of Science. The methodological quality, the level of scientific evidence and the strength of recommendation were evaluated. Results. Finally, eight studies were considered recruiting a total of 45 patients. The training programs had an average of 35 sessions and a duration 60 minutes approximately. In general, no adverse events and no relevant increases in pain, blood pressure, heart rate or fatigue were reported. In addition, the satisfaction with the intervention and the perception of quality of life of the participants were quite high. Conclusions. The rehabilitation of the gait with portable exoskeletons seems to be a safe intervention that generates acceptance and satisfaction among patients with spinal cord injury.</t>
  </si>
  <si>
    <t>[Mardomingo-Medialdea, Hector; Fernandez-Gonzalez, Pilar; Molina-Rueda, Francisco] Univ Rey Juan Carlos, Fac Ciencias Salud, Dept Fisioterapia Terapia Ocupac Rehabil &amp; Med Fi, Madrid, Spain; [Fernandez-Gonzalez, Pilar; Molina-Rueda, Francisco] Univ Rey Juan Carlos, Lab Anal Movimiento Biomecan Ergon &amp; Control Moto, LAMBECOM, Madrid, Spain</t>
  </si>
  <si>
    <t>Fernández-González, P (corresponding author), Univ Rey Juan Carlos, Dept Fisioterapia Terapia Ocupac Rehabil &amp; Med Fi, Fac Ciencias Salud, Avda Atenas S-N, E-28922 Alcorcon, Madrid, Spain.</t>
  </si>
  <si>
    <t>pilar.fernandez@urjc.es</t>
  </si>
  <si>
    <t>Molina-Rueda, Francisco/B-4156-2015</t>
  </si>
  <si>
    <t>Molina-Rueda, Francisco/0000-0002-8616-5505</t>
  </si>
  <si>
    <t>10.33588/rn.6602.2017315</t>
  </si>
  <si>
    <t>FT1OR</t>
  </si>
  <si>
    <t>WOS:000422906500001</t>
  </si>
  <si>
    <t>Arya, KN; Pandian, S; Vikas; Puri, V</t>
  </si>
  <si>
    <t>Arya, Kamal Narayan; Pandian, Shanta; Vikas; Puri, Vinod</t>
  </si>
  <si>
    <t>Rehabilitation methods for reducing shoulder subluxation in post-stroke hemiparesis: a systematic review</t>
  </si>
  <si>
    <t>Cerebrovasular accident; functional electrical stimulation; gleno-humeral; upper limb; motor recovery</t>
  </si>
  <si>
    <t>FUNCTIONAL ELECTRICAL-STIMULATION; HEMIPLEGIC SHOULDER; GLENOHUMERAL SUBLUXATION; UPPER-LIMB; STROKE REHABILITATION; CLINICAL MEASURES; MOVEMENT THERAPY; PAIN; RECOVERY; RELIABILITY</t>
  </si>
  <si>
    <t>Background: Shoulder subluxation is a common post-stroke complication affecting up to 80% of the stroke subjects. The pathomechanics at the skeletal level does not provide the structural base for the neural-motor recovery. The management of subluxed shoulder has always been a challenge, complicating the motor and functional recovery. Objective: To review the available studies of rehabilitation interventions for reduction of subluxed shoulder and to explore the evidence for impact of subluxation on motor recovery. Method: PubMed, the Cochrane Central Register of Controlled Trials, DORIS, PEDro, and OTseeker databases were searched using the keywords: Stroke and Shoulder and Subluxation. The experimental, quasi-experimental, and single group studies investigated the rehabilitation methods to reduce the subluxation were selected. A narrative synthesis of the findings from the selected studies was carried out. Result: 2717 studies were identified and 22 studies (14 RCTs or controlled trials and 8 pre-post-single group studies) were finally selected for the review. The rehabilitation intervention: Functional electrical stimulation (FES)/electrical stimulation (11), orthosis/support (07), taping (02), and robotic training and other methods (02) were reviewed. FES is effective in reducing subluxation in acute stage. Shoulder support or orthosis while in situ may reduce the subluxation temporarily. X-ray was the most commonly used assessment tool for the subluxation. Implication of the rehabilitation technique on motor recovery has not been investigated. Conclusion: No technique could effectively reduce the subluxation and facilitate the upper limb recovery. Further studies integrating the usual motor training and the subluxation rehabilitation are warranted. Future trials using more precise and valid tool such as ultrasonography are also needed.</t>
  </si>
  <si>
    <t>[Arya, Kamal Narayan; Pandian, Shanta; Vikas] Pandit Deendayal Upadhayaya Natl Inst Persons Phy, New Delhi, India; [Puri, Vinod] GB Pant Post Grad Inst Med Educ &amp; Res, Dept Neurol, New Delhi, India</t>
  </si>
  <si>
    <t>Govind Ballabh Pant Institute of Postgraduate Medical Education &amp; Research</t>
  </si>
  <si>
    <t>Arya, KN (corresponding author), Pandit Deendayal Upadhayaya Natl Inst Persons Phy, New Delhi, India.</t>
  </si>
  <si>
    <t>kamalnarya@yahoo.com</t>
  </si>
  <si>
    <t>; Arya, Kamal/E-7029-2014</t>
  </si>
  <si>
    <t>PANDIAN, SHANTA/0000-0002-2520-9703; Arya, Kamal/0000-0001-7276-3726</t>
  </si>
  <si>
    <t>Indian Council of Medical Research, New Delhi, India</t>
  </si>
  <si>
    <t>Indian Council of Medical Research, New Delhi, India(Indian Council of Medical Research (ICMR))</t>
  </si>
  <si>
    <t>The study was financially assisted by Indian Council of Medical Research, New Delhi, India.</t>
  </si>
  <si>
    <t>10.1080/10749357.2017.1383712</t>
  </si>
  <si>
    <t>FU8TC</t>
  </si>
  <si>
    <t>WOS:000424127300010</t>
  </si>
  <si>
    <t>Chaparro-Cárdenas, SL; Lozano-Guzmán, AA; Ramirez-Bautista, JA; Hernández-Zavala, A</t>
  </si>
  <si>
    <t>Chaparro-Cardenas, Silvia L.; Lozano-Guzman, Alejandro A.; Andres Ramirez-Bautista, Julian; Hernandez-Zavala, Antonio</t>
  </si>
  <si>
    <t>A review in gait rehabilitation devices and applied control techniques</t>
  </si>
  <si>
    <t>Control strategies; control techniques; gait rehabilitation; rehabilitation devices</t>
  </si>
  <si>
    <t>LOWER-LIMB ORTHOSES; BODY-WEIGHT; CONTROL STRATEGIES; LEARNING CONTROL; LEG EXOSKELETON; FUZZY CONTROL; SPINAL-CORD; ROBOT; STROKE; WALKING</t>
  </si>
  <si>
    <t>Purpose: The aim of this review is to analyse the different existing technologies for gait rehabilitation, focusing mainly in robotic devices. Those robots help the patient to recover a lost function due to neurological gait disorders, accidents or after injury. Besides, they facilitate the identification of normal and abnormal features by registering muscle activity providing the doctor important data where he can observe the evolution of the patient. Method: A deep literature review was realized using selected keywords considering not only the most common medical and engineering databases, but also other available sources that provide information on commercial and scientific gait rehabilitation devices. The founded literature for this review corresponds to control techniques for gait rehabilitation robots, since the early seventies to the present year. Results: Different control strategies for gait analysis in rehabilitation devices have been developed and implemented such as position control, force and impedance control, haptic simulation, and control of EMG signals. These control techniques are used to analyze the force of the patient during therapy, compensating it with the force generated by the mechanism in the rehabilitation device. It is observed that the largest number of studies reported, focuses on the impedance control technique. Leading to include new control techniques and validate them using the necessary protocols with ill patients, obtaining reliable results that allows a progressive and active rehabilitation. Conclusions: With this exhaustive review, we can conclude that the degree of complexity of the rehabilitation device influences in short and long-term therapeutic results since the movements become more controlled. However, there is still a lot of work in the sense of motion control in order to perform trajectories that are more alike the natural movements of humans. There are many control techniques in other areas, which seek to improve the performance of the process. These techniques may possibly be applicable in gait rehabilitation devices, obtaining controllers that are more efficient and that adapts to different people and the necessities that entail every disease. IMPLICATIONS FOR REHABILITATION Rehabilitation helps people to improve the activities of their daily life, allowing them to observe their progress in the functional abilities as the months pass by with intensive and repetitive therapies. There is a mobility issue when the patient needs to move to the hospital or to the laboratory, which is not always feasible. For overcoming it, patients use the equipment at home to perform their daily therapy. However, they need the sufficient knowledge about its operation, also about the therapeutic movements, the therapy duration and the movement speed. Besides, is necessary to place the equipment in a proper and lively environment that helps to forget or reduce pain while the patient moves his joints progressively. The purpose of robotic rehabilitation devices is to generate repetitive and progressive movements, according to the motor disability. There are training trajectories to follow, which motivate patients to generate active movements. The benefits of robotic rehabilitation depend on the ability of each patient to adapt to the speed and load variations generated by the device, improving and reinforcing motor functions in therapy, especially in patients with advanced disabilities in early rehabilitation. Multi-joint rehabilitation devices are more effective than single-joint rehabilitation devices because they involve a higher number of muscles in the therapy. The greater the number of degrees of freedom (DoF) of the device, it cushions its effect in the patient because the inertia is reduced and higher torques are generated. The assistive technological devices allows to explore different rehabilitation techniques that motivate the patient in therapy, increasing appropriately the energy and pressure in the blood which is reflected in gradually recovering his ability to walk.</t>
  </si>
  <si>
    <t>[Chaparro-Cardenas, Silvia L.; Lozano-Guzman, Alejandro A.; Andres Ramirez-Bautista, Julian; Hernandez-Zavala, Antonio] Inst Politecn Nacl, Dept Mechatron, Ctr Invest Ciencia Aplicada &amp; Tecnol Avanzada, Queretaro, Queretaro, Mexico</t>
  </si>
  <si>
    <t>Instituto Politecnico Nacional - Mexico</t>
  </si>
  <si>
    <t>Hernández-Zavala, A (corresponding author), Inst Politecn Nacl, Dept Mechatron, Ctr Invest Ciencia Aplicada &amp; Tecnol Avanzada, Queretaro, Queretaro, Mexico.</t>
  </si>
  <si>
    <t>anhernandezz@ipn.mx</t>
  </si>
  <si>
    <t>Guzman, Alejandro/AAC-4142-2019; Zavala, Antonio/I-8506-2017</t>
  </si>
  <si>
    <t>Ramirez Bautista, Julian Andres/0000-0002-6472-5751; Zavala, Antonio/0000-0002-0964-9522</t>
  </si>
  <si>
    <t>Centro de Investigacion en Ciencia Aplicada y Tecnologia Avanzada, campus Queretaro from the Instituto Politecnico Nacional, Mexico; Consejo Nacional de Ciencia y Tecnologia (CONACYT) Mexico</t>
  </si>
  <si>
    <t>Centro de Investigacion en Ciencia Aplicada y Tecnologia Avanzada, campus Queretaro from the Instituto Politecnico Nacional, Mexico; Consejo Nacional de Ciencia y Tecnologia (CONACYT) Mexico(Consejo Nacional de Ciencia y Tecnologia (CONACyT))</t>
  </si>
  <si>
    <t>Authors would like to thank the Centro de Investigacion en Ciencia Aplicada y Tecnologia Avanzada, campus Queretaro from the Instituto Politecnico Nacional, Mexico, and to the Consejo Nacional de Ciencia y Tecnologia (CONACYT) Mexico, for supporting this research work.</t>
  </si>
  <si>
    <t>10.1080/17483107.2018.1447611</t>
  </si>
  <si>
    <t>HJ2PV</t>
  </si>
  <si>
    <t>WOS:000457013200014</t>
  </si>
  <si>
    <t>Cramer, SC</t>
  </si>
  <si>
    <t>Cramer, Steven C.</t>
  </si>
  <si>
    <t>Treatments to Promote Neural Repair after Stroke</t>
  </si>
  <si>
    <t>JOURNAL OF STROKE</t>
  </si>
  <si>
    <t>Stroke; Neuronal plasticity; Stroke rehabilitation; Recovery of function; Telerehabilitation</t>
  </si>
  <si>
    <t>MESENCHYMAL STEM-CELLS; ACUTE ISCHEMIC-STROKE; RANDOMIZED CLINICAL-TRIAL; INDUCED MOVEMENT THERAPY; BLOOD-BRAIN-BARRIER; TRANSCRANIAL MAGNETIC STIMULATION; NEUROTROPHIC FACTOR GENE; PROBLEM-SOLVING THERAPY; IMPROVES MOTOR FUNCTION; ROBOT-ASSISTED THERAPY</t>
  </si>
  <si>
    <t>Stroke remains a major cause of human disability worldwide. In parallel with advances in acute stroke interventions, new therapies are under development that target restorative processes. Such therapies have a treatment time window measured in days, weeks, or longer and so have the advantage that they may be accessible by a majority of patients. Several categories of restorative therapy have been studied and are reviewed herein, including drugs, growth factors, monoclonal antibodies, activity-related therapies including telerehabilitation, and a host of devices such as those related to brain stimulation or robotics. Many patients with stroke do not receive acute stroke therapies or receive them and do not derive benefit, often surviving for years thereafter. Therapies based on neural repair hold the promise of providing additional treatment options to a majority of patients with stroke.</t>
  </si>
  <si>
    <t>[Cramer, Steven C.] Univ Calif Irvine, Dept Neurol, Irvine, CA 92717 USA; [Cramer, Steven C.] Univ Calif Irvine, Dept Anat &amp; Neurobiol, Irvine, CA 92717 USA; [Cramer, Steven C.] Univ Calif Irvine, Dept Phys Med &amp; Rehabil, Irvine, CA USA</t>
  </si>
  <si>
    <t>University of California System; University of California Irvine; University of California System; University of California Irvine; University of California System; University of California Irvine</t>
  </si>
  <si>
    <t>Cramer, SC (corresponding author), Univ Calif, UC Irvine Med Ctr, Dept Neurol, 200 S Manchester Ave,Suite 206, Orange, CA 92868 USA.;Cramer, SC (corresponding author), Univ Calif, UC Irvine Med Ctr, Dept Anat &amp; Neurobiol, 200 S Manchester Ave,Suite 206, Orange, CA 92868 USA.;Cramer, SC (corresponding author), Univ Calif, UC Irvine Med Ctr, Dept Phys Med &amp; Rehabil, 200 S Manchester Ave,Suite 206, Orange, CA 92868 USA.</t>
  </si>
  <si>
    <t>U.S. National Institutes of Health [K24 HD074722]</t>
  </si>
  <si>
    <t>U.S. National Institutes of Health(United States Department of Health &amp; Human ServicesNational Institutes of Health (NIH) - USA)</t>
  </si>
  <si>
    <t>Supported by a grant from the U.S. National Institutes of Health (K24 HD074722).</t>
  </si>
  <si>
    <t>KOREAN STROKE SOC</t>
  </si>
  <si>
    <t>C/O CHIN-SANG CHUNG, DEPT NEUROL, SAMSUNG MED CTR, SUNGKYUNKWAN UNIV, SCH MED, IRWON-RO, GANGNAM-GU, SEOUL, 135-710, SOUTH KOREA</t>
  </si>
  <si>
    <t>2287-6391</t>
  </si>
  <si>
    <t>2287-6405</t>
  </si>
  <si>
    <t>J STROKE</t>
  </si>
  <si>
    <t>J. Stroke</t>
  </si>
  <si>
    <t>10.5853/jos.2017.02796</t>
  </si>
  <si>
    <t>FU4KH</t>
  </si>
  <si>
    <t>WOS:000423821500006</t>
  </si>
  <si>
    <t>Darbois, N; Guillaud, A; Pinsault, N</t>
  </si>
  <si>
    <t>Darbois, Nelly; Guillaud, Albin; Pinsault, Nicolas</t>
  </si>
  <si>
    <t>Do Robotics and Virtual Reality Add Real Progress to Mirror Therapy Rehabilitation? A Scoping Review</t>
  </si>
  <si>
    <t>REHABILITATION RESEARCH AND PRACTICE</t>
  </si>
  <si>
    <t>PHANTOM LIMB PAIN; VISUAL FEEDBACK THERAPY; AUGMENTED REALITY; MOTOR FUNCTION; CHRONIC STROKE; SYSTEM; MOVEMENTS; BRAIN; FEASIBILITY; ACTIVATION</t>
  </si>
  <si>
    <t>Background. Mirror therapy has been used in rehabilitation for multiple indications since the 1990s. Current evidence supports some of these indications, particularly for cerebrovascular accidents in adults and cerebral palsy in children. Since 2000s, computerized or robotic mirror therapy has been developed and marketed. Objectives. To map the extent, nature, and rationale of research activity in robotic or computerized mirror therapy and the type of evidence available for any indication. To investigate the relevance of conducting a systematic review and meta-analysis on these therapies. Method. Systematic scoping review. Searches were conducted (up to May 2018) in the Cochrane Library, Google Scholar, IEEE Xplore, Medline, Physiotherapy Evidence Database, and PsycINFO databases. References from identified studies were examined. Results. In sum, 75 articles met the inclusion criteria. Most studies were publicly funded (57% of studies; n = 43), without disclosure of conflict of interest (59% of studies; n = 44). The main outcomes assessed were pain, satisfaction on the device, and body function and activity, mainly for stroke and amputees patients and healthy participants. Most design studies were case reports (67% of studies; n = 50), with only 12 randomized controlled trials with 5 comparing standard mirror therapy versus virtual mirror therapy, 5 comparing second-generation mirror therapy versus conventional rehabilitation, and 2 comparing other interventions. Conclusion. Much of the research on second-generation mirror therapy is of very low quality. Evidence-based rationale to conduct such studies is missing. It is not relevant to recommend investment by rehabilitation professionals and institutions in such devices.</t>
  </si>
  <si>
    <t>[Darbois, Nelly; Guillaud, Albin; Pinsault, Nicolas] Univ Grenoble Alpes, Crit Thinking Res Federat FED 4276, Grenoble, France; [Darbois, Nelly; Guillaud, Albin] Cortecs Team, Grenoble, France; [Darbois, Nelly; Pinsault, Nicolas] Grenoble Alpes Univ Hosp, Sch Physiotherapy, Grenoble, France; [Guillaud, Albin; Pinsault, Nicolas] UMR CNRS UGA 5525, TIMC IMAG Lab, ThEMAS Team, Grenoble, France</t>
  </si>
  <si>
    <t>Communaute Universite Grenoble Alpes; Universite Grenoble Alpes (UGA); CHU Grenoble Alpes; Communaute Universite Grenoble Alpes; Universite Grenoble Alpes (UGA); Communaute Universite Grenoble Alpes; Institut National Polytechnique de Grenoble; Universite Grenoble Alpes (UGA); Centre National de la Recherche Scientifique (CNRS)</t>
  </si>
  <si>
    <t>Darbois, N (corresponding author), Univ Grenoble Alpes, Crit Thinking Res Federat FED 4276, Grenoble, France.;Darbois, N (corresponding author), Cortecs Team, Grenoble, France.;Darbois, N (corresponding author), Grenoble Alpes Univ Hosp, Sch Physiotherapy, Grenoble, France.</t>
  </si>
  <si>
    <t>darbois@cortecs.org</t>
  </si>
  <si>
    <t>Pinsault, Nicolas/M-7627-2017; Pinsault, Nicolas/AAE-7538-2019</t>
  </si>
  <si>
    <t>Darbois, Nelly/0000-0001-9467-9832; Pinsault, Nicolas/0000-0001-5034-0802</t>
  </si>
  <si>
    <t>2090-2867</t>
  </si>
  <si>
    <t>2090-2875</t>
  </si>
  <si>
    <t>REHABIL RES PRACT</t>
  </si>
  <si>
    <t>Rehabil. Res. Pract.</t>
  </si>
  <si>
    <t>10.1155/2018/6412318</t>
  </si>
  <si>
    <t>GS5EA</t>
  </si>
  <si>
    <t>Green Published, Green Submitted, hybrid</t>
  </si>
  <si>
    <t>WOS:000443678300001</t>
  </si>
  <si>
    <t>Eiammanussakul, T; Sangveraphunsiri, V</t>
  </si>
  <si>
    <t>Eiammanussakul, Trinnachoke; Sangveraphunsiri, Viboon</t>
  </si>
  <si>
    <t>A Lower Limb Rehabilitation Robot in Sitting Position with a Review of Training Activities</t>
  </si>
  <si>
    <t>STROKE PATIENTS; GAIT; PERFORMANCE; DESIGN; EXERCISE; BALANCE; MUSCLE</t>
  </si>
  <si>
    <t>Robots for stroke rehabilitation at the lower limbs in sitting/lying position have been developed extensively. Some of them have been applied in clinics and shown the potential of the recovery of poststroke patients who suffer from hemiparesis. These robots were developed to provide training at different joints of lower limbs with various activities and modalities. This article reviews the training activities that were realized by rehabilitation robots in literature, in order to offer insights for developing a novel robot suitable for stroke rehabilitation. The control system of the lower limb rehabilitation robot in sitting position that was introduced in the previous work is discussed in detail to demonstrate the behavior of the robot while training a subject. The nonlinear impedance control law, based on active assistive control strategy, is able to define the response of the robot with more specifications while the passivity property and the robustness of the system is verified. A preliminary experiment is conducted on a healthy subject to show that the robot is able to perform active assistive exercises with various training activities and assist the subject to complete the training with desired level of assistance.</t>
  </si>
  <si>
    <t>[Eiammanussakul, Trinnachoke; Sangveraphunsiri, Viboon] Chulalongkorn Univ, Fac Engn, Dept Mech Engn, Bangkok, Thailand</t>
  </si>
  <si>
    <t>Chulalongkorn University</t>
  </si>
  <si>
    <t>Sangveraphunsiri, V (corresponding author), Chulalongkorn Univ, Fac Engn, Dept Mech Engn, Bangkok, Thailand.</t>
  </si>
  <si>
    <t>viboon.s@chula.ac.th</t>
  </si>
  <si>
    <t>National Research University Project, Office of Higher Education Commission [WCU-013-HR-57, CU-59-005-IC]; Research Pyramid and Chula Research Scholar project; 100th Anniversary Chulalongkorn University Fund for Doctoral Scholarship; Second Century Research Policy of Chulalongkorn University</t>
  </si>
  <si>
    <t>National Research University Project, Office of Higher Education Commission; Research Pyramid and Chula Research Scholar project; 100th Anniversary Chulalongkorn University Fund for Doctoral Scholarship; Second Century Research Policy of Chulalongkorn University</t>
  </si>
  <si>
    <t>This research work is a part of the project supported by the National Research University Project, Office of Higher Education Commission, Project nos. WCU-013-HR-57 and CU-59-005-IC and also supported by the Research Pyramid and Chula Research Scholar project, the Second Century Research Policy of Chulalongkorn University, 2016-2018, and the 100th Anniversary Chulalongkorn University Fund for Doctoral Scholarship.</t>
  </si>
  <si>
    <t>10.1155/2018/1927807</t>
  </si>
  <si>
    <t>GD0XQ</t>
  </si>
  <si>
    <t>WOS:000430224800001</t>
  </si>
  <si>
    <t>Hayes, SC; Wilcox, CRJ; White, HSF; Vanicek, N</t>
  </si>
  <si>
    <t>Hayes, Stephen Clive; Wilcox, Christopher Richard James; White, Hollie Samantha Forbes; Vanicek, Natalie</t>
  </si>
  <si>
    <t>The effects of robot assisted gait training on temporal-spatial characteristics of people with spinal cord injuries: A systematic review</t>
  </si>
  <si>
    <t>Spinal cord injury; Robot assisted gait training; Overground gait; Treadmill gait; Temporal-spatial characteristics</t>
  </si>
  <si>
    <t>POWERED EXOSKELETON; WALKING SPEED; FUNCTIONAL AMBULATION; REHABILITATION; INDIVIDUALS; ORTHOSIS; CLASSIFICATION; GUIDELINES; THERAPY; LOKOMAT</t>
  </si>
  <si>
    <t>Context: Robotic assisted gait training (RAGT) technology can be used as a rehabilitation tool or as an assistive device for spinal cord injured (SCI) individuals. Its impact on upright stepping characteristics of SCI individuals using treadmill or overground robotic exoskeleton systems has yet to be established. Objective: To systematically review the literature and identify if overground or treadmill based RAGT use in SCI individuals elicited differences in temporal-spatial characteristics and functional outcome measures. Methods: A systematic search of the literature investigating overground and treadmill RAGT in SCIs was undertaken excluding case-studies and case-series. Studies were included if the primary outcomes were temporal-spatial gait parameters. Study inclusion and methodological quality were assessed and determined independently by two reviewers. Methodological quality was assessed using a validated scoring system for randomized and non-randomized trials. Results: Twelve studies met all inclusion criteria. Participant numbers ranged from 5-130 with injury levels from C2 to T12, American Spinal Injuries Association A-D. Three studies used overground RAGT systems and the remaining nine focused on treadmill based RAGT systems. Primary outcome measures were walking speed and walking distance. The use of treadmill or overground based RAGT did not result in an increase in walking speed beyond that of conventional gait training and no studies reviewed enabled a large enough improvement to facilitate community ambulation. Conclusion: The use of RAGT in SCI individuals has the potential to benefit upright locomotion of SCI individuals. Its use should not replace other therapies but be incorporated into a multi-modality rehabilitation approach.</t>
  </si>
  <si>
    <t>[Hayes, Stephen Clive; Wilcox, Christopher Richard James; White, Hollie Samantha Forbes; Vanicek, Natalie] Univ Hull, Sch Life Sci, Don Bldg,Cottingham Rd, Kingston Upon Hull HU6 7RX, N Humberside, England</t>
  </si>
  <si>
    <t>University of Hull</t>
  </si>
  <si>
    <t>Wilcox, CRJ (corresponding author), Univ Hull, Sch Life Sci, Don Bldg,Cottingham Rd, Kingston Upon Hull HU6 7RX, N Humberside, England.</t>
  </si>
  <si>
    <t>C.Wilcox@hull.ac.uk</t>
  </si>
  <si>
    <t>Vanicek, Natalie/0000-0002-9602-3172; Hayes, Stephen/0000-0003-0767-3657</t>
  </si>
  <si>
    <t>10.1080/10790268.2018.1426236</t>
  </si>
  <si>
    <t>GR2DR</t>
  </si>
  <si>
    <t>Green Published, Green Accepted</t>
  </si>
  <si>
    <t>WOS:000442371900005</t>
  </si>
  <si>
    <t>Kenyon, LK; Hostnik, L; McElroy, R; Peterson, C; Farris, JP</t>
  </si>
  <si>
    <t>Kenyon, Lisa K.; Hostnik, Lisa; McElroy, Rachel; Peterson, Courtney; Farris, John P.</t>
  </si>
  <si>
    <t>Power Mobility Training Methods for Children: A Systematic Review</t>
  </si>
  <si>
    <t>PEDIATRIC PHYSICAL THERAPY</t>
  </si>
  <si>
    <t>pediatric power mobility; pediatric power mobility training methods; pediatrics</t>
  </si>
  <si>
    <t>RIDE-ON CAR; ROBOTIC MOBILITY; WHEELCHAIR; SOCIALIZATION; REHABILITATION; INFANT; DESIGNS</t>
  </si>
  <si>
    <t>Purpose: To summarize and critically appraise the existing evidence related to power mobility training methods used in research studies conducted with children 21 years or younger. Methods: A systematic review was conducted using 16 electronic databases to identify primary source quantitative studies published in peer-reviewed journals. Data extraction, determination of level of evidence, evaluation of methodological rigor, and assessment of the risk of bias were completed. The Evidence Alert Traffic Light Grading System (EATLS) was used. Results: Twenty-seven studies were included in the review. Levels of evidence were II to V; scientific rigor scores were 2 to 7. Conclusions: An overall Yellow EATLS level of evidence was found indicating that therapists should use caution when providing power mobility training interventions and measure outcomes related to established goals in areas such as development, functional skills, or use of a power mobility device.</t>
  </si>
  <si>
    <t>[Kenyon, Lisa K.; Hostnik, Lisa; McElroy, Rachel; Peterson, Courtney] Grand Valley State Univ, Dept Phys Therapy, 301 Michigan St NE, Grand Rapids, MI 49503 USA; [Farris, John P.] Grand Valley State Univ, Padnos Sch Engn &amp; Comp, Grand Rapids, MI USA</t>
  </si>
  <si>
    <t>Grand Valley State University; Grand Valley State University</t>
  </si>
  <si>
    <t>Kenyon, LK (corresponding author), Grand Valley State Univ, Dept Phys Therapy, 301 Michigan St NE, Grand Rapids, MI 49503 USA.</t>
  </si>
  <si>
    <t>kenyonli@gvsu.edu</t>
  </si>
  <si>
    <t>0898-5669</t>
  </si>
  <si>
    <t>1538-005X</t>
  </si>
  <si>
    <t>PEDIATR PHYS THER</t>
  </si>
  <si>
    <t>Pediatr. Phys. Ther.</t>
  </si>
  <si>
    <t>10.1097/PEP.0000000000000458</t>
  </si>
  <si>
    <t>GM0DR</t>
  </si>
  <si>
    <t>WOS:000437717700003</t>
  </si>
  <si>
    <t>Losey, DP; McDonald, CG; Battaglia, E; O'Malley, MK</t>
  </si>
  <si>
    <t>Losey, Dylan P.; McDonald, Craig G.; Battaglia, Edoardo; O'Malley, Marcia K.</t>
  </si>
  <si>
    <t>A Review of Intent Detection, Arbitration, and Communication Aspects of Shared Control for Physical Human-Robot Interaction</t>
  </si>
  <si>
    <t>GRIP FORCE CONTROL; SENSORY FEEDBACK; VIBROTACTILE FEEDBACK; TACTILE FEEDBACK; HAPTIC GUIDANCE; OBJECT MANIPULATION; VIRTUAL FIXTURES; ARM EXOSKELETON; PARALLEL ROBOT; DESIGN</t>
  </si>
  <si>
    <t>As robotic devices are applied to problems beyond traditional manufacturing and industrial settings, we find that interaction between robots and humans, especially physical interaction, has become a fast developing field. Consider the application of robotics in healthcare, where we find telerobotic devices in the operating room facilitating dexterous surgical procedures, exoskeletons in the rehabilitation domain as walking aids and upper-limb movement assist devices, and even robotic limbs that are physically integrated with amputees who seek to restore their independence and mobility. In each of these scenarios, the physical coupling between human and robot, often termed physical human robot interaction (pHRI), facilitates new human performance capabilities and creates an opportunity to explore the sharing of task execution and control between humans and robots. In this review, we provide a unifying view of human and robot sharing task execution in scenarios where collaboration and cooperation between the two entities are necessary, and where the physical coupling of human and robot is a vital aspect. We define three key themes that emerge in these shared control scenarios, namely, intent detection, arbitration, and feedback. First, we explore methods for how the coupled pHRI system can detect what the human is trying to do, and how the physical coupling itself can be leveraged to detect intent. Second, once the human intent is known, we explore techniques for sharing and modulating control of the coupled system between robot and human operator. Finally, we survey methods for informing the human operator of the state of the coupled system, or the characteristics of the environment with which the pHRI system is interacting. At the conclusion of the survey, we present two case studies that exemplify shared control in pHRI systems, and specifically highlight the approaches used for the three key themes of intent detection, arbitration, and feedback for applications of upper limb robotic rehabilitation and haptic feedback from a robotic prosthesis for the upper limb.</t>
  </si>
  <si>
    <t>[Losey, Dylan P.; McDonald, Craig G.] Rice Univ, Dept Mech Engn, Houston, TX 77251 USA; [Battaglia, Edoardo] Univ Pisa, Ctr Ric E Piaggio, I-56126 Pisa, Italy; [O'Malley, Marcia K.] Rice Univ, Mechatron &amp; Hapt Interfaces Lab, Dept Mech Engn, Houston, TX 77251 USA</t>
  </si>
  <si>
    <t>Rice University; University of Pisa; Rice University</t>
  </si>
  <si>
    <t>Losey, DP (corresponding author), Rice Univ, Dept Mech Engn, Houston, TX 77251 USA.</t>
  </si>
  <si>
    <t>dlosey@rice.edu; Craig.G.McDonald@rice.edu; e.battaglia@centropiaggio.unipi.it; omalleym@rice.edu</t>
  </si>
  <si>
    <t>Battaglia, Edoardo/AAE-5786-2019</t>
  </si>
  <si>
    <t>O'Malley, Marcia/0000-0002-3563-1051; Battaglia, Edoardo/0000-0002-1445-3962</t>
  </si>
  <si>
    <t>Directorate for Computer and Information Science and Engineering [NSF IIS-1065497]; National Science Foundation [NSF DGE-1250104]; Seventh Framework Programme [601165]</t>
  </si>
  <si>
    <t>Directorate for Computer and Information Science and Engineering; National Science Foundation(National Science Foundation (NSF)); Seventh Framework Programme(European Union (EU))</t>
  </si>
  <si>
    <t>Directorate for Computer and Information Science and Engineering (Grant No. NSF IIS-1065497).r National Science Foundation (Grant No. NSF DGE-1250104).r Seventh Framework Programme (Grant No. 601165).</t>
  </si>
  <si>
    <t>10.1115/1.4039145</t>
  </si>
  <si>
    <t>GC0JQ</t>
  </si>
  <si>
    <t>Bronze, Green Submitted</t>
  </si>
  <si>
    <t>WOS:000429464000005</t>
  </si>
  <si>
    <t>Mehrholz, J; Pohl, M; Platz, T; Kugler, J; Elsner, B</t>
  </si>
  <si>
    <t>Mehrholz, Jan; Pohl, Marcus; Platz, Thomas; Kugler, Joachim; Elsner, Bernhard</t>
  </si>
  <si>
    <t>Electromechanical and robot-assisted arm training for improving activities of daily living, arm function, and arm muscle strength after stroke</t>
  </si>
  <si>
    <t>CONSTRAINT-INDUCED THERAPY; RANDOMIZED CLINICAL-TRIAL; UPPER-LIMB RECOVERY; UPPER EXTREMITY; MOTOR RECOVERY; ELECTRICAL-STIMULATION; HAND REHABILITATION; AIDED NEUROREHABILITATION; FOLLOW-UP; SUBACUTE</t>
  </si>
  <si>
    <t>Background Electromechanical and robot-assisted arm training devices are used in rehabilitation, and may help to improve arm function after stroke. Objectives To assess the effectiveness of electromechanical and robot-assisted arm training for improving activities of daily living, arm function, and arm muscle strength in people after stroke. We also assessed the acceptability and safety of the therapy. Search methods We searched the Cochrane Stroke Group's Trials Register (last searched January 2018), the Cochrane Central Register of Controlled Trials (CENTRAL) (the Cochrane Library 2018, Issue 1), MEDLINE (1950 to January 2018), Embase (1980 to January 2018), CINAHL (1982 to January 2018), AMED(1985 to January 2018), SPORTDiscus (1949 to January 2018), PEDro (searched February 2018), Compendex (1972 to January 2018), and Inspec (1969 to January 2018). We also handsearched relevant conference proceedings, searched trials and research registers, checked reference lists, and contacted trialists, experts, and researchers in our field, as well as manufacturers of commercial devices. Selection criteria Randomised controlled trials comparing electromechanical and robot-assisted arm training for recovery of arm function with other rehabilitation or placebo interventions, or no treatment, for people after stroke. Data collection and analysis Two review authors independently selected trials for inclusion, assessed trial quality and risk of bias, used the GRADE approach to assess the quality of the body of evidence, and extracted data. We contacted trialists for additional information. We analysed the results as standardised mean differences (SMDs) for continuous variables and risk differences (RDs) for dichotomous variables. Main results We included 45 trials (involving 1619 participants) in this update of our review. Electromechanical and robot-assisted arm training improved activities of daily living scores (SMD 0.31, 95% confidence interval (CI) 0.09 to 0.52, P = 0.0005; I-2 = 59%; 24 studies, 957 participants, high-quality evidence), arm function (SMD 0.32, 95% CI 0.18 to 0.46, P &lt; 0.0001, I-2 = 36%, 41 studies, 1452 participants, high-quality evidence), and arm muscle strength (SMD 0.46, 95% CI 0.16 to 0.77, P = 0.003, I-2 = 76%, 23 studies, 826 participants, high-quality evidence). Electromechanical and robot-assisted arm training did not increase the risk of participant dropout (RD 0.00, 95% CI -0.02 to 0.02, P = 0.93, I-2 = 0%, 45 studies, 1619 participants, high-quality evidence), and adverse events were rare. Authors' conclusions People who receive electromechanical and robot-assisted arm training after stroke might improve their activities of daily living, arm function, and arm muscle strength. However, the results must be interpreted with caution although the quality of the evidence was high, because there were variations between the trials in: the intensity, duration, and amount of training; type of treatment; participant characteristics; and measurements used.</t>
  </si>
  <si>
    <t>[Mehrholz, Jan; Kugler, Joachim; Elsner, Bernhard] Tech Univ Dresden, Dresden Med Sch, Dept Publ Hlth, Fetscherstr 74, D-01307 Dresden, Germany; [Pohl, Marcus] Helios Klin Schloss Pulsnitz, Neurol Rehabil, Pulsnitz, Germany; [Platz, Thomas] Ernst Moritz Arndt Univ Greifswald, BDH Klin Greifswald, Neurorehabil Ctr, Greifswald, Germany; [Platz, Thomas] Ernst Moritz Arndt Univ Greifswald, BDH Klin Greifswald, Spinal Cord Injury Unit, Greifswald, Germany; [Platz, Thomas] Ernst Moritz Arndt Univ, Neurowissensch, Greifswald, Germany</t>
  </si>
  <si>
    <t>Technische Universitat Dresden; Helios Kliniken; Universitat Greifswald; Universitat Greifswald; Universitat Greifswald</t>
  </si>
  <si>
    <t>Mehrholz, J (corresponding author), Tech Univ Dresden, Dresden Med Sch, Dept Publ Hlth, Fetscherstr 74, D-01307 Dresden, Germany.</t>
  </si>
  <si>
    <t>Kugler, Joachim/IST-6529-2023; Platz, Thomas/AGF-9881-2022; Elsner, Bernhard/K-5951-2015</t>
  </si>
  <si>
    <t>CD006876</t>
  </si>
  <si>
    <t>10.1002/14651858.CD006876.pub5</t>
  </si>
  <si>
    <t>GV7KC</t>
  </si>
  <si>
    <t>WOS:000446302100026</t>
  </si>
  <si>
    <t>Miao, Q; Zhang, MM; Wang, CZ; Li, HS</t>
  </si>
  <si>
    <t>Miao, Qing; Zhang, Mingming; Wang, Congzhe; Li, Hongsheng</t>
  </si>
  <si>
    <t>Towards Optimal Platform-Based Robot Design for Ankle Rehabilitation: The State of the Art and Future Prospects</t>
  </si>
  <si>
    <t>CONTROL STRATEGIES; FOOT ORTHOSIS; PARALLEL; OPTIMIZATION; STIFFNESS; JOINTS</t>
  </si>
  <si>
    <t>This review aims to compare existing robot-assisted ankle rehabilitation techniques in terms of robot design. Included studies mainly consist of selected papers in two published reviews involving a variety of robot-assisted ankle rehabilitation techniques. A free search was also made in Google Scholar and Scopus by using keywords ankle*, and robot*, and (rehabilitat* or treat*). The search is limited to English-language articles published between January 1980 and September 2016. Results show that existing robot-assisted ankle rehabilitation techniques can be classified into wearable exoskeleton and platform-based devices. Platform-based devices are mostly developed for the treatment of a variety of ankle musculoskeletal and neurological injuries, while wearable ones focus more on ankle-related gait training. In terms of robot design, comparative analysis indicates that an ideal ankle rehabilitation robot should have aligned rotation center as the ankle joint, appropriate workspace, and actuation torque, no matter how many degrees of freedom (DOFs) it has. Single-DOF ankle robots are mostly developed for specific applications, while multi-DOF devices are more suitable for comprehensive ankle rehabilitation exercises. Other factors including posture adjustability and sensing functions should also be considered to promote related clinical applications. An ankle rehabilitation robot with reconfigurability to maximize its functions will be a new research point towards optimal design, especially on parallel mechanisms.</t>
  </si>
  <si>
    <t>[Miao, Qing; Li, Hongsheng] Wuhan Univ Technol, Sch Mech &amp; Elect Engn, Wuhan, Hubei, Peoples R China; [Zhang, Mingming] Huazhong Univ Sci &amp; Technol, State Key Lab Digital Mfg Equipment &amp; Technol, Wuhan, Hubei, Peoples R China; [Zhang, Mingming] Univ Auckland, Dept Mech Engn, Auckland, New Zealand; [Wang, Congzhe] Chongqing Univ Posts &amp; Telecommun, Sch Adv Mfg Engn, Chongqing, Peoples R China</t>
  </si>
  <si>
    <t>Wuhan University of Technology; Huazhong University of Science &amp; Technology; University of Auckland; Chongqing University of Posts &amp; Telecommunications</t>
  </si>
  <si>
    <t>Zhang, MM (corresponding author), Huazhong Univ Sci &amp; Technol, State Key Lab Digital Mfg Equipment &amp; Technol, Wuhan, Hubei, Peoples R China.;Zhang, MM (corresponding author), Univ Auckland, Dept Mech Engn, Auckland, New Zealand.</t>
  </si>
  <si>
    <t>mzha130@aucklanduni.ac.nz</t>
  </si>
  <si>
    <t>Miao, Qing/AAE-1054-2019; li, hs/HNI-7007-2023; Zhang, Mingming/S-3085-2017</t>
  </si>
  <si>
    <t>Zhang, Mingming/0000-0001-8016-1856; Wang, Congzhe/0000-0001-7286-5888; MIAO, QING/0000-0002-5975-3010</t>
  </si>
  <si>
    <t>Wuhan University of Technology, China; China Sponsorship Council</t>
  </si>
  <si>
    <t>This work was carried out with the support from Wuhan University of Technology, China. The authors also thank China Sponsorship Council for the sponsorship and the University of Auckland, New Zealand.</t>
  </si>
  <si>
    <t>10.1155/2018/1534247</t>
  </si>
  <si>
    <t>GA5NM</t>
  </si>
  <si>
    <t>WOS:000428380800001</t>
  </si>
  <si>
    <t>Oña, ED; Cano-de La Cuerda, R; Sánchez-Herrera, P; Balaguer, C; Jardón, A</t>
  </si>
  <si>
    <t>Ona, E. D.; Cano-de la Cuerda, R.; Sanchez-Herrera, P.; Balaguer, C.; Jardon, A.</t>
  </si>
  <si>
    <t>A Review of Robotics in Neurorehabilitation: Towards an Automated Process for Upper Limb</t>
  </si>
  <si>
    <t>ASSISTED THERAPY; ARM MOVEMENT; STROKE REHABILITATION; UPPER EXTREMITY; IMPAIRMENT; SUBACUTE; SYSTEM; PHYSIOTHERAPY; PERFORMANCE; RECOVERY</t>
  </si>
  <si>
    <t>Robot-mediated neurorehabilitation is a growing field that seeks to incorporate advances in robotics combined with neuroscience and rehabilitation to define new methods for treating problems related with neurological diseases. In this paper, a systematic literature review is conducted to identify the contribution of robotics for upper limb neurorehabilitation, highlighting its relation with the rehabilitation cycle, and to clarify the prospective research directions in the development of more autonomous rehabilitation processes. With this aim, first, a study and definition of a general rehabilitation process are made, and then, it is particularized for the case of neurorehabilitation, identifying the components involved in the cycle and their degree of interaction between them. Next, this generic process is compared with the current literature in robotics focused on upper limb treatment, analyzing which components of this rehabilitation cycle are being investigated. Finally, the challenges and opportunities to obtain more autonomous rehabilitation processes are discussed. In addition, based on this study, a series of technical requirements that should be taken into account when designing and implementing autonomous robotic systems for rehabilitation is presented and discussed.</t>
  </si>
  <si>
    <t>[Ona, E. D.; Balaguer, C.; Jardon, A.] Univ Carlos III Madrid, Robot Lab, Dept Syst Engn &amp; Automat, Avda Univ 30, Madrid 28911, Spain; [Cano-de la Cuerda, R.; Sanchez-Herrera, P.] Univ King Juan Carlos, Dept Phys Therapy Occupat Therapy Phys Med &amp; Reha, Avda Atenas S-N, Madrid 28922, Spain</t>
  </si>
  <si>
    <t>Oña, ED (corresponding author), Univ Carlos III Madrid, Robot Lab, Dept Syst Engn &amp; Automat, Avda Univ 30, Madrid 28911, Spain.</t>
  </si>
  <si>
    <t>JARDON HUETE, ALBERTO/E-4906-2010; Sanchez Herrera, Patricia/ABF-4611-2020; Cano de la Cuerda, Roberto/KDO-9312-2024; Ona Simbana, Edwin Daniel/F-1999-2016</t>
  </si>
  <si>
    <t>BALAGUER, CARLOS/0000-0003-4864-4625; Cano de la Cuerda, Roberto/0000-0002-1118-4234; Ona Simbana, Edwin Daniel/0000-0003-0791-860X; Sanchez-Herrera Baeza, Patricia/0000-0003-1340-8278</t>
  </si>
  <si>
    <t>Spanish Ministry of Economy and Competitiveness [DPI2013-47944-C4-1-R]; Programas de Actividades I+D en la Comunidad de Madrid [S2013/MIT-2748]; Structural Funds of the EU [S2013/MIT-2748]</t>
  </si>
  <si>
    <t>Spanish Ministry of Economy and Competitiveness(Spanish Government); Programas de Actividades I+D en la Comunidad de Madrid; Structural Funds of the EU</t>
  </si>
  <si>
    <t>The research leading to these results has received funding from the ROBOHEALTH-A project (DPI2013-47944-C4-1-R) funded by the Spanish Ministry of Economy and Competitiveness and from the RoboCity2030-III-CM project (S2013/MIT-2748) funded by Programas de Actividades I+D en la Comunidad de Madrid and cofunded by the Structural Funds of the EU.</t>
  </si>
  <si>
    <t>10.1155/2018/9758939</t>
  </si>
  <si>
    <t>GD0YF</t>
  </si>
  <si>
    <t>hybrid, Green Submitted, Green Published</t>
  </si>
  <si>
    <t>WOS:000430226400001</t>
  </si>
  <si>
    <t>Singh, H; Unger, J; Zariffa, J; Pakosh, M; Jaglal, S; Craven, BC; Musselman, KE</t>
  </si>
  <si>
    <t>Singh, Hardeep; Unger, Janelle; Zariffa, Jose; Pakosh, Maureen; Jaglal, Susan; Craven, B. Catharine; Musselman, Kristin E.</t>
  </si>
  <si>
    <t>Robot-assisted upper extremity rehabilitation for cervical spinal cord injuries: a systematic scoping review</t>
  </si>
  <si>
    <t>Spinal cord injury; tetraplegia; robotics; exoskeleton device; upper extremity</t>
  </si>
  <si>
    <t>UPPER-LIMB; METHODOLOGICAL QUALITY; RECOVERY; THERAPY; STROKE; PLASTICITY; EXERCISE; STIMULATION; TECHNOLOGY; MOVEMENTS</t>
  </si>
  <si>
    <t>Purpose: To provide an overview of the feasibility and outcomes of robotic-assisted upper extremity training for individuals with cervical spinal cord injury (SCI), and to identify gaps in current research and articulate future research directions. Materials and methods: A systematic search was conducted using Medline, Embase, PsycINFO, CCTR, CDSR, CINAHL and PubMed on June 7, 2017. Search terms included 3 themes: (1) robotics; (2) SCI; (3) upper extremity. Studies using robots for upper extremity rehabilitation among individuals with cervical SCI were included. Identified articles were independently reviewed by two researchers and compared to pre-specified criteria. Disagreements regarding article inclusion were resolved through discussion. The modified Downs and Black checklist was used to assess article quality. Participant characteristics, study and intervention details, training outcomes, robot features, study limitations and recommendations for future studies were abstracted from included articles. Results: Twelve articles (one randomized clinical trial, six case series, five case studies) met the inclusion criteria. Five robots were exoskeletons and three were end-effectors. Sample sizes ranged from 1 to 17 subjects. Articles had variable quality, with quality scores ranging from 8 to 20. Studies had a low internal validity primarily from lack of blinding or a control group. Individuals with mild-moderate impairments showed the greatest improvements on body structure/function and performance-level measures. This review is limited by the small number of articles, low-sample sizes and the diversity of devices and their associated training protocols, and outcome measures. Conclusions: Preliminary evidence suggests robot-assisted interventions are safe, feasible and can reduce active assistance provided by therapists. IMPLICATIONS FOR REHABILITATION Robot-assisted upper extremity training for individuals with cervical spinal cord injury is safe, feasible and can reduce hands-on assistance provided by therapists. Future research in robotics rehabilitation with individuals with spinal cord injury is needed to determine the optimal device and training protocol as well as effectiveness.</t>
  </si>
  <si>
    <t>[Singh, Hardeep; Unger, Janelle; Zariffa, Jose; Pakosh, Maureen; Jaglal, Susan; Craven, B. Catharine; Musselman, Kristin E.] Univ Hlth Network, Toronto Rehabil Inst, Toronto, ON, Canada; [Singh, Hardeep; Unger, Janelle; Zariffa, Jose; Jaglal, Susan; Craven, B. Catharine; Musselman, Kristin E.] Univ Toronto, Rehabil Sci Inst, Toronto, ON, Canada; [Zariffa, Jose] Univ Toronto, Inst Biomat &amp; Biomed Engn, Toronto, ON, Canada; [Jaglal, Susan; Musselman, Kristin E.] Univ Toronto, Dept Phys Therapy, Toronto, ON, Canada; [Jaglal, Susan] Univ Toronto, Dept Hlth Policy Management &amp; Evaluat, Toronto, ON, Canada; [Craven, B. Catharine] Univ Toronto, Fac Med, Div Phys Med &amp; Rehabil, Toronto, ON, Canada</t>
  </si>
  <si>
    <t>University of Toronto; University Health Network Toronto; Toronto Rehabilitation Institute; University of Toronto; University of Toronto; University of Toronto; University of Toronto; University of Toronto</t>
  </si>
  <si>
    <t>Musselman, KE (corresponding author), Univ Hlth Network, Toronto Rehabil Inst, SCI Mobil Lab, 520 Sutherland Dr, Toronto, ON M4G 3V9, Canada.</t>
  </si>
  <si>
    <t>Kristin.Musselman@uhn.ca</t>
  </si>
  <si>
    <t>Unger, Janelle/AAC-2392-2022; Pakosh, Maureen/C-8501-2015; Zariffa, Jose/A-6954-2016; Craven, Beverley Catharine/D-5001-2015</t>
  </si>
  <si>
    <t>Unger, Janelle/0000-0001-6731-2728; Pakosh, Maureen/0000-0002-4507-3380; Musselman, Kristin/0000-0001-8336-8211; Singh, Hardeep/0000-0002-7429-5580; Zariffa, Jose/0000-0002-8842-745X; Craven, Beverley Catharine/0000-0001-8234-6803; Jaglal, Susan/0000-0002-2930-1443</t>
  </si>
  <si>
    <t>Craig H. Neilsen Foundation [440070]; Ontario Neurotrauma Foundation [2013-SCI-RECOV2-974]; Toronto Rehabilitation Institute-University Health Network Chair at the University of Toronto</t>
  </si>
  <si>
    <t>Craig H. Neilsen Foundation; Ontario Neurotrauma Foundation; Toronto Rehabilitation Institute-University Health Network Chair at the University of Toronto</t>
  </si>
  <si>
    <t>This work was supported by the Craig H. Neilsen Foundation under Grant [440070]; and Ontario Neurotrauma Foundation under Grant [2013-SCI-RECOV2-974] to KEM. SJ is supported by the Toronto Rehabilitation Institute-University Health Network Chair at the University of Toronto.</t>
  </si>
  <si>
    <t>10.1080/17483107.2018.1425747</t>
  </si>
  <si>
    <t>WOS:000442740900011</t>
  </si>
  <si>
    <t>Singh, RE; Iqbal, K; White, G; Hutchinson, TE</t>
  </si>
  <si>
    <t>Singh, Rajat Emanuel; Iqbal, Kamran; White, Gannon; Hutchinson, Tarun Edgar</t>
  </si>
  <si>
    <t>A Systematic Review on Muscle Synergies: From Building Blocks of Motor Behavior to a Neurorehabilitation Tool</t>
  </si>
  <si>
    <t>EMG ACTIVATION PATTERNS; END-POINT FORCE; SPINAL-CORD; LINEAR SUMMATION; PRECISION-GRIP; NEURAL BASIS; CORTEX; PRIMITIVES; STROKE; MODEL</t>
  </si>
  <si>
    <t>The central nervous system (CNS) is believed to utilize specific predefined modules, called muscle synergies (MS), to accomplish a motor task. Yet questions persist about how the CNS combines these primitives in different ways to suit the task conditions. The MS hypothesis has been a subject of debate as to whether they originate from neural origins or nonneural constraints. In this review article, we present three aspects related to the MS hypothesis: (1) the experimental and computational evidence in support of the existence of MS, (2) algorithmic approaches for extracting them from surface electromyography (EMG) signals, and (3) the possible role of MS as a neurorehabilitation tool. We note that recent advances in computational neuroscience have utilized the MS hypothesis in motor control and learning. Prospective advances in clinical, medical, and engineering sciences and in fields such as robotics and rehabilitation stand to benefit from a more thorough understanding of MS.</t>
  </si>
  <si>
    <t>[Singh, Rajat Emanuel; Iqbal, Kamran] Univ Arkansas, George W Donaghey Coll Engn &amp; Informat Technol, Dept Syst Engn, Little Rock, AR 72204 USA; [Singh, Rajat Emanuel] Univ Arkansas, George W Donaghey Coll Engn &amp; Informat Technol, Dept Engn Technol, Little Rock, AR 72204 USA; [Singh, Rajat Emanuel; White, Gannon] Univ Arkansas, Sch Counseling Human Performance &amp; Rehabil, Little Rock, AR 72204 USA; [Hutchinson, Tarun Edgar] Univ Florida, Coll Med, Dept Biochem &amp; Mol Biol, Gainesville, FL 32610 USA</t>
  </si>
  <si>
    <t>University of Arkansas System; University of Arkansas Little Rock; University of Arkansas Fayetteville; University of Arkansas System; University of Arkansas Little Rock; University of Arkansas Fayetteville; University of Arkansas System; University of Arkansas Little Rock; University of Arkansas Fayetteville; State University System of Florida; University of Florida</t>
  </si>
  <si>
    <t>Iqbal, K (corresponding author), Univ Arkansas, George W Donaghey Coll Engn &amp; Informat Technol, Dept Syst Engn, Little Rock, AR 72204 USA.</t>
  </si>
  <si>
    <t>kxiqbal@ualr.edu</t>
  </si>
  <si>
    <t>Singh, Rajat/0000-0001-8862-0631; Iqbal, Kamran/0000-0001-8375-290X</t>
  </si>
  <si>
    <t>UA at Little Rock Engineering and Information Technology (EIT); UA at Little Rock School of Counseling, Human Performance and Rehabilitation</t>
  </si>
  <si>
    <t>This review work was made possible by the funding support from the UA at Little Rock Engineering and Information Technology (EIT) and the UA at Little Rock School of Counseling, Human Performance and Rehabilitation.</t>
  </si>
  <si>
    <t>10.1155/2018/3615368</t>
  </si>
  <si>
    <t>GF0IQ</t>
  </si>
  <si>
    <t>WOS:000431614100001</t>
  </si>
  <si>
    <t>Walmsley, CP; Williams, SA; Grisbrook, T; Elliott, C; Imms, C; Campbell, A</t>
  </si>
  <si>
    <t>Walmsley, Corrin P.; Williams, Sian A.; Grisbrook, Tiffany; Elliott, Catherine; Imms, Christine; Campbell, Amity</t>
  </si>
  <si>
    <t>Measurement of Upper Limb Range of Motion Using Wearable Sensors: A Systematic Review</t>
  </si>
  <si>
    <t>SPORTS MEDICINE-OPEN</t>
  </si>
  <si>
    <t>Kinematics; Wearable sensor; Inertial movement unit; Joint angle; Motion analysis; Upper limb</t>
  </si>
  <si>
    <t>INERTIAL MEASUREMENT UNITS; JOINT ANGLE TRACKING; AMBULATORY MEASUREMENT; ELBOW KINEMATICS; SHOULDER; REHABILITATION; VALIDATION; RELIABILITY; REPEATABILITY; BIOMECHANICS</t>
  </si>
  <si>
    <t>Background: Wearable sensors are portable measurement tools that are becoming increasingly popular for the measurement of joint angle in the upper limb. With many brands emerging on the market, each with variations in hardware and protocols, evidence to inform selection and application is needed. Therefore, the objectives of this review were related to the use of wearable sensors to calculate upper limb joint angle. We aimed to describe (i) the characteristics of commercial and custom wearable sensors, (ii) the populations for whom researchers have adopted wearable sensors, and (iii) their established psychometric properties. Methods: A systematic review of literature was undertaken using the following data bases: MEDLINE, EMBASE, CINAHL, Web of Science, SPORTDiscus, IEEE, and Scopus. Studies were eligible if they met the following criteria: (i) involved humans and/or robotic devices, (ii) involved the application or simulation of wearable sensors on the upper limb, and (iii) calculated a joint angle. Results: Of 2191 records identified, 66 met the inclusion criteria. Eight studies compared wearable sensors to a robotic device and 22 studies compared to a motion analysis system. Commercial (n = 13) and custom (n = 7) wearable sensors were identified, each with variations in placement, calibration methods, and fusion algorithms, which were demonstrated to influence accuracy. Conclusion: Wearable sensors have potential as viable instruments for measurement of joint angle in the upper limb during active movement. Currently, customised application (i.e. calibration and angle calculation methods) is required to achieve sufficient accuracy (error &lt; 5 degrees). Additional research and standardisation is required to guide clinical application.</t>
  </si>
  <si>
    <t>[Walmsley, Corrin P.; Elliott, Catherine] Curtin Univ, Sch Occupat Therapy Social Work &amp; Speech Pathol, Perth, WA 6027, Australia; [Williams, Sian A.; Grisbrook, Tiffany; Campbell, Amity] Curtin Univ, Sch Physiotherapy &amp; Exercise Sci, Perth, WA 6027, Australia; [Williams, Sian A.] Univ Auckland, Dept Surg, Auckland 1010, New Zealand; [Elliott, Catherine] Perth Childrens Hosp, Kids Rehab WA, Perth, WA 6008, Australia; [Imms, Christine] Australian Catholic Univ, Sch Allied Hlth, Ctr Disabil &amp; Dev Res, Melbourne, Vic 3065, Australia</t>
  </si>
  <si>
    <t>Curtin University; Curtin University; University of Auckland; Perth Childrens Hospital; Australian Catholic University</t>
  </si>
  <si>
    <t>Imms, C (corresponding author), Australian Catholic Univ, Sch Allied Hlth, Ctr Disabil &amp; Dev Res, Melbourne, Vic 3065, Australia.</t>
  </si>
  <si>
    <t>Christine.Imms@acu.edu.au</t>
  </si>
  <si>
    <t>Imms, Christine/G-9537-2018; Straker, Leon/B-2407-2013; Williams, Sian A/E-5364-2013; Elliott, Catherine/B-6718-2014</t>
  </si>
  <si>
    <t>Williams, Sian A/0000-0002-4907-7477; campbell, amity/0000-0002-6461-6280; Grisbrook, Tiffany/0000-0001-8175-141X; Imms, Christine/0000-0001-9055-3554; Elliott, Catherine/0000-0002-5324-8216</t>
  </si>
  <si>
    <t>School of Occupational Therapy, Social Work and Speech Pathology at Curtin University</t>
  </si>
  <si>
    <t>The authors wish to thank the School of Occupational Therapy, Social Work and Speech Pathology at Curtin University who provided funding.</t>
  </si>
  <si>
    <t>2199-1170</t>
  </si>
  <si>
    <t>2198-9761</t>
  </si>
  <si>
    <t>SPORTS MED-OPEN</t>
  </si>
  <si>
    <t>Sports Med.-Open</t>
  </si>
  <si>
    <t>10.1186/s40798-018-0167-7</t>
  </si>
  <si>
    <t>Sport Sciences</t>
  </si>
  <si>
    <t>VI8CS</t>
  </si>
  <si>
    <t>WOS:000514831000053</t>
  </si>
  <si>
    <t>Weber, LM; Stein, J</t>
  </si>
  <si>
    <t>Weber, Lynne M.; Stein, Joel</t>
  </si>
  <si>
    <t>The use of robots in stroke rehabilitation: A narrative review</t>
  </si>
  <si>
    <t>Robotics; stroke rehabilitation; technology; exoskeleton</t>
  </si>
  <si>
    <t>UPPER-LIMB; GAIT; SUBACUTE; RECOVERY; THERAPY</t>
  </si>
  <si>
    <t>BACKGROUND: Stroke is among the leading causes of acquired disability in the United States, affecting nearly 800,000 Americans annually. The identification of more effective treatments for hemiparesis has been recognized as a top research priority. Intelligent, motor-driven devices for rehabilitation, or rehabilitation robotics, represent an exciting frontier with considerable potential to address these concerns. PURPOSE: This article presents a state of the science review regarding selected robotic technologies that are representative of current robot-aided rehabilitation strategies, the evidence surrounding their efficacy, barriers to widespread dissemination, and technologies in development. METHODS: Narrative Review. CONCLUSIONS: Based on this synthesis, we suggest that robotic rehabilitation tools are neither the standard of care, nor entirely experimental, but rather a clinically innovative therapy of some utility.</t>
  </si>
  <si>
    <t>[Weber, Lynne M.; Stein, Joel] Columbia Univ, Med Ctr, Dept Rehabil &amp; Regenerat Med, 180 Ft Washington Ave,HP 1-165, New York, NY 10032 USA</t>
  </si>
  <si>
    <t>Columbia University</t>
  </si>
  <si>
    <t>Stein, J (corresponding author), Columbia Univ, Med Ctr, Dept Rehabil &amp; Regenerat Med, 180 Ft Washington Ave,HP 1-165, New York, NY 10032 USA.</t>
  </si>
  <si>
    <t>js1165@cumc.columbia.edu</t>
  </si>
  <si>
    <t>10.3233/NRE-172408</t>
  </si>
  <si>
    <t>GO5HJ</t>
  </si>
  <si>
    <t>WOS:000440049700009</t>
  </si>
  <si>
    <t>Zeng, XF; Zhu, GL; Zhang, MM; Xie, SQ</t>
  </si>
  <si>
    <t>Zeng, Xiangfeng; Zhu, Guoli; Zhang, Mingming; Xie, Sheng Q.</t>
  </si>
  <si>
    <t>Reviewing Clinical Effectiveness of Active Training Strategies of Platform-Based Ankle Rehabilitation Robots</t>
  </si>
  <si>
    <t>CEREBRAL-PALSY; AIDED NEUROREHABILITATION; TENDON PROPERTIES; STROKE; GAIT; MOVEMENT; CHILDREN; DESIGN; IMPAIRMENTS; MOTOR</t>
  </si>
  <si>
    <t>Objective. This review aims to provide a systematical investigation of clinical effectiveness of active training strategies applied in platform-based ankle robots. Method. English-language studies published from Jan 1980 to Aug 2017 were searched from four databases using key words of Ankle* AND Robot* AND Effect* OR Improv* OR Increas*. Following an initial screening, three rounds of discrimination were successively conducted based on the title, the abstract, and the full paper. Result. A total of 21 studies were selected with 311 patients involved; of them, 13 studies applied a single group while another eight studies used different groups for comparison to verify the therapeutic effect. Virtual-reality (VR) game training was applied in 19 studies, while two studies used proprioceptive neuromuscular facilitation (PNF) training. Conclusion. Active training techniques delivered by platform ankle rehabilitation robots have been demonstrated with great potential for clinical applications. Training strategies are mostly combined with one another by considering rehabilitation schemes and motion ability of ankle joints. VR game environment has been commonly used with active ankle training. Bioelectrical signals integrated with VR game training can implement intelligent identification of movement intention and assessment. These further provide the foundation for advanced interactive training strategies that can lead to enhanced training safety and confidence for patients and better treatment efficacy.</t>
  </si>
  <si>
    <t>[Zeng, Xiangfeng; Zhu, Guoli] Huazhong Univ Sci &amp; Technol, Sch Mech Sci &amp; Engn, Luoyu Rd 1037, Wuhan, Hubei, Peoples R China; [Zhang, Mingming] Univ Auckland, Dept Mech Engn, Auckland 1142, New Zealand; [Zhang, Mingming] Huazhong Univ Sci &amp; Technol, State Key Lab Digital Mfg Equipment &amp; Technol, Luoyu Rd 1037, Wuhan, Hubei, Peoples R China; [Xie, Sheng Q.] Univ Leeds, Sch Mech Engn, Leeds LS2 9JT, W Yorkshire, England; [Xie, Sheng Q.] Univ Leeds, Sch Elect &amp; Elect Engn, Leeds LS2 9JT, W Yorkshire, England</t>
  </si>
  <si>
    <t>Huazhong University of Science &amp; Technology; University of Auckland; Huazhong University of Science &amp; Technology; University of Leeds; University of Leeds</t>
  </si>
  <si>
    <t>Zhu, GL (corresponding author), Huazhong Univ Sci &amp; Technol, Sch Mech Sci &amp; Engn, Luoyu Rd 1037, Wuhan, Hubei, Peoples R China.</t>
  </si>
  <si>
    <t>glzhu_wh@163.com</t>
  </si>
  <si>
    <t>Xie, Sheng/AAU-3957-2021; Zhang, Mingming/S-3085-2017</t>
  </si>
  <si>
    <t>Xie, Sheng Quan/0000-0003-2641-2620; Zhang, Mingming/0000-0001-8016-1856; Xie, Shane/0000-0002-8082-9112</t>
  </si>
  <si>
    <t>10.1155/2018/2858294</t>
  </si>
  <si>
    <t>FY4DH</t>
  </si>
  <si>
    <t>WOS:000426771100001</t>
  </si>
  <si>
    <t>Zhang, K; Chen, XF; Liu, F; Tang, HL; Wang, J; Wen, WN</t>
  </si>
  <si>
    <t>Zhang, Kai; Chen, Xiaofeng; Liu, Fei; Tang, Haili; Wang, Jing; Wen, Weina</t>
  </si>
  <si>
    <t>System Framework of Robotics in Upper Limb Rehabilitation on Poststroke Motor Recovery</t>
  </si>
  <si>
    <t>BEHAVIOURAL NEUROLOGY</t>
  </si>
  <si>
    <t>BRAIN-COMPUTER INTERFACES; VIRTUAL-REALITY; STROKE REHABILITATION; EXOSKELETON ROBOTS; IMPEDANCE CONTROL; ARM MOVEMENT; THERAPY; CLASSIFICATION; DESIGN</t>
  </si>
  <si>
    <t>Neurological impairments such as stroke cause damage to the functional mobility of survivors and affect their ability to perform activities of daily living. Recently, robotic treatment for upper limb stroke rehabilitation has received significant attention because it can provide high-intensity and repetitive movement therapy. In this review, the current status of upper limb rehabilitation robots is explored. Firstly, an overview of mechanical design of robotics for upper-limb rehabilitation and clinical effects of part robots are provided. Then, the comparisons of human-machine interactions, control strategies, driving modes, and training modes are described. Finally, the development and the possible future directions of the upper limb rehabilitation robot are discussed.</t>
  </si>
  <si>
    <t>[Zhang, Kai; Wang, Jing] Xi An Jiao Tong Univ, Inst Robot &amp; Intelligent Syst, Sch Mech Engn, Xian 710049, Shaanxi, Peoples R China; [Zhang, Kai; Wang, Jing] Shaanxi Key Lab Intelligent Robots, Xian 710049, Shaanxi, Peoples R China; [Chen, Xiaofeng; Liu, Fei; Tang, Haili; Wen, Weina] Baoxing Hosp, Shenzhen 518100, Peoples R China</t>
  </si>
  <si>
    <t>Wang, J (corresponding author), Xi An Jiao Tong Univ, Inst Robot &amp; Intelligent Syst, Sch Mech Engn, Xian 710049, Shaanxi, Peoples R China.;Wang, J (corresponding author), Shaanxi Key Lab Intelligent Robots, Xian 710049, Shaanxi, Peoples R China.;Wen, WN (corresponding author), Baoxing Hosp, Shenzhen 518100, Peoples R China.</t>
  </si>
  <si>
    <t>Wang, Jingjing/GLT-7562-2022; Zhang, Kai/ABG-4210-2021</t>
  </si>
  <si>
    <t>Zhang, Kai/0000-0001-5607-2757</t>
  </si>
  <si>
    <t>0953-4180</t>
  </si>
  <si>
    <t>1875-8584</t>
  </si>
  <si>
    <t>BEHAV NEUROL</t>
  </si>
  <si>
    <t>Behav. Neurol.</t>
  </si>
  <si>
    <t>10.1155/2018/6737056</t>
  </si>
  <si>
    <t>HN6NG</t>
  </si>
  <si>
    <t>WOS:000460302400001</t>
  </si>
  <si>
    <t>Holanda, LJ; Silva, PMM; Amorim, TC; Lacerda, MO; Simao, CR; Morya, E</t>
  </si>
  <si>
    <t>Holanda, Ledycnarf J.; Silva, Patricia M. M.; Amorim, Thiago C.; Lacerda, Matheus O.; Simao, Camila R.; Morya, Edgard</t>
  </si>
  <si>
    <t>Robotic assisted gait as a tool for rehabilitation of individuals with spinal cord injury: a systematic review</t>
  </si>
  <si>
    <t>Robotic assisted gait; Rehabilitation; Robotic devices; Spinal cord injury</t>
  </si>
  <si>
    <t>LOCOMOTOR ADAPTATIONS; WALKING; REFLEX; MODULATION; PEOPLE; EXOSKELETONS; FEEDBACK</t>
  </si>
  <si>
    <t>Background: Spinal cord injury (SCI) is characterized by a total or partial deficit of sensory and motor pathways. Impairments of this injury compromise muscle recruitment and motor planning, thus reducing functional capacity. SCI patients commonly present psychological, intestinal, urinary, osteomioarticular, tegumentary, cardiorespiratory and neural alterations that aggravate in chronic phase. One of the neurorehabilitation goals is the restoration of these abilities by favoring improvement in the quality of life and functional independence. Current literature highlights several benefits of robotic gait therapies in SCI individuals. Objectives: The purpose of this study was to compare the robotic gait devices, and systematize the scientific evidences of these devices as a tool for rehabilitation of SCI individuals. Methods: A systematic review was carried out in which relevant articles were identified by searching the following databases: Cochrane Library, PubMed, PEDro and Capes Periodic. Two authors selected the articles which used a robotic device for rehabilitation of spinal cord injury. Results: Databases search found 2941 articles, 39 articles were included due to meet the inclusion criteria. The robotic devices presented distinct features, with increasing application in the last years. Studies have shown promising results regarding the reduction of pain perception and spasticity level; alteration of the proprioceptive capacity, sensitivity to temperature, vibration, pressure, reflex behavior, electrical activity at muscular and cortical level, classification of the injury level; increase in walking speed, step length and distance traveled; improvements in sitting posture, intestinal, cardiorespiratory, metabolic, tegmental and psychological functions. Conclusions: This systematic review shows a significant progress encompassing robotic devices as an innovative and effective therapy for the rehabilitation of individuals with SCI.</t>
  </si>
  <si>
    <t>[Holanda, Ledycnarf J.; Silva, Patricia M. M.; Amorim, Thiago C.; Morya, Edgard] Edmond &amp; Lily Safra Int Neurosci Inst, Santos Dumont Inst, Neuroengn Program, Rodovia RN 160,Km 03,3001 Dist Jundiai, BR-59280000 Macaiba, Brazil; [Lacerda, Matheus O.; Simao, Camila R.] Univ Fed Rio Grande do Norte, Av Sen Salgado Filho Lagoa Nova, BR-59078970 Natal, RN, Brazil; [Simao, Camila R.; Morya, Edgard] Santos Dumont Inst, Anita Garibaldi Ctr Educ &amp; Res Hlth, Rodovia RN 160,Km 02,2010 Dist Jundiai, BR-59280970 Macaiba, Brazil</t>
  </si>
  <si>
    <t>Universidade Federal do Rio Grande do Norte</t>
  </si>
  <si>
    <t>Holanda, LJ (corresponding author), Edmond &amp; Lily Safra Int Neurosci Inst, Santos Dumont Inst, Neuroengn Program, Rodovia RN 160,Km 03,3001 Dist Jundiai, BR-59280000 Macaiba, Brazil.</t>
  </si>
  <si>
    <t>fisioledyholanda@gmail.com</t>
  </si>
  <si>
    <t>Moura da Silva, Patricia/IUO-8325-2023; MORYA, EDGARD/R-1251-2019</t>
  </si>
  <si>
    <t>Silva, Patricia/0000-0001-5353-4143; Holanda, Ledycnarf/0000-0002-9526-0002; M. Silva, Patricia M./0000-0002-4055-3289</t>
  </si>
  <si>
    <t>10.1186/s12984-017-0338-7</t>
  </si>
  <si>
    <t>FO7SJ</t>
  </si>
  <si>
    <t>WOS:000417076400001</t>
  </si>
  <si>
    <t>Rupal, BS; Rafique, S; Singla, A; Singla, E; Isaksson, M; Virk, GS</t>
  </si>
  <si>
    <t>Rupal, Baltej Singh; Rafique, Sajid; Singla, Ashish; Singla, Ekta; Isaksson, Magnus; Virk, Gurvinder Singh</t>
  </si>
  <si>
    <t>Lower-limb exoskeletons: Research trends and regulatory guidelines in medical and non-medical applications</t>
  </si>
  <si>
    <t>INTERNATIONAL JOURNAL OF ADVANCED ROBOTIC SYSTEMS</t>
  </si>
  <si>
    <t>Lower-limb exoskeletons; wearable robots; disability technologies; mobility augmentation; medical/non-medical regulations</t>
  </si>
  <si>
    <t>SPINAL-CORD; CHALLENGES; MOBILITY; ORTHOSIS; WALKING; INJURY</t>
  </si>
  <si>
    <t>With the recent progress in personal care robots, interest in wearable exoskeletons has been increasing due to the demand for assistive technologies generally and specifically to meet the concerns in the increasing ageing society. Despite this global trend, research focus has been on load augmentation for soldiers/workers, assisting trauma patients, paraplegics, spinal cord injured persons and for rehabilitation purposes. Barring the military-focused activities, most of the work to date has focused on medical applications. However, there is a need to shift attention towards the growing needs of elderly people, that is, by realizing assistive exoskeletons that can help them to stay independent and maintain a good quality of life. Therefore, the present article covers the rapidly evolving area of wearable exoskeletons in a holistic manner, for both medical and non-medical applications, so that relevant current developments and future issues can be addressed; this includes how the physical assistance/rehabilitation/compensation can be provided to supplement capabilities in a natural manner. Regulatory guidelines, important for realizing new markets for these emerging technologies, are also explored in this work. For these, emerging international safety requirements are presented for non-medical and medical exoskeleton applications, so that the central requirement of close human-robot interactions can be adequately addressed for the intended tasks to be carried out. An example case study on developing and commercializing wearable exoskeletons to help support living activities of healthy elderly persons is presented to highlight the main issues in non-medical mobility exoskeletons. This also paves the way for the potential future trends to use exoskeletons as physical assistant robots, as covered by the recently published safety standard ISO 13482, to help elderly people perform their activities of daily living.</t>
  </si>
  <si>
    <t>[Rupal, Baltej Singh] Univ Alberta, Dept Mech Engn, 116 St &amp; 85 Ave, Edmonton, AB T6G 2R3, Canada; [Rafique, Sajid; Isaksson, Magnus] Univ Gavle, Dept Elect Math &amp; Nat Sci, Gavle, Sweden; [Singla, Ashish] Thapar Univ, Dept Mech Engn, Patiala, Punjab, India; [Singla, Ekta] Indian Inst Technol, Mech Engn Dept, Ropar, India; [Virk, Gurvinder Singh] Innovat Technol &amp; Sci Ltd InnoTecUK, Cambridge, England</t>
  </si>
  <si>
    <t>University of Alberta; University of Gavle; Thapar Institute of Engineering &amp; Technology; Indian Institute of Technology System (IIT System); Indian Institute of Technology (IIT) - Ropar</t>
  </si>
  <si>
    <t>Rupal, BS (corresponding author), Univ Alberta, Dept Mech Engn, 116 St &amp; 85 Ave, Edmonton, AB T6G 2R3, Canada.</t>
  </si>
  <si>
    <t>baltej@ualberta.ca</t>
  </si>
  <si>
    <t>Rupal, Baltej/C-1658-2017; Isaksson, Magnus/A-8977-2010</t>
  </si>
  <si>
    <t>Virk, Gurvinder Singh/0000-0002-3036-6391; Singla, Ekta/0000-0003-2842-3446</t>
  </si>
  <si>
    <t>1729-8814</t>
  </si>
  <si>
    <t>INT J ADV ROBOT SYST</t>
  </si>
  <si>
    <t>Int. J. Adv. Robot. Syst.</t>
  </si>
  <si>
    <t>10.1177/1729881417743554</t>
  </si>
  <si>
    <t>FO9PE</t>
  </si>
  <si>
    <t>WOS:000417219300001</t>
  </si>
  <si>
    <t>Gandolla, M; Ferrante, S; Ferrigno, G; Baldassini, D; Molteni, F; Guanziroli, E; Cottini, MC; Seneci, C; Pedrocchi, A</t>
  </si>
  <si>
    <t>Gandolla, Marta; Ferrante, Simona; Ferrigno, Giancarlo; Baldassini, Davide; Molteni, Franco; Guanziroli, Eleonora; Cottini, Michele Cotti; Seneci, Carlo; Pedrocchi, Alessandra</t>
  </si>
  <si>
    <t>Artificial neural network EMG classifier for functional hand grasp movements prediction</t>
  </si>
  <si>
    <t>JOURNAL OF INTERNATIONAL MEDICAL RESEARCH</t>
  </si>
  <si>
    <t>Electromyography (EMG); EMG controller; artificial neural networks; hand rehabilitation; movement prediction</t>
  </si>
  <si>
    <t>STROKE; REHABILITATION; VALIDATION; MUSCLE</t>
  </si>
  <si>
    <t>Objective: To design and implement an electromyography (EMG)-based controller for a hand robotic assistive device, which is able to classify the user's motion intention before the effective kinematic movement execution. Methods: Multiple degrees-of-freedom hand grasp movements (i.e. pinching, grasp an object, grasping) were predicted by means of surface EMG signals, recorded from 10 bipolar EMG electrodes arranged in a circular configuration around the forearm 2-3 cm from the elbow. Two cascaded artificial neural networks were then exploited to detect the patient's motion intention from the EMG signal window starting from the electrical activity onset to movement onset (i.e. electromechanical delay). Results: The proposed approach was tested on eight healthy control subjects (4 females; age range 25-26 years) and it demonstrated a mean +/- SD testing performance of 76% +/- 14% for correctly predicting healthy users' motion intention. Two post-stroke patients tested the controller and obtained 79% and 100% of correctly classified movements under testing conditions. Conclusion: A task-selection controller was developed to estimate the intended movement from the EMG measured during the electromechanical delay.</t>
  </si>
  <si>
    <t>[Gandolla, Marta; Ferrante, Simona; Ferrigno, Giancarlo; Baldassini, Davide; Pedrocchi, Alessandra] Politecn Milan, Dept Elect Informat &amp; Bioengn DEIB, Via G Colombo 40, IT-20133 Milan, Italy; [Molteni, Franco; Guanziroli, Eleonora] Valduce Hosp, Villa Beretta Rehabil Ctr, Costamasnaga, Italy; [Cottini, Michele Cotti; Seneci, Carlo] Idrogenet Srl, Lumezzane, Italy</t>
  </si>
  <si>
    <t>Polytechnic University of Milan</t>
  </si>
  <si>
    <t>Gandolla, M (corresponding author), Politecn Milan, Dept Elect Informat &amp; Bioengn DEIB, Via G Colombo 40, IT-20133 Milan, Italy.</t>
  </si>
  <si>
    <t>marta.gandolla@polimi.it</t>
  </si>
  <si>
    <t>Molteni, Franco/J-4455-2016; Ferrigno, Giancarlo/JBJ-7692-2023; Pedrocchi, Alessandra/AAF-2655-2019; Ferrante, Simona/K-4122-2016; Gandolla, Marta/AAL-8862-2020; Guanziroli, Eleonora/K-5078-2016</t>
  </si>
  <si>
    <t>Guanziroli, Eleonora/0000-0002-7512-5372</t>
  </si>
  <si>
    <t>Think and Go project - Lombardy Region (POR FSE); Fondazione Cariplo</t>
  </si>
  <si>
    <t>Think and Go project - Lombardy Region (POR FSE); Fondazione Cariplo(Fondazione Cariplo)</t>
  </si>
  <si>
    <t>The work was supported by the Think and Go project funded by Lombardy Region (POR FSE 2007/2013) and Fondazione Cariplo.</t>
  </si>
  <si>
    <t>0300-0605</t>
  </si>
  <si>
    <t>1473-2300</t>
  </si>
  <si>
    <t>J INT MED RES</t>
  </si>
  <si>
    <t>J. Int. Med. Res.</t>
  </si>
  <si>
    <t>10.1177/0300060516656689</t>
  </si>
  <si>
    <t>Medicine, Research &amp; Experimental; Pharmacology &amp; Pharmacy</t>
  </si>
  <si>
    <t>Research &amp; Experimental Medicine; Pharmacology &amp; Pharmacy</t>
  </si>
  <si>
    <t>FS5UA</t>
  </si>
  <si>
    <t>WOS:000419863400021</t>
  </si>
  <si>
    <t>Lacquaniti, F; Ivanenko, YP; Sylos-Labini, F; La Scaleia, V; La Scaleia, B; Willems, PA; Zago, M</t>
  </si>
  <si>
    <t>Lacquaniti, Francesco; Ivanenko, Yury P.; Sylos-Labini, Francesca; La Scaleia, Valentina; La Scaleia, Barbara; Willems, Patrick A.; Zago, Myrka</t>
  </si>
  <si>
    <t>Human Locomotion in Hypogravity: From Basic Research to Clinical Applications</t>
  </si>
  <si>
    <t>human locomotion; body weight support; hypogravity simulators; moon walk; parabolic flight; locomotion rehabilitation; robotic gravity-assist</t>
  </si>
  <si>
    <t>BODY-WEIGHT SUPPORT; CENTER-OF-MASS; DYNAMIC SIMILARITY HYPOTHESIS; SPINAL-CORD-INJURY; GROUND REACTION FORCES; HUMAN WALKING; REDUCED-GRAVITY; POSITIVE-PRESSURE; MECHANICAL WORK; GAIT KINEMATICS</t>
  </si>
  <si>
    <t>We have considerable knowledge about the mechanisms underlying compensation of Earth gravity during locomotion, a knowledge obtained from physiological, biomechanical, modeling, developmental, comparative, and paleoanthropological studies. By contrast, we know much less about locomotion and movement in general under sustained hypogravity. This lack of information poses a serious problem for human space exploration. In a near future humans will walk again on the Moon and for the first time on Mars. It would be important to predict how they will move around, since we know that locomotion and mobility in general may be jeopardized in hypogravity, especially when landing after a prolonged weightlessness of the space flight. The combination of muscle weakness, of wearing a cumbersome spacesuit, and of maladaptive patterns of locomotion in hypogravity significantly increase the risk of falls and injuries. Much of what we currently know about locomotion in hypogravity derives from the video archives of the Apollo missions on the Moon, the experiments performed with parabolic flight or with body weight support on Earth, and the theoretical models. These are the topics of our review, along with the issue of the application of simulated hypogravity in rehabilitation to help patients with deambulation problems. We consider several issues that are common to the field of space science and clinical rehabilitation: the general principles governing locomotion in hypogravity, the methods used to reduce gravity effects on locomotion, the extent to which the resulting behavior is comparable across different methods, the important non-linearities of several locomotor parameters as a function of the gravity reduction, the need to use multiple methods to obtain reliable results, and the need to tailor the methods individually based on the physiology and medical history of each person.</t>
  </si>
  <si>
    <t>[Lacquaniti, Francesco] Univ Roma Tor Vergata, Dept Syst Med, Rome, Italy; [Lacquaniti, Francesco; Sylos-Labini, Francesca; La Scaleia, Valentina] Univ Roma Tor Vergata, Ctr Space BioMed, Rome, Italy; [Lacquaniti, Francesco; Ivanenko, Yury P.; Sylos-Labini, Francesca; La Scaleia, Valentina; La Scaleia, Barbara; Zago, Myrka] IRCCS Santa Lucia Fdn, Lab Neuromotor Physiol, Rome, Italy; [Willems, Patrick A.] Catholic Univ Louvain, Lab Biomech &amp; Physiol Locomot, Inst NeuroSci, Louvain La Neuve, Belgium</t>
  </si>
  <si>
    <t>University of Rome Tor Vergata; University of Rome Tor Vergata; IRCCS Santa Lucia; Universite Catholique Louvain</t>
  </si>
  <si>
    <t>Lacquaniti, F (corresponding author), Univ Roma Tor Vergata, Dept Syst Med, Rome, Italy.;Lacquaniti, F (corresponding author), Univ Roma Tor Vergata, Ctr Space BioMed, Rome, Italy.;Lacquaniti, F (corresponding author), IRCCS Santa Lucia Fdn, Lab Neuromotor Physiol, Rome, Italy.</t>
  </si>
  <si>
    <t>lacquaniti@med.uniroma2.it</t>
  </si>
  <si>
    <t>Labini, Francesca/B-5645-2013; La Scaleia, Barbara/AAB-2190-2019; Lacquaniti, Francesco/J-9842-2016; Zago, Myrka/B-3669-2012; La Scaleia, Barbara/A-5981-2015; Ivanenko, Yury/L-1599-2018</t>
  </si>
  <si>
    <t>Zago, Myrka/0000-0001-7100-7582; La Scaleia, Barbara/0000-0003-2050-2641; Ivanenko, Yury/0000-0001-9363-9548</t>
  </si>
  <si>
    <t>Italian Ministry of Health (IRCCS Ricerca corrente); Italian Space Agency [I/006/06/0, 2014-008-R.0]; Italian University Ministry (PRIN grant) [2015HFWRYY_002]; Horizon 2020 Robotics Program from European Commission [ICT-23-2014, 644727-CogIMon]; Lazio Region (INNOVA.1 FILAS) [RU 2014_1033 - RIABILITA]</t>
  </si>
  <si>
    <t>Italian Ministry of Health (IRCCS Ricerca corrente)(Ministry of Health, ItalyMinistry of Health Italy - Ricerca Corrente (MOH-RC)); Italian Space Agency(Agenzia Spaziale Italiana (ASI)); Italian University Ministry (PRIN grant); Horizon 2020 Robotics Program from European Commission; Lazio Region (INNOVA.1 FILAS)</t>
  </si>
  <si>
    <t>This work was supported by the Italian Ministry of Health (IRCCS Ricerca corrente), the Italian Space Agency (grants I/006/06/0 and 2014-008-R.0), the Italian University Ministry (PRIN grant 2015HFWRYY_002), Lazio Region (INNOVA.1 FILAS - RU 2014_1033 - RIABILITA), and Horizon 2020 Robotics Program from the European Commission (ICT-23-2014 under Grant Agreement 644727-CogIMon). The funders had no role in study design, data collection and analysis, decision to publish, or preparation of the manuscript.</t>
  </si>
  <si>
    <t>NOV 7</t>
  </si>
  <si>
    <t>10.3389/fphys.2017.00893</t>
  </si>
  <si>
    <t>FL8WE</t>
  </si>
  <si>
    <t>WOS:000414530900001</t>
  </si>
  <si>
    <t>Carvalho, I; Pinto, SM; Chagas, DD; dos Santos, JLP; Oliveira, TD; Batista, LA</t>
  </si>
  <si>
    <t>Carvalho, Igor; Pinto, Sergio Medeiros; Chagas, Daniel das Virgens; Praxedes dos Santos, Jomilto Luiz; Oliveira, Taina de Sousa; Batista, Luiz Alberto</t>
  </si>
  <si>
    <t>Robotic Gait Training for Individuals With Cerebral Palsy: A Systematic Review and Meta-Analysis</t>
  </si>
  <si>
    <t>Cerebral palsy; Gait; Meta-analysis [publication type]; Rehabilitation; Robotic</t>
  </si>
  <si>
    <t>GROSS MOTOR FUNCTION; ASSISTED TREADMILL THERAPY; ENERGY-EXPENDITURE; CHILDREN; WALKING; RESPONSIVENESS; RELIABILITY; PERFORMANCE; ADULTS; TRIAL</t>
  </si>
  <si>
    <t>Objective: To identify the effects of robotic gait training practices in individuals with cerebral palsy. Data Sources: The search was performed in the following electronic databases: PubMed, Embase, Medline (OvidSP), Cochrane Database of Systematic Reviews, Web of Science, Scopus, Compendex, IEEE Xplore, ScienceDirect, Academic Search Premier, and Physiotherapy Evidence Database. Study Selection: Studies were included if they fulfilled the following criteria: (1) they investigated the effects of robotic gait training, (2) they involved patients with cerebral palsy, and (3) they enrolled patients classified between levels I and IV using the Gross Motor Function Classification System. Data Extraction: The information was extracted from the selected articles using the descriptive-analytical method. The Critical Review Form for Quantitative Studies was used to quantitate the presence of critical components in the articles. To perform the meta-analysis, the effects of the intervention were quantified by effect size (Cohen d). Data Synthesis: Of the 133 identified studies, 10 met the inclusion criteria. The meta-analysis showed positive effects on gait speed (.21 [.09,.51]), endurance (.21 [.06,.49]), and gross motor function in dimension D (.18 [-.10,.45]) and dimension E (0.12 [-.15,.40]). Conclusions: The results obtained suggest that this training benefits people with cerebral palsy, specifically by increasing walking speed and endurance and improving gross motor function. For future studies, we suggest investigating device configuration parameters and conducting a large number of randomized controlled trials with larger sample sizes and individuals with homogeneous impairment. (C) 2017 by the American Congress of Rehabilitation Medicine</t>
  </si>
  <si>
    <t>[Carvalho, Igor; Pinto, Sergio Medeiros; Batista, Luiz Alberto] Univ Estado Rio De Janeiro, Grad Program Med Sci, Lab Biomech &amp; Motor Behav, Rio De Janeiro, Brazil; [Chagas, Daniel das Virgens; Praxedes dos Santos, Jomilto Luiz; Oliveira, Taina de Sousa; Batista, Luiz Alberto] Univ Estado Rio De Janeiro, Inst Phys Educ &amp; Sports, Lab Biomech &amp; Motor Behav, Sao Francisco Xavier St 524, BR-20550900 Rio De Janeiro, RJ, Brazil</t>
  </si>
  <si>
    <t>Universidade do Estado do Rio de Janeiro; Universidade do Estado do Rio de Janeiro</t>
  </si>
  <si>
    <t>Carvalho, I (corresponding author), Univ Estado Rio De Janeiro, Inst Phys Educ &amp; Sports, Lab Biomech &amp; Motor Behav, Sao Francisco Xavier St 524, BR-20550900 Rio De Janeiro, RJ, Brazil.</t>
  </si>
  <si>
    <t>igorscarvalho0@gmail.com</t>
  </si>
  <si>
    <t>Chagas, Daniel/D-5778-2016</t>
  </si>
  <si>
    <t>Chagas, Daniel/0000-0002-4163-1357</t>
  </si>
  <si>
    <t>National Counsel of Technological and Scientific Development</t>
  </si>
  <si>
    <t>National Counsel of Technological and Scientific Development(Conselho Nacional de Desenvolvimento Cientifico e Tecnologico (CNPQ))</t>
  </si>
  <si>
    <t>Supported by the National Counsel of Technological and Scientific Development.</t>
  </si>
  <si>
    <t>10.1016/j.apmr.2017.06.018</t>
  </si>
  <si>
    <t>WOS:000414275500028</t>
  </si>
  <si>
    <t>Yang, X; She, HT; Lu, HJ; Fukuda, T; Shen, YJ</t>
  </si>
  <si>
    <t>Yang, Xiong; She, Haotian; Lu, Haojian; Fukuda, Toshio; Shen, Yajing</t>
  </si>
  <si>
    <t>State of the Art: Bipedal Robots for Lower Limb Rehabilitation</t>
  </si>
  <si>
    <t>bipedal robot; bipedal locomotion; rehabilitation; robot review</t>
  </si>
  <si>
    <t>VIRTUAL MODEL CONTROL; HUMANOID ROBOT; DYNAMIC WALKING; DESIGN; GAIT; OPTIMIZATION; GENERATION; ATLAS</t>
  </si>
  <si>
    <t>The bipedal robot is one of the most attractive robots types given its similarity to the locomotion of human beings and its ability to assist people to walk during rehabilitation. This review summarizes the chronological historical development of bipedal robots and introduces some current popular bipedal robots age. Then, the basic theory-stability control and key technology-motion planning of bipedal robots are introduced and analyzed. Bipedal robots have a wide range of applications in the service, education, entertainment, and other industries. After that, we specifically discuss the applications of bipedal robots in lower limb rehabilitation, including wearable exoskeleton robots, rehabilitation equipment, soft exoskeleton robots, and unpowered exoskeleton robots, and their control methods. Lastly, the future development and the challenges in this field are discussed.</t>
  </si>
  <si>
    <t>[Yang, Xiong; Lu, Haojian; Shen, Yajing] Univ Hong Kong, Dept Mech &amp; Biomed Engn, Tat Chee Ave, Kowloon 999077, Hong Kong, Peoples R China; [She, Haotian; Fukuda, Toshio] Beijing Inst Technol, 5 Yard,Zhong Guan Cun South St, Beijing 100000, Peoples R China; [Shen, Yajing] CityU Shenzhen Res Inst, Ctr Robot &amp; Automat, Shenzhen 518000, Peoples R China</t>
  </si>
  <si>
    <t>University of Hong Kong; Beijing Institute of Technology</t>
  </si>
  <si>
    <t>Shen, YJ (corresponding author), Univ Hong Kong, Dept Mech &amp; Biomed Engn, Tat Chee Ave, Kowloon 999077, Hong Kong, Peoples R China.;Shen, YJ (corresponding author), CityU Shenzhen Res Inst, Ctr Robot &amp; Automat, Shenzhen 518000, Peoples R China.</t>
  </si>
  <si>
    <t>xiongyang2-c@my.cityu.edu.hk; 3120150094@bit.edu.cn; haojianlu2-c@my.cityu.edu.hk; tofukuda@nifty.com; yajishen@cityu.edu.hk</t>
  </si>
  <si>
    <t>; Xiong, YANG/AAB-7985-2022; shen, yajing/LDF-1851-2024</t>
  </si>
  <si>
    <t>LU, Haojian/0000-0002-1393-3040; Xiong, YANG/0000-0002-0696-9651; shen, yajing/0000-0001-5799-7524</t>
  </si>
  <si>
    <t>National Science Foundation of China [61773326]; Shenzhen (China) Basic Research Project [JCYJ20160329150236426]; ITF of Hong Kong [GHP/017/14SZ]; Hong Kong RGC General Research Fund [CityU 11278716]</t>
  </si>
  <si>
    <t>National Science Foundation of China(National Natural Science Foundation of China (NSFC)); Shenzhen (China) Basic Research Project; ITF of Hong Kong; Hong Kong RGC General Research Fund</t>
  </si>
  <si>
    <t>This work was partly supported by National Science Foundation of China (61773326), Shenzhen (China) Basic Research Project (JCYJ20160329150236426), ITF of Hong Kong (GHP/017/14SZ), and Hong Kong RGC General Research Fund (CityU 11278716).</t>
  </si>
  <si>
    <t>10.3390/app7111182</t>
  </si>
  <si>
    <t>FO4ER</t>
  </si>
  <si>
    <t>WOS:000416794600081</t>
  </si>
  <si>
    <t>Toigo, M; Flück, M; Riener, R; Klamroth-Marganska, V</t>
  </si>
  <si>
    <t>Toigo, Marco; Fluck, Martin; Riener, Robert; Klamroth-Marganska, Verena</t>
  </si>
  <si>
    <t>Robot-assisted assessment of muscle strength</t>
  </si>
  <si>
    <t>Neuromuscular; Upper extremity; Robot; Assessment; Neurorehabilitation; Sensorimotor</t>
  </si>
  <si>
    <t>MUSCULAR-DYSTROPHY FSHD; HAND-HELD DYNAMOMETER; MOTOR UNIT DISCHARGE; UPPER-LIMB STRENGTH; LENGTHENING CONTRACTIONS; ISOMETRIC STRENGTH; NORMATIVE VALUES; NATURAL-HISTORY; KNEE-EXTENSION; GRIP STRENGTH</t>
  </si>
  <si>
    <t>Impairment of neuromuscular function in neurological disorders leads to reductions in muscle force, which may lower quality of life. Rehabilitation robots that are equipped with sensors are able to quantify the extent of muscle force impairment and to monitor a patient during the process of neurorehabilitation with sensitive and objective assessment methods. In this article, we provide an overview of fundamental aspects of muscle function and how the corresponding variables can be quantified by means of meaningful robotic assessments that are primarily oriented towards upper limb neurorehabilitation. We discuss new concepts for the assessment of muscle function, and present an overview of the currently available systems for upper limb measurements. These considerations culminate in practical recommendations and caveats for the rational quantification of force magnitude, force direction, moment of a force, impulse, critical force (neuromuscular fatigue threshold) and state and trait levels of fatigue.</t>
  </si>
  <si>
    <t>[Toigo, Marco; Fluck, Martin] Univ Zurich, Balgrist Univ Hosp, Lab Muscle Plast, Zurich, Switzerland; [Riener, Robert; Klamroth-Marganska, Verena] Swiss Fed Inst Technol, Dept Hlth Sci &amp; Technol, Sensory Motor Syst Lab, Zurich, Switzerland; [Riener, Robert; Klamroth-Marganska, Verena] Univ Zurich, Balgrist Univ Hosp, Zurich, Switzerland</t>
  </si>
  <si>
    <t>University of Zurich; Swiss Federal Institutes of Technology Domain; ETH Zurich; University of Zurich</t>
  </si>
  <si>
    <t>Toigo, M (corresponding author), Univ Zurich, Balgrist Univ Hosp, Lab Muscle Plast, Zurich, Switzerland.;Klamroth-Marganska, V (corresponding author), Swiss Fed Inst Technol, Dept Hlth Sci &amp; Technol, Sensory Motor Syst Lab, Zurich, Switzerland.</t>
  </si>
  <si>
    <t>marco.toigo@oym.ch; verena.klamroth@hest.ethz.ch</t>
  </si>
  <si>
    <t>BIOMED CENTRAL LTD</t>
  </si>
  <si>
    <t>236 GRAYS INN RD, FLOOR 6, LONDON WC1X 8HL, ENGLAND</t>
  </si>
  <si>
    <t>10.1186/s12984-017-0314-2</t>
  </si>
  <si>
    <t>FJ6WT</t>
  </si>
  <si>
    <t>WOS:000412899400002</t>
  </si>
  <si>
    <t>Valero-Cuevas, FJ; Santello, M</t>
  </si>
  <si>
    <t>Valero-Cuevas, Francisco J.; Santello, Marco</t>
  </si>
  <si>
    <t>On neuromechanical approaches for the study of biological and robotic grasp and manipulation</t>
  </si>
  <si>
    <t>Neuromuscular control; Hand; Prosthetics</t>
  </si>
  <si>
    <t>HAND SYNERGIES INTEGRATION; PRIMARY MOTOR CORTEX; SYSTEM-IDENTIFICATION; DEXTEROUS MANIPULATION; SENSORIMOTOR MEMORY; PATTERN GENERATION; MUSCLE REDUNDANCY; FINGERTIP FORCES; ARTIFICIAL HANDS; ROBUST-CONTROL</t>
  </si>
  <si>
    <t>Biological and robotic grasp and manipulation are undeniably similar at the level of mechanical task performance. However, their underlying fundamental biological vs. engineering mechanisms are, by definition, dramatically different and can even be antithetical. Even our approach to each is diametrically opposite: inductive science for the study of biological systems vs. engineering synthesis for the design and construction of robotic systems. The past 20 years have seen several conceptual advances in both fields and the quest to unify them. Chief among them is the reluctant recognition that their underlying fundamental mechanisms may actually share limited common ground, while exhibiting many fundamental differences. This recognition is particularly liberating because it allows us to resolve and move beyond multiple paradoxes and contradictions that arose from the initial reasonable assumption of a large common ground. Here, we begin by introducing the perspective of neuromechanics, which emphasizes that real-world behavior emerges from the intimate interactions among the physical structure of the system, the mechanical requirements of a task, the feasible neural control actions to produce it, and the ability of the neuromuscular system to adapt through interactions with the environment. This allows us to articulate a succinct overview of a few salient conceptual paradoxes and contradictions regarding under-determined vs. over-determined mechanics, under-vs. over-actuated control, prescribed vs. emergent function, learning vs. implementation vs. adaptation, prescriptive vs. descriptive synergies, and optimal vs. habitual performance. We conclude by presenting open questions and suggesting directions for future research. We hope this frank and open-minded assessment of the state-of-the-art will encourage and guide these communities to continue to interact and make progress in these important areas at the interface of neuromechanics, neuroscience, rehabilitation and robotics.</t>
  </si>
  <si>
    <t>[Valero-Cuevas, Francisco J.] Univ Southern Calif, Dept Biomed Engn, Los Angeles, CA 90089 USA; [Valero-Cuevas, Francisco J.] Univ Southern Calif, Div Biokinesiol &amp; Phys Therapy, Los Angeles, CA 90007 USA; Arizona State Univ, Sch Biol &amp; Hlth Syst Engn, Tempe, AZ USA</t>
  </si>
  <si>
    <t>University of Southern California; University of Southern California; Arizona State University; Arizona State University-Tempe</t>
  </si>
  <si>
    <t>Valero-Cuevas, FJ (corresponding author), Univ Southern Calif, Dept Biomed Engn, Los Angeles, CA 90089 USA.;Valero-Cuevas, FJ (corresponding author), Univ Southern Calif, Div Biokinesiol &amp; Phys Therapy, Los Angeles, CA 90007 USA.</t>
  </si>
  <si>
    <t>valero@usc.edu</t>
  </si>
  <si>
    <t>National Institute of Arthritis and Musculoskeletal and Skin Diseases of the National Institutes of Health (NIH) [AR050520, AR052345]; CDMRP from the Department of Defense (DoD) [MR150091]; Eunice Kennedy Shriver National Institute Of Child Health and Human Development of the NIH [HD081938]; National Science Foundation (NSF) [BCS-1455866]; Grainger Foundation; Division Of Behavioral and Cognitive Sci; Direct For Social, Behav &amp; Economic Scie [1455865] Funding Source: National Science Foundation</t>
  </si>
  <si>
    <t>National Institute of Arthritis and Musculoskeletal and Skin Diseases of the National Institutes of Health (NIH)(United States Department of Health &amp; Human ServicesNational Institutes of Health (NIH) - USANIH National Institute of Arthritis &amp; Musculoskeletal &amp; Skin Diseases (NIAMS)); CDMRP from the Department of Defense (DoD); Eunice Kennedy Shriver National Institute Of Child Health and Human Development of the NIH; National Science Foundation (NSF)(National Science Foundation (NSF)); Grainger Foundation; Division Of Behavioral and Cognitive Sci; Direct For Social, Behav &amp; Economic Scie(National Science Foundation (NSF)NSF - Directorate for Social, Behavioral &amp; Economic Sciences (SBE))</t>
  </si>
  <si>
    <t>Research reported in this publication was supported by the National Institute of Arthritis and Musculoskeletal and Skin Diseases of the National Institutes of Health (NIH) under award numbers AR050520 and AR052345, and CDMRP MR150091 from the Department of Defense (DoD) to FV-C, and Eunice Kennedy Shriver National Institute Of Child Health and Human Development of the NIH under award number HD081938, National Science Foundation (NSF) under award number BCS-1455866, and the Grainger Foundation to MS. The content is solely the responsibility of the authors and does not necessarily represent the official views of the NIH, DoD or NSF.</t>
  </si>
  <si>
    <t>OCT 9</t>
  </si>
  <si>
    <t>10.1186/s12984-017-0305-3</t>
  </si>
  <si>
    <t>FJ3VD</t>
  </si>
  <si>
    <t>WOS:000412659500001</t>
  </si>
  <si>
    <t>Oh, JS; Choi, SB</t>
  </si>
  <si>
    <t>Oh, Jong-Seok; Choi, Seung-Bok</t>
  </si>
  <si>
    <t>State of the art of medical devices featuring smart electro-rheological and magneto-rheological fluids</t>
  </si>
  <si>
    <t>JOURNAL OF KING SAUD UNIVERSITY SCIENCE</t>
  </si>
  <si>
    <t>Smart fluid; Medical application; Electro-rheological (ER) fluid; Magneto-rheological (MR) fluid; ER and MR brake; ER and MR clutch; MR sponge</t>
  </si>
  <si>
    <t>MAGNETORHEOLOGICAL SUSPENSIONS; MR-BRAKE; ELECTRICAL-CONDUCTIVITY; FORCE; ACTUATOR; DAMPER</t>
  </si>
  <si>
    <t>Recently, smart fluids have drawn significant attention and growing a great interest in a broad range of engineering applications such as automotive and medical areas. In this article, two smart fluids called electro-rheological (ER) fluid and magneto-rheological (MR) fluid are reviewed in terms of medical applications. Especially, this article describes the attributes and inherent properties of individual medical and rehabilitation devices. The devices surveyed in this article include multi-degree-of-freedom haptic masters for robot surgery, thin membrane touch panels for braille readers, sponge-like tactile sensors to feel human tissues such as liver, rehabilitation systems such as prosthetic leg, and haptic interfaces for dental implant surgery. The operating principle, inherent characteristics and practical feasibility of each medical device or system are fully discussed in details. (C) 2017 The Authors. Production and hosting by Elsevier B.V. on behalf of King Saud University.</t>
  </si>
  <si>
    <t>[Oh, Jong-Seok] Kongju Natl Univ, Div Automot &amp; Mech Engn, Cheonan Si 31080, Chungnam, South Korea; [Choi, Seung-Bok] Inha Univ, Smart Struct &amp; Syst Lab, Dept Mech Engn, Incheon 22212, South Korea</t>
  </si>
  <si>
    <t>Kongju National University; Inha University</t>
  </si>
  <si>
    <t>Choi, SB (corresponding author), Inha Univ, Smart Struct &amp; Syst Lab, Dept Mech Engn, Incheon 22212, South Korea.</t>
  </si>
  <si>
    <t>seungbok@inha.ac.kr</t>
  </si>
  <si>
    <t>Choi, Seung/G-6922-2011</t>
  </si>
  <si>
    <t>Oh, Jong-Seok/0000-0001-6976-6205</t>
  </si>
  <si>
    <t>National Research Foundation (NRF) grant [2017R1C1B5018204]</t>
  </si>
  <si>
    <t>National Research Foundation (NRF) grant</t>
  </si>
  <si>
    <t>This work was supported by the National Research Foundation (NRF) grant directed by the South Korea government (MSIP; Ministry of Science, ICT &amp; Future Planning) (No. 2017R1C1B5018204).</t>
  </si>
  <si>
    <t>1018-3647</t>
  </si>
  <si>
    <t>2213-686X</t>
  </si>
  <si>
    <t>J KING SAUD UNIV SCI</t>
  </si>
  <si>
    <t>J. King Saud Univ. Sci.</t>
  </si>
  <si>
    <t>10.1016/j.jksus.2017.05.012</t>
  </si>
  <si>
    <t>FO9LC</t>
  </si>
  <si>
    <t>WOS:000417208000002</t>
  </si>
  <si>
    <t>Bertani, R; Melegari, C; De Cola, MC; Bramanti, A; Bramanti, P; Calabrò, RS</t>
  </si>
  <si>
    <t>Bertani, Rachele; Melegari, Corrado; De Cola, Maria C.; Bramanti, Alessia; Bramanti, Placido; Calabro, Rocco Salvatore</t>
  </si>
  <si>
    <t>Effects of robot-assisted upper limb rehabilitation in stroke patients: a systematic review with meta-analysis</t>
  </si>
  <si>
    <t>Neuroreabilitation; Robotics; Motor recovery; Post-stroke UL impairment</t>
  </si>
  <si>
    <t>RANDOMIZED CONTROLLED-TRIAL; CONVENTIONAL THERAPY; MOTOR IMPAIRMENT; RECOVERY; ARM; NEUROREHABILITATION; TIME; HEMIPARESIS; EXERCISE; IMPROVES</t>
  </si>
  <si>
    <t>Technology-supported training is emerging as a solution to support therapists in their efforts providing high-intensity, repetitive, and task-specific treatment, in order to enhance the recovery process. The aim of this review is to assess the effectiveness of different robotic devices (end-effector and exoskeleton robots) in comparison with any other type of intervention. Furthermore, we aim to assess whether or not better improvements are obtained in the sub-acute phase after stroke onset than in the chronic phase. A research was conducted in the electronic bibliographic databases Cochrane, MEDLINE, and EMBASE. A total of 17 studies were included: 14 randomized controlled trials, 2 systematic reviews, and one meta-analysis. Fugl-Meyer and modified Ashworth scale were selected to measure primary outcomes, i.e., motor function and muscle tone. Functional independence measure and motor activity log were selected to measure secondary outcomes, i.e., activities of daily living. In comparison with conventional therapy, the robot-assisted rehabilitation is more effective in improving upper limb motor function recovery, especially in chronic stroke patients. No significant improvements are observed in the reduction of muscle tone or daily living activities. The present systematic review shows that the use of robotic devices can positively affect the recovery of arm function in patients with stroke.</t>
  </si>
  <si>
    <t>[Bertani, Rachele; Melegari, Corrado] Neuroriabilitazione, Elias, Parma, Italy; [De Cola, Maria C.; Bramanti, Alessia; Bramanti, Placido; Calabro, Rocco Salvatore] IRCCS Ctr Neurolesi, SS 113 Via Palermo C Casazza, I-98123 Messina, Italy</t>
  </si>
  <si>
    <t>Calabrò, RS (corresponding author), IRCCS Ctr Neurolesi, SS 113 Via Palermo C Casazza, I-98123 Messina, Italy.</t>
  </si>
  <si>
    <t>Bramanti, Alessia/AGE-3236-2022; De Cola, Maria/B-7714-2017; Bramanti, Placido/K-5117-2016; calabro, rocco/L-9570-2019</t>
  </si>
  <si>
    <t>Bramanti, Placido/0000-0003-0394-8166; De Cola, Maria Cristina/0000-0002-7509-3833; Bramanti, Alessia/0000-0002-5247-9901</t>
  </si>
  <si>
    <t>10.1007/s10072-017-2995-5</t>
  </si>
  <si>
    <t>FF8VM</t>
  </si>
  <si>
    <t>WOS:000409295900002</t>
  </si>
  <si>
    <t>Chin, LC; Basah, SN; Affandi, M; Shah, MN; Yaacob, S; Juan, YE; Din, MY</t>
  </si>
  <si>
    <t>Chin, Lim Chee; Basah, Shafriza Nisha; Affandi, Marwan; Shah, Muhammad Nazrin; Yaacob, Sazali; Juan, Yeap Ewe; Din, Mohamad Yazid</t>
  </si>
  <si>
    <t>HOME-BASED ANKLE REHABILITATION SYSTEM: LITERATURE REVIEW AND EVALUATION</t>
  </si>
  <si>
    <t>JURNAL TEKNOLOGI</t>
  </si>
  <si>
    <t>Ankle Injury; Ankle Rehabilitation System (ARS); Visual-Based Rehabilitation; Robot-based Ankle Rehabilitation System</t>
  </si>
  <si>
    <t>UPPER-LIMB REHABILITATION; MICROSOFT KINECT; PARALLEL ROBOT; SPRAIN; STROKE; MOTION; JOINT; INSTABILITY; CALIBRATION; KINEMATICS</t>
  </si>
  <si>
    <t>Ankle sprain Injury is one of the most common ankle injuries due to domestic or sporting accidents. There is a need for greater demand for quick and effective ankle rehabilitation system (ARS). Nowadays, research on ARS has gained a great attention than manual clinical method in medical areas such as orthopedic injuries, pediatrics sport medicine and industrial services. It can improve the treatment conditions by reducing the dependency of doctors' supervision, help patient with less movable to have home-based rehab exercise and help to speeds up recovery. There are currently available ARS that can provide effective ankle rehabilitation treatment such as Visual, Non-Visual and Robot-aided. In this paper, the critical review of ARS is conducted to evaluate the effectiveness of ARS in terms of provided setting criteria. The strengths, weaknesses, opportunities and threats of each ARS is discussed and compared to identify the most suitable home application of ARS for ankle sprain patient. From the comparison, the most suitable home application ARS is the visual marker-less based ARS system which give user-friendly, efficiency, validity in performance and cheaper cost.</t>
  </si>
  <si>
    <t>[Chin, Lim Chee; Basah, Shafriza Nisha; Affandi, Marwan; Shah, Muhammad Nazrin; Yaacob, Sazali] Univ Malaysia Perlis, Sch Mech Engn, Kampus Pauh, Arau 02600, Perlis, Malaysia; [Juan, Yeap Ewe] Prince Court Med Ctr, 39 Jalan Kia Peng, Kuala Lumpur 50450, Malaysia; [Din, Mohamad Yazid] Hosp Tunku Fauziah, Kangar 01000, Perlis, Malaysia</t>
  </si>
  <si>
    <t>Universiti Malaysia Perlis</t>
  </si>
  <si>
    <t>Chin, LC (corresponding author), Univ Malaysia Perlis, Sch Mech Engn, Kampus Pauh, Arau 02600, Perlis, Malaysia.</t>
  </si>
  <si>
    <t>cclim@unimap.edu.my</t>
  </si>
  <si>
    <t>Yeap, Ewe/D-1960-2010; Lim, Chee Chin/GNO-9181-2022; Bin Shahrol Aman, Muhammad Nazrin Shah/GQZ-6994-2022; BASAH, SHAFRIZA/AAN-8887-2020</t>
  </si>
  <si>
    <t>Basah, Shafriza Nisha/0000-0003-0396-4262; Lim, Chee Chin/0000-0003-3845-3825; Shah, Muhammad Nazrin/0000-0002-3176-3022</t>
  </si>
  <si>
    <t>PENERBIT UTM PRESS</t>
  </si>
  <si>
    <t>PENERBIT UTM PRESS, SKUDAI, JOHOR, 81310, MALAYSIA</t>
  </si>
  <si>
    <t>0127-9696</t>
  </si>
  <si>
    <t>2180-3722</t>
  </si>
  <si>
    <t>J TEKNOL</t>
  </si>
  <si>
    <t>J. Teknol.</t>
  </si>
  <si>
    <t>FQ6XI</t>
  </si>
  <si>
    <t>WOS:000418507000002</t>
  </si>
  <si>
    <t>Daneshmand, M; Bilici, O; Bolotnikova, A; Anbarjafari, G</t>
  </si>
  <si>
    <t>Daneshmand, Morteza; Bilici, Ozan; Bolotnikova, Anastasia; Anbarjafari, Gholamreza</t>
  </si>
  <si>
    <t>Medical robots with potential applications in participatory and opportunistic remote sensing: A review</t>
  </si>
  <si>
    <t>Healthcare; Medical robotics; Opportunistic sensing; Participatory sensing; Robotic systems</t>
  </si>
  <si>
    <t>SYSTEM; SURGERY; DESIGN; PERFORMANCE; REHABILITATION; MANIPULATORS; ARCHITECTURE; EXOSKELETON; WORKSPACES; CHALLENGES</t>
  </si>
  <si>
    <t>Among numerous applications of medical robotics, this paper concentrates on the design, optimal use and maintenance of the related technologies in the context of healthcare, rehabilitation and assistive robotics, and provides a comprehensive review of the latest advancements in the foregoing field of science and technology, while extensively dealing with the possible applications of participatory and opportunistic mobile sensing in the aforementioned domains. The main motivation for the latter choice is the variety of such applications in the settings having partial contributions to functionalities such as artery, radiosurgery, neurosurgery and vascular intervention. From a broad perspective, the aforementioned applications can be realized via various strategies and devices benefiting from detachable drives, intelligent robots, human-centric sensing and computing, miniature and micro-robots. Throughout the paper tens of subjects, including sensor-fusion, kinematic, dynamic and 3D tissue models are discussed based on the existing literature on the state-of-the-art technologies. In addition, from a managerial perspective, topics such as safety monitoring, security, privacy and evolutionary optimization of the operational efficiency are reviewed. (C) 2017 Elsevier B.V. All rights reserved.</t>
  </si>
  <si>
    <t>[Daneshmand, Morteza; Bilici, Ozan; Bolotnikova, Anastasia; Anbarjafari, Gholamreza] Univ Tartu, Inst Technol, iCV Res Grp, Tartu, Estonia; [Anbarjafari, Gholamreza] Hasan Kalyoncu Univ, Dept Elect &amp; Elect Engn, Gaziantep, Turkey</t>
  </si>
  <si>
    <t>University of Tartu; Hasan Kalyoncu University</t>
  </si>
  <si>
    <t>Anbarjafari, G (corresponding author), Univ Tartu, Inst Technol, iCV Res Grp, Tartu, Estonia.</t>
  </si>
  <si>
    <t>shb@icv.tuit.ut.ee</t>
  </si>
  <si>
    <t>Bolotnikova, Anastasia/HRE-0387-2023; Daneshmand, Morteza/AAA-8605-2019; Anbarjafari, Gholamreza/A-3845-2010</t>
  </si>
  <si>
    <t>Daneshmand, Morteza/0000-0003-2122-2051; Anbarjafari, Gholamreza/0000-0001-8460-5717</t>
  </si>
  <si>
    <t>Estonian Research Council Grant [PUT638]; University of Tartu RD contracts [LLTTI16056, LLTTI16123]</t>
  </si>
  <si>
    <t>Estonian Research Council Grant(Estonian Research Council); University of Tartu RD contracts</t>
  </si>
  <si>
    <t>This work has been partially supported by Estonian Research Council Grant (PUT638) and University of Tartu R&amp;D contracts (LLTTI16056 and LLTTI16123).</t>
  </si>
  <si>
    <t>10.1016/j.robot.2017.06.009</t>
  </si>
  <si>
    <t>FH4YE</t>
  </si>
  <si>
    <t>WOS:000411167900012</t>
  </si>
  <si>
    <t>Dumitrascu, OM; Demaerschalk, BM</t>
  </si>
  <si>
    <t>Dumitrascu, Oana M.; Demaerschalk, Bart M.</t>
  </si>
  <si>
    <t>Telestroke</t>
  </si>
  <si>
    <t>CURRENT CARDIOLOGY REPORTS</t>
  </si>
  <si>
    <t>Telemedicine; Telestroke; Acute stroke; Systems of care; Quality measures</t>
  </si>
  <si>
    <t>ACUTE ISCHEMIC-STROKE; HEALTH-CARE PROFESSIONALS; TELEMEDIC PILOT PROJECT; COST-EFFECTIVENESS; PREHOSPITAL THROMBOLYSIS; ROBOTIC TELEPRESENCE; SCIENTIFIC STATEMENT; RURAL-AREAS; NETWORK; SYSTEMS</t>
  </si>
  <si>
    <t>Purpose of Review This study aims to describe the current state of telestroke clinical applications and policies, in addition to key technical and operational aspects of the telemedicine practice. Recent Findings Delivery of telestroke services for neurovascular care expanded from the intravenous alteplase decision and administration in acute emergency department settings to a continuum of services in mobile and inpatient stroke units, intensive care units, virtual stroke clinics, rehabilitation, and clinical research. Telestroke cost-effectiveness is well established from multiple perspectives. Stroke centers, certification agencies, and national registries have made essential recommendations regarding telestroke quality measures monitoring and reporting. Summary Telestroke continues to bring neurovascular expertise to resource-restricted areas with advanced virtual communication techniques, optimizing stroke care. Future research should aim at broadening telestroke technology applications, while improving quality and reducing the delivery-associated cost and resources. Comprehensive multidisciplinary virtual telestroke centers that cover all aspects of stroke management might become available in the future.</t>
  </si>
  <si>
    <t>[Dumitrascu, Oana M.; Demaerschalk, Bart M.] Mayo Clin, Dept Neurol, 5777 East Mayo Blvd, Phoenix, AZ 85054 USA</t>
  </si>
  <si>
    <t>Mayo Clinic; Mayo Clinic Phoenix</t>
  </si>
  <si>
    <t>Dumitrascu, OM (corresponding author), Mayo Clin, Dept Neurol, 5777 East Mayo Blvd, Phoenix, AZ 85054 USA.</t>
  </si>
  <si>
    <t>oana.m.dumitrascu@gmail.com; Demaerschalk.bart@mayo.edu</t>
  </si>
  <si>
    <t>1523-3782</t>
  </si>
  <si>
    <t>1534-3170</t>
  </si>
  <si>
    <t>CURR CARDIOL REP</t>
  </si>
  <si>
    <t>Curr. Cardiol. Rep.</t>
  </si>
  <si>
    <t>10.1007/s11886-017-0895-1</t>
  </si>
  <si>
    <t>FF3AT</t>
  </si>
  <si>
    <t>WOS:000408768600011</t>
  </si>
  <si>
    <t>Shirota, C; van Asseldonk, E; Matjacic, Z; Vallery, H; Barralon, P; Maggioni, S; Buurke, JH; Veneman, JF</t>
  </si>
  <si>
    <t>Shirota, Camila; van Asseldonk, Edwin; Matjacic, Zlatko; Vallery, Heike; Barralon, Pierre; Maggioni, Serena; Buurke, Jaap H.; Veneman, Jan F.</t>
  </si>
  <si>
    <t>Robot-supported assessment of balance in standing and walking</t>
  </si>
  <si>
    <t>Standing; Walking; Balance performance; Assessment; Rehabilitation robots; Posturography</t>
  </si>
  <si>
    <t>LONG-RANGE CORRELATIONS; STROKE REHABILITATION; POSTURAL STEADINESS; PRESSURE MEASURES; FUNCTIONAL REACH; OVERGROUND GAIT; SWAY MEASURES; RELIABILITY; DESIGN; PERTURBATIONS</t>
  </si>
  <si>
    <t>Clinically useful and efficient assessment of balance during standing and walking is especially challenging in patients with neurological disorders. However, rehabilitation robots could facilitate assessment procedures and improve their clinical value. We present a short overview of balance assessment in clinical practice and in posturography. Based on this overview, we evaluate the potential use of robotic tools for such assessment. The novelty and assumed main benefits of using robots for assessment are their ability to assess 'severely affected' patients by providing assistance-as-needed,as well as to provide consistent perturbations during standing and walking while measuring the patient's reactions. We provide a classification of robotic devices on three aspects relevant to their potential application for balance assessment: 1) how the device interacts with the body, 2) in what sense the device is mobile, and 3) on what surface the person stands or walks when using the device. As examples, nine types of robotic devices are described, classified and evaluated for their suitability for balance assessment. Two example cases of robotic assessments based on perturbations during walking are presented. We conclude that robotic devices are promising and can become useful and relevant tools for assessment of balance in patients with neurological disorders, both in research and in clinical use. Robotic assessment holds the promise to provide increasingly detailed assessment that allows to individually tailor rehabilitation training, which may eventually improve training effectiveness.</t>
  </si>
  <si>
    <t>[Shirota, Camila] ETH, Inst Robot &amp; Intelligent Syst, Dept Hlth Sci &amp; Technol, Rehabil Engn Lab, Lengghalde 5, CH-8092 Zurich, Switzerland; [van Asseldonk, Edwin] Univ Twente, Dept Biomech Engn, MIRA, Drienerlolaan 5, NL-7522 NB Enschede, Netherlands; [Matjacic, Zlatko] Univ Rehabil Inst, Linhartova 51, SI-1000 Ljubljana, Slovenia; [Vallery, Heike] Delft Univ Technol, Fac Mech Maritime &amp; Mat Engn, Mekelweg 2, NL-2628 CD Delft, Netherlands; [Barralon, Pierre; Veneman, Jan F.] Tecnalia Res &amp; Innovat, Hlth Div, Paseo Mikeletegi 1, Donostia San Sebastian 20009, Spain; [Maggioni, Serena] ETH, Inst Robot &amp; Intelligent Syst, Dept Hlth Sci &amp; Technol, Sensory Motor Syst Lab, Sonneggstr 3, CH-8092 Zurich, Switzerland; [Maggioni, Serena] Hocoma AG, Ind Str 4a, CH-8604 Volketswil, Switzerland; [Buurke, Jaap H.] Roessingh Res &amp; Dev, Roessinghsbleekweg 33b, NL-7522 AH Enschede, Netherlands</t>
  </si>
  <si>
    <t>Swiss Federal Institutes of Technology Domain; ETH Zurich; University of Twente; University of Ljubljana; Delft University of Technology; Swiss Federal Institutes of Technology Domain; ETH Zurich</t>
  </si>
  <si>
    <t>Veneman, JF (corresponding author), Tecnalia Res &amp; Innovat, Hlth Div, Paseo Mikeletegi 1, Donostia San Sebastian 20009, Spain.</t>
  </si>
  <si>
    <t>jan.veneman@tecnalia.com</t>
  </si>
  <si>
    <t>Matjačić, Zlatko/AAY-5906-2021; Veneman, Jan/V-3570-2019; Vallery, Heike/A-4254-2013; Barralon, Dr Pierre/V-7243-2017</t>
  </si>
  <si>
    <t>Veneman, Jan/0000-0002-6408-6558; Shirota, Camila/0000-0002-1502-1459; Vallery, Heike/0000-0002-0305-398X; Barralon, Dr Pierre/0000-0003-2987-8709</t>
  </si>
  <si>
    <t>EC Seventh Framework Programme project BALANCE [601003]; EC Marie-Curie career integration grant [PCIG13-GA-2013-618899]; EC COST TD1006 - European Network on Robotics for NeuroRehabilitation</t>
  </si>
  <si>
    <t>EC Seventh Framework Programme project BALANCE(European Union (EU)); EC Marie-Curie career integration grant(European Union (EU)); EC COST TD1006 - European Network on Robotics for NeuroRehabilitation</t>
  </si>
  <si>
    <t>The work presented in this paper has been financially supported by the EC COST TD1006 - European Network on Robotics for NeuroRehabilitation; this was a networking action in which the STARS STate of the Art Robot Supported assessments was organized in different working groups. Most authors of this review participated in the COST TD1006 network as experts and in the STARS discussion group on balance especially. The collection of data presented as examples was partially funded by the EC Seventh Framework Programme project BALANCE (grant No. 601003). HV was supported by the EC Marie-Curie career integration grant PCIG13-GA-2013-618899.</t>
  </si>
  <si>
    <t>10.1186/s12984-017-0273-7</t>
  </si>
  <si>
    <t>FD9IS</t>
  </si>
  <si>
    <t>WOS:000407836600001</t>
  </si>
  <si>
    <t>Iqbal, JS; Khan, ZH</t>
  </si>
  <si>
    <t>Iqbal, Jamshed; Khan, Zeashan Hameed</t>
  </si>
  <si>
    <t>The potential role of renewable energy sources in robot's power system: A case study of Pakistan</t>
  </si>
  <si>
    <t>RENEWABLE &amp; SUSTAINABLE ENERGY REVIEWS</t>
  </si>
  <si>
    <t>Renewable energy applications; Energy consumption; Robot's power system</t>
  </si>
  <si>
    <t>EDUCATIONAL PLATFORM; CONTROL STRATEGIES; SOLAR POWER; FUEL-CELL; CHALLENGES; DESIGN; ISSUES; REHABILITATION; OPTIMIZATION; CONSUMPTION</t>
  </si>
  <si>
    <t>The domain of 'robotics' is undergoing a major transformation in dimension as well as scope. Recent advances in various disciplines of technology have revolutionized this domain at an incredible pace far beyond the contemporary state of the art. Highlighting the forecasted population of robots in future and the resulting demand of massive energy consumption, this review addresses the application of renewable energy sources in uninterruptible supply for robots. The study analyzes the extensive field of renewable energy technology and discovers that comparing with traditional sources; green energies like solar, wind and biological have significant potential to drive robots. Listing the world-wide achievements attained by the applications of renewable energy technology for robots, the review finally presents the subject matter in context of Pakistan. It is shown that being rich in renewable energy resources, broad possibilities for robot technologies exist here. With a discussion on challenges to exploit this potential, suggestions are outlined. It is anticipated that wider dissemination of research developments in the integration of these streams will stimulate more exchanges and collaborations among the research community and contribute to further advancements.</t>
  </si>
  <si>
    <t>[Iqbal, Jamshed] Natl Univ Comp &amp; Emerging Sci, Dept Elect Engn, H-11-4, Islamabad, Pakistan; [Khan, Zeashan Hameed] Riphah Int Univ, Dept Elect Engn, I-14, Islamabad, Pakistan</t>
  </si>
  <si>
    <t>Iqbal, JS (corresponding author), Natl Univ Comp &amp; Emerging Sci, Dept Elect Engn, H-11-4, Islamabad, Pakistan.</t>
  </si>
  <si>
    <t>jamshed.iqbal@nu.edu.pk</t>
  </si>
  <si>
    <t>Iqbal, Jamshed/AER-0153-2022; Khan, Zeashan Hameed/JDV-9948-2023</t>
  </si>
  <si>
    <t>Iqbal, Jamshed/0000-0002-0795-0282; Khan, Zeashan Hameed/0000-0003-2002-8951</t>
  </si>
  <si>
    <t>1364-0321</t>
  </si>
  <si>
    <t>1879-0690</t>
  </si>
  <si>
    <t>RENEW SUST ENERG REV</t>
  </si>
  <si>
    <t>Renew. Sust. Energ. Rev.</t>
  </si>
  <si>
    <t>10.1016/j.rser.2016.10.055</t>
  </si>
  <si>
    <t>Green &amp; Sustainable Science &amp; Technology; Energy &amp; Fuels</t>
  </si>
  <si>
    <t>Science &amp; Technology - Other Topics; Energy &amp; Fuels</t>
  </si>
  <si>
    <t>EU9YG</t>
  </si>
  <si>
    <t>WOS:000401395000010</t>
  </si>
  <si>
    <t>Frolov, AA; Kozlovskaia, IB; Biryukova, EV; Bobrov, PD</t>
  </si>
  <si>
    <t>Frolov, A. A.; Kozlovskaia, I. B.; Biryukova, E. V.; Bobrov, P. D.</t>
  </si>
  <si>
    <t>ROBOTIC DEVICES IN POSTSTROKE REHABILITATION</t>
  </si>
  <si>
    <t>ZHURNAL VYSSHEI NERVNOI DEYATELNOSTI IMENI I P PAVLOVA</t>
  </si>
  <si>
    <t>neurorehabilitation; stroke; robotic devices; brain-computer interface</t>
  </si>
  <si>
    <t>COMPUTER INTERFACE; MOTOR RECOVERY; UPPER-EXTREMITY; ARM MOVEMENT; STROKE; BRAIN; NEUROREHABILITATION; SYSTEM; THERAPY; BCI</t>
  </si>
  <si>
    <t>The review is devoted for applications of robotic devices in rehabilitation of poststroke and posttraumatic patients. This rehabilitation technology is actively developed during the last decade. Different types of robotic devices- manipulators and exoskeletons, clinical protocols of their applications and the effectiveness of rehabilitation procedures are described. Special attention is attended for neurophysiological basis of rehabilitation potential of this technology, including an analysis of mechanisms of neuroplasticity. The results of newest rehabilitation technology using the arm exoskeleton controlled by the brain-computer interface based on kinesthetic movement imagination are described.</t>
  </si>
  <si>
    <t>[Frolov, A. A.; Biryukova, E. V.; Bobrov, P. D.] RAS, Inst Higher Nervous Activ &amp; Neurophysiol, Moscow, Russia; [Frolov, A. A.; Biryukova, E. V.; Bobrov, P. D.] Pirogov Russian Natl Res Med Univ, Moscow, Russia; [Kozlovskaia, I. B.] RAS, Inst Biomed Problems, Moscow, Russia</t>
  </si>
  <si>
    <t>Russian Academy of Sciences; Institute of Higher Nervous Activity &amp; Neurophysiology of RAS; Pirogov Russian National Research Medical University; Russian Academy of Sciences; Institute of Biomedical Problems of the Russian Academy of Sciences</t>
  </si>
  <si>
    <t>Biryukova, EV (corresponding author), RAS, Inst Higher Nervous Activ &amp; Neurophysiol, Moscow, Russia.;Biryukova, EV (corresponding author), Pirogov Russian Natl Res Med Univ, Moscow, Russia.</t>
  </si>
  <si>
    <t>ebiryukova@mail.ru</t>
  </si>
  <si>
    <t>Bobrov, Pavel/D-1123-2014; Frolov, Alexander/C-8305-2014</t>
  </si>
  <si>
    <t>MEZHDUNARODNAYA KNIGA</t>
  </si>
  <si>
    <t>39 DIMITROVA UL., MOSCOW, 113095, RUSSIA</t>
  </si>
  <si>
    <t>0044-4677</t>
  </si>
  <si>
    <t>ZH VYSSH NERV DEYAT+</t>
  </si>
  <si>
    <t>Zhurnal Vyss. Nervn. Deyatelnosti Im. I P Pavlov.</t>
  </si>
  <si>
    <t>JUL-AUG</t>
  </si>
  <si>
    <t>10.7868/S004446771704-0017</t>
  </si>
  <si>
    <t>Neurosciences; Physiology</t>
  </si>
  <si>
    <t>Neurosciences &amp; Neurology; Physiology</t>
  </si>
  <si>
    <t>FI0XY</t>
  </si>
  <si>
    <t>WOS:000411654300003</t>
  </si>
  <si>
    <t>Hadidi, NN; Wagner, RLH; Lindquist, R</t>
  </si>
  <si>
    <t>Hadidi, Niloufar Niakosari; Wagner, Roberta L. Huna; Lindquist, Ruth</t>
  </si>
  <si>
    <t>Nonpharmacological Treatments for Post-Stroke Depression An Integrative Review of the Literature</t>
  </si>
  <si>
    <t>RESEARCH IN GERONTOLOGICAL NURSING</t>
  </si>
  <si>
    <t>FUNCTIONAL RECOVERY; STROKE PATIENTS; THERAPY; REHABILITATION; DISABILITY; SYMPTOMS; EXERCISE; PSYCHOTHERAPY; FREQUENCY; DISEASE</t>
  </si>
  <si>
    <t>Stroke is the fifth leading cause of death and the number one cause of long-term disability. Seventy-five percent of annual stroke victims are older than 65. Post-stroke depression (PSD) is a common consequence of stroke, with the estimated prevalence ranging from 25% to 79%. Although several studies have investigated the impact of pharmacological interventions on PSD, there is a significant gap in knowledge regarding the efficacy of nonpharmacological measures for treatment of PSD. The purpose of the current integrative literature review was to synthesize the state of knowledge on selected nonpharmacological treatments for PSD and present findings regarding the efficacy of investigated treatments. Twenty-one studies published from 1992-2016 were identified and synthesized. Results indicated that studies demonstrating improvement in depressive symptoms included ecosystem-focused therapy, life review therapy, problem solving therapy, meridian acupressure, repetitive transcranial magnetic stimulation, music therapy, exercise, light therapy, motivational interviewing, and robotic-assisted neurorehabilitation.</t>
  </si>
  <si>
    <t>[Hadidi, Niloufar Niakosari; Wagner, Roberta L. Huna; Lindquist, Ruth] Univ Minnesota, Sch Nursing, 6-159 Weaver Densford Hall, Minneapolis, MN 55455 USA</t>
  </si>
  <si>
    <t>University of Minnesota System; University of Minnesota Twin Cities</t>
  </si>
  <si>
    <t>Hadidi, NN (corresponding author), Univ Minnesota, Sch Nursing, 6-159 Weaver Densford Hall, Minneapolis, MN 55455 USA.</t>
  </si>
  <si>
    <t>hadi0001@umn.edu</t>
  </si>
  <si>
    <t>SLACK INC</t>
  </si>
  <si>
    <t>THOROFARE</t>
  </si>
  <si>
    <t>6900 GROVE RD, THOROFARE, NJ 08086 USA</t>
  </si>
  <si>
    <t>1940-4921</t>
  </si>
  <si>
    <t>1938-2464</t>
  </si>
  <si>
    <t>RES GERONTOL NURS</t>
  </si>
  <si>
    <t>Res. Gerontol. Nurs.</t>
  </si>
  <si>
    <t>10.3928/19404921-20170524-02</t>
  </si>
  <si>
    <t>FD1CV</t>
  </si>
  <si>
    <t>WOS:000407275900005</t>
  </si>
  <si>
    <t>Middleton, SD; Wagner, R; Gibson, JNA</t>
  </si>
  <si>
    <t>Middleton, Scott D.; Wagner, Ralf; Gibson, J. N. Alastair</t>
  </si>
  <si>
    <t>Multi-level spine endoscopy: a review of available evidence and case report</t>
  </si>
  <si>
    <t>cervical endoscopic surgery; microdiscectomy; thoracic discectomy; transforaminal endoscopic discectomy; spinal surgery</t>
  </si>
  <si>
    <t>LUMBAR DISKECTOMY; DISC HERNIATIONS; CERVICAL-SPINE; TRANSFORAMINAL APPROACH; THORACIC DISKECTOMY; SURGERY; MICRODISCECTOMY; FORAMINOTOMY; METAANALYSIS; EXPERIENCE</t>
  </si>
  <si>
    <t>In the last ten years, there has been an exponential increase in endoscopic spinal surgery practice. With improvements in equipment quality and the availability of high definition camera systems, cervical endoscopic disc resection is now a viable alternative to anterior cervical decompression and fusion (ACDF) or disc arthroplasty for the treatment of disc prolapse and low grade stenosis. Based on the current literature, there is now strong evidence to support the use of transforaminal endoscopic approaches for the treatment of thoracic disc prolapse. There is now level I evidence to show that outcomes following transforaminal endoscopic discectomy (TED) are at least equivalent to those after open microdiscectomy, with an expected shorter operating time, lesser requirement for analgesia, reduced duration of post-operative disability, more rapid rehabilitation and lower costs of care. However, it should be recognised that there is a significant learning curve for TED. New endoscopic techniques with interlaminar approaches allow the decompression of central and lateral recess stenosis. Future developments will facilitate vision and access to the spine with 3D imaging and robotics at the forefront. We present a case report of whole spine endoscopic decompression to illustrate the potential of endoscopic surgery at all spinal levels.</t>
  </si>
  <si>
    <t>[Middleton, Scott D.; Gibson, J. N. Alastair] Royal Infirm, Dept Orthopaed Surg, Edinburgh, Midlothian, Scotland; [Middleton, Scott D.; Gibson, J. N. Alastair] Univ Edinburgh, Edinburgh, Midlothian, Scotland; [Wagner, Ralf] Ligamenta Spine Ctr, Frankfurt, Germany</t>
  </si>
  <si>
    <t>Royal Infirmary of Edinburgh; University of Edinburgh</t>
  </si>
  <si>
    <t>Gibson, JNA (corresponding author), Royal Infirm Edinburgh NHS Trust, Dept Orthopaed Surg, Edinburgh EH16 4SU, Midlothian, Scotland.</t>
  </si>
  <si>
    <t>j.n.a.gibson@blueyonder.co.uk</t>
  </si>
  <si>
    <t>10.1302/2058-5241.2.160087</t>
  </si>
  <si>
    <t>FS7KK</t>
  </si>
  <si>
    <t>WOS:000419976300002</t>
  </si>
  <si>
    <t>Osmonov, DK; Jünemann, KP; Bannowsky, A</t>
  </si>
  <si>
    <t>Osmonov, Daniar K.; Juenemann, Klaus P.; Bannowsky, Andreas</t>
  </si>
  <si>
    <t>The Kiel Concept of Long-Term Administration of Daily Low-Dose Sildenafil Initiated in the Immediate Post-Prostatectomy Period: Evaluation and Comparison With the International Literature on Penile Rehabilitation</t>
  </si>
  <si>
    <t>SEXUAL MEDICINE REVIEWS</t>
  </si>
  <si>
    <t>Prostate Cancer; Radical Prostatectomy; Postoperative Erectile Dysfunction; Erectile Dysfunction Treatment; Phosphodiesterase Type 5 Inhibitor Low-Dose Treatment; Kiel Concept</t>
  </si>
  <si>
    <t>MORBIDLY OBESE MALE; QUALITY-OF-LIFE; ERECTILE FUNCTION; SEXUAL FUNCTION; BARIATRIC SURGERY; EXTREME OBESITY; DYSFUNCTION; INDEX; HORMONES; URINARY</t>
  </si>
  <si>
    <t>Introduction: Radical prostatectomy (RP) is the most common definitive invasive treatment option for localized prostate cancer. Although the different surgical procedures-open RP, laparoscopic RP, and robot-assisted laparoscopic RP-do not differ significantly for the results of postoperative erectile dysfunction (ED) and continence, the fear of losing erectile function (EF) is often an important factor for preoperatively sexually active men when deciding for or against a procedure. Aim: To review the available literature on rehabilitation of EF after RP and to evaluate the value of the Kiel concept against different strategies of phosphodiesterase type 5 inhibitor (PDE5i) low-dose treatments. Methods: A review of the available literature up to January 2017 was undertaken using the key terms postsurgical ED, penile rehabilitation, PDE5i rehabilitation, and PDE5i daily dose treatment. Main Outcome Measures: As a main outcome measure we chose reviewed different concepts on the rehabilitation of EF after RP, taking into account the clinical background of the Kiel concept. Results: The different therapeutic concepts for rehabilitation of EF after nerve-sparing RP are surprising. The most frequently applied method is application of different PDE5is. Despite different studies on efficacy, the issue of an optimal concept remains unresolved. The reason for this, among others, can be found in the difficulty of comparing different studies, which can vary with respect to the degree of nerve sparing, postoperative preservation of nocturnal erections, concomitant morbidity, and the number and experience of surgeons. Conclusion: In 86% of patients, the Kiel concept has been shown to support rehabilitation of EF after nerve-sparing RP with some form of therapeutic method. The Kiel concept is one therapeutic option among other comparable therapeutic options. Copyright (C) 2017, International Society for Sexual Medicine. Published by Elsevier Inc. All rights reserved.</t>
  </si>
  <si>
    <t>[Osmonov, Daniar K.; Juenemann, Klaus P.] Univ Hosp Schleswige Holstein, Dept Urol &amp; Pediat Urol, Kiel, Germany; [Bannowsky, Andreas] Imland Hosp Rendsburg, Dept Urol, Rendsburg, Germany</t>
  </si>
  <si>
    <t>Osmonov, DK (corresponding author), Univ Hosp Schleswig Holstein, Dept Urol &amp; Pediat Urol, Androl Unit, Campus Kiel,Arnold Heller Str 7, D-24105 Kiel, Germany.</t>
  </si>
  <si>
    <t>daniar.osmonov@uksh.de</t>
  </si>
  <si>
    <t>Jünemann, Klaus-Peter/E-9721-2010</t>
  </si>
  <si>
    <t>2050-0513</t>
  </si>
  <si>
    <t>2050-0521</t>
  </si>
  <si>
    <t>SEX MED REV</t>
  </si>
  <si>
    <t>Sex. Med. Rev.</t>
  </si>
  <si>
    <t>10.1016/j.sxmr.2017.03.002</t>
  </si>
  <si>
    <t>VI6WR</t>
  </si>
  <si>
    <t>WOS:000508836600010</t>
  </si>
  <si>
    <t>Shafiei, SB; Hussein, AA; Guru, KA</t>
  </si>
  <si>
    <t>Shafiei, Somayeh B.; Hussein, Ahmed A.; Guru, Khurshid A.</t>
  </si>
  <si>
    <t>Cognitive learning and its future in urology: surgical skills teaching and assessment</t>
  </si>
  <si>
    <t>CURRENT OPINION IN UROLOGY</t>
  </si>
  <si>
    <t>cognitive load; haptics; mentoring; robot-assisted; surgery; training</t>
  </si>
  <si>
    <t>ROBOT-ASSISTED SURGERY; FUNDAMENTAL SKILLS; PERFORMANCE; STIMULATION; SIMULATION; NEUROFEEDBACK; ACQUISITION; VALIDATION; RETENTION; IMPACT</t>
  </si>
  <si>
    <t>Purpose of review The aim of this study is to provide an overview of the current status of novel cognitive training approaches in surgery and to investigate the potential role of cognitive training in surgical education. Recent findings Kinematics of end-effector trajectories, as well as cognitive state features of surgeon trainees and mentors have recently been studied as modalities to objectively evaluate the expertise level of trainees and to shorten the learning process. Virtual reality and haptics also have shown promising in research results in improving the surgical learning process by providing feedback to the trainee. Summary 'Cognitive training' is a novel approach to enhance training and surgical performance. The utility of cognitive training in improving motor skills in other fields, including sports and rehabilitation, is promising enough to justify its utilization to improve surgical performance. However, some surgical procedures, especially ones performed during human-robot interaction in robot-assisted surgery, are much more complicated than sport and rehabilitation. Cognitive training has shown promising results in surgical skills-acquisition in complicated environments such as surgery. However, these methods are mostly developed in research groups using limited individuals. Transferring this research into the clinical applications is a demanding challenge. The aim of this review is to provide an overview of the current status of these novel cognitive training approaches in surgery and to investigate the potential role of cognitive training in surgical education.</t>
  </si>
  <si>
    <t>[Shafiei, Somayeh B.; Hussein, Ahmed A.; Guru, Khurshid A.] Roswell Pk Canc Inst, Buffalo, NY 14263 USA; [Shafiei, Somayeh B.] SUNY Buffalo, Buffalo, NY USA; [Hussein, Ahmed A.] Cairo Univ, Cairo, Egypt</t>
  </si>
  <si>
    <t>Roswell Park Comprehensive Cancer Center; State University of New York (SUNY) System; University at Buffalo, SUNY; Egyptian Knowledge Bank (EKB); Cairo University</t>
  </si>
  <si>
    <t>Guru, KA (corresponding author), Roswell Pk Canc Inst, Dept Urol, ATLAS Appl Technol Lab Adv Surg Program, Oncol, Elm &amp; Carlton St, Buffalo, NY 14263 USA.</t>
  </si>
  <si>
    <t>Khurshid.guru@roswellpark.org</t>
  </si>
  <si>
    <t>Shafiei, Somayeh/U-7707-2019</t>
  </si>
  <si>
    <t>Besharat Shafiei, Somayeh/0000-0002-9256-6284</t>
  </si>
  <si>
    <t>Roswell Park Alliance Foundation</t>
  </si>
  <si>
    <t>Funding for this study was provided by Roswell Park Alliance Foundation.</t>
  </si>
  <si>
    <t>0963-0643</t>
  </si>
  <si>
    <t>1473-6586</t>
  </si>
  <si>
    <t>CURR OPIN UROL</t>
  </si>
  <si>
    <t>Curr. Opin. Urol.</t>
  </si>
  <si>
    <t>10.1097/MOU.0000000000000408</t>
  </si>
  <si>
    <t>EW5ON</t>
  </si>
  <si>
    <t>WOS:000402555900006</t>
  </si>
  <si>
    <t>McConnell, AC; Moioli, RC; Brasil, FL; Vallejo, M; Corne, DW; Vargas, PA; Stokes, AA</t>
  </si>
  <si>
    <t>McConnell, Alistair C.; Moioli, Renan C.; Brasil, Fabricio L.; Vallejo, Marta; Corne, David W.; Vargas, Patricia A.; Stokes, Adam A.</t>
  </si>
  <si>
    <t>ROBOTIC DEVICES AND BRAIN-MACHINE INTERFACES FOR HAND REHABILITATION POST-STROKE</t>
  </si>
  <si>
    <t>rehabilitation; stroke; BMI; exoskeletons; endeffectors</t>
  </si>
  <si>
    <t>UPPER-LIMB; STROKE REHABILITATION; MOTOR REHABILITATION; COMPUTER INTERFACES; RECOVERY; ARM; EXOSKELETON; RELIABILITY; THERAPY; DESIGN</t>
  </si>
  <si>
    <t>Objective:To review the state of the art of roboticaided hand physiotherapy for post-stroke rehabilitation, including the use of brain-machine interfaces. Each patient has a unique clinical history and, in response to personalized treatment needs, research into individualized and at-home treatment options has expanded rapidly in recent years. This has resulted in the development of many devices and design strategies for use in stroke rehabilitation. Methods: The development progression of roboticaided hand physiotherapy devices and brain-machine interface systems is outlined, focussing on those with mechanisms and control strategies designed to improve recovery outcomes of the hand post-stroke. A total of 110 commercial and non-commercial hand and wrist devices, spanning the 2 major core designs: end-effector and exoskeleton are reviewed. Results: The growing body of evidence on the efficacy and relevance of incorporating brain-machine interfaces in stroke rehabilitation is summarized. The challenges involved in integrating robotic rehabilitation into the healthcare system are discussed. Conclusion: This review provides novel insights into the use of robotics in physiotherapy practice, and may help system designers to develop new devices.</t>
  </si>
  <si>
    <t>[McConnell, Alistair C.; Vallejo, Marta; Corne, David W.; Vargas, Patricia A.] Heriot Watt Univ, Sch Math &amp; Comp Sci, Robot Lab, Edinburgh EH14 AS, Midlothian, Scotland; [McConnell, Alistair C.; Stokes, Adam A.] Univ Edinburgh, Stokes Res Grp, Scottish Microelect Ctr, Kings Bldg, Edinburgh, Midlothian, Scotland; [Moioli, Renan C.; Brasil, Fabricio L.] Santos Dumont Inst, Edmond &amp; Lily Safra Int Inst Neurosci, Macaiba, Brazil</t>
  </si>
  <si>
    <t>Heriot Watt University; University of Edinburgh</t>
  </si>
  <si>
    <t>McConnell, AC (corresponding author), Heriot Watt Univ, Sch Math &amp; Comp Sci, Robot Lab, Edinburgh EH14 AS, Midlothian, Scotland.;McConnell, AC (corresponding author), Univ Edinburgh, Stokes Res Grp, Scottish Microelect Ctr, Kings Bldg, Edinburgh, Midlothian, Scotland.</t>
  </si>
  <si>
    <t>acm9@hw.ac.uk</t>
  </si>
  <si>
    <t>Stokes, Adam/A-3560-2012; Vargas, Pablo Agustin/AGB-6976-2022; Vallejo, Marta/AAO-3891-2021; Moioli, Renan/G-9822-2012; Lima Brasil, Fabricio/I-7529-2015</t>
  </si>
  <si>
    <t>Lima Brasil, Fabricio/0000-0002-9984-1007; Cipriano Moioli, Renan/0000-0001-6036-8358; Stokes, Adam/0000-0002-6140-619X; McConnell, Alistair/0000-0003-3168-1323; Vargas, Patricia A./0000-0002-3272-2521; Vallejo, Marta/0000-0001-9957-954X</t>
  </si>
  <si>
    <t>EPSRC [1373260]; Robotarium Capital Equipment Grant; CDT Capital Equipment Grant [EP/L016834/1]; Royal Society for the Newton International Exchange Award [NI140250]; EPSRC [EP/M026914/1] Funding Source: UKRI</t>
  </si>
  <si>
    <t>EPSRC(UK Research &amp; Innovation (UKRI)Engineering &amp; Physical Sciences Research Council (EPSRC)); Robotarium Capital Equipment Grant; CDT Capital Equipment Grant; Royal Society for the Newton International Exchange Award(Royal Society UK); EPSRC(UK Research &amp; Innovation (UKRI)Engineering &amp; Physical Sciences Research Council (EPSRC))</t>
  </si>
  <si>
    <t>This work was supported by the EPSRC via a Studentship Award (1373260) for Alistair McConnell and the Robotarium Capital Equipment and CDT Capital Equipment Grants (EP/L016834/1) The authors would also like to thank the Royal Society for the Newton International Exchange Award Ref NI140250.</t>
  </si>
  <si>
    <t>10.2340/16501977-2229</t>
  </si>
  <si>
    <t>EZ6QQ</t>
  </si>
  <si>
    <t>Green Submitted, Green Accepted, Green Published, gold</t>
  </si>
  <si>
    <t>WOS:000404843000001</t>
  </si>
  <si>
    <t>Simonetti, D; Zollo, L; Milighetti, S; Miccinilli, S; Bravi, M; Ranieri, F; Magrone, G; Guglielmelli, E; Di Lazzaro, V; Sterzi, S</t>
  </si>
  <si>
    <t>Simonetti, Davide; Zollo, Loredana; Milighetti, Stefano; Miccinilli, Sandra; Bravi, Marco; Ranieri, Federico; Magrone, Giovanni; Guglielmelli, Eugenio; Di Lazzaro, Vincenzo; Sterzi, Silvia</t>
  </si>
  <si>
    <t>Literature Review on the Effects of tDCS Coupled with Robotic Therapy in Post Stroke Upper Limb Rehabilitation</t>
  </si>
  <si>
    <t>stroke; cerebrovascular accident (CVA); upper-limb; tDCS; neurorehabilitation; robot-aided therapy</t>
  </si>
  <si>
    <t>DIRECT-CURRENT STIMULATION; NONINVASIVE BRAIN-STIMULATION; UPPER EXTREMITY REHABILITATION; SPINAL-CORD-INJURY; MOTOR CORTEX; CORTICOMOTOR EXCITABILITY; ARM; GAIT; SUBACUTE; PILOT</t>
  </si>
  <si>
    <t>Today neurological diseases such as stroke represent one of the leading cause of long-term disability. Many research efforts have been focused on designing new and effective rehabilitation strategies. In particular, robotic treatment for upper limb stroke rehabilitation has received significant attention due to its ability to provide high-intensity and repetitive movement therapy with less effort than traditional methods. In addition, the development of non-invasive brain stimulation techniques such as transcranial Direct Current Stimulation (tDCS) has also demonstrated the capability of modulating brain excitability thus increasing motor performance. The combination of these two methods is expected to enhance functional and motor recovery after stroke; to this purpose, the current trends in this research field are presented and discussed through an in-depth analysis of the state-of-the-art. The heterogeneity and the restricted number of collected studies make difficult to perform a systematic review. However, the literature analysis of the published data seems to demonstrate that the association of tDCS with robotic training has the same clinical gain derived from robotic therapy alone. Future studies should investigate combined approach tailored to the individual patient's characteristics, critically evaluating the brain areas to be targeted and the induced functional changes.</t>
  </si>
  <si>
    <t>[Simonetti, Davide; Zollo, Loredana; Guglielmelli, Eugenio] Univ Campus Biomed Roma, Res Unit Biomed Robot &amp; Biomicrosyst, Rome, Italy; [Milighetti, Stefano; Miccinilli, Sandra; Bravi, Marco; Magrone, Giovanni; Sterzi, Silvia] Univ Campus Biomed Roma, Unit Phys &amp; Rehabil Med, Rome, Italy; [Ranieri, Federico; Di Lazzaro, Vincenzo] Univ Campus Biomed Roma, Unit Neurol Neurophysiol &amp; Neurobiol, Rome, Italy</t>
  </si>
  <si>
    <t>Simonetti, D (corresponding author), Univ Campus Biomed Roma, Res Unit Biomed Robot &amp; Biomicrosyst, Rome, Italy.</t>
  </si>
  <si>
    <t>d.simonetti@unicampus.it</t>
  </si>
  <si>
    <t>Bravi, Marco/GQH-0840-2022; Zollo, Loredana/AAB-9645-2020; MIccinilli, Sandra/AAC-3628-2022; Sterzi, Silvia/AAJ-3940-2020; Ranieri, Federico/K-6993-2016; Di Lazzaro, Vincenzo/L-3731-2018</t>
  </si>
  <si>
    <t>Sterzi, Silvia/0000-0002-2347-7544; Zollo, Loredana/0000-0002-8015-010X; Bravi, Marco/0000-0002-3396-4100; Ranieri, Federico/0000-0001-6530-1857; Di Lazzaro, Vincenzo/0000-0002-9113-5925; Miccinilli, Sandra/0000-0002-8485-8658</t>
  </si>
  <si>
    <t>European Project H/AIDE, Multimodal and Natural Computer Interaction Adaptive Multimodal Interfaces to Assist Disabled People in Daily Activities [CUP: J42I15000030006]; Italian Institute for Labour Accidents (INAIL) of BRiC [CUP: C82F17000040001]; Italian Institute for Labour Accidents (INAIL) of PPR 2 project [CUP: E58C13000990001]</t>
  </si>
  <si>
    <t>European Project H/AIDE, Multimodal and Natural Computer Interaction Adaptive Multimodal Interfaces to Assist Disabled People in Daily Activities; Italian Institute for Labour Accidents (INAIL) of BRiC; Italian Institute for Labour Accidents (INAIL) of PPR 2 project</t>
  </si>
  <si>
    <t>This work was supported by: European Project H2020/AIDE, Multimodal and Natural Computer Interaction Adaptive Multimodal Interfaces to Assist Disabled People in Daily Activities (CUP: J42I15000030006); Italian Institute for Labour Accidents (INAIL) in the framework of BRiC 2016 (CUP: C82F17000040001) and in the framework of the PPR 2 project (CUP: E58C13000990001).</t>
  </si>
  <si>
    <t>MAY 23</t>
  </si>
  <si>
    <t>10.3389/fnhum.2017.00268</t>
  </si>
  <si>
    <t>EV6GH</t>
  </si>
  <si>
    <t>WOS:000401867400001</t>
  </si>
  <si>
    <t>Su, H; Iordachita, II; Tokuda, J; Hata, N; Liu, XA; Seifabadi, R; Xu, S; Wood, B; Fischer, GS</t>
  </si>
  <si>
    <t>Su, Hao; Iordachita, Iulian I.; Tokuda, Junichi; Hata, Nobuhiko; Liu, Xuan; Seifabadi, Reza; Xu, Sheng; Wood, Bradford; Fischer, Gregory S.</t>
  </si>
  <si>
    <t>Fiber-Optic Force Sensors for MRI-Guided Interventions and Rehabilitation: A Review</t>
  </si>
  <si>
    <t>Fiber-optic sensor; Fabry-Perot interferometer (FPI); fiber Bragg grating (FBG); haptics; image-guided</t>
  </si>
  <si>
    <t>MAGNETIC-RESONANCE; NEEDLE INSERTION; CONTACT FORCE; INTERFACE; ABLATION; FEEDBACK; ROBOT</t>
  </si>
  <si>
    <t>Magnetic resonance imaging (MRI) provides both anatomical imaging with excellent soft tissue contrast and functional MRI imaging (fMRI) of physiological parameters. The last two decades have witnessed the manifestation of increased interest in MRI-guided minimally invasive intervention procedures and fMRI for rehabilitation and neuroscience research. Accompanying the aspiration to utilize MRI to provide imaging feedback during interventions and brain activity for neuroscience study, there is an accumulated effort to utilize force sensors compatible with the MRI environment to meet the growing demand of these procedures, with the goal of enhanced interventional safety and accuracy, improved efficacy and rehabilitation outcome. This paper summarizes the fundamental principles, the state of the art development, and challenges of fiber-optic force sensors for MRI-guided interventions and rehabilitation. It provides an overview of MRI-compatible fiber-optic force sensors based on different sensing principles, including light intensity modulation, wavelength modulation, and phase modulation. Extensive design prototypes are reviewed to illustrate the detailed implementation of these principles. Advantages and disadvantages of the sensor designs are compared and analyzed. A perspective on the future development of fiber-optic sensors is also presented, which may have additional broad clinical applications. Future surgical interventions or rehabilitation will rely on intelligent force sensors to provide situational awareness to augment or complement human perception in these procedures.</t>
  </si>
  <si>
    <t>[Su, Hao] Harvard Univ, Wyss Inst Biologically Inspired Engn, Cambridge, MA 02138 USA; [Su, Hao] Harvard Univ, John A Paulson Sch Engn &amp; Appl Sci, Cambridge, MA 02138 USA; [Iordachita, Iulian I.] Johns Hopkins Univ, Baltimore, MD 21218 USA; [Tokuda, Junichi; Hata, Nobuhiko] Brigham &amp; Womens Hosp, Natl Ctr Image Guided Therapy, Harvard Med Sch, Dept Radiol, Boston, MA 02115 USA; [Liu, Xuan] New Jersey Inst Technol, Newark, NJ 07103 USA; [Seifabadi, Reza; Xu, Sheng; Wood, Bradford] NIH, Ctr Intervent Oncol Radiol &amp; Imaging Sci, Bethesda, MD 20892 USA; [Fischer, Gregory S.] Worcester Polytech Inst, Dept Mech Engn, Automat &amp; Intervent Med Robot Lab, Worcester, MA 01609 USA</t>
  </si>
  <si>
    <t>Harvard University; Harvard University; Johns Hopkins University; Harvard University; Harvard University Medical Affiliates; Brigham &amp; Women's Hospital; Harvard Medical School; New Jersey Institute of Technology; National Institutes of Health (NIH) - USA; Worcester Polytechnic Institute</t>
  </si>
  <si>
    <t>Su, H (corresponding author), Harvard Univ, John A Paulson Sch Engn &amp; Appl Sci, Cambridge, MA 02138 USA.</t>
  </si>
  <si>
    <t>haosu.ieee@gmail.com; iordachita@jhu.edu; tokuda@bwh.harvard.edu; hata@bwh.harvard.edu; xuan.liu@njit.edu; reza.seifabadi@nih.gov; xus2@cc.nih.gov; bwood@nih.gov; gfischer@wpi.edu</t>
  </si>
  <si>
    <t>xu, sheng/KMX-9932-2024; Tokuda, Junichi/AAK-3322-2021; Hata, Nobuhiko/L-5221-2014; Iordachita, Iulian/A-3507-2010; Wood, Bradford/M-7995-2017</t>
  </si>
  <si>
    <t>Iordachita, Iulian/0000-0002-2510-9008; Wood, Bradford/0000-0002-4297-0051; Tokuda, Junichi/0000-0003-2358-7484; Liu, Xuan/0009-0008-2862-8197</t>
  </si>
  <si>
    <t>Congressionally Directed Medical Research Programs Prostate Cancer Research Program New Investigator [W81XWH-09-10191]; Intramural Research Program of the NIH [NIH R01CA166379, NIH R01CA111288]; Link Foundation Fellowships in Advanced Simulation and Training</t>
  </si>
  <si>
    <t>Congressionally Directed Medical Research Programs Prostate Cancer Research Program New Investigator; Intramural Research Program of the NIH(United States Department of Health &amp; Human ServicesNational Institutes of Health (NIH) - USA); Link Foundation Fellowships in Advanced Simulation and Training</t>
  </si>
  <si>
    <t>This work is supported in part by the Congressionally Directed Medical Research Programs Prostate Cancer Research Program New Investigator Award W81XWH-09-10191, the Intramural Research Program of the NIH, NIH R01CA166379, NIH R01CA111288, and Link Foundation Fellowships in Advanced Simulation and Training.</t>
  </si>
  <si>
    <t>10.1109/JSEN.2017.2654489</t>
  </si>
  <si>
    <t>EP8BD</t>
  </si>
  <si>
    <t>WOS:000397600000001</t>
  </si>
  <si>
    <t>Alia, C; Spalletti, C; Lai, S; Panarese, A; Lamola, G; Bertolucci, F; Vallone, F; Di Garbo, A; Chisari, C; Micera, S; Caleo, M</t>
  </si>
  <si>
    <t>Alia, Claudia; Spalletti, Cristina; Lai, Stefano; Panarese, Alessandro; Lamola, Giuseppe; Bertolucci, Federica; Vallone, Fabio; Di Garbo, Angelo; Chisari, Carmelo; Micera, Silvestro; Caleo, Matteo</t>
  </si>
  <si>
    <t>Neuroplastic Changes Following Brain Ischemia and their Contribution to Stroke Recovery: Novel Approaches in Neurorehabilitation</t>
  </si>
  <si>
    <t>FRONTIERS IN CELLULAR NEUROSCIENCE</t>
  </si>
  <si>
    <t>stroke; motor cortex; plasticity; callosal connections; non-invasive brain stimulation; local field potentials; rehabilitation; robotics</t>
  </si>
  <si>
    <t>TRANSCRANIAL MAGNETIC STIMULATION; PRIMARY MOTOR CORTEX; ROBOT-ASSISTED THERAPY; PROMOTES FUNCTIONAL RECOVERY; CONTROLLED CORTICAL IMPACT; THETA-BURST STIMULATION; GROWTH-ASSOCIATED GENE; UPPER-LIMB IMPAIRMENT; DRIVEN GAIT ORTHOSIS; BODY-WEIGHT SUPPORT</t>
  </si>
  <si>
    <t>Ischemic damage to the brain triggers substantial reorganization of spared areas and pathways, which is associated with limited, spontaneous restoration of function. A better understanding of this plastic remodeling is crucial to develop more effective strategies for stroke rehabilitation. In this review article, we discuss advances in the comprehension of post-stroke network reorganization in patients and animal models. We first focus on rodent studies that have shed light on the mechanisms underlying neuronal remodeling in the perilesional area and contralesional hemisphere after motor cortex infarcts. Analysis of electrophysiological data has demonstrated brain-wide alterations in functional connectivity in both hemispheres, well beyond the infarcted area. We then illustrate the potential use of non-invasive brain stimulation (NIBS) techniques to boost recovery. We finally discuss rehabilitative protocols based on robotic devices as a tool to promote endogenous plasticity and functional restoration.</t>
  </si>
  <si>
    <t>[Alia, Claudia; Spalletti, Cristina; Caleo, Matteo] CNR, Inst Neurosci, Pisa, Italy; [Alia, Claudia] Scuola Normale Super Pisa, Biol Lab, Pisa, Italy; [Lai, Stefano; Panarese, Alessandro; Vallone, Fabio; Micera, Silvestro] Scuola Super Sant Anna, BioRobot Inst, Translat Neural Engn Area, Pontedera, Italy; [Lamola, Giuseppe; Bertolucci, Federica; Chisari, Carmelo] Univ Hosp Pisa, Dept Neurosci, Unit Neurorehabil, Pisa, Italy; [Vallone, Fabio; Di Garbo, Angelo] CNR, Inst Biophys, Pisa, Italy; [Vallone, Fabio] Italian Inst Technol, Ctr Neurosci &amp; Cognit Syst UniTn, Neural Computat Lab, Rovereto, Italy; [Micera, Silvestro] Ecole Polytech Fed Lausanne, Ctr Neuroprosthet, Bertarelli Fdn Chair, Translat NeuroEngineering Lab, Lausanne, Switzerland; [Micera, Silvestro] Inst Bioengn, Lausanne, Switzerland</t>
  </si>
  <si>
    <t>Consiglio Nazionale delle Ricerche (CNR); Istituto di Neuroscienze (IN-CNR); Scuola Normale Superiore di Pisa; Scuola Superiore Sant'Anna; University of Pisa; Azienda Ospedaliero Universitaria Pisana; Consiglio Nazionale delle Ricerche (CNR); Istituto di Biofisica (IBF-CNR); Istituto Italiano di Tecnologia - IIT; Center for Neuroscience &amp; Cognitive System IIT; Swiss Federal Institutes of Technology Domain; Ecole Polytechnique Federale de Lausanne</t>
  </si>
  <si>
    <t>Alia, C; Spalletti, C (corresponding author), CNR, Inst Neurosci, Pisa, Italy.;Alia, C (corresponding author), Scuola Normale Super Pisa, Biol Lab, Pisa, Italy.</t>
  </si>
  <si>
    <t>alia@in.cnr.it; spalletti@in.cnr.it</t>
  </si>
  <si>
    <t>Alia, Claudia/AAM-3555-2020; Micera, Silvestro/AAD-6630-2021; Vallone, Fabio/AAA-5329-2019; Panarese, Alessandro/B-6892-2013; Spalletti, Cristina/GZK-3184-2022; Lamola, Giuseppe/K-4234-2018</t>
  </si>
  <si>
    <t>Lamola, Giuseppe/0000-0003-3949-9788; CALEO, MATTEO/0000-0002-4333-6378; Vallone, Fabio/0000-0001-8911-9611; Micera, Silvestro/0000-0003-4396-8217; Alia, Claudia/0000-0001-9440-5663; PANARESE, Alessandro/0000-0002-4918-3069</t>
  </si>
  <si>
    <t>Fondazione Pisa [158/2011]; Regione Toscana (RONDA Project, Programma Attuativo Regionale'' - FAS-now FSC); ERC Advanced Grant BrainBit''</t>
  </si>
  <si>
    <t>Fondazione Pisa; Regione Toscana (RONDA Project, Programma Attuativo Regionale'' - FAS-now FSC); ERC Advanced Grant BrainBit''</t>
  </si>
  <si>
    <t>We gratefully acknowledge financial support from Fondazione Pisa (Project 158/2011). Work in the authors' laboratory is also supported by Regione Toscana (RONDA Project, Programma Attuativo Regionale'' financed by FAS- now FSC) and ERC Advanced Grant BrainBit''.</t>
  </si>
  <si>
    <t>1662-5102</t>
  </si>
  <si>
    <t>FRONT CELL NEUROSCI</t>
  </si>
  <si>
    <t>Front. Cell. Neurosci.</t>
  </si>
  <si>
    <t>10.3389/fncel.2017.00076</t>
  </si>
  <si>
    <t>EN7RM</t>
  </si>
  <si>
    <t>WOS:000396199900001</t>
  </si>
  <si>
    <t>Zhang, C; Li-Tsang, CWP; Au, RKC</t>
  </si>
  <si>
    <t>Zhang, Chao; Li-Tsang, Cecilia W. P.; Au, Ricky K. C.</t>
  </si>
  <si>
    <t>Robotic approaches for the rehabilitation of upper limb recovery after stroke: a systematic review and meta-analysis</t>
  </si>
  <si>
    <t>arm; motor function; rehabilitation; robotic training; stroke; upper extremity</t>
  </si>
  <si>
    <t>FUGL-MEYER ASSESSMENT; QUALITY-OF-LIFE; ASSISTED THERAPY; UPPER-EXTREMITY; MOTOR RECOVERY; ARM FUNCTION; POST-STROKE; OUTCOMES; DEVICE; RELIABILITY</t>
  </si>
  <si>
    <t>This systematic review with a meta-analysis of studies was carried out to evaluate the effectiveness of robotic training (RT) and conventional training (CT) in improving the motor recovery of paretic upper limbs in stroke patients. Numerous electronic databases were searched from January 2000 to May 2016. Finally, 13 randomized-controlled trials fulfilled the inclusion criteria and were included in the three meta-analyses. The first meta-analysis carried out for those studies using RT for stroke patients indicated a significant improvement in the RT groups. The second meta-analysis suggested that the upper limb function (measured by Fugl-Meyer test) was significantly improved when RT was used with CT compared with CT alone. The third meta-analysis noted a significant difference in motor recovery between the CT-only and RTgroups (RT only or RTcombined with CT) in the chronic stages of stroke, but not in the acute or subacute stages. However, the RT group also showed a higher Fugl-Meyer score in patients at both the acute and the subacute stage. RT appeared to have positive outcomes to enhance motor recovery of the paralyzed upper limb. Robotic devices were believed to provide more assistance to patients to help support the weight of the upper limb; thus, active movement training can begin in the early rehabilitation stage. These novel devices may also help those chronic patients to achieve better rehabilitation goals. As a summary, RT could be used in addition to CT to help both therapists and patients in the management of the paralyzed upper limb. Copyright (C) 2017 Wolters Kluwer Health, Inc. All rights reserved.</t>
  </si>
  <si>
    <t>[Zhang, Chao; Li-Tsang, Cecilia W. P.; Au, Ricky K. C.] Hong Kong Polytech Univ, Dept Rehabil Sci, Hong Kong, Hong Kong, Peoples R China; [Zhang, Chao] China Rehabil Res Ctr, Dept Occupat Therapy, Beijing, Peoples R China</t>
  </si>
  <si>
    <t>Li-Tsang, CWP (corresponding author), Hong Kong Polytech Univ, Dept Rehabil Sci, Hong Kong, Hong Kong, Peoples R China.</t>
  </si>
  <si>
    <t>cecilia.li@polyu.edu.hk</t>
  </si>
  <si>
    <t>Li-Tsang, Cecilia W.P./0000-0002-2141-9287; Au, Ricky K. C./0000-0002-9190-0463</t>
  </si>
  <si>
    <t>10.1097/MRR.0000000000000204</t>
  </si>
  <si>
    <t>EL2OZ</t>
  </si>
  <si>
    <t>WOS:000394460600003</t>
  </si>
  <si>
    <t>Lee, C; Kim, M; Kim, YJ; Hong, N; Ryu, S; Kim, HJ; Kim, S</t>
  </si>
  <si>
    <t>Lee, Chiwon; Kim, Myungjoon; Kim, Yoon Jae; Hong, Nhayoung; Ryu, Seungwan; Kim, H. Jin; Kim, Sungwan</t>
  </si>
  <si>
    <t>Soft Robot Review</t>
  </si>
  <si>
    <t>INTERNATIONAL JOURNAL OF CONTROL AUTOMATION AND SYSTEMS</t>
  </si>
  <si>
    <t>Biological systems; flexible materials; smart structure; soft robotics; soft structure</t>
  </si>
  <si>
    <t>DESIGN; REHABILITATION; ACTUATORS; SENSORS; ARM; MANIPULATOR; NETWORKS; ROBUST</t>
  </si>
  <si>
    <t>Soft robots are often inspired from biological systems which consist of soft materials or are actuated by electrically activated materials. There are several advantages of soft robots compared to the conventional robots; safe human-machine interaction, adaptability to wearable devices, simple gripping system, and so on. Due to the unique features and advantages, soft robots have a considerable range of applications. This article reviews state-of-the-art researches on soft robots and application areas. Actuation systems for soft robots can be categorized and analyzed into three types: variable length tendon, fluidic actuation, and electro-active polymer (EAP). The deformable property of soft robots restricts the use of many conventional rigid sensors such as encoders, strain gauges, or inertial measurement units. Thus, contactless approaches for sensing and/or sensors with low modulus are preferable for soft robots. Sensors include low modulus (&lt; 1 MPa) elastomers with liquid-phase material filled channels and are appropriate for proprioception which is determined by the degree of curvature. In control perspective, novel control idea should be developed because the conventional control techniques may be inadequate to handle soft robots. Several innovative techniques and diverse materials &amp; fabrication methods are described in this review article. In addition, a wide range of soft robots are characterized and analyzed based on the following sub-categories; actuation, sensing, structure, control and electronics, materials, fabrication and system, and applications.</t>
  </si>
  <si>
    <t>[Lee, Chiwon] Seoul Natl Univ, Inst Med &amp; Biol Engn, Med Res Ctr, Seoul 03080, South Korea; [Kim, Myungjoon; Kim, Yoon Jae; Hong, Nhayoung] Seoul Natl Univ, Grad Sch, Interdisciplinary Program Bioengn, Seoul 08826, South Korea; [Ryu, Seungwan; Kim, H. Jin] Seoul Natl Univ, Sch Mech &amp; Aerosp Engn, Seoul 151742, South Korea; [Kim, Sungwan] Seoul Natl Univ, Dept Biomed Engn, Coll Med, Seoul 03080, South Korea</t>
  </si>
  <si>
    <t>Seoul National University (SNU); Seoul National University (SNU); Seoul National University (SNU); Seoul National University (SNU)</t>
  </si>
  <si>
    <t>Kim, S (corresponding author), Seoul Natl Univ, Dept Biomed Engn, Coll Med, Seoul 03080, South Korea.</t>
  </si>
  <si>
    <t>lcwkf16@snu.ac.kr; jinmj08@gmail.com; kyj182731@naver.com; jhong407@naver.com; rsy7942@gmail.com; hjinkim@snu.ac.kr; sungwan@snu.ac.kr</t>
  </si>
  <si>
    <t>Bio and Medical Technology Development Program of the NRF - Korean Government, MSIP [NRF-2014M3A9E3064623]; College of Engineering, Seoul National University [800-20160095]; College of Medicine, Seoul National University [800-20160095]; Seoul National University College of Medicine Research Foundation [800-20160072]</t>
  </si>
  <si>
    <t>Bio and Medical Technology Development Program of the NRF - Korean Government, MSIP; College of Engineering, Seoul National University; College of Medicine, Seoul National University; Seoul National University College of Medicine Research Foundation</t>
  </si>
  <si>
    <t>This work was supported by the Bio and Medical Technology Development Program of the NRF funded by the Korean Government, MSIP (NRF-2014M3A9E3064623), the Interdisciplinary Research Initiatives Program from College of Engineering and College of Medicine, Seoul National University (Grant No. 800-20160095), and the Research Program 2016 funded by Seoul National University College of Medicine Research Foundation (Grant No. 800-20160072).</t>
  </si>
  <si>
    <t>INST CONTROL ROBOTICS &amp; SYSTEMS, KOREAN INST ELECTRICAL ENGINEERS</t>
  </si>
  <si>
    <t>BUCHEON</t>
  </si>
  <si>
    <t>BUCHEON TECHNO PARK 401-1506, 193 YAKDAE-DONG WONMI-GU, BUCHEON, GYEONGGI-DO 420-734, SOUTH KOREA</t>
  </si>
  <si>
    <t>1598-6446</t>
  </si>
  <si>
    <t>2005-4092</t>
  </si>
  <si>
    <t>INT J CONTROL AUTOM</t>
  </si>
  <si>
    <t>Int. J. Control Autom. Syst.</t>
  </si>
  <si>
    <t>10.1007/s12555-016-0462-3</t>
  </si>
  <si>
    <t>EK1TB</t>
  </si>
  <si>
    <t>WOS:000393707600002</t>
  </si>
  <si>
    <t>Veerbeek, JM; Langbroek-Amersfoort, AC; van Wegen, EEH; Meskers, CGM; Kwakkel, G</t>
  </si>
  <si>
    <t>Veerbeek, Janne M.; Langbroek-Amersfoort, Anneli C.; van Wegen, Erwin E. H.; Meskers, Carel G. M.; Kwakkel, Gert</t>
  </si>
  <si>
    <t>Effects of Robot-Assisted Therapy for the Upper Limb After Stroke: A Systematic Review and Meta-analysis</t>
  </si>
  <si>
    <t>stroke; robotics; upper extremity; activities of daily living; review; meta-analysis</t>
  </si>
  <si>
    <t>QUALITY-OF-LIFE; HEALTH-RELATED-QUALITY; SEVERELY AFFECTED ARM; MOTOR RECOVERY; UPPER-EXTREMITY; PROPORTIONAL RECOVERY; RANDOMIZED-TRIAL; POST STROKE; REHABILITATION; SUBACUTE</t>
  </si>
  <si>
    <t>Background. Robot technology for poststroke rehabilitation is developing rapidly. A number of new randomized controlled trials (RCTs) have investigated the effects of robot-assisted therapy for the paretic upper limb (RT-UL). Objective. To systematically review the effects of poststroke RT-UL on measures of motor control of the paretic arm, muscle strength and tone, upper limb capacity, and basic activities of daily living (ADL) in comparison with nonrobotic treatment. Methods. Relevant RCTs were identified in electronic searches. Meta-analyses were performed for measures of motor control (eg, Fugl-Meyer Assessment of the arm; FMA arm), muscle strength and tone, upper limb capacity, and basic ADL. Subgroup analyses were applied for the number of joints involved, robot type, timing poststroke, and treatment contrast. Results. Forty-four RCTs (N = 1362) were included. No serious adverse events were reported. Meta-analyses of 38 trials (N = 1206) showed significant but small improvements in motor control (similar to 2 points FMA arm) and muscle strength of the paretic arm and a negative effect on muscle tone. No effects were found for upper limb capacity and basic ADL. Shoulder/elbow robotics showed small but significant effects on motor control and muscle strength, while elbow/wrist robotics had small but significant effects on motor control. Conclusions. RT-UL allows patients to increase the number of repetitions and hence intensity of practice poststroke, and appears to be a safe therapy. Effects on motor control are small and specific to the joints targeted by RT-UL, whereas no generalization is found to improvements in upper limb capacity. The impact of RT-UL started in the first weeks poststroke remains unclear. These limited findings could mainly be related to poor understanding of robot-induced motor learning as well as inadequate designing of RT-UL trials, by not applying an appropriate selection of stroke patients with a potential to recovery at baseline as well as the lack of fixed timing of baseline assessments and using an insufficient treatment contrast early poststroke.</t>
  </si>
  <si>
    <t>[Veerbeek, Janne M.; van Wegen, Erwin E. H.; Meskers, Carel G. M.; Kwakkel, Gert] Vrije Univ Amsterdam, MOVE Res Inst Amsterdam, Amsterdam, Netherlands; [Veerbeek, Janne M.; van Wegen, Erwin E. H.; Meskers, Carel G. M.; Kwakkel, Gert] Neurosci Campus Amsterdam, Amsterdam, Netherlands; [Veerbeek, Janne M.; van Wegen, Erwin E. H.; Meskers, Carel G. M.; Kwakkel, Gert] Vrije Univ Amsterdam Med Ctr, Amsterdam, Netherlands; [Langbroek-Amersfoort, Anneli C.] Ctr Fysiotherapie, Eerstelijns Ctr Beatrixpk, Ede, Netherlands; [Meskers, Carel G. M.; Kwakkel, Gert] Northwestern Univ, Evanston, IL USA; [Kwakkel, Gert] Amsterdam Rehabil Res Ctr, Amsterdam, Netherlands</t>
  </si>
  <si>
    <t>Vrije Universiteit Amsterdam; Vrije Universiteit Amsterdam; Vrije Universiteit Amsterdam; VU UNIVERSITY MEDICAL CENTER; Northwestern University</t>
  </si>
  <si>
    <t>Veerbeek, JM (corresponding author), Vrije Univ Amsterdam Med Ctr, Dept Rehabil Med, POB 7057, NL-1007 MB Amsterdam, Netherlands.</t>
  </si>
  <si>
    <t>j.veerbeek@vumc.nl</t>
  </si>
  <si>
    <t>Langbroek-Amersfoort, Anneli/JMP-6406-2023; van Wegen, Erwin/F-3242-2010; Veerbeek, Janne/W-7424-2019</t>
  </si>
  <si>
    <t>Kwakkel, Gert/0000-0002-4041-4043; Meskers, Carel/0000-0002-5056-5611; Veerbeek, Janne/0000-0002-6337-6780; van Wegen, Erwin/0000-0002-7920-9995</t>
  </si>
  <si>
    <t>Dutch National Institutes of Health (NWO); Dutch Heart Foundation; Royal Dutch Society for Physical Therapy [8091.1]; Dutch National Institute of Health (ZonMw) [89000001]; European Research Council [291339-4D-EEG]; Dutch National Institutes of Health (ZonMw); Dutch Technology Foundation STW; Dutch Brain Foundation (Hersenstichting Nederland); Dutch National Institute of Health (ZonMW)</t>
  </si>
  <si>
    <t>Dutch National Institutes of Health (NWO); Dutch Heart Foundation(Netherlands Heart Foundation); Royal Dutch Society for Physical Therapy; Dutch National Institute of Health (ZonMw); European Research Council(European Research Council (ERC)); Dutch National Institutes of Health (ZonMw); Dutch Technology Foundation STW(Technologiestichting STW); Dutch Brain Foundation (Hersenstichting Nederland); Dutch National Institute of Health (ZonMW)</t>
  </si>
  <si>
    <t>The authors disclosed receipt of the following financial support for the research, authorship, and/or publication of this article: GK has received grants from The Dutch National Institutes of Health (NWO); the Dutch Heart Foundation; The Royal Dutch Society for Physical Therapy (grant number 8091.1); The Dutch National Institute of Health (ZonMw) for the EXPLICIT-stroke trial (number 89000001) and the European Research Council, for an ERC-advanced grant (number 291339-4D-EEG). EEHvW has received grants from the Dutch National Institutes of Health (ZonMw), the Dutch Technology Foundation STW, and a fellowship from the Dutch Brain Foundation (Hersenstichting Nederland). CGMM received a fellowship from the Dutch Brain Foundation (Hersenstichting Nederland) and received grants from the Dutch National Institute of Health (ZonMW) and the Dutch Technology Foundation STW.</t>
  </si>
  <si>
    <t>10.1177/1545968316666957</t>
  </si>
  <si>
    <t>EO8DU</t>
  </si>
  <si>
    <t>WOS:000396920000001</t>
  </si>
  <si>
    <t>Hakim, RM; Tunis, BG; Ross, MD</t>
  </si>
  <si>
    <t>Hakim, Renee M.; Tunis, Brandon G.; Ross, Michael D.</t>
  </si>
  <si>
    <t>Rehabilitation robotics for the upper extremity: review with new directions for orthopaedic disorders</t>
  </si>
  <si>
    <t>Robotics; task-specificity; experience-dependent neuroplasticity; upper extremity; orthopaedic disorders</t>
  </si>
  <si>
    <t>UPPER-LIMB RECOVERY; VIRTUAL-REALITY; MOTOR RECOVERY; ASSISTED THERAPY; CHRONIC STROKE; NERVE INJURY; CORTICAL REORGANIZATION; IMPROVING ARM; HAND; WRIST</t>
  </si>
  <si>
    <t>The focus of research using technological innovations such as robotic devices has been on interventions to improve upper extremity function in neurologic populations, particularly patients with stroke. There is a growing body of evidence describing rehabilitation programs using various types of supportive/assistive and/or resistive robotic and virtual reality-enhanced devices to improve outcomes for patients with neurologic disorders. The most promising approaches are task-oriented, based on current concepts of motor control/learning and practice-induced neuroplasticity. Based on this evidence, we describe application and feasibility of virtual reality-enhanced robotics integrated with current concepts in orthopaedic rehabilitation shifting from an impairment-based focus to inclusion of more intense, task-specific training for patients with upper extremity disorders, specifically emphasizing the wrist and hand. The purpose of this paper is to describe virtual reality-enhanced rehabilitation robotic devices, review evidence of application in patients with upper extremity deficits related to neurologic disorders, and suggest how this technology and task-oriented rehabilitation approach can also benefit patients with orthopaedic disorders of the wrist and hand. We will also discuss areas for further research and development using a task-oriented approach and a commercially available haptic robotic device to focus on training of grasp and manipulation tasks.</t>
  </si>
  <si>
    <t>[Hakim, Renee M.; Tunis, Brandon G.] Univ Scranton, Dept Phys Therapy, 800 Linden St, Scranton, PA 18510 USA; [Ross, Michael D.] Daemen Coll, Dept Phys Therapy, Amherst, NY USA</t>
  </si>
  <si>
    <t>University of Scranton; Daemen University</t>
  </si>
  <si>
    <t>Hakim, RM (corresponding author), Univ Scranton, Dept Phys Therapy, 800 Linden St, Scranton, PA 18510 USA.</t>
  </si>
  <si>
    <t>renee.hakim@scranton.edu</t>
  </si>
  <si>
    <t>10.1080/17483107.2016.1269211</t>
  </si>
  <si>
    <t>FQ6TA</t>
  </si>
  <si>
    <t>WOS:000418495700001</t>
  </si>
  <si>
    <t>He, Y; Eguren, D; Luu, TP; Contreras-Vidal, JL</t>
  </si>
  <si>
    <t>He, Yongtian; Eguren, David; Luu, Trieu Phat; Contreras-Vidal, Jose L.</t>
  </si>
  <si>
    <t>Risk management and regulations for lower limb medical exoskeletons: a review</t>
  </si>
  <si>
    <t>FDA; ReWalk; Indego; Ekso; HAL; Rex</t>
  </si>
  <si>
    <t>SPINAL-CORD-INJURY; HYBRID ASSISTIVE LIMB; POWERED EXOSKELETON; STROKE REHABILITATION; GAIT REHABILITATION; ROBOT; SAFETY; WALKING; NEUROREHABILITATION; INDIVIDUALS</t>
  </si>
  <si>
    <t>Gait disability is a major health care problem worldwide. Powered exoskeletons have recently emerged as devices that can enable users with gait disabilities to ambulate in an upright posture, and potentially bring other clinical benefits. In 2014, the US Food and Drug Administration approved marketing of the ReWalk (TM) Personal Exoskeleton as a class II medical device with special controls. Since then, Indego (TM) and Ekso (TM) have also received regulatory approval. With similar trends worldwide, this industry is likely to grow rapidly. On the other hand, the regulatory science of powered exoskeletons is still developing. The type and extent of probable risks of these devices are yet to be understood, and industry standards are yet to be developed. To address this gap, Manufacturer and User Facility Device Experience, Clinicaltrials.gov, and PubMed data-bases were searched for reports of adverse events and inclusion and exclusion criteria involving the use of lower limb powered exoskeletons. Current inclusion and exclusion criteria, which can determine probable risks, were found to be diverse. Reported adverse events and identified risks of current devices are also wide-ranging. In light of these findings, current regulations, standards, and regulatory procedures for medical device applications in the USA, Europe, and Japan were also compared. There is a need to raise awareness of probable risks associated with the use of powered exoskeletons and to develop adequate countermeasures, standards, and regulations for these human-machine systems. With appropriate risk mitigation strategies, adequate standards, comprehensive reporting of adverse events, and regulatory oversight, powered exoskeletons may one day allow individuals with gait disabilities to safely and independently ambulate.</t>
  </si>
  <si>
    <t>[He, Yongtian; Eguren, David; Luu, Trieu Phat; Contreras-Vidal, Jose L.] Univ Houston, Dept Elect &amp; Comp Engn, Lab Noninvas Brain Machine Interface Syst, N308 Engn Bldg 1,4800 Calhoun Rd, Houston, TX 77004 USA</t>
  </si>
  <si>
    <t>University of Houston System; University of Houston</t>
  </si>
  <si>
    <t>Contreras-Vidal, JL (corresponding author), Univ Houston, Dept Elect &amp; Comp Engn, N308 Engn Bldg 1,4800 Calhoun Rd, Houston, TX 77004 USA.</t>
  </si>
  <si>
    <t>jlcontreras-vidal@uh.edu</t>
  </si>
  <si>
    <t>; Contreras-Vidal, Jose/AAW-9299-2020</t>
  </si>
  <si>
    <t>He, Yongtian/0000-0002-3700-4406; Contreras-Vidal, Jose/0000-0002-6499-1208</t>
  </si>
  <si>
    <t>Mission Connect - a TIRR Foundation</t>
  </si>
  <si>
    <t>This work was supported in part by Mission Connect - a TIRR Foundation.</t>
  </si>
  <si>
    <t>10.2147/MDER.S107134</t>
  </si>
  <si>
    <t>EU3OK</t>
  </si>
  <si>
    <t>WOS:000400940700001</t>
  </si>
  <si>
    <t>Hofstoetter, US; Knikou, M; Guertin, PA; Minassian, K</t>
  </si>
  <si>
    <t>Hofstoetter, Ursula S.; Knikou, Maria; Guertin, Pierre A.; Minassian, Karen</t>
  </si>
  <si>
    <t>Probing the Human Spinal Locomotor Circuits by Phasic Step-Induced Feedback and by Tonic Electrical and Pharmacological Neuromodulation</t>
  </si>
  <si>
    <t>CURRENT PHARMACEUTICAL DESIGN</t>
  </si>
  <si>
    <t>Central pattern generator; locomotion; neuromodulation; rehabilitation; spinal cord injury; spinal cord stimulation; spinal reflexes; treadmill stepping</t>
  </si>
  <si>
    <t>SOLEUS-H-REFLEX; CENTRAL PATTERN GENERATOR; AMINO-ACID DECARBOXYLASE; MUSCLE-SPINDLE AFFERENTS; HUMAN LUMBOSACRAL CORD; PRESYNAPTIC INHIBITION; FICTIVE LOCOMOTION; PARAPLEGIC MICE; EPIDURAL STIMULATION; TREADMILL WALKING</t>
  </si>
  <si>
    <t>The mammalian lumbar spinal cord experimentally isolated from supraspinal and afferent feedback input remains capable of expressing some basic locomotor function when appropriately stimulated. This ability has been attributed to spinal neural circuits referred to as central pattern generators (CPGs). In individuals with a severe spinal cord injury, rhythmic activity in paralyzed leg muscles can be generated by phasic proprioceptive feedback during therapist-or robotic-assisted stepping on a motorized treadmill. Here, we critically review to what extent the resulting motor output represents locomotor-like activity, and whether these motor patterns are the result of activation of CPGs, as commonly suggested in the literature. Attempts will be made to further delineate the pivotal roles played by mechanisms such as spinal proprioceptive reflexes and their alterations after spinal cord injury, the central excitability level, and by neurotransmitters critical for spinal locomotor activity. We will discuss the view that the muscle activity produced during assisted passive treadmill stepping is resulting from the entrainment of spinal reflex circuits by the cyclically generated proprioceptive feedback. We suggest that the activation of CPG circuits depends rather on the presence of a sustained tonic excitatory drive, as can be provided by electrical spinal cord stimulation, or by specific combinations of dopaminergic agonists, adrenergic/dopaminergic precursors and/or 5-HT receptor agonists. Novel rehabilitation strategies using spinal cord stimulation and rhythmic-activity producing drugs during locomotor therapy will pave the way for clinically relevant advances in restoration of motor function in people with severe spinal cord injury.</t>
  </si>
  <si>
    <t>karen.minassian@gmail.com</t>
  </si>
  <si>
    <t>Knikou, Maria/E-5568-2015</t>
  </si>
  <si>
    <t>Minassian, Karen/0000-0003-4197-6141; Knikou, Maria/0000-0002-6277-236X; Hofstoetter, Ursula S./0000-0002-3156-6483</t>
  </si>
  <si>
    <t>Craig H. Neilsen Foundation [339705]; New York State Department of Health [DOH01-C30836GG-3450000]; Canadian Institutes of Health Research; Natural Sciences and Engineering Research Council of Canada</t>
  </si>
  <si>
    <t>Craig H. Neilsen Foundation; New York State Department of Health; Canadian Institutes of Health Research(Canadian Institutes of Health Research (CIHR)); Natural Sciences and Engineering Research Council of Canada(Natural Sciences and Engineering Research Council of Canada (NSERC)CGIAR)</t>
  </si>
  <si>
    <t>The Craig H. Neilsen Foundation (339705) and the New York State Department of Health (DOH01-C30836GG-3450000) [M.K.]; Canadian Institutes of Health Research and Natural Sciences and Engineering Research Council of Canada [P.A.G.].</t>
  </si>
  <si>
    <t>1381-6128</t>
  </si>
  <si>
    <t>1873-4286</t>
  </si>
  <si>
    <t>CURR PHARM DESIGN</t>
  </si>
  <si>
    <t>Curr. Pharm. Design</t>
  </si>
  <si>
    <t>10.2174/1381612822666161214144655</t>
  </si>
  <si>
    <t>EV0MF</t>
  </si>
  <si>
    <t>WOS:000401433500009</t>
  </si>
  <si>
    <t>Krobot, A; Kolárová, B; Kolár, P; Schusterová, B; Tomsová, J</t>
  </si>
  <si>
    <t>Krobot, A.; Kolarova, B.; Kolar, P.; Schusterova, B.; Tomsova, J.</t>
  </si>
  <si>
    <t>Gait Neurorehabilitation in Stroke Patients</t>
  </si>
  <si>
    <t>Czech</t>
  </si>
  <si>
    <t>gait; stroke; neurorehabilitation; neuroplasticity</t>
  </si>
  <si>
    <t>COGNITIVE MOTOR INTERFERENCE; IMPROVES WALKING; VIRTUAL-REALITY; REHABILITATION; RECOVERY; METAANALYSIS; SPEED; INDIVIDUALS; LOCOMOTION; TREADMILL</t>
  </si>
  <si>
    <t>Stroke is one of the leading causes of severe disability in western population. Regaining walking ability in patients after stroke to encourage their return to previous life activities, more independent living and related social participation are currently one of the key challenges in the rehabilitation. Functional gait improvement and optimization of gait mechanism are to a great extent dependent on choice of appropriate neurorehabilitation strategy. Basic essence of neurorehabilitation is neuroplasticity stimulation with respect to potentiation of multisensory processing. Multisensory afferent input is optimally provided by variable intensive task-specific training with respect to actual patient's capabilities. The gait (as task-specific movement) should be practiced intensively and under variable conditions to restore the walking ability. Up-to-date for gait neurorehabilitation are mostly used: over ground gait training with therapist, robotic assisted gait training, treadmill gait training, and also gait training based on biofeedback or in virtual environment. Combination of more gait training modalities and conventional rehabilitation approaches seem to be the most beneficial neurorehabilitation strategy to reach the maximum of walking ability recovery in patients after stroke. The aim of this review is to focus on the basic principles of gait neurorehabilitation with respect to cur rent state of knowledge regarding gait control mechanisms and neural plasticity accompanying motor recovery post stroke.</t>
  </si>
  <si>
    <t>[Krobot, A.; Kolarova, B.; Kolar, P.; Schusterova, B.; Tomsova, J.] FN Olomouc, Oddeleni Rehabil, IP Pavlova 185-6, Olomouc 77900, Czech Republic; [Krobot, A.] UP, LF, Neurol Klin, Olomouc, Czech Republic; [Krobot, A.; Kolarova, B.; Kolar, P.; Schusterova, B.; Tomsova, J.] FN Olomouc, Olomouc, Czech Republic; [Kolarova, B.; Kolar, P.; Schusterova, B.; Tomsova, J.] UP, Fak Zdravotnickych, Ustav Fyzioterapie, Olomouc, Czech Republic</t>
  </si>
  <si>
    <t>University Hospital Olomouc; University Hospital Olomouc; University Hospital Olomouc</t>
  </si>
  <si>
    <t>Krobot, A (corresponding author), FN Olomouc, Oddeleni Rehabil, IP Pavlova 185-6, Olomouc 77900, Czech Republic.</t>
  </si>
  <si>
    <t>alois.krobot@fnol.cz</t>
  </si>
  <si>
    <t>Kolarova, Barbora/ABE-7077-2021</t>
  </si>
  <si>
    <t>Kolarova, Barbora/0000-0003-4317-8557</t>
  </si>
  <si>
    <t>10.14735/amcsnn2017521</t>
  </si>
  <si>
    <t>FJ0AG</t>
  </si>
  <si>
    <t>WOS:000412370300002</t>
  </si>
  <si>
    <t>Lefeber, N; Swinnen, E; Kerckhofs, E</t>
  </si>
  <si>
    <t>Lefeber, Nina; Swinnen, Eva; Kerckhofs, Eric</t>
  </si>
  <si>
    <t>The immediate effects of robot-assistance on energy consumption and cardiorespiratory load during walking compared to walking without robot-assistance: a systematic review</t>
  </si>
  <si>
    <t>Walking; exoskeleton device; end-effector; energy metabolism; cardiovascular physiological processes; respiratory physiological processes</t>
  </si>
  <si>
    <t>BODY-WEIGHT SUPPORT; SPINAL-CORD-INJURY; OXYGEN-CONSUMPTION; OVERGROUND WALKING; TREADMILL WALKING; PHYSICAL-ACTIVITY; STROKE; EXERCISE; FITNESS; COST</t>
  </si>
  <si>
    <t>Purpose: The integration of sufficient cardiovascular stress into robot-assisted gait (RAG) training could combine the benefits of both RAG and aerobic training. The aim was to summarize literature data on the immediate effects of RAG compared to walking without robot-assistance on metabolic-, cardiorespiratory- and fatigue-related parameters. Methods: PubMed and Web of Science were searched for eligible articles till February 2016. Means, SDs and significance values were extracted. Effect sizes were calculated. Results: Fourteen studies were included, concerning 155 participants (85 healthy subjects, 39 stroke and 31 spinal cord injury patients), 9 robots (2 end-effectors, 1 treadmill-based and 6 wearable exoskeletons), and 7 outcome parameters (mostly oxygen consumption and heart rate). Overall, metabolic and cardiorespiratory parameters were lower during RAG compared to walking without robot-assistance (moderate to large effect sizes). In healthy subjects, when no body-weight support (BWS) was provided, RAG with an end-effector device was more energy demanding than walking overground (p &gt;. 05, large effect sizes). Conclusions: Generally, results suggest that RAG is less energy-consuming and cardiorespiratory stressful than walking without robot-assistance, but results depend on factors such as robot type, walking speed, BWS and effort. Additional research is needed to draw firm conclusions. IMPLICATIONS FOR REHABILITATION Awareness of the energy consumption and cardiorespiratory load of robot-assisted gait (RAG) training is important in the rehabilitation of (neurological) patients with impaired cardiorespiratory fitness and patients who are at risk of cardiovascular diseases. On the other hand, the integration of sufficient cardiometabolic stress in RAG training could combine the effects of both RAG and aerobic training. Energy consumption and cardiorespiratory load during walking with robot- assistance seems to depend on factors such as robot type, walking speed, body-weight support or amount of effort. These parameters could be adjusted in RAG rehabilitation to make RAG more or less energy- consuming and cardiorespiratory stressful. Overall, short duration exoskeleton walking seems less energy-consuming and cardiorespiratory stressful than walking without robot-assistance. This might implicate that the exercise intensity is safe for (neurological) patients at risk of cardiovascular diseases. How this changes in extended walking time is unclear.</t>
  </si>
  <si>
    <t>[Lefeber, Nina; Swinnen, Eva; Kerckhofs, Eric] Vrije Univ Brussel, Fac Phys Educ &amp; Physiotherapy, Rehabil Res, Laarbeeklaan 103, B-1090 Brussels, Belgium; [Lefeber, Nina; Swinnen, Eva; Kerckhofs, Eric] Vrije Univ Brussel, Ctr Neurosci, C4N, Brussels, Belgium; [Lefeber, Nina; Swinnen, Eva; Kerckhofs, Eric] Vrije Univ Brussel, Brussels Human Robot Res Ctr, BruBot, Brussels, Belgium</t>
  </si>
  <si>
    <t>Vrije Universiteit Brussel; Vrije Universiteit Brussel; Vrije Universiteit Brussel</t>
  </si>
  <si>
    <t>Lefeber, N (corresponding author), Vrije Univ Brussel, Fac Phys Educ &amp; Physiotherapy, Rehabil Res, Laarbeeklaan 103, B-1090 Brussels, Belgium.</t>
  </si>
  <si>
    <t>Nina.Lefeber@vub.ac.be</t>
  </si>
  <si>
    <t>Swinnen, Eva/GLS-9171-2022; Swinnen, Eva/H-7964-2014</t>
  </si>
  <si>
    <t>Swinnen, Eva/0000-0002-3771-9479; Lefeber, Nina/0000-0002-3311-6064</t>
  </si>
  <si>
    <t>SBO-IWT MIRAD Project [120057]; SB doctoral grant (Research Foundation - Flanders)</t>
  </si>
  <si>
    <t>SBO-IWT MIRAD Project; SB doctoral grant (Research Foundation - Flanders)</t>
  </si>
  <si>
    <t>The authors disclosed receipt of the following financial support for the research, authorship, and/or publication of this article: SBO-IWT MIRAD Project [grant/award No. 120057] and SB doctoral grant (Research Foundation - Flanders).</t>
  </si>
  <si>
    <t>10.1080/17483107.2016.1235620</t>
  </si>
  <si>
    <t>FQ6RD</t>
  </si>
  <si>
    <t>WOS:000418490800001</t>
  </si>
  <si>
    <t>Lisi, G; Morimoto, J</t>
  </si>
  <si>
    <t>Ueda, J; Kurita, Y</t>
  </si>
  <si>
    <t>Lisi, G.; Morimoto, J.</t>
  </si>
  <si>
    <t>Noninvasive Brain Machine Interfaces for Assistive and Rehabilitation Robotics: A Review</t>
  </si>
  <si>
    <t>HUMAN MODELING FOR BIO-INSPIRED ROBOTICS: MECHANICAL ENGINEERING IN ASSISTIVE TECHNOLOGIES</t>
  </si>
  <si>
    <t>COMPUTER-INTERFACE; CHRONIC STROKE; MOTOR IMAGERY; ACTUATED WHEELCHAIR; BCI; COMMUNICATION; PERFORMANCE; RECOVERY; MOVEMENT; GAIT</t>
  </si>
  <si>
    <t>[Lisi, G.; Morimoto, J.] ATR Computat Neurosci Labs, Kyoto, Japan</t>
  </si>
  <si>
    <t>Lisi, G (corresponding author), ATR Computat Neurosci Labs, Kyoto, Japan.</t>
  </si>
  <si>
    <t>ACADEMIC PRESS LTD-ELSEVIER SCIENCE LTD</t>
  </si>
  <si>
    <t>125 LONDON WALL, LONDON EC2Y 5AS, ENGLAND</t>
  </si>
  <si>
    <t>9780-1-28-03152-0; 9780-1-28-03137-7</t>
  </si>
  <si>
    <t>Robotics; Rehabilitation</t>
  </si>
  <si>
    <t>BJ9QC</t>
  </si>
  <si>
    <t>WOS:000429741100008</t>
  </si>
  <si>
    <t>Mazzoleni, S; Duret, C; Grosmaire, AG; Battini, E</t>
  </si>
  <si>
    <t>Mazzoleni, Stefano; Duret, Christophe; Grosmaire, Anne Gaelle; Battini, Elena</t>
  </si>
  <si>
    <t>Combining Upper Limb Robotic Rehabilitation with Other Therapeutic Approaches after Stroke: Current Status, Rationale, and Challenges</t>
  </si>
  <si>
    <t>DIRECT-CURRENT STIMULATION; TRANSCRANIAL MAGNETIC STIMULATION; BOTULINUM-TOXIN-A; NEUROMUSCULAR ELECTRICAL-STIMULATION; RANDOMIZED CONTROLLED-TRIAL; IMPAIRED UPPER-LIMB; ASSISTED THERAPY; VIRTUAL-REALITY; MOTOR RECOVERY; ARM MOVEMENTS</t>
  </si>
  <si>
    <t>A better understanding of the neural substrates that underlie motor recovery after stroke has led to the development of innovative rehabilitation strategies and tools that incorporate key elements of motor skill relearning, that is, intensive motor training involving goal-oriented repeated movements. Robotic devices for the upper limb are increasingly used in rehabilitation. Studies have demonstrated the effectiveness of these devices in reducing motor impairments, but less so for the improvement of upper limb function. Other studies have begun to investigate the benefits of combined approaches that target muscle function ( functional electrical stimulation and botulinum toxin injections), modulate neural activity (noninvasive brain stimulation), and enhance motivation (virtual reality) in an attempt to potentialize the benefits of robot-mediated training. Theaim of this paper is to overview the current status of such combined treatments and to analyze the rationale behind them.</t>
  </si>
  <si>
    <t>[Mazzoleni, Stefano; Battini, Elena] Scuola Super Sant Anna, BioRobot Inst, Pisa, Italy; [Mazzoleni, Stefano; Battini, Elena] Rehabil Bioengn Lab, Volterra, Italy; [Duret, Christophe; Grosmaire, Anne Gaelle] Ctr Reeduc Fonct Trois Soleils Med Phys &amp; Readapt, Unit Neuroreeduc, Boissise Le Roi, France; [Duret, Christophe] Ctr Hosp Sud Francilien, Neurol, Corbeil Essonnes, France</t>
  </si>
  <si>
    <t>Scuola Superiore Sant'Anna; Centre Hospitalier Sud Francilien</t>
  </si>
  <si>
    <t>Mazzoleni, S (corresponding author), Scuola Super Sant Anna, BioRobot Inst, Pisa, Italy.;Mazzoleni, S (corresponding author), Rehabil Bioengn Lab, Volterra, Italy.</t>
  </si>
  <si>
    <t>Mazzoleni, Stefano/AAM-8581-2020; GROSMAIRE, Anne-Gaëlle/B-7900-2019; Mazzoleni, Stefano/B-5875-2011</t>
  </si>
  <si>
    <t>Mazzoleni, Stefano/0000-0002-9528-3239; GROSMAIRE, Anne-Gaelle/0000-0002-1688-0386</t>
  </si>
  <si>
    <t>10.1155/2017/8905637</t>
  </si>
  <si>
    <t>FG7NU</t>
  </si>
  <si>
    <t>WOS:000410605800001</t>
  </si>
  <si>
    <t>Cruz, AM; Rincón, AMR; Dueñas, WRR; Torres, DAQ; Bohórquez-Heredia, AF</t>
  </si>
  <si>
    <t>Miguel Cruz, Antonio; Rios Rincon, Adriana Maria; Rodriguez Duenas, William Ricardo; Quiroga Torres, Daniel Alejandro; Felipe Bohorquez-Heredia, Andres</t>
  </si>
  <si>
    <t>What does the literature say about using robots on children with disabilities?</t>
  </si>
  <si>
    <t>Autistic spectrum disorder; cerebral palsy; robots; systematic review; children; assistive technology</t>
  </si>
  <si>
    <t>HUMANOID ROBOT; CEREBRAL-PALSY; PLAY; AUTISM; INTERVENTIONS; DEVICE; METAANALYSIS; BEHAVIORS; PROGRAM; GAME</t>
  </si>
  <si>
    <t>Purpose: The purpose of this study is to examine the extent and type of robots used for the rehabilitation and education of children and young people with CP and ASD and the associated outcomes. Methods: The scholarly literature was systematically searched and analyzed. Articles were included if they reported the results of robots used or intended to be used for the rehabilitation and education of children and young people with CP and ASD during play and educative and social interaction activities. Results: We found 15 robotic systems reported in 34 studies that provided a low level of evidence. The outcomes were mainly for children with ASD interaction and who had a reduction in autistic behaviour, and for CP cognitive development, learning, and play. Conclusion: More research is needed in this area using designs that provide higher validity. A centred design approach is needed for developing new low-cost robots for this population.</t>
  </si>
  <si>
    <t>[Miguel Cruz, Antonio; Rodriguez Duenas, William Ricardo; Quiroga Torres, Daniel Alejandro; Felipe Bohorquez-Heredia, Andres] Univ Rosario, Sch Med &amp; Hlth Sci, Biomed Engn Program, Bogota, DC, Colombia; [Miguel Cruz, Antonio; Rios Rincon, Adriana Maria] Univ Alberta, Fac Rehabil Med, Dept Occupat Therapy, Edmonton, AB, Canada; [Rios Rincon, Adriana Maria] Univ Rosario, Sch Med &amp; Hlth Sci, Program Occupat Therapy, Bogota, DC, Colombia</t>
  </si>
  <si>
    <t>Universidad del Rosario; University of Alberta; Universidad del Rosario</t>
  </si>
  <si>
    <t>Rincón, AMR (corresponding author), Univ Rosario, Sch Med &amp; Hlth Sci, Dept Occupat Therapy, Calle 63D 24-31,7 Agosto, Bogota, DC, Colombia.</t>
  </si>
  <si>
    <t>adriana.rios@urosario.edu.co</t>
  </si>
  <si>
    <t>Quiroga-Torres, Daniel-Alejandro/H-5003-2016; Rios Rincon, Adriana M./J-8749-2016; Rodriguez-Duenas, William R./H-5057-2016</t>
  </si>
  <si>
    <t>Quiroga-Torres, Daniel-Alejandro/0000-0002-7949-4167; Rios Rincon, Adriana M./0000-0002-9018-9761; Rodriguez-Duenas, William R./0000-0002-6183-5779</t>
  </si>
  <si>
    <t>Fondo de Investigacion Universidad del Rosario [QDN-BG007]</t>
  </si>
  <si>
    <t>Fondo de Investigacion Universidad del Rosario</t>
  </si>
  <si>
    <t>This work was supported by a grant from the Fondo de Investigacion Universidad del Rosario 2016-2017 [grant No. QDN-BG007].</t>
  </si>
  <si>
    <t>10.1080/17483107.2017.1318308</t>
  </si>
  <si>
    <t>EX6ZQ</t>
  </si>
  <si>
    <t>WOS:000403392700002</t>
  </si>
  <si>
    <t>Morone, G; Paolucci, S; Cherubini, A; De Angelis, D; Venturiero, V; Coiro, P; Iosa, M</t>
  </si>
  <si>
    <t>Morone, Giovanni; Paolucci, Stefano; Cherubini, Andrea; De Angelis, Domenico; Venturiero, Vincenzo; Coiro, Paola; Iosa, Marco</t>
  </si>
  <si>
    <t>Robot-assisted gait training for stroke patients: current state of the art and perspectives of robotics</t>
  </si>
  <si>
    <t>exoskeleton; neurorehabilitation; robot-assisted walking training; wearable robot; activities of daily living; motor learning; plasticity</t>
  </si>
  <si>
    <t>DIRECT-CURRENT STIMULATION; SUBACUTE STROKE; WALKING COMPETENCE; REHABILITATION; THERAPY; NEUROREHABILITATION; REPRESENTATIONS; DISEASE; SYSTEMS; BENEFIT</t>
  </si>
  <si>
    <t>In this review, we give a brief outline of robot-mediated gait training for stroke patients, as an important emerging field in rehabilitation. Technological innovations are allowing rehabilitation to move toward more integrated processes, with improved efficiency and less long-term impairments. In particular, robot-mediated neurorehabilitation is a rapidly advancing field, which uses robotic systems to define new methods for treating neurological injuries, especially stroke. The use of robots in gait training can enhance rehabilitation, but it needs to be used according to well-defined neuroscientific principles. The field of robot-mediated neurorehabilitation brings challenges to both bioengineering and clinical practice. This article reviews the state of the art (including commercially available systems) and perspectives of robotics in poststroke rehabilitation for walking recovery. A critical revision, including the problems at stake regarding robotic clinical use, is also presented.</t>
  </si>
  <si>
    <t>[Morone, Giovanni; Paolucci, Stefano; De Angelis, Domenico; Venturiero, Vincenzo; Coiro, Paola; Iosa, Marco] IRCCS Santa Lucia Fdn, Private Inpatient Unit, Via Ardeatina 306-354, I-00179 Rome, Italy; [Morone, Giovanni; Paolucci, Stefano; Iosa, Marco] IRCCS Santa Lucia Fdn, Clin Lab Expt Neurorehabil, Rome, Italy; [Cherubini, Andrea] UM CNRS, LIRMM, Dept Robot, Montpellier, France</t>
  </si>
  <si>
    <t>IRCCS Santa Lucia; IRCCS Santa Lucia; Centre National de la Recherche Scientifique (CNRS); Universite Paul-Valery; Universite Perpignan Via Domitia; Universite de Montpellier</t>
  </si>
  <si>
    <t>Paolucci, S (corresponding author), IRCCS Santa Lucia Fdn, Private Inpatient Unit, Via Ardeatina 306-354, I-00179 Rome, Italy.</t>
  </si>
  <si>
    <t>s.paolucci@hsantalucia.it</t>
  </si>
  <si>
    <t>Morone, Giovanni/AAN-2666-2020; De Angelis, Domenico/AAB-8203-2019; Iosa, Marco/B-9531-2012; Cherubini, Andrea/MZS-9767-2025; Morone, Giovanni/A-9561-2013</t>
  </si>
  <si>
    <t>DE ANGELIS, Domenico/0000-0001-5315-8037; Cherubini, Andrea/0000-0002-7272-6922; Morone, Giovanni/0000-0003-3602-4197</t>
  </si>
  <si>
    <t>10.2147/NDT.S114102</t>
  </si>
  <si>
    <t>EU8GV</t>
  </si>
  <si>
    <t>WOS:000401277700005</t>
  </si>
  <si>
    <t>Yue, Z; Zhang, X; Wang, J</t>
  </si>
  <si>
    <t>Yue, Zan; Zhang, Xue; Wang, Jing</t>
  </si>
  <si>
    <t>Hand Rehabilitation Robotics on Poststroke Motor Recovery</t>
  </si>
  <si>
    <t>CHRONIC STROKE; ASSISTED THERAPY; UPPER EXTREMITY; MU-RHYTHM; FINGER; EXOSKELETON; DESIGN; ARM; MOVEMENTS; SURVIVORS</t>
  </si>
  <si>
    <t>The recovery of hand function is one of the most challenging topics in stroke rehabilitation. Although the robot-assisted therapy has got some good results in the latest decades, the development of hand rehabilitation robotics is left behind. Existing reviews of hand rehabilitation robotics focus either on the mechanical design on designers' view or on the training paradigms on the clinicians' view, while these two parts are interconnected and both important for designers and clinicians. In this review, we explore the current literature surrounding hand rehabilitation robots, to help designers make better choices among varied components and thus promoting the application of hand rehabilitation robots. An overview of hand rehabilitation robotics is provided in this paper firstly, to give a general view of the relationship between subjects, rehabilitation theories, hand rehabilitation robots, and its evaluation. Secondly, the state of the art hand rehabilitation robotics is introduced in detail according to the classification of the hardware system and the training paradigm. As a result, the discussion gives available arguments behind the classification and comprehensive overview of hand rehabilitation robotics.</t>
  </si>
  <si>
    <t>[Yue, Zan; Zhang, Xue; Wang, Jing] Xi An Jiao Tong Univ, Sch Mech Engn, Xian 710049, Shaanxi, Peoples R China</t>
  </si>
  <si>
    <t>Wang, J (corresponding author), Xi An Jiao Tong Univ, Sch Mech Engn, Xian 710049, Shaanxi, Peoples R China.</t>
  </si>
  <si>
    <t>wangpele@gmail.com</t>
  </si>
  <si>
    <t>Wang, Jingjing/GLT-7562-2022</t>
  </si>
  <si>
    <t>10.1155/2017/3908135</t>
  </si>
  <si>
    <t>FL9NJ</t>
  </si>
  <si>
    <t>WOS:000414582300001</t>
  </si>
  <si>
    <t>Zhang, X; Yue, Z; Wang, J</t>
  </si>
  <si>
    <t>Zhang, Xue; Yue, Zan; Wang, Jing</t>
  </si>
  <si>
    <t>Robotics in Lower-Limb Rehabilitation after Stroke</t>
  </si>
  <si>
    <t>LOWER-EXTREMITY EXOSKELETONS; ANKLE-FOOT ORTHOSIS; GAIT REHABILITATION; ADAPTIVE-CONTROL; PARALLEL ROBOT; FLOOR WALKING; FORCE CONTROL; THERAPY; TRAINER; ASSISTANCE</t>
  </si>
  <si>
    <t>With the increase in the elderly, stroke has become a common disease, often leading to motor dysfunction and even permanent disability. Lower-limb rehabilitation robots can help patients to carry out reasonable and effective training to improve the motor function of paralyzed extremity. In this paper, the developments of lower-limb rehabilitation robots in the past decades are reviewed. Specifically, we provide a classification, a comparison, and a design overview of the driving modes, training paradigm, and control strategy of the lower-limb rehabilitation robots in the reviewed literature. A brief review on the gait detection technology of lower-limb rehabilitation robots is also presented. Finally, we discuss the future directions of the lower-limb rehabilitation robots.</t>
  </si>
  <si>
    <t>[Zhang, Xue; Yue, Zan; Wang, Jing] Xi An Jiao Tong Univ, Sch Mech Engn, Xian 710049, Peoples R China</t>
  </si>
  <si>
    <t>Wang, J (corresponding author), Xi An Jiao Tong Univ, Sch Mech Engn, Xian 710049, Peoples R China.</t>
  </si>
  <si>
    <t>China Postdoctoral Science Foundation Project [2014M552431]; Fundamental Research Funds for the Central Universities</t>
  </si>
  <si>
    <t>China Postdoctoral Science Foundation Project(China Postdoctoral Science Foundation); Fundamental Research Funds for the Central Universities(Fundamental Research Funds for the Central Universities)</t>
  </si>
  <si>
    <t>This study was supported by China Postdoctoral Science Foundation Project (2014M552431) and the Fundamental Research Funds for the Central Universities.</t>
  </si>
  <si>
    <t>10.1155/2017/3731802</t>
  </si>
  <si>
    <t>EY1YV</t>
  </si>
  <si>
    <t>WOS:000403765600001</t>
  </si>
  <si>
    <t>Fisahn, C; Aach, M; Jansen, O; Moisi, M; Mayadev, A; Pagarigan, KT; Dettori, JR; Schildhauer, TA</t>
  </si>
  <si>
    <t>Fisahn, Christian; Aach, Mirko; Jansen, Oliver; Moisi, Marc; Mayadev, Angeli; Pagarigan, Krystle T.; Dettori, Joseph R.; Schildhauer, Thomas A.</t>
  </si>
  <si>
    <t>The Effectiveness and Safety of Exoskeletons as Assistive and Rehabilitation Devices in the Treatment of Neurologic Gait Disorders in Patients with Spinal Cord Injury: A Systematic Review</t>
  </si>
  <si>
    <t>exoskeleton; robotics; rehabilitation; spinal cord injury</t>
  </si>
  <si>
    <t>VOLUNTARY DRIVEN EXOSKELETON; RANDOMIZED CONTROLLED-TRIAL; POWERED EXOSKELETON; WALKING; ROBOT; PEOPLE; INDIVIDUALS; PARAPLEGIA; SCI; FEASIBILITY</t>
  </si>
  <si>
    <t>Study DesignSystematic review. Clinical Questions(1) When used as an assistive device, do wearable exoskeletons improve lower extremity function or gait compared with knee-ankle-foot orthoses (KAFOs) in patients with complete or incomplete spinal cord injury? (2) When used as a rehabilitation device, do wearable exoskeletons improve lower extremity function or gait compared with other rehabilitation strategies in patients with complete or incomplete spinal cord injury? (3) When used as an assistive or rehabilitation device, are wearable exoskeletons safe compared with KAFO for assistance or other rehabilitation strategies for rehabilitation in patients with complete or incomplete spinal cord injury? MethodsPubMed, Cochrane, and Embase databases and reference lists of key articles were searched from database inception to May 2, 2016, to identify studies evaluating the effectiveness of wearable exoskeletons used as assistive or rehabilitative devices in patients with incomplete or complete spinal cord injury. ResultsNo comparison studies were found evaluating exoskeletons as an assistive device. Nine comparison studies (11 publications) evaluated the use of exoskeletons as a rehabilitative device. The 10-meter walk test velocity and Spinal Cord Independence Measure scores showed no difference in change from baseline among patients undergoing exoskeleton training compared with various comparator therapies. The remaining primary outcome measures of 6-minute walk test distance and Walking Index for Spinal Cord Injury I and II and Functional Independence Measure-Locomotor scores showed mixed results, with some studies indicating no difference in change from baseline between exoskeleton training and comparator therapies, some indicating benefit of exoskeleton over comparator therapies, and some indicating benefit of comparator therapies over exoskeleton. ConclusionThere is no data to compare locomotion assistance with exoskeleton versus conventional KAFOs. There is no consistent benefit from rehabilitation using an exoskeleton versus a variety of conventional methods in patients with chronic spinal cord injury. Trials comparing later-generation exoskeletons are needed.</t>
  </si>
  <si>
    <t>[Fisahn, Christian; Moisi, Marc] Swedish Med Ctr, Swedish Neurosci Inst, 550 17th Ave, Seattle, WA 98122 USA; [Fisahn, Christian; Aach, Mirko; Jansen, Oliver; Schildhauer, Thomas A.] Ruhr Univ Bochum, BG Univ Hosp Bergmannsheil, Dept Trauma Surg, Bochum, Germany; [Mayadev, Angeli] Swedish Med Ctr, Multiple Sclerosis Ctr, Seattle, WA USA; [Pagarigan, Krystle T.; Dettori, Joseph R.] Spectrum Res Inc, Tacoma, WA USA</t>
  </si>
  <si>
    <t>Swedish Medical Center; Ruhr University Bochum; Swedish Medical Center</t>
  </si>
  <si>
    <t>Fisahn, C (corresponding author), Swedish Med Ctr, Swedish Neurosci Inst, 550 17th Ave, Seattle, WA 98122 USA.</t>
  </si>
  <si>
    <t>christian.fisahn@swedish.org</t>
  </si>
  <si>
    <t>Schildhauer, Thomas/0000-0002-3232-9869</t>
  </si>
  <si>
    <t>AOSpine International</t>
  </si>
  <si>
    <t>Analytic support for this work was provided by Spectrum Research, Inc. with funding from AOSpine International</t>
  </si>
  <si>
    <t>10.1055/s-0036-1593805</t>
  </si>
  <si>
    <t>ED1ZS</t>
  </si>
  <si>
    <t>WOS:000388644000014</t>
  </si>
  <si>
    <t>van Dooren, MMM; Visch, VT; Spijkerman, R; Goossens, RHM; Hendriks, VM</t>
  </si>
  <si>
    <t>van Dooren, Marierose M. M.; Visch, Valentijn T.; Spijkerman, Renske; Goossens, Richard H. M.; Hendriks, Vincent M.</t>
  </si>
  <si>
    <t>Personalization in Game Design for Healthcare: a Literature Review on its Definitions and Effects</t>
  </si>
  <si>
    <t>INTERNATIONAL JOURNAL OF SERIOUS GAMES</t>
  </si>
  <si>
    <t>personalization; co-design; co-creation; tailoring; serious games; health</t>
  </si>
  <si>
    <t>SERIOUS GAMES; VIDEO GAME; PHYSICAL-ACTIVITY; CONTROLLED-TRIAL; HUMANOID ROBOT; MOBILE PHONE; WII FIT; CHILDREN; REHABILITATION; CUSTOMIZATION</t>
  </si>
  <si>
    <t>Personalization, the involvement of stakeholders in the design process, is often applied in serious game design for health. It is expected to enhance the alignment of a game to the preferences and capacities of the end-user, thereby increasing the end-user's motivation to interact with the game, which finally might enhance the aimed-for health effects of the game. However, the nature and effect of personalization have never been systematically studied, making assumptions regarding personalization ungrounded. In this literature review, we firstly provide a proposal of our Personalized Design Process-model, where personalization is defined as stakeholder involvement in the Problem Definition-, Product Design-and/or Tailoring Phase. Secondly, we conducted a systematic literature review on this model, focusing on health and its effects. In this review, 62 of the 2579 found studies were included. Analysis showed that a minority of the studies were of methodologically higher quality and some of these tested the health effect by contrasting tailored versus non-tailored games. Most studies involved stakeholders in the Tailoring Design Phase. Therefore, we conclude that involving stakeholders in the Tailoring Phase is valuable. However, to know if personalization is effective in the Product Design-and the Problem Definition Phase, more studies are needed.</t>
  </si>
  <si>
    <t>[van Dooren, Marierose M. M.; Visch, Valentijn T.; Goossens, Richard H. M.] Delft Univ Technol, Fac Ind Design Engn, Delft, Netherlands; [Spijkerman, Renske; Hendriks, Vincent M.] Parnassia Addict Res Ctr, Parnassia Grp, Brijder Addict Care, The Hague, Netherlands; [Hendriks, Vincent M.] Leiden Univ, Med Ctr, Dept Child &amp; Adolescent Psychiat, Curium, Leiden, Netherlands</t>
  </si>
  <si>
    <t>Delft University of Technology; Parnassia Psychiatric Institute; Leiden University - Excl LUMC; Leiden University; Leiden University Medical Center (LUMC)</t>
  </si>
  <si>
    <t>van Dooren, MMM (corresponding author), Delft Univ Technol, Fac Ind Design Engn, Delft, Netherlands.</t>
  </si>
  <si>
    <t>M.M.M.vanDooren@tudelft.nl; V.T.Visch@tudelft.nl; R.H.M.Goossens@tudelft.nl; Renske.Spijkerman@brijder.nl; Vincent.Hendriks@brijder.nl</t>
  </si>
  <si>
    <t>Goossens, Richard/E-3080-2016; Spijkerman, Renske/D-5791-2012</t>
  </si>
  <si>
    <t>Goossens, Richard Hendrik Marc/0000-0002-8304-3916</t>
  </si>
  <si>
    <t>NWO [314-99-102]</t>
  </si>
  <si>
    <t>NWO(Netherlands Organization for Scientific Research (NWO))</t>
  </si>
  <si>
    <t>We would like to thank all the staff of PARC Brijder and TU Delft, who wrote and provided helpful comments during this study. This research is funded by NWO (314-99-102).</t>
  </si>
  <si>
    <t>SERIOUS GAMES SOC</t>
  </si>
  <si>
    <t>GENOA</t>
  </si>
  <si>
    <t>IST INT COMUNICAZIONI, VILLA PIAGGIO, GENOA, 16125, ITALY</t>
  </si>
  <si>
    <t>2384-8766</t>
  </si>
  <si>
    <t>INT J SERIOUS GAMES</t>
  </si>
  <si>
    <t>Int. J. Serious Games</t>
  </si>
  <si>
    <t>10.17083/ijsg.v3i4.134</t>
  </si>
  <si>
    <t>EG5DV</t>
  </si>
  <si>
    <t>WOS:000391064600002</t>
  </si>
  <si>
    <t>Akhtaruzzaman, M; Shafie, AA; Khan, MR</t>
  </si>
  <si>
    <t>Akhtaruzzaman, Md.; Shafie, Amir Akramin; Khan, Md. Raisuddin</t>
  </si>
  <si>
    <t>GAIT ANALYSIS: SYSTEMS, TECHNOLOGIES, AND IMPORTANCE</t>
  </si>
  <si>
    <t>Gait analysis; gait characteristics; human walking pattern; sports gait analysis; gait rehabilitation; gait training</t>
  </si>
  <si>
    <t>GROUND REACTION FORCE; REHABILITATION ROBOT; PATHOLOGICAL GAIT; MOTION ANALYSIS; KNEE-JOINT; WALKING; TERMINATION; INITIATION; KINEMATICS; ANKLE</t>
  </si>
  <si>
    <t>Human gait is the identity of a person's style and quality of life. Reliable cognition of gait properties over time, continuous monitoring, accuracy of evaluation, and proper analysis of human gait characteristics have demonstrated their importance not only in clinical and medical studies, but also in the field of sports, rehabilitation, training, and robotics research. Focusing on walking gait, this study presents an overview on gait mechanisms, common technologies used in gait analysis, and importance of this particular field of research. Firstly, available technologies that involved in gait analysis are briefly introduced in this paper by concentrating on the usability and limitations of the systems. Secondly, key gait parameters and motion characteristics are elucidated from four angles of views; one: gait phases and gait properties; two: center of mass and center of pressure (CoM-CoP) tracking profile; three: Ground Reaction Force (GRF) and impact, and four: muscle activation. Thirdly, the study focuses on the clinical observations of gait patterns in diagnosing gait abnormalities of impaired patients. The presentation also shows the importance of gait analysis in sports to improve performance as well as to avoid risk of injuries of sports personnel. Significance of gait analysis in robotic research is also illustrated in this part where the study focuses on robot assisted systems and its possible applicability in clinical rehabilitation and sports training.</t>
  </si>
  <si>
    <t>[Akhtaruzzaman, Md.; Shafie, Amir Akramin; Khan, Md. Raisuddin] Int Islamic Univ Malaysia, Dept Mechatron Engn, Kulliyyah Engn, Kuala Lumpur 53100, Malaysia</t>
  </si>
  <si>
    <t>International Islamic University Malaysia</t>
  </si>
  <si>
    <t>Akhtaruzzaman, M (corresponding author), Int Islamic Univ Malaysia, Dept Mechatron Engn, Kulliyyah Engn, Kuala Lumpur 53100, Malaysia.</t>
  </si>
  <si>
    <t>akhter900@gmail.com; aashafie@iium.edu.my; raisuddin@iium.edu.my</t>
  </si>
  <si>
    <t>Shafie, Asrul/F-7026-2010; Shafie, Amir/E-9456-2015; , Md. Akhtaruzzaman/I-6267-2012</t>
  </si>
  <si>
    <t>Akhtaruzzaman, Md/0000-0002-9929-4066; Shafie, Amir/0000-0003-2440-7537; , Md. Akhtaruzzaman/0000-0002-7891-6321</t>
  </si>
  <si>
    <t>Ministry of Higher Education (MOHE), Malaysia</t>
  </si>
  <si>
    <t>Authors would like to express their appreciation to the Ministry of Higher Education (MOHE), Malaysia, in funding the project through the Fundamental Research Grant Scheme (FRGS). They also would like to express their gratitude to the Research Management Center (RMC), International Islamic University Malaysia (IIUM), Kuala Lumpur, Malaysia.</t>
  </si>
  <si>
    <t>10.1142/S0219519416300039</t>
  </si>
  <si>
    <t>EC4NS</t>
  </si>
  <si>
    <t>WOS:000388109700002</t>
  </si>
  <si>
    <t>Resquín, F; Gómez, AC; Gonzalez-Vargas, J; Brunetti, F; Torricelli, D; Rueda, FM; de la Cuerda, RC; Miangolarra, JC; Pons, JL</t>
  </si>
  <si>
    <t>Resquin, Francisco; Cuesta Gomez, Alicia; Gonzalez-Vargas, Jose; Brunetti, Fernando; Torricelli, Diego; Molina Rueda, Francisco; Cano de la Cuerda, Roberto; Carlos Miangolarra, Juan; Luis Pons, Jose</t>
  </si>
  <si>
    <t>Hybrid robotic systems for upper limb rehabilitation after stroke: A review</t>
  </si>
  <si>
    <t>Functional electrical stimulation; Robotics; Hybrid technology; Upper limb; Rehabilitation; Stroke</t>
  </si>
  <si>
    <t>FUNCTIONAL ELECTRICAL-STIMULATION; ITERATIVE LEARNING CONTROL; UPPER-EXTREMITY; RESTORATION; PLASTICITY; RECOVERY; THERAPY; WRIST; ARM</t>
  </si>
  <si>
    <t>In recent years the combined use of functional electrical stimulation (FES) and robotic devices, called hybrid robotic rehabilitation systems, has emerged as a promising approach for rehabilitation of lower and upper limb motor functions. This paper presents a review of the state of the art of current hybrid robotic solutions for upper limb rehabilitation after stroke. For this aim, studies have been selected through a search using web databases: IEEE-Xplore, Scopus and PubMed. A total of 10 different hybrid robotic systems were identified, and they are presented in this paper. Selected systems are critically compared considering their technological components and aspects that form part of the hybrid robotic solution, the proposed control strategies that have been implemented, as well as the current technological challenges in this topic. Additionally, we will present and discuss the corresponding evidences on the effectiveness of these hybrid robotic therapies. The review also discusses the future trends in this field. (C) 2016 IPEM. Published by Elsevier Ltd. All rights reserved.</t>
  </si>
  <si>
    <t>[Resquin, Francisco; Gonzalez-Vargas, Jose; Torricelli, Diego; Luis Pons, Jose] CSIC, Inst Cajal, Neural Rehabil Grp, Madrid, Spain; [Cuesta Gomez, Alicia; Molina Rueda, Francisco; Cano de la Cuerda, Roberto; Carlos Miangolarra, Juan] Rey Juan Carlos Univ, Fac Hlth Sci, Mot Anal Ergon Biomech &amp; Motor Control Lab LAMBEC, Madrid, Spain; [Brunetti, Fernando] Univ Catolica Nuestra Senora Asuncion, Dept Elect &amp; Informat Engn, Asuncion, Paraguay</t>
  </si>
  <si>
    <t>Consejo Superior de Investigaciones Cientificas (CSIC); CSIC - Instituto Cajal (IC); Universidad Rey Juan Carlos; Universidad Catolica Nuestra Senora de la Asuncion</t>
  </si>
  <si>
    <t>Resquín, F (corresponding author), CSIC, Inst Cajal, Neural Rehabil Grp, Madrid, Spain.</t>
  </si>
  <si>
    <t>franresquin@gmail.com</t>
  </si>
  <si>
    <t>Gomez, Alicia/P-5083-2016; Gonzalez, Jose/M-2629-2014; Torricelli, Diego/B-3737-2017; Cano de la Cuerda, Roberto/KDO-9312-2024; Molina-Rueda, Francisco/B-4156-2015</t>
  </si>
  <si>
    <t>Torricelli, Diego/0000-0001-8767-3395; Resquin Acosta, Francisco/0000-0003-1693-6930; Brunetti, Fernando/0000-0003-4071-2531; Cano de la Cuerda, Roberto/0000-0002-1118-4234; Pons, Jose L./0000-0003-0265-0181; Cuesta Gomez, Alicia/0000-0001-9507-2717; Molina-Rueda, Francisco/0000-0002-8616-5505</t>
  </si>
  <si>
    <t>Spanish Ministry of Economy and Competitiveness [HYPER-CSD2009-00067 CONSOLIDER-INGENIO 2010, DPI2011-25892]</t>
  </si>
  <si>
    <t>Spanish Ministry of Economy and Competitiveness(Spanish Government)</t>
  </si>
  <si>
    <t>This work was supported by the Spanish Ministry of Economy and Competitiveness (projects HYPER-CSD2009-00067 CONSOLIDER-INGENIO 2010, DPI2011-25892, DGA-FSE).</t>
  </si>
  <si>
    <t>10.1016/j.medengphy.2016.09.001</t>
  </si>
  <si>
    <t>EB2MZ</t>
  </si>
  <si>
    <t>WOS:000387197800016</t>
  </si>
  <si>
    <t>Schindler, A; Pizzorni, N; Mozzanica, F; Fantini, M; Ginocchio, D; Bertolin, A; Crosetti, E; Succo, G</t>
  </si>
  <si>
    <t>Schindler, Antonio; Pizzorni, Nicole; Mozzanica, Francesco; Fantini, Marco; Ginocchio, Daniela; Bertolin, Andy; Crosetti, Erika; Succo, Giovanni</t>
  </si>
  <si>
    <t>Functional outcomes after supracricoid laryngectomy: what do we not know and what do we need to know?</t>
  </si>
  <si>
    <t>EUROPEAN ARCHIVES OF OTO-RHINO-LARYNGOLOGY</t>
  </si>
  <si>
    <t>Laryngeal cancer; Supracricoid laryngectomy; Dysphagia; Dysphonia; Quality of life; Outcome; Functional results</t>
  </si>
  <si>
    <t>QUALITY-OF-LIFE; TRANSORAL ROBOTIC SURGERY; SQUAMOUS-CELL CARCINOMA; COMMUNICATION EXPERIENCES; SUBTOTAL LARYNGECTOMY; SUBSTITUTION VOICES; SWALLOWING OUTCOMES; ORGAN-PRESERVATION; LASER MICROSURGERY; SELF-EVALUATION</t>
  </si>
  <si>
    <t>Supracricoid laryngectomies (SCLs) are conservative organ-sparing surgical techniques for the treatment of selected T2-T4 laryngeal carcinomas. Although these procedures allow preserving the larynx and its functions, in several countries SCLs are not adopted in oncological protocols. One of the possible reasons to account for this choice is the complexity of post-surgical in-hospital management and the variability in functional results. The aim of this review is to analyse the literature on functional results after SCLs as knowledge on functional results will help in focusing on what is needed in the future to reach more standardized post-surgical procedures and homogeneous outcomes. The analysis of the length of hospital stay, feeding-tube removal time and time to eventual tracheotomy decannulation showed a marked variability across authors and centres. Several factors may come into play, including health-system organizations in different countries. In most studies in-depth description of the criteria applied for discharge, tracheotomy tube removal and commencement of oral feeding were not reported. Moreover, the review on swallowing functional outcomes showed marked variability, as well as a lack of consensus on how to assess swallowing after SCLs. The analysis of voice functional outcomes also revealed a marked variability; surprisingly, the tools applied in the assessments were very often not adequate for substitution voice. Literature review showed that voice- and swallowing-related quality of life are often satisfactory but the variability among centres is still too large. Therefore, there is a need for clearer clinical recommendations on early post-surgical management, tracheal-cannula and feeding-tube removal criteria, voice- and swallowing-assessment protocol, rehabilitation need and timing.</t>
  </si>
  <si>
    <t>[Schindler, Antonio; Pizzorni, Nicole; Mozzanica, Francesco] Univ Milan, L Sacco Hosp, Dept Biomed &amp; Clin Sci, Phoniatr Unit, Via GB Grassi 74, I-20157 Milan, Italy; [Fantini, Marco; Succo, Giovanni] Univ Turin, Dept Otorhinolaryngol, Osped San Luigi Gonzaga, I-10043 Turin, Italy; [Ginocchio, Daniela] Univ Milan, Dept Clin Sci &amp; Community Hlth, Audiol Unit, Fdn IRCCS Ca Granda,Ospedal Maggiore Policlin, I-20122 Milan, Italy; [Bertolin, Andy] Osped Civile Vittorio Veneto, Dept Otorhinolaryngol, I-32029 Belluno, Italy; [Crosetti, Erika] Osped Martini, Dept Otorhinolaryngol, I-10141 Turin, Italy</t>
  </si>
  <si>
    <t>University of Milan; Luigi Sacco Hospital; Azienda Ospedaliero-Universitaria San Luigi Gonzaga; University of Turin; IRCCS Ca Granda Ospedale Maggiore Policlinico; University of Milan</t>
  </si>
  <si>
    <t>Schindler, A (corresponding author), Univ Milan, L Sacco Hosp, Dept Biomed &amp; Clin Sci, Phoniatr Unit, Via GB Grassi 74, I-20157 Milan, Italy.</t>
  </si>
  <si>
    <t>antonio.schindler@unimi.it</t>
  </si>
  <si>
    <t>Fantini, Marco/KTI-7113-2024; Mozzanica, Francesco/AAG-1494-2020; Pizzorni, Nicole/AAQ-1955-2021; Schindler, Antonio/K-9184-2017</t>
  </si>
  <si>
    <t>Schindler, Antonio/0000-0002-8767-5179; Fantini, Marco/0000-0002-4007-6259; Mozzanica, francesco/0000-0003-2591-4063; SUCCO, Giovanni/0000-0003-0375-6623; Pizzorni, Nicole/0000-0002-3939-0742</t>
  </si>
  <si>
    <t>0937-4477</t>
  </si>
  <si>
    <t>1434-4726</t>
  </si>
  <si>
    <t>EUR ARCH OTO-RHINO-L</t>
  </si>
  <si>
    <t>Eur. Arch. Oto-Rhino-Laryn.</t>
  </si>
  <si>
    <t>10.1007/s00405-015-3822-3</t>
  </si>
  <si>
    <t>DY6FU</t>
  </si>
  <si>
    <t>WOS:000385202600001</t>
  </si>
  <si>
    <t>Vaughan, N; Gabrys, B; Dubey, VN</t>
  </si>
  <si>
    <t>Vaughan, Neil; Gabrys, Bodgan; Dubey, Venketesh N.</t>
  </si>
  <si>
    <t>An overview of self-adaptive technologies within virtual reality training</t>
  </si>
  <si>
    <t>COMPUTER SCIENCE REVIEW</t>
  </si>
  <si>
    <t>Virtual reality; Adaptive systems; Intelligent algorithms; Training</t>
  </si>
  <si>
    <t>HAPTIC FEEDBACK; SIMULATION; REHABILITATION; EDUCATION; SYSTEM; SKILLS; INTELLIGENCE; PROFICIENCY; RESIDENTS; DESIGN</t>
  </si>
  <si>
    <t>This overview presents the current state-of-the-art of self-adaptive technologies within virtual reality (VR) training. Virtual reality training and assessment is increasingly used for five key areas: medical, industrial &amp; commercial training, serious games, rehabilitation and remote training such as Massive Open Online Courses (MOOCs). Adaptation can be applied to five core technologies of VR including haptic devices, stereo graphics, adaptive content, assessment and autonomous agents. Automation of VR training can contribute to automation of actual procedures including remote and robotic assisted surgery which reduces injury and improves accuracy of the procedure. Automated haptic interaction can enable tele-presence and virtual artefact tactile interaction from either remote or simulated environments. Automation, machine learning and data driven features play an important role in providing trainee-specific individual adaptive training content. Data from trainee assessment can form an input to autonomous systems for customised training and automated difficulty levels to match individual requirements. Self-adaptive technology has been developed previously within individual technologies of VR training. One of the conclusions of this research is that while it does not exist, an enhanced portable framework is needed and it would be beneficial to combine automation of core technologies, producing a reusable automation framework for VR training. (C) 2016 Elsevier Inc. All rights reserved.</t>
  </si>
  <si>
    <t>[Vaughan, Neil; Gabrys, Bodgan; Dubey, Venketesh N.] Bournemouth Univ, Talbot Campus, Poole BH12 5BB, Dorset, England</t>
  </si>
  <si>
    <t>Vaughan, N (corresponding author), Bournemouth Univ, Talbot Campus, Poole BH12 5BB, Dorset, England.</t>
  </si>
  <si>
    <t>nvaughan@bmth.ac.uk</t>
  </si>
  <si>
    <t>Vaughan, Neil/AAJ-6683-2021</t>
  </si>
  <si>
    <t>Gabrys, Bogdan/0000-0002-0790-2846; Dubey, Venketesh/0000-0001-6327-711X; Vaughan, Neil/0000-0001-5038-6560</t>
  </si>
  <si>
    <t>1574-0137</t>
  </si>
  <si>
    <t>1876-7745</t>
  </si>
  <si>
    <t>COMPUT SCI REV</t>
  </si>
  <si>
    <t>Comput. Sci. Rev.</t>
  </si>
  <si>
    <t>10.1016/j.cosrev.2016.09.001</t>
  </si>
  <si>
    <t>Computer Science, Information Systems; Computer Science, Software Engineering; Computer Science, Theory &amp; Methods</t>
  </si>
  <si>
    <t>EG2KN</t>
  </si>
  <si>
    <t>WOS:000390872600005</t>
  </si>
  <si>
    <t>Ellis, MD; Lan, YY; Yao, J; Dewald, JPA</t>
  </si>
  <si>
    <t>Ellis, Michael D.; Lan, Yiyun; Yao, Jun; Dewald, Julius P. A.</t>
  </si>
  <si>
    <t>Robotic quantification of upper extremity loss of independent joint control or flexion synergy in individuals with hemiparetic stroke: a review of paradigms addressing the effects of shoulder abduction loading</t>
  </si>
  <si>
    <t>Stroke; Rehabilitation; Robotics; Arm; Flexion synergy; Loss of independent joint control; Outcome; Reaching; Function</t>
  </si>
  <si>
    <t>UPPER-LIMB; MUSCLE ACTIVATION; ARM MOVEMENTS; PATTERNS; REHABILITATION; COORDINATION; IMPAIRMENT; KINEMATICS; WEAKNESS; ELBOW</t>
  </si>
  <si>
    <t>Unsupported or against-gravity reaching and hand opening movements are greatly impaired in individuals with hemiparetic stroke. The reduction in reaching excursion and hand opening is thought to be primarily limited by abnormal muscle co-activation of shoulder abductors with distal limb flexors, known as flexion synergy, that results in a loss of independent joint control or joint individuation. Our laboratory employs several methods for quantifying this movement impairment, however the most documented techniques are sophisticated and laboratory-based. Here a series of robotic methods that vary in complexity from comprehensive (laboratory-based) to focused (clinically relevant) are outlined in detail in order to facilitate translation and make recommendations for utilization across the translational spectrum as part of Journal of NeuroEngineering and Rehabilitation thematic series, Technically-advanced assessments in sensory motor rehabilitation. While these methods focus on our published work utilizing the device, ACT3D, these methods can be duplicated using any mechatronic device with the appropriate characteristics. The common thread and most important aspect of the methods described is addressing the deleterious effects of abduction loading. Distal upper extremity joint performance is directly and monotonically modulated by proximal (shoulder abduction) joint demands. The employment of robotic metrics is the best tool for selectively manipulating shoulder abduction task requirements spanning the individual's full range of shoulder abduction strength. From the series of methods and the concluding recommendations, scientists and clinicians can determine the ideal robotic quantification method for the measurement of the impact of loss of independent joint control on reaching and hand function.</t>
  </si>
  <si>
    <t>[Ellis, Michael D.; Lan, Yiyun; Yao, Jun; Dewald, Julius P. A.] Northwestern Univ, Dept Phys Therapy &amp; Human Movement Sci, Feinberg Sch Med, 645 N Michigan Ave Suite 1100, Chicago, IL 60611 USA; [Dewald, Julius P. A.] Northwestern Univ, McCormick Sch Engn, Dept Biomed Engn, Chicago, IL 60611 USA; [Dewald, Julius P. A.] Northwestern Univ, Dept Phys Med &amp; Rehabil, Feinberg Sch Med, Chicago, IL 60611 USA</t>
  </si>
  <si>
    <t>Northwestern University; Feinberg School of Medicine; Northwestern University; Northwestern University; Feinberg School of Medicine</t>
  </si>
  <si>
    <t>Ellis, MD (corresponding author), Northwestern Univ, Dept Phys Therapy &amp; Human Movement Sci, Feinberg Sch Med, 645 N Michigan Ave Suite 1100, Chicago, IL 60611 USA.</t>
  </si>
  <si>
    <t>m-ellis@northwestern.edu</t>
  </si>
  <si>
    <t>Ellis, Michael/N-1021-2019; Yao, Jun/AAK-2006-2020; Dewald, Julius/AAD-2806-2019</t>
  </si>
  <si>
    <t>Ellis, Michael/0000-0001-7237-2944</t>
  </si>
  <si>
    <t>National Institute of Disability and Rehabilitation Research Field Initiated Research Grants [H133G980063, H133G030143]; National Institutes of Health R01 Grants [HD39343]; American Heart Association Greater Midwest Affiliate Postdoctoral Fellowship Grant [0520110Z]; American Heart Association (AHA) [0520110Z] Funding Source: American Heart Association (AHA)</t>
  </si>
  <si>
    <t>National Institute of Disability and Rehabilitation Research Field Initiated Research Grants; National Institutes of Health R01 Grants(United States Department of Health &amp; Human ServicesNational Institutes of Health (NIH) - USAOffice of the Administrator (NIH)); American Heart Association Greater Midwest Affiliate Postdoctoral Fellowship Grant; American Heart Association (AHA)(American Heart Association)</t>
  </si>
  <si>
    <t>Methods discussed in the manuscript were developed as part of multiple awards including: National Institute of Disability and Rehabilitation Research Field Initiated Research Grants (H133G980063-Dewald, &amp; H133G030143-Dewald, Ellis), National Institutes of Health R01 Grants (HD39343-Dewald, Ellis, Yao), and an American Heart Association Greater Midwest Affiliate Postdoctoral Fellowship Grant (0520110Z-Ellis).</t>
  </si>
  <si>
    <t>OCT 29</t>
  </si>
  <si>
    <t>10.1186/s12984-016-0203-0</t>
  </si>
  <si>
    <t>EA9IB</t>
  </si>
  <si>
    <t>WOS:000386955200001</t>
  </si>
  <si>
    <t>Lake, EMR; Bazzigaluppi, P; Stefanovic, B</t>
  </si>
  <si>
    <t>Lake, Evelyn M. R.; Bazzigaluppi, Paolo; Stefanovic, Bojana</t>
  </si>
  <si>
    <t>Functional magnetic resonance imaging in chronic ischaemic stroke</t>
  </si>
  <si>
    <t>PHILOSOPHICAL TRANSACTIONS OF THE ROYAL SOCIETY B-BIOLOGICAL SCIENCES</t>
  </si>
  <si>
    <t>stroke recovery; functional magnetic resonance imaging; blood oxygen level dependent; arterial spin labelling; electrophysiology</t>
  </si>
  <si>
    <t>FOCAL CEREBRAL-ISCHEMIA; INDUCED MOVEMENT THERAPY; BLOOD-FLOW; MOTOR FUNCTION; OXIDATIVE-METABOLISM; BRAIN ACTIVATION; ROBOTIC THERAPY; DYNAMIC CHANGES; BOLD SIGNAL; RAT-BRAIN</t>
  </si>
  <si>
    <t>Ischaemic stroke is the leading cause of adult disability worldwide. Effective rehabilitation is hindered by uncertainty surrounding the underlying mechanisms that govern long-term ischaemic injury progression. Despite its potential as a sensitive non-invasive in vivo marker of brain function that may aid in the development of new treatments, blood oxygenation level-dependent (BOLD) functional magnetic resonance imaging (fMRI) has found limited application in the clinical research on chronic stage stroke progression. Stroke affects each of the physiological parameters underlying the BOLD contrast, markedly complicating the interpretation of BOLD fMRI data. This review summarizes current progress on application of BOLD fMRI in the chronic stage of ischaemic injury progression and discusses means by which more information may be gained from such BOLD fMRI measurements. Concomitant measurements of vascular reactivity, neuronal activity and metabolism in preclinical models of stroke are reviewed along with illustrative examples of post-ischaemic evolution in neuronal, glial and vascular function. The realization of the BOLD fMRI potential to propel stroke research is predicated on the carefully designed preclinical research establishing an ischaemia-specific quantitative model of BOLD signal contrast to provide the framework for interpretation of fMRI findings in clinical populations. This article is part of the themed issue 'Interpreting BOLD: a dialogue between cognitive and cellular neuroscience'.</t>
  </si>
  <si>
    <t>[Lake, Evelyn M. R.; Bazzigaluppi, Paolo; Stefanovic, Bojana] Univ Toronto, Dept Med Biophys, Toronto, ON, Canada; [Stefanovic, Bojana] Sunnybrook Res Inst, Phys Sci Platform, Toronto, ON, Canada; [Stefanovic, Bojana] Heart &amp; Stroke Fdn Ctr Stroke Recovery, Ottawa, ON, Canada; [Bazzigaluppi, Paolo] Univ Hlth Network, Krembil Res Inst, Fundamental Neurobiol, Toronto, ON, Canada</t>
  </si>
  <si>
    <t>University of Toronto; University of Toronto; Sunnybrook Health Science Center; Sunnybrook Research Institute; Krembil Research Institute; University of Toronto; University Health Network Toronto</t>
  </si>
  <si>
    <t>Stefanovic, B (corresponding author), Univ Toronto, Dept Med Biophys, Toronto, ON, Canada.;Stefanovic, B (corresponding author), Sunnybrook Res Inst, Phys Sci Platform, Toronto, ON, Canada.;Stefanovic, B (corresponding author), Heart &amp; Stroke Fdn Ctr Stroke Recovery, Ottawa, ON, Canada.</t>
  </si>
  <si>
    <t>bojana@sri.utoronto.ca</t>
  </si>
  <si>
    <t>Bazzigaluppi, Paolo/0000-0002-0434-2548; Stefanovic, Bojana/0000-0002-8439-7601</t>
  </si>
  <si>
    <t>CIHR; CCNA; Heart and Stroke Canadian Partnership for Stroke Recovery; Heart and Stroke Foundation of Canada</t>
  </si>
  <si>
    <t>CIHR(Canadian Institutes of Health Research (CIHR)); CCNA; Heart and Stroke Canadian Partnership for Stroke Recovery; Heart and Stroke Foundation of Canada(Heart &amp; Stroke Foundation of Canada)</t>
  </si>
  <si>
    <t>The authors would like to acknowledge the funding sources: CIHR, CCNA, Heart and Stroke Canadian Partnership for Stroke Recovery, Heart and Stroke Foundation of Canada.</t>
  </si>
  <si>
    <t>0962-8436</t>
  </si>
  <si>
    <t>1471-2970</t>
  </si>
  <si>
    <t>PHILOS T R SOC B</t>
  </si>
  <si>
    <t>Philos. Trans. R. Soc. B-Biol. Sci.</t>
  </si>
  <si>
    <t>OCT 5</t>
  </si>
  <si>
    <t>10.1098/rstb.2015.0353</t>
  </si>
  <si>
    <t>DW2XP</t>
  </si>
  <si>
    <t>WOS:000383505900006</t>
  </si>
  <si>
    <t>Siqueira-Batista, R; Souza, CR; Maia, PM; Siqueira, SL</t>
  </si>
  <si>
    <t>Siqueira-Batista, Rodrigo; Souza, Camila Ribeiro; Maia, Polyana Mendes; Siqueira, Savio Lana</t>
  </si>
  <si>
    <t>ROBOTIC SURGERY: BIOETHICAL ASPECTS</t>
  </si>
  <si>
    <t>ABCD-ARQUIVOS BRASILEIROS DE CIRURGIA DIGESTIVA-BRAZILIAN ARCHIVES OF DIGESTIVE SURGERY</t>
  </si>
  <si>
    <t>Bioethics; Surgery; Ethics; Robotics</t>
  </si>
  <si>
    <t>REHABILITATION; STROKE; ROBOETHICS; GAIT</t>
  </si>
  <si>
    <t>Introduction: The use of robots in surgery has been increasingly common today, allowing the emergence of numerous bioethical issues in this area. Objective: To present review of the ethical aspects of robot use in surgery. Method: Search in Pubmed, SciELO and Lilacs crossing the headings bioethics, surgery, ethics, laparoscopy and robotic. Results: Of the citations obtained, were selected 17 articles, which were used for the preparation of the article. It contains brief presentation on robotics, its inclusion in health and bioethical aspects, and the use of robots in surgery. Conclusion: Robotic surgery is a reality today in many hospitals, which makes essential bioethical reflection on the relationship between health professionals, automata and patients.</t>
  </si>
  <si>
    <t>[Siqueira-Batista, Rodrigo] Univ Fed Rio de Janeiro, Postgrad Program Bioeth Appl Eth &amp; Publ Hlth, Rio De Janeiro, RJ, Brazil; [Siqueira-Batista, Rodrigo; Souza, Camila Ribeiro; Maia, Polyana Mendes] Univ Fed Vicosa, Dept Med &amp; Nursing, Vicosa, MG, Brazil; [Siqueira-Batista, Rodrigo; Siqueira, Savio Lana] Dynam Fac Piranga Valley, Nucleus Med Sci Studies, Ponte Nova, MG, Brazil</t>
  </si>
  <si>
    <t>Universidade Federal do Rio de Janeiro; Universidade Federal de Vicosa</t>
  </si>
  <si>
    <t>Siqueira-Batista, R (corresponding author), Univ Fed Rio de Janeiro, Postgrad Program Bioeth Appl Eth &amp; Publ Hlth, Rio De Janeiro, RJ, Brazil.;Siqueira-Batista, R (corresponding author), Univ Fed Vicosa, Dept Med &amp; Nursing, Vicosa, MG, Brazil.;Siqueira-Batista, R (corresponding author), Dynam Fac Piranga Valley, Nucleus Med Sci Studies, Ponte Nova, MG, Brazil.</t>
  </si>
  <si>
    <t>rsiqueirabatista@yahoo.com.br</t>
  </si>
  <si>
    <t>Siqueira-Batista, Rodrigo/AAG-9471-2019</t>
  </si>
  <si>
    <t>Siqueira-Batista, Rodrigo/0000-0002-3661-1570</t>
  </si>
  <si>
    <t>CNPq - Conselho Nacional de Desenvolvimento Cientifico e Tecnologico</t>
  </si>
  <si>
    <t>CNPq - Conselho Nacional de Desenvolvimento Cientifico e Tecnologico(Conselho Nacional de Desenvolvimento Cientifico e Tecnologico (CNPQ))</t>
  </si>
  <si>
    <t>COLEGIO BRASILEIRO CIRURGIA DIGESTIVA-CBCD</t>
  </si>
  <si>
    <t>SAO PAULO SP</t>
  </si>
  <si>
    <t>AV BRIGADEIRO LUIZ ANTONIO, 278-6-SALAS 10 E 11, SAO PAULO SP, 01318-901, BRAZIL</t>
  </si>
  <si>
    <t>0102-6720</t>
  </si>
  <si>
    <t>2317-6326</t>
  </si>
  <si>
    <t>ABCD-ARQ BRAS CIR DI</t>
  </si>
  <si>
    <t>ABCD-Arq. Bras. Cir. Dig.-Braz. Arch. Dig. Surg.</t>
  </si>
  <si>
    <t>10.1590/0102-6720201600040018</t>
  </si>
  <si>
    <t>EI7SP</t>
  </si>
  <si>
    <t>WOS:000392703900018</t>
  </si>
  <si>
    <t>Shirota, C; Jansa, J; Diaz, J; Balasubramanian, S; Mazzoleni, S; Borghese, NA; Melendez-Calderon, A</t>
  </si>
  <si>
    <t>Shirota, Camila; Jansa, Jelka; Diaz, Javier; Balasubramanian, Sivakumar; Mazzoleni, Stefano; Borghese, N. Alberto; Melendez-Calderon, Alejandro</t>
  </si>
  <si>
    <t>On the assessment of coordination between upper extremities: towards a common language between rehabilitation engineers, clinicians and neuroscientists</t>
  </si>
  <si>
    <t>Interlimb coordination; Upper limbs; Assessment; Robot-aided; Sensor-based</t>
  </si>
  <si>
    <t>UPPER-LIMB REHABILITATION; TRANSCRANIAL MAGNETIC STIMULATION; ABILITY MEASURE-36 MAM-36; BIMANUAL MOVEMENT CONTROL; MOTOR FUNCTION; MANUAL ABILITY; PHASE-TRANSITIONS; STROKE SURVIVORS; VISUAL FEEDBACK; ROBOT THERAPY</t>
  </si>
  <si>
    <t>Well-developed coordination of the upper extremities is critical for function in everyday life. Interlimb coordination is an intuitive, yet subjective concept that refers to spatio-temporal relationships between kinematic, kinetic and physiological variables of two or more limbs executing a motor task with a common goal. While both the clinical and neuroscience communities agree on the relevance of assessing and quantifying interlimb coordination, rehabilitation engineers struggle to translate the knowledge and needs of clinicians and neuroscientists into technological devices for the impaired. The use of ambiguous definitions in the scientific literature, and lack of common agreement on what should be measured, present large barriers to advancements in this area. Here, we present the different definitions and approaches to assess and quantify interlimb coordination in the clinic, in motor control studies, and by state-of-the-art robotic devices. We then propose a taxonomy of interlimb activities and give recommendations for future neuroscience-based robotic-and sensor-based assessments of upper limb function that are applicable to the everyday clinical practice. We believe this is the first step towards our long-term goal of unifying different fields and help the generation of more consistent and effective tools for neurorehabilitation.</t>
  </si>
  <si>
    <t>[Shirota, Camila] Swiss Fed Inst Technol, Dept Hlth Sci &amp; Technol, CH-8092 Zurich, Switzerland; [Jansa, Jelka] Univ Med Ctr Ljubljana, Div Neurol, Zaloska 2, Ljubljana 1000, Slovenia; [Diaz, Javier] CEIT IK4, Paseo Mikelegeti 48, San Sebastian 20009, Spain; [Balasubramanian, Sivakumar] Christian Med Coll &amp; Hosp, Dept Bioengn, Vellore 632002, Tamil Nadu, India; [Mazzoleni, Stefano] Scuola Super Sant Anna, BioRobot Inst, I-56025 Pontedera, Italy; [Borghese, N. Alberto] Univ Milan, Dept Comp Sci, Appl Intelligent Syst Lab AIS Lab, Via Celoria 20, Milan, Italy; [Melendez-Calderon, Alejandro] Northwestern Univ, Dept Phys Med &amp; Rehabil, Chicago, IL 60611 USA; [Melendez-Calderon, Alejandro] Hocoma AG, CH-8604 Volketswil, Switzerland</t>
  </si>
  <si>
    <t>Swiss Federal Institutes of Technology Domain; ETH Zurich; University Medical Centre Ljubljana; University of Navarra; Christian Medical College &amp; Hospital (CMCH) Vellore; Scuola Superiore Sant'Anna; University of Milan; Northwestern University</t>
  </si>
  <si>
    <t>Melendez-Calderon, A (corresponding author), Northwestern Univ, Dept Phys Med &amp; Rehabil, Chicago, IL 60611 USA.;Melendez-Calderon, A (corresponding author), Hocoma AG, CH-8604 Volketswil, Switzerland.</t>
  </si>
  <si>
    <t>alejandro.melendez@northwestern.edu</t>
  </si>
  <si>
    <t>Balasubramanian, Sivakumar/AEC-5073-2022; Mazzoleni, Stefano/AAM-8581-2020; Mazzoleni, Stefano/B-5875-2011</t>
  </si>
  <si>
    <t>Balasubramanian, Sivakumar/0000-0001-5915-1346; Mazzoleni, Stefano/0000-0002-9528-3239; Shirota, Camila/0000-0002-1502-1459; Melendez-Calderon, Alejandro/0000-0002-7922-1345; Diaz, Javier/0000-0002-7644-1449</t>
  </si>
  <si>
    <t>project State of the Art Robot-Supported assessments (STARS) as part of the COST Action European Network on Robotics for NeuroRehabilitation [TD1006]</t>
  </si>
  <si>
    <t>project State of the Art Robot-Supported assessments (STARS) as part of the COST Action European Network on Robotics for NeuroRehabilitation</t>
  </si>
  <si>
    <t>This work was developed in the frame of the project State of the Art Robot-Supported assessments (STARS) as part of the COST Action TD1006 European Network on Robotics for NeuroRehabilitation [1].</t>
  </si>
  <si>
    <t>10.1186/s12984-016-0186-x</t>
  </si>
  <si>
    <t>DW5DK</t>
  </si>
  <si>
    <t>WOS:000383662100001</t>
  </si>
  <si>
    <t>Chaudhary, U; Birbaumer, N; Ramos-Murguialday, A</t>
  </si>
  <si>
    <t>Chaudhary, Ujwal; Birbaumer, Niels; Ramos-Murguialday, Ander</t>
  </si>
  <si>
    <t>Brain-computer interfaces for communication and rehabilitation</t>
  </si>
  <si>
    <t>NATURE REVIEWS NEUROLOGY</t>
  </si>
  <si>
    <t>FUNCTIONAL ELECTRICAL-STIMULATION; AMYOTROPHIC-LATERAL-SCLEROSIS; SLOW CORTICAL POTENTIALS; INDUCED MOVEMENT THERAPY; LOCAL-FIELD POTENTIALS; PRIMATE MOTOR CORTEX; LOCKED-IN SYNDROME; REAL-TIME FMRI; LEARNED REGULATION; SELF-REGULATION</t>
  </si>
  <si>
    <t>Brain-computer interfaces (BCIs) use brain activity to control external devices, thereby enabling severely disabled patients to interact with the environment. A variety of invasive and noninvasive techniques for controlling BCIs have been explored, most notably EEG, and more recently, near-infrared spectroscopy. Assistive BCIs are designed to enable paralyzed patients to communicate or control external robotic devices, such as prosthetics; rehabilitative BCIs are designed to facilitate recovery of neural function. In this Review, we provide an overview of the development of BCIs and the current technology available before discussing experimental and clinical studies of BCIs. We first consider the use of BCIs for communication in patients who are paralyzed, particularly those with locked-in syndrome or complete locked-in syndrome as a result of amyotrophic lateral sclerosis. We then discuss the use of BCIs for motor rehabilitation after severe stroke and spinal cord injury. We also describe the possible neurophysiological and learning mechanisms that underlie the clinical efficacy of BCIs.</t>
  </si>
  <si>
    <t>[Chaudhary, Ujwal; Birbaumer, Niels; Ramos-Murguialday, Ander] Univ Tubingen, Inst Med Psychol &amp; Behav Neurobiol, Silcherstr 5, D-72076 Tubingen, Germany; [Birbaumer, Niels] Wyss Ctr Bio &amp; Neuroengn, Chenin Mines 9, CH-1202 Geneva, Switzerland; [Ramos-Murguialday, Ander] TECNALIA, Dept Hlth, Neural Engn Lab, Paseo Mikeletegi 1, San Sebastian 20009, Spain</t>
  </si>
  <si>
    <t>Eberhard Karls University of Tubingen; Eberhard Karls University Hospital</t>
  </si>
  <si>
    <t>Chaudhary, U; Ramos-Murguialday, A (corresponding author), Univ Tubingen, Inst Med Psychol &amp; Behav Neurobiol, Silcherstr 5, D-72076 Tubingen, Germany.;Ramos-Murguialday, A (corresponding author), TECNALIA, Dept Hlth, Neural Engn Lab, Paseo Mikeletegi 1, San Sebastian 20009, Spain.</t>
  </si>
  <si>
    <t>chaudharyujwal@gmail.com; ander.ramos@gmail.com</t>
  </si>
  <si>
    <t>Ramos, Ander/JOZ-4341-2023; Chaudhary, Ujwal/GLR-0455-2022</t>
  </si>
  <si>
    <t>Birbaumer, Niels/0000-0002-6786-5127; Ramos-Murguialday, Dr. Ander/0000-0002-1549-4029</t>
  </si>
  <si>
    <t>Deutsche Forschungsgemeinschaft (DFG) [Bi195]; Stiftung Volkswagenwerk (VW); German Ministry of Education and Research (BMBF) [MOTOR-BIC (FKZ 136W0053)]; Ministry of Science, Research and the Arts of Baden Wuttemberg [Az: 32-729.63-0/5-5]; Baden-Wurttemberg Stiftung [ROB-1]; EMOIO from the Federal Ministry of Education and Research (BMBF) [524-4013-16SV7196]; Eva and Horst Kohler-Stiftung, (Berlin); EU (Horizon 2020) grant Brain Train and Luminous, Brain Products, Munich, Germany; Wyss Foundation, Geneva, Switzerland</t>
  </si>
  <si>
    <t>Deutsche Forschungsgemeinschaft (DFG)(German Research Foundation (DFG)); Stiftung Volkswagenwerk (VW); German Ministry of Education and Research (BMBF)(Federal Ministry of Education &amp; Research (BMBF)); Ministry of Science, Research and the Arts of Baden Wuttemberg; Baden-Wurttemberg Stiftung; EMOIO from the Federal Ministry of Education and Research (BMBF); Eva and Horst Kohler-Stiftung, (Berlin); EU (Horizon 2020) grant Brain Train and Luminous, Brain Products, Munich, Germany; Wyss Foundation, Geneva, Switzerland</t>
  </si>
  <si>
    <t>The authors are funded by Deutsche Forschungsgemeinschaft (DFG, Bi195, Kosellek), Stiftung Volkswagenwerk (VW), German Ministry of Education and Research (BMBF, grant number MOTOR-BIC (FKZ 136W0053), Ministry of Science, Research and the Arts of Baden Wuttemberg (Az: 32-729.63-0/5-5), Baden-Wurttemberg Stiftung (ROB-1), EMOIO from the Federal Ministry of Education and Research (BMBF, 524-4013-16SV7196) and Eva and Horst Kohler-Stiftung, (Berlin), EU (Horizon 2020) grant Brain Train and Luminous, Brain Products, Munich, Germany, and the Wyss Foundation, Geneva, Switzerland.</t>
  </si>
  <si>
    <t>75 VARICK ST, 9TH FLR, NEW YORK, NY 10013-1917 USA</t>
  </si>
  <si>
    <t>1759-4758</t>
  </si>
  <si>
    <t>1759-4766</t>
  </si>
  <si>
    <t>NAT REV NEUROL</t>
  </si>
  <si>
    <t>Nat. Rev. Neurol.</t>
  </si>
  <si>
    <t>10.1038/nrneurol.2016.113</t>
  </si>
  <si>
    <t>DU2BW</t>
  </si>
  <si>
    <t>WOS:000382017000005</t>
  </si>
  <si>
    <t>Komendzinski, T; Mikolajewska, E; Mikolajewski, D; Dreszer, J; Balaj, B</t>
  </si>
  <si>
    <t>Komendzinski, Tomasz; Mikolajewska, Emilia; Mikolajewski, Dariusz; Dreszer, Joanna; Balaj, Bibianna</t>
  </si>
  <si>
    <t>Cognitive robots in the development and rehabilitation of children with developmental disorders</t>
  </si>
  <si>
    <t>cognitive flexibility; cognitive toy; developmental disorders; intelligent therapeutic tool; robot-child interaction; social robot; therapy</t>
  </si>
  <si>
    <t>AUTISM SPECTRUM DISORDER; ELECTRICAL PARAMETERS; HUMANOID ROBOT; MOTOR; ATTENTION; TECHNOLOGIES; PERCEPTION; SYSTEM; DEVICE; GAME</t>
  </si>
  <si>
    <t>Cognitive robots constitute a highly interdisciplinary approach to the issue of therapy of children with developmental disorders. Cognitive robots become more popular, especially in action and language integration areas, joining the experience of psychologists, neuroscientists, philosophers, and even engineers. The concept of a robot as a cognitive companion for humans may be very useful. The interaction between humans and cognitive robots may be a mediator of movement patterns, learning behaviors from demonstrations, group activities, and social behaviors, as far as higher-order concepts such as symbol manipulation capabilities, words acquisition, and sensorimotor knowledge organization. Moreover there is an occupation to check many theories, such as transferring the knowledge and skills between humans and robots. Although several robotic solutions for children have been proposed the diffusion of aforementioned ideas is still limited. The review summarizes the current and future role of cognitive robots in the development and rehabilitation of children with developmental disorders.</t>
  </si>
  <si>
    <t>[Komendzinski, Tomasz; Dreszer, Joanna; Balaj, Bibianna] Nicolaus Copernicus Univ, Dept Cognit Sci, Torun, Poland; [Komendzinski, Tomasz; Mikolajewska, Emilia; Mikolajewski, Dariusz; Dreszer, Joanna; Balaj, Bibianna] Nicolaus Copernicus Univ, Interdisciplinary Ctr Modern Technol, Neurocognit Lab, Torun, Poland; [Mikolajewska, Emilia] Nicolaus Copernicus Univ, Dept Physiotherapy, Ludwik Rydygier Coll Medium Bydgoszcz, Torun, Poland; [Mikolajewski, Dariusz] Kazimierz Wielki Univ, Inst Mech &amp; Appl Comp Sci, Bydgoszcz, Poland; [Mikolajewski, Dariusz] Nicolaus Copernicus Univ, Dept Informat, Torun, Poland</t>
  </si>
  <si>
    <t>Nicolaus Copernicus University; Nicolaus Copernicus University; Nicolaus Copernicus University; Kazimierz Wielki University; Nicolaus Copernicus University</t>
  </si>
  <si>
    <t>Komendzinski, T (corresponding author), Nicolaus Copernicus Univ, Dept Cognit Sci, Torun, Poland.;Komendzinski, T (corresponding author), Nicolaus Copernicus Univ, Interdisciplinary Ctr Modern Technol, Neurocognit Lab, Torun, Poland.</t>
  </si>
  <si>
    <t>tkomen@umk.pl</t>
  </si>
  <si>
    <t>Komendzinski, Tomasz/AAB-6928-2020; Mikołajewska, Emilia/F-8384-2012; Balaj, Bibianna/R-5508-2017</t>
  </si>
  <si>
    <t>Mikolajewski, Dariusz/0000-0003-4157-2796; Mikolajewska, Emilia/0000-0002-2769-3068; Balaj, Bibianna/0000-0001-5066-7493</t>
  </si>
  <si>
    <t>Polish National Science Centre [DEC-2013/08/W/HS6/00333]</t>
  </si>
  <si>
    <t>Polish National Science Centre</t>
  </si>
  <si>
    <t>This work was conducted as a part of work within a project NeuroPerCog: development of phonematic hearing and working memory in infants and children (head: Prof. Wlodzislaw Duch). The project is funded by the Polish National Science Centre (DEC-2013/08/W/HS6/00333, Symfonia 1).</t>
  </si>
  <si>
    <t>10.1515/bams-2016-0010</t>
  </si>
  <si>
    <t>VH4WY</t>
  </si>
  <si>
    <t>WOS:000453251800001</t>
  </si>
  <si>
    <t>Lamers, I; Maris, A; Severijns, D; Dielkens, W; Geurts, S; Van Wijmeersch, B; Feys, P</t>
  </si>
  <si>
    <t>Lamers, Ilse; Maris, Anneleen; Severijns, Deborah; Dielkens, Wouter; Geurts, Sander; Van Wijmeersch, Bart; Feys, Peter</t>
  </si>
  <si>
    <t>Upper Limb Rehabilitation in People With Multiple Sclerosis: A Systematic Review</t>
  </si>
  <si>
    <t>multiple sclerosis; upper extremity; rehabilitation</t>
  </si>
  <si>
    <t>QUALITY-OF-LIFE; ROUTINE NEUROREHABILITATION PROGRAM; THERAPY-RELATED INTERVENTIONS; UPPER EXTREMITY FUNCTION; MANUAL DEXTERITY; MULTIDISCIPLINARY REHABILITATION; RESISTANCE-EXERCISE; TRAINING TOOL; PHYSIOTHERAPY; HAND</t>
  </si>
  <si>
    <t>Background. There has been an increasing research interest in upper limb rehabilitation in multiple sclerosis (MS). The current changes in the research field inquire a new literature review. Objective. This systematic review aimed to provide an overview of the upper limb rehabilitation strategies in people with MS (PwMS). Methods. Articles published in PubMed and Web of Knowledge were selected when written in English, published in the past 25 years, peer reviewed, that included at least 5 PwMS, and described the effects of an intervention study including rehabilitation strategies targeting the upper limbs. Included articles were screened based on title/abstract and full text by 2 independent reviewers. Results. Thirty articles met the criteria and were included for data extraction. Only half of the included studies investigated the effects of a training program specially targeted toward the upper limbs, while in the other studies, a general whole body therapy was used. The therapy content and dosage varied greatly between the different included studies. Multidisciplinary and robot-based rehabilitation were the most investigated rehabilitation strategies and showed to improve upper limb capacity. Strength and endurance training improved the upper limb body functions and structures but did not influence the upper limb capacity and performance. Conclusions. The results of this systematic review indicated that different types of upper limb rehabilitation strategies can improve upper limb function in PwMS. Further research is necessary to compare directly the effects of different rehabilitation strategies and to investigate the optimal therapy dosage according to the upper limb disability level.</t>
  </si>
  <si>
    <t>[Lamers, Ilse; Maris, Anneleen; Severijns, Deborah; Dielkens, Wouter; Geurts, Sander; Van Wijmeersch, Bart; Feys, Peter] Hasselt Univ, BIOMED Biomed Res Inst, Fac Med &amp; Life Sci, REVAL Rehabil Res Ctr, Hasselt, Belgium; [Van Wijmeersch, Bart] Rehabil &amp; MS Ctr, Overpelt, Belgium</t>
  </si>
  <si>
    <t>Hasselt University</t>
  </si>
  <si>
    <t>Lamers, I (corresponding author), Hasselt Univ, REVAL BIOMED, Martelarenlaan 42, B-3500 Hasselt, Belgium.</t>
  </si>
  <si>
    <t>ilse.lamers@uhasselt.be</t>
  </si>
  <si>
    <t>Van Wijmeersch, Bart/0000-0003-0528-1545; Lamers, Ilse/0000-0001-6147-4769; Severijns, Deborah/0000-0002-5116-4262; Feys, Peter/0000-0002-5680-5495</t>
  </si>
  <si>
    <t>10.1177/1545968315624785</t>
  </si>
  <si>
    <t>DU9WJ</t>
  </si>
  <si>
    <t>WOS:000382568500008</t>
  </si>
  <si>
    <t>Maggioni, S; Melendez-Calderon, A; van Asseldonk, E; Klamroth-Marganska, V; Lünenburger, L; Riener, R; van der Kooij, H</t>
  </si>
  <si>
    <t>Maggioni, Serena; Melendez-Calderon, Alejandro; van Asseldonk, Edwin; Klamroth-Marganska, Verena; Lunenburger, Lars; Riener, Robert; van der Kooij, Herman</t>
  </si>
  <si>
    <t>Robot-aided assessment of lower extremity functions: a review</t>
  </si>
  <si>
    <t>Assessment; ICF; Robotic rehabilitation; Walking; Muscle force; Range of motion; Proprioception; Synergies; Joint impedance; Gait; Reliability; Validity; Responsiveness; Exoskeleton; Translational research</t>
  </si>
  <si>
    <t>SPINAL-CORD-INJURY; HAND-HELD DYNAMOMETRY; HUMAN ANKLE STIFFNESS; MODIFIED ASHWORTH SCALE; JOINT TORQUE PATTERNS; FUGL-MEYER ASSESSMENT; OUTCOME MEASURES; MUSCLE STRENGTH; LOWER-LIMB; KNEE FLEXION</t>
  </si>
  <si>
    <t>The assessment of sensorimotor functions is extremely important to understand the health status of a patient and its change over time. Assessments are necessary to plan and adjust the therapy in order to maximize the chances of individual recovery. Nowadays, however, assessments are seldom used in clinical practice due to administrative constraints or to inadequate validity, reliability and responsiveness. In clinical trials, more sensitive and reliable measurement scales could unmask changes in physiological variables that would not be visible with existing clinical scores. In the last decades robotic devices have become available for neurorehabilitation training in clinical centers. Besides training, robotic devices can overcome some of the limitations in traditional clinical assessments by providing more objective, sensitive, reliable and time-efficient measurements. However, it is necessary to understand the clinical needs to be able to develop novel robot-aided assessment methods that can be integrated in clinical practice. This paper aims at providing researchers and developers in the field of robotic neurorehabilitation with a comprehensive review of assessment methods for the lower extremities. Among the ICF domains, we included those related to lower extremities sensorimotor functions and walking; for each chapter we present and discuss existing assessments used in routine clinical practice and contrast those to state-of-the-art instrumented and robot-aided technologies. Based on the shortcomings of current assessments, on the identified clinical needs and on the opportunities offered by robotic devices, we propose future directions for research in rehabilitation robotics. The review and recommendations provided in this paper aim to guide the design of the next generation of robot-aided functional assessments, their validation and their translation to clinical practice.</t>
  </si>
  <si>
    <t>[Maggioni, Serena; Klamroth-Marganska, Verena; Riener, Robert] Swiss Fed Inst Technol, Dept Hlth Sci &amp; Technol D HEST, Inst Robot &amp; Intelligent Syst, Sensory Motor Syst SMS Lab, Zurich, Switzerland; [Maggioni, Serena; Melendez-Calderon, Alejandro; Lunenburger, Lars] Hocoma AG, Volketswil, Switzerland; [Maggioni, Serena; Klamroth-Marganska, Verena; Riener, Robert] Univ Zurich, Balgrist Univ Hosp, Spinal Cord Injury Ctr, Zurich, Switzerland; [Melendez-Calderon, Alejandro] Northwestern Univ, Dept Phys Med &amp; Rehabil, Chicago, IL 60611 USA; [van Asseldonk, Edwin; van der Kooij, Herman] Univ Twente, MIRA Inst Biomed Technol &amp; Tech Med, Lab Biomech Engn, Enschede, Netherlands; [van der Kooij, Herman] Delft Univ Technol, Dept Biomech Engn, Delft, Netherlands</t>
  </si>
  <si>
    <t>Swiss Federal Institutes of Technology Domain; ETH Zurich; University of Zurich; Northwestern University; University of Twente; Delft University of Technology</t>
  </si>
  <si>
    <t>Maggioni, S (corresponding author), Swiss Fed Inst Technol, Dept Hlth Sci &amp; Technol D HEST, Inst Robot &amp; Intelligent Syst, Sensory Motor Syst SMS Lab, Zurich, Switzerland.;Maggioni, S (corresponding author), Hocoma AG, Volketswil, Switzerland.</t>
  </si>
  <si>
    <t>serenam@ethz.ch</t>
  </si>
  <si>
    <t>Riener, Robert/B-9868-2016; van der kooij, herman/D-1102-2014</t>
  </si>
  <si>
    <t>van der kooij, herman/0000-0002-7926-3262; van Asseldonk, Edwin/0000-0003-1534-2348; Melendez-Calderon, Alejandro/0000-0002-7922-1345; Riener, Robert/0000-0002-1726-2950</t>
  </si>
  <si>
    <t>People Programme (Marie Curie Actions) of the European Union's Seventh Framework Programme (FP7) under REA grant [316639]</t>
  </si>
  <si>
    <t>People Programme (Marie Curie Actions) of the European Union's Seventh Framework Programme (FP7) under REA grant(Marie Curie Actions)</t>
  </si>
  <si>
    <t>SM at the time of writing of this work was employed within the Industrial Academic Initial Training Network Moving Beyond (www.moving-beyond.eu) that received funding from the People Programme (Marie Curie Actions) of the European Union's Seventh Framework Programme (FP7/2007-2013) under REA grant agreement no 316639.</t>
  </si>
  <si>
    <t>10.1186/s12984-016-0180-3</t>
  </si>
  <si>
    <t>DT2UO</t>
  </si>
  <si>
    <t>WOS:000381337500001</t>
  </si>
  <si>
    <t>Santello, M; Bianchi, M; Gabiccini, M; Ricciardi, E; Salvietti, G; Prattichizzo, D; Ernst, M; Moscatelli, A; Jörntell, H; Kappers, AML; Kyriakopoulos, K; Albu-Schäffer, A; Castellini, C; Bicchi, A</t>
  </si>
  <si>
    <t>Santello, Marco; Bianchi, Matteo; Gabiccini, Marco; Ricciardi, Emiliano; Salvietti, Gionata; Prattichizzo, Domenico; Ernst, Marc; Moscatelli, Alessandro; Jorntell, Henrik; Kappers, Astrid M. L.; Kyriakopoulos, Kostas; Albu-Schaeffer, Alin; Castellini, Claudio; Bicchi, Antonio</t>
  </si>
  <si>
    <t>Hand synergies: Integration of robotics and neuroscience for understanding the control of biological and artificial hands</t>
  </si>
  <si>
    <t>Movement; Force; Biomechanics; Electromyography; Motor control</t>
  </si>
  <si>
    <t>HUMAN PRIMARY MOTOR; PROPORTIONAL MYOELECTRIC CONTROL; FINGER MOVEMENTS; COMMON INPUT; POSTURAL SYNERGIES; HAPTIC PERCEPTION; MUSCLE SYNERGIES; TELE-IMPEDANCE; PREHENSION; GRASP</t>
  </si>
  <si>
    <t>The term 'synergy' from the Greek synergia means 'working together'. The concept of multiple elements working together towards a common goal has been extensively used in neuroscience to develop theoretical frameworks, experimental approaches, and analytical techniques to understand neural control of movement, and for applications for neuro-rehabilitation. In the past decade, roboticists have successfully applied the framework of synergies to create novel design and control concepts for artificial hands, i.e., robotic hands and prostheses. At the same time, robotic research on the sensorimotor integration underlying the control and sensing of artificial hands has inspired new research approaches in neuroscience, and has provided useful instruments for novel experiments. The ambitious goal of integrating expertise and research approaches in robotics and neuroscience to study the properties and applications of the concept of synergies is generating a number of multidisciplinary cooperative projects, among which the recently finished 4-year European project The Hand Embodied (THE). This paper reviews the main insights provided by this framework. Specifically, we provide an overview of neuroscientific bases of hand synergies and introduce how robotics has leveraged the insights from neuroscience for innovative design in hardware and controllers for biomedical engineering applications, including myoelectric hand prostheses, devices for haptics research, and wearable sensing of human hand kinematics. The review also emphasizes how this multidisciplinary collaboration has generated new ways to conceptualize a synergy-based approach for robotics, and provides guidelines and principles for analyzing human behavior and synthesizing artificial robotic systems based on a theory of synergies. (C) 2016 Elsevier B.V. All rights reserved.</t>
  </si>
  <si>
    <t>[Santello, Marco] Arizona State Univ, Sch Biol &amp; Hlth Syst Engn, 501 East Tyler Mall,ECG Bldg,Suite 334, Tempe, AZ 85287 USA; [Bianchi, Matteo; Gabiccini, Marco; Ricciardi, Emiliano; Bicchi, Antonio] Univ Pisa, Res Ctr E Piaggio, Largo Lucio Lazzarino 1, I-56122 Pisa, Italy; [Bianchi, Matteo; Gabiccini, Marco; Prattichizzo, Domenico; Bicchi, Antonio] Ist Italiano Tecnol, Adv Robot Dept, Genoa, Italy; [Gabiccini, Marco] Univ Pisa, Dept Civil &amp; Ind Engn, Pisa, Italy; [Ricciardi, Emiliano] Univ Pisa, Dept Surg Med Mol Pathol &amp; Crit Care, Mol Mind Lab, I-56122 Pisa, Italy; [Salvietti, Gionata; Prattichizzo, Domenico] Univ Siena, Dept Informat Engn &amp; Math, Siena, Italy; [Ernst, Marc; Moscatelli, Alessandro] Univ Bielefeld, Dept Cognit Neurosci, Bielefeld, Germany; [Ernst, Marc; Moscatelli, Alessandro] Univ Bielefeld, CITEC, Bielefeld, Germany; [Moscatelli, Alessandro] Univ Roma Tor Vergata, Dept Syst Med, I-00173 Rome, Italy; [Moscatelli, Alessandro] Univ Roma Tor Vergata, Ctr Space Biomed, I-00173 Rome, Italy; [Jorntell, Henrik] Lund Univ, Dept Expt Med Sci, Neural Basis Sensorimotor Control, Lund, Sweden; [Kappers, Astrid M. L.] Vrije Univ Amsterdam, Human Movement Sci, Amsterdam, Netherlands; [Kyriakopoulos, Kostas] Natl Tech Univ Athens, Sch Mech Engn, GR-10682 Athens, Greece; [Albu-Schaeffer, Alin; Castellini, Claudio] DLR German Aerosp Ctr, Inst Robot &amp; Mechatron, Oberpfaffenhofen, Germany</t>
  </si>
  <si>
    <t>Arizona State University; Arizona State University-Tempe; University of Pisa; Istituto Italiano di Tecnologia - IIT; University of Pisa; University of Pisa; University of Siena; University of Bielefeld; University of Bielefeld; University of Rome Tor Vergata; University of Rome Tor Vergata; Lund University; Vrije Universiteit Amsterdam; National Technical University of Athens; Helmholtz Association; German Aerospace Centre (DLR)</t>
  </si>
  <si>
    <t>Santello, M (corresponding author), Arizona State Univ, Sch Biol &amp; Hlth Syst Engn, 501 East Tyler Mall,ECG Bldg,Suite 334, Tempe, AZ 85287 USA.;Bicchi, A (corresponding author), Univ Pisa, Res Ctr E Piaggio, Largo Lucio Lazzarino 1, I-56122 Pisa, Italy.</t>
  </si>
  <si>
    <t>marco.santello@asu.edu; antonio.bicchi@unipi.it</t>
  </si>
  <si>
    <t>Kyriakopoulos, Kostas/AAN-8453-2021; Gabiccini, Marco/KII-2180-2024; SALVIETTI, GIONATA/AAB-8755-2019; Bianchi, Matteo/AAB-8859-2019; Ricciardi, Emiliano/E-6929-2011; Moscatelli, Alessandro/L-1391-2018; Castellini, Claudio/M-8555-2017; Albu-Schaffer, Alin/I-6736-2016</t>
  </si>
  <si>
    <t>Ricciardi, Emiliano/0000-0002-7178-9534; PRATTICHIZZO, Domenico/0000-0001-9051-9698; Moscatelli, Alessandro/0000-0001-6269-4536; Ernst, Marc/0000-0003-4197-8569; Kappers, Astrid/0000-0003-4101-7717; Castellini, Claudio/0000-0002-7346-2180; Bianchi, Matteo/0000-0003-4747-1697; Kyriakopoulos, Kostas/0000-0002-1229-3029; Albu-Schaffer, Alin/0000-0001-5343-9074; SALVIETTI, GIONATA/0000-0001-9170-4051</t>
  </si>
  <si>
    <t>European Commission [248587, FP7-ICT-2009-4-2-1]; European Research Council [291166]; National Science Foundation (NSF) [BCS-1455866]; Eunice Kennedy Shriver National Institute Of Child Health and Human Development of the National Institutes of Health (NIH) [R21HD081938]; Direct For Social, Behav &amp; Economic Scie; Division Of Behavioral and Cognitive Sci [1455866] Funding Source: National Science Foundation; Direct For Social, Behav &amp; Economic Scie; Division Of Behavioral and Cognitive Sci [1455865] Funding Source: National Science Foundation</t>
  </si>
  <si>
    <t>European Commission(European Union (EU)European Commission Joint Research Centre); European Research Council(European Research Council (ERC)); National Science Foundation (NSF)(National Science Foundation (NSF)); Eunice Kennedy Shriver National Institute Of Child Health and Human Development of the National Institutes of Health (NIH); Direct For Social, Behav &amp; Economic Scie; Division Of Behavioral and Cognitive Sci(National Science Foundation (NSF)NSF - Directorate for Social, Behavioral &amp; Economic Sciences (SBE)); Direct For Social, Behav &amp; Economic Scie; Division Of Behavioral and Cognitive Sci(National Science Foundation (NSF)NSF - Directorate for Social, Behavioral &amp; Economic Sciences (SBE))</t>
  </si>
  <si>
    <t>This work has been partially supported by the European Commission with Collaborative Project No. 248587, 'THE Hand Embodied', within the FP7-ICT-2009-4-2-1 programme 'Cognitive Systems and Robotics', by the European Research Council under the Advanced Grant No. 291166,'SoftHands: A Theory of Soft Synergies for a New Generation of Artificial Hands', and by the National Science Foundation (NSF) Grant BCS-1455866 Collaborative Research: Sensorimotor Control of Hand Object Interactions, and the Eunice Kennedy Shriver National Institute Of Child Health and Human Development of the National Institutes of Health (NIH) under Award Number R21HD081938 Soft Synergy-Based Artificial Hand for Prosthetic applications. The content is solely the responsibility of the authors and does not necessarily represent the official views of the NSF or NIH. We would also like to thank Drs., Rod Grupen, Mitsuo Kawato and Matt Mason who served as reviewers of the THE project, and Dr. Cecile Huet, the officer in charge of the supervision of the THE project, for their insight and guidance throughout the four years of the project.</t>
  </si>
  <si>
    <t>10.1016/j.plrev.2016.02.001</t>
  </si>
  <si>
    <t>DT5SY</t>
  </si>
  <si>
    <t>Green Accepted, Bronze, Green Published</t>
  </si>
  <si>
    <t>WOS:000381544100001</t>
  </si>
  <si>
    <t>Bos, RA; Haarman, CJW; Stortelder, T; Nizamis, K; Herder, JL; Stienen, AHA; Plettenburg, DH</t>
  </si>
  <si>
    <t>Bos, Ronald A.; Haarman, Claudia J. W.; Stortelder, Teun; Nizamis, Kostas; Herder, Just L.; Stienen, Arno H. A.; Plettenburg, Dick H.</t>
  </si>
  <si>
    <t>A structured overview of trends and technologies used in dynamic hand orthoses</t>
  </si>
  <si>
    <t>Hand impairments; Orthosis; Exoskeleton; Rehabilitation robot; Assistive device</t>
  </si>
  <si>
    <t>ACTUATED FINGER EXOSKELETON; ROBOT-ASSISTED THERAPY; FORCE-FEEDBACK; REHABILITATION ROBOT; HAPTIC INTERFACE; PNEUMATIC ACTUATORS; ARM REHABILITATION; DESIGN; STROKE; SYSTEM</t>
  </si>
  <si>
    <t>The development of dynamic hand orthoses is a fast-growing field of research and has resulted in many different devices. A large and diverse solution space is formed by the various mechatronic components which are used in these devices. They are the result of making complex design choices within the constraints imposed by the application, the environment and the patient's individual needs. Several review studies exist that cover the details of specific disciplines which play a part in the developmental cycle. However, a general collection of all endeavors around the world and a structured overview of the solution space which integrates these disciplines is missing. In this study, a total of 165 individual dynamic hand orthoses were collected and their mechatronic components were categorized into a framework with a signal, energy and mechanical domain. Its hierarchical structure allows it to reach out towards the different disciplines while connecting them with common properties. Additionally, available arguments behind design choices were collected and related to the trends in the solution space. As a result, a comprehensive overview of the used mechatronic components in dynamic hand orthoses is presented.</t>
  </si>
  <si>
    <t>[Bos, Ronald A.; Plettenburg, Dick H.] Delft Univ Technol, Dept Biomech Engn, Mekelweg 2, NL-2628 CD Delft, Netherlands; [Haarman, Claudia J. W.; Stortelder, Teun; Nizamis, Kostas; Herder, Just L.; Stienen, Arno H. A.] Univ Twente, Dept Biomech Engn, Drienerlolaan 5, NL-7522 NB Enschede, Netherlands; [Herder, Just L.] Delft Univ Technol, Dept Precis &amp; Microsyst Engn, Mekelweg 2, NL-2628 CD Delft, Netherlands; [Stienen, Arno H. A.] Northwestern Univ, Dept Phys Therapy &amp; Human Movement Sci, 645 N Michigan Ave,Suite 1100, Chicago, IL 60611 USA</t>
  </si>
  <si>
    <t>Delft University of Technology; University of Twente; Delft University of Technology; Northwestern University</t>
  </si>
  <si>
    <t>Bos, RA (corresponding author), Delft Univ Technol, Dept Biomech Engn, Mekelweg 2, NL-2628 CD Delft, Netherlands.</t>
  </si>
  <si>
    <t>r.a.bos@tudelft.nl</t>
  </si>
  <si>
    <t>Nizamis, Kostas/I-2830-2019; Herder, Just/F-9368-2011</t>
  </si>
  <si>
    <t>Haarman, Claudia/0000-0001-6316-2283; Herder, Just/0000-0002-2770-0539; Nizamis, Kostas/0000-0002-6965-0242; Plettenburg, Dick/0000-0003-1022-5855</t>
  </si>
  <si>
    <t>Dutch Technology foundation STW [13524, 13525]; Hankamp Rehabilitation (Enschede, NL); Hocoma (Volketswil, CH); TMSi (Oldenzaal, NL); Moog (Nieuw Vennep, NL); FESTO (Delft, NL); multiple Duchenne foundations (NL USA); Ministry of Economic Affairs</t>
  </si>
  <si>
    <t>Dutch Technology foundation STW(Technologiestichting STW); Hankamp Rehabilitation (Enschede, NL); Hocoma (Volketswil, CH); TMSi (Oldenzaal, NL); Moog (Nieuw Vennep, NL); FESTO (Delft, NL); multiple Duchenne foundations (NL USA); Ministry of Economic Affairs</t>
  </si>
  <si>
    <t>This research is part of the Symbionics program, which is partially supported by the Dutch Technology foundation STW (#13524 and #13525), Hankamp Rehabilitation (Enschede, NL), Hocoma (Volketswil, CH), TMSi (Oldenzaal, NL), Moog (Nieuw Vennep, NL), FESTO (Delft, NL), and multiple Duchenne foundations (NL &amp; USA). STW is part of the Netherlands Organization for Scientific Research (NWO), which is partly funded by the Ministry of Economic Affairs.</t>
  </si>
  <si>
    <t>JUN 29</t>
  </si>
  <si>
    <t>10.1186/s12984-016-0168-z</t>
  </si>
  <si>
    <t>DQ1XS</t>
  </si>
  <si>
    <t>WOS:000378994800001</t>
  </si>
  <si>
    <t>Malik, NA; Hanapiah, FA; Rahman, RAA; Yussof, H</t>
  </si>
  <si>
    <t>Malik, Norjasween Abdul; Hanapiah, Fazah Akhtar; Rahman, Rabiatul Adawiah Abdul; Yussof, Hanafiah</t>
  </si>
  <si>
    <t>Emergence of Socially Assistive Robotics in Rehabilitation for Children with Cerebral Palsy: A Review</t>
  </si>
  <si>
    <t>Human-robot Interaction; Socially Assistive Robotic; Cerebral Palsy; Rehabilitation Robotic</t>
  </si>
  <si>
    <t>Robotic assistive technology is today widely used in rehabilitation. Social assistive robotics (SAR) is one of the developing areas of research with potential advantages for areas involving elderly care, people with cognitive impairment, rehabilitation for people with physical disabilities and for educational purposes. Cerebral palsy (CP) is a common neurological disorder among children that impairs motor function and may involve cognitive function. The use of social assistive robotic technology serves as a potential approach for CP rehabilitation. The objective of this paper is to review published articles regarding SAR in rehabilitation for children with CP. Twelve published studies have been identified and will be discussed in this review paper.</t>
  </si>
  <si>
    <t>[Malik, Norjasween Abdul; Hanapiah, Fazah Akhtar] Univ Teknol MARA UiTM, Shah Alam, Selangor, Malaysia; [Hanapiah, Fazah Akhtar] Univ Teknol MARA, Malaysia Inst Pathol Forens &amp; Lab Med I PPerForM, Sungai Buloh, Selangor, Malaysia; [Rahman, Rabiatul Adawiah Abdul] Univ Teknol MARA UiTM, Fac Hlth Sci, Puncak Alam, Selangor, Malaysia; [Yussof, Hanafiah] Univ Teknol MARA UiTM, Fac Mech Engn, Shah Alam, Selangor, Malaysia</t>
  </si>
  <si>
    <t>Universiti Teknologi MARA; Universiti Teknologi MARA; Universiti Teknologi MARA; Universiti Teknologi MARA</t>
  </si>
  <si>
    <t>Malik, NA (corresponding author), Univ Teknol MARA UiTM, Shah Alam, Selangor, Malaysia.</t>
  </si>
  <si>
    <t>fazah@salam.uitm.edu.my</t>
  </si>
  <si>
    <t>Hanapiah, Fazah/AAW-8811-2021</t>
  </si>
  <si>
    <t>Hanapiah, Fazah/0000-0003-3409-7210</t>
  </si>
  <si>
    <t>10.5772/64163</t>
  </si>
  <si>
    <t>DP1UG</t>
  </si>
  <si>
    <t>WOS:000378274300002</t>
  </si>
  <si>
    <t>Louie, DR; Eng, JJ</t>
  </si>
  <si>
    <t>Louie, Dennis R.; Eng, Janice J.</t>
  </si>
  <si>
    <t>Powered robotic exoskeletons in post-stroke rehabilitation of gait: a scoping review</t>
  </si>
  <si>
    <t>Stroke; Cerebrovascular accident; Robotic exoskeleton; Gait rehabilitation; Scoping review</t>
  </si>
  <si>
    <t>HYBRID ASSISTIVE LIMB; BODY-WEIGHT SUPPORT; STROKE PATIENTS; GLOBAL BURDEN; CASE-SERIES; WALKING; INDIVIDUALS; RECOVERY; EFFICACY</t>
  </si>
  <si>
    <t>Powered robotic exoskeletons are a potential intervention for gait rehabilitation in stroke to enable repetitive walking practice to maximize neural recovery. As this is a relatively new technology for stroke, a scoping review can help guide current research and propose recommendations for advancing the research development. The aim of this scoping review was to map the current literature surrounding the use of robotic exoskeletons for gait rehabilitation in adults post-stroke. Five databases (Pubmed, OVID MEDLINE, CINAHL, Embase, Cochrane Central Register of Clinical Trials) were searched for articles from inception to October 2015. Reference lists of included articles were reviewed to identify additional studies. Articles were included if they utilized a robotic exoskeleton as a gait training intervention for adult stroke survivors and reported walking outcome measures. Of 441 records identified, 11 studies, all published within the last five years, involving 216 participants met the inclusion criteria. The study designs ranged from pre-post clinical studies (n = 7) to controlled trials (n = 4); five of the studies utilized a robotic exoskeleton device unilaterally, while six used a bilateral design. Participants ranged from sub-acute (&lt;7 weeks) to chronic (&gt;6 months) stroke. Training periods ranged from single-session to 8-week interventions. Main walking outcome measures were gait speed, Timed Up and Go, 6-min Walk Test, and the Functional Ambulation Category. Meaningful improvement with exoskeleton-based gait training was more apparent in sub-acute stroke compared to chronic stroke. Two of the four controlled trials showed no greater improvement in any walking outcomes compared to a control group in chronic stroke. In conclusion, clinical trials demonstrate that powered robotic exoskeletons can be used safely as a gait training intervention for stroke. Preliminary findings suggest that exoskeletal gait training is equivalent to traditional therapy for chronic stroke patients, while sub-acute patients may experience added benefit from exoskeletal gait training. Efforts should be invested in designing rigorous, appropriately powered controlled trials before powered exoskeletons can be translated into a clinical tool for gait rehabilitation post-stroke.</t>
  </si>
  <si>
    <t>[Louie, Dennis R.] Univ British Columbia, Grad Program Rehabil Sci, Vancouver, BC V5Z 1M9, Canada; [Eng, Janice J.] Univ British Columbia, Dept Phys Therapy, 212-2177 Wesbrook Mall, Vancouver, BC V6T 1Z3, Canada; [Louie, Dennis R.; Eng, Janice J.] Vancouver Coastal Hlth Res Inst, Rehabil Res Program, Vancouver, BC, Canada</t>
  </si>
  <si>
    <t>University of British Columbia; University of British Columbia; Vancouver Coastal Health Research Institute</t>
  </si>
  <si>
    <t>Eng, JJ (corresponding author), Univ British Columbia, Dept Phys Therapy, 212-2177 Wesbrook Mall, Vancouver, BC V6T 1Z3, Canada.;Eng, JJ (corresponding author), Vancouver Coastal Hlth Res Inst, Rehabil Res Program, Vancouver, BC, Canada.</t>
  </si>
  <si>
    <t>janice.eng@ubc.ca</t>
  </si>
  <si>
    <t>Heart and Stroke Foundation of Canada; Canada Research Chairs Program</t>
  </si>
  <si>
    <t>Heart and Stroke Foundation of Canada(Heart &amp; Stroke Foundation of Canada); Canada Research Chairs Program(Canada Research Chairs)</t>
  </si>
  <si>
    <t>The project was supported by funding from a Grant-in-Aid from the Heart and Stroke Foundation of Canada and the Canada Research Chairs Program.</t>
  </si>
  <si>
    <t>JUN 8</t>
  </si>
  <si>
    <t>10.1186/s12984-016-0162-5</t>
  </si>
  <si>
    <t>DO1YG</t>
  </si>
  <si>
    <t>WOS:000377575500002</t>
  </si>
  <si>
    <t>Contreras-Vidal, JL; Bhagat, NA; Brantley, J; Cruz-Garza, JG; He, YT; Manley, Q; Nakagome, S; Nathan, K; Tan, SH; Zhu, FS; Pons, JL</t>
  </si>
  <si>
    <t>Contreras-Vidal, Jose L.; Bhagat, Nikunj A.; Brantley, Justin; Cruz-Garza, Jesus G.; He, Yongtian; Manley, Quinn; Nakagome, Sho; Nathan, Kevin; Tan, Su H.; Zhu, Fangshi; Pons, Jose L.</t>
  </si>
  <si>
    <t>Powered exoskeletons for bipedal locomotion after spinal cord injury</t>
  </si>
  <si>
    <t>Paraplegia; tetraplegia; spinal cord injury; orthoses; exoskeletons; over-ground walking; gait intention</t>
  </si>
  <si>
    <t>LOWER-LIMB EXOSKELETONS; TREADMILL WALKING; ASSISTED WALKING; GAIT; REHABILITATION; ORTHOSES; DESIGN; ROBOT; PEOPLE; INDIVIDUALS</t>
  </si>
  <si>
    <t>Objective. Powered exoskeletons promise to increase the quality of life of people with lower-body paralysis or weakened legs by assisting or restoring legged mobility while providing health benefits across multiple physiological systems. Here, a systematic review of the literature on powered exoskeletons addressed critical questions: What is the current evidence of clinical efficacy for lower-limb powered exoskeletons? What are the benefits and risks for individuals with spinal cord injury (SCI)? What are the levels of injury considered in such studies? What are their outcome measures? What are the opportunities for the next generation exoskeletons? Approach. A systematic search of online databases was performed to identify clinical trials and safety or efficacy studies with lower-limb powered exoskeletons for individuals with SCI. Twenty-two studies with eight powered exoskeletons thus selected, were analyzed based on the protocol design, subject demographics, study duration, and primary/secondary outcome measures for assessing exoskeleton's performance in SCI subjects. Main results. Findings show that the level of injury varies across studies, with T10 injuries being represented in 45.4% of the studies. A categorical breakdown of outcome measures revealed 63% of these measures were gait and ambulation related, followed by energy expenditure (16%), physiological improvements (13%), and usability and comfort (8%). Moreover, outcome measures varied across studies, and none had measures spanning every category, making comparisons difficult. Significance. This review of the literature shows that a majority of current studies focus on thoracic level injury as well as there is an emphasis on ambulatory-related primary outcome measures. Future research should: 1) develop criteria for optimal selection and training of patients most likely to benefit from this technology, 2) design multimodal gait intention detection systems that engage and empower the user, 3) develop real-time monitoring and diagnostic capabilities, and 4) adopt comprehensive metrics for assessing safety, benefits, and usability.</t>
  </si>
  <si>
    <t>[Contreras-Vidal, Jose L.; Bhagat, Nikunj A.; Brantley, Justin; Cruz-Garza, Jesus G.; He, Yongtian; Manley, Quinn; Nakagome, Sho; Nathan, Kevin; Tan, Su H.; Zhu, Fangshi] Univ Houston, Dept Elect Engn, Lab Noninvas Brain Machine Interface, Houston, TX 77204 USA; [Pons, Jose L.] Spanish Res Council, Neural Rehabil Grp, Inst Cajal, Av Doctor Arce 37, E-28002 Madrid, Spain</t>
  </si>
  <si>
    <t>University of Houston System; University of Houston; Consejo Superior de Investigaciones Cientificas (CSIC); CSIC - Instituto Cajal (IC)</t>
  </si>
  <si>
    <t>Contreras-Vidal, JL (corresponding author), Univ Houston, Dept Elect Engn, Lab Noninvas Brain Machine Interface, Houston, TX 77204 USA.</t>
  </si>
  <si>
    <t>Bhagat, Nikunj/AAW-1704-2021; Zhu, Fangshi/AAS-9876-2021; Cruz-Garza, Jesus G/I-6348-2019; Contreras-Vidal, Jose/AAW-9299-2020</t>
  </si>
  <si>
    <t>Zhu, Fangshi/0000-0002-3587-5531; He, Yongtian/0000-0002-3700-4406; Cruz-Garza, Jesus G/0000-0002-8440-6416; Contreras-Vidal, Jose/0000-0002-6499-1208; Nakagome, Sho/0000-0003-0204-2792; Pons, Jose L./0000-0003-0265-0181; Bhagat, Nikunj/0000-0002-0158-2861</t>
  </si>
  <si>
    <t>NINDS, Mission Connect-TIRR Foundation [R01NS075889]</t>
  </si>
  <si>
    <t>NINDS, Mission Connect-TIRR Foundation</t>
  </si>
  <si>
    <t>This work was supported in part by NINDS Awards R01NS075889, Mission Connect-TIRR Foundation.</t>
  </si>
  <si>
    <t>10.1088/1741-2560/13/3/031001</t>
  </si>
  <si>
    <t>DL5TZ</t>
  </si>
  <si>
    <t>WOS:000375701200001</t>
  </si>
  <si>
    <t>Patterson, JM; Brady, GC; Roe, JWG</t>
  </si>
  <si>
    <t>Patterson, Joanne M.; Brady, Grainne C.; Roe, Justin W. G.</t>
  </si>
  <si>
    <t>Research into the prevention and rehabilitation of dysphagia in head and neck cancer: a UK perspective</t>
  </si>
  <si>
    <t>CURRENT OPINION IN OTOLARYNGOLOGY &amp; HEAD AND NECK SURGERY</t>
  </si>
  <si>
    <t>dysphagia; head and neck cancer; prevention; rehabilitation; treatment</t>
  </si>
  <si>
    <t>TRANSORAL LASER MICROSURGERY; OROPHARYNGEAL CANCER; ROBOTIC SURGERY; RADIOTHERAPY; OUTCOMES; CHEMORADIATION; CHEMORADIOTHERAPY; GASTROSTOMY; MANAGEMENT; EXERCISE</t>
  </si>
  <si>
    <t>Purpose of review There is an increasing recognition of dysphagia as a frequent, often severe and chronic side-effect of head and neck cancer treatment. There has been a global increase in the number of head and neck cancer survivors, increasing the urgency of finding ways to best manage swallowing difficulties. Recent findings There are several research studies investigating strategies and developing interventions to prevent and treat this debilitating condition. The United Kingdom has a growing number of trials and feasibility studies in this area, which have secured national funding. Research themes include changes, modifications, and deescalation of cancer treatments to reduce side-effects; interventions to encourage maintenance of eating and drinking and swallowing exercises during radiotherapy; and novel interventions to address post-treatment dysphagia. Research into this field presents with numerous challenges, including issues with recruitment, retention, and adherence to rehabilitation programmes. Summary In this study, we present recent advances in knowledge, research themes, and current UK-based research. Our multicentre studies will facilitate standardization of outcome measures and strengthen multidisciplinary, academic, and international collaborations. Findings over the coming years will help progress our understanding of how best to prevent and manage dysphagia in head and neck cancer.</t>
  </si>
  <si>
    <t>[Patterson, Joanne M.] Sunderland City Hosp NHS Fdn Trust, Speech &amp; Language Therapy Dept, Sunderland, England; [Patterson, Joanne M.] Newcastle Univ, Inst Hlth &amp; Soc, Newcastle Upon Tyne, Tyne &amp; Wear, England; [Brady, Grainne C.; Roe, Justin W. G.] Royal Marsden NHS Fdn Trust, Speech &amp; Language Therapy Dept, London, England; [Roe, Justin W. G.] Imperial Coll Healthcare NHS Trust, Speech &amp; Language Therapy Dept, London, England</t>
  </si>
  <si>
    <t>Newcastle University - UK; Royal Marsden NHS Foundation Trust; Imperial College London</t>
  </si>
  <si>
    <t>Patterson, JM (corresponding author), Newcastle Univ, Inst Hlth &amp; Soc, Newcastle Upon Tyne NE2 4AX, Tyne &amp; Wear, England.</t>
  </si>
  <si>
    <t>joanne.patterson@ncl.ac.uk</t>
  </si>
  <si>
    <t>Roe, Justin/O-7599-2019</t>
  </si>
  <si>
    <t>Patterson, Jo/0000-0002-4990-302X; Roe, Justin/0000-0003-4925-3124; Brady, Grainne/0000-0002-2622-1675; Patterson, Joanne/0000-0001-8898-8292</t>
  </si>
  <si>
    <t>National Institute for Health Research (NIHR); National Institutes of Health Research (NIHR) [CAT-CL-03-2012-004] Funding Source: National Institutes of Health Research (NIHR)</t>
  </si>
  <si>
    <t>National Institute for Health Research (NIHR)(National Institutes of Health Research (NIHR)); National Institutes of Health Research (NIHR)(National Institutes of Health Research (NIHR))</t>
  </si>
  <si>
    <t>J.P. is a Clinical Lecturer funded by the National Institute for Health Research (NIHR). G.B. has a funded studentship at Kingston and St. George's University of London supported by the NIHR.</t>
  </si>
  <si>
    <t>1068-9508</t>
  </si>
  <si>
    <t>1531-6998</t>
  </si>
  <si>
    <t>CURR OPIN OTOLARYNGO</t>
  </si>
  <si>
    <t>Curr. Opin. Otolaryngol. Head Neck Surg.</t>
  </si>
  <si>
    <t>10.1097/MOO.0000000000000260</t>
  </si>
  <si>
    <t>DL9CV</t>
  </si>
  <si>
    <t>WOS:000375939900006</t>
  </si>
  <si>
    <t>Tran, DA; Pajaro-Blazquez, M; Daneault, JF; Gallegos, JG; Pons, J; Fregni, F; Bonato, P; Zafonte, R</t>
  </si>
  <si>
    <t>Tran, Duc A.; Pajaro-Blazquez, Marta; Daneault, Jean-Francois; Gallegos, Jaime G.; Pons, Jose; Fregni, Felipe; Bonato, Paolo; Zafonte, Ross</t>
  </si>
  <si>
    <t>Combining Dopaminergic Facilitation with Robot-Assisted Upper Limb Therapy in Stroke Survivors A Focused Review</t>
  </si>
  <si>
    <t>Dopamine; Levodopa; Neuroplasticity; Robot-assisted Therapy; Stroke</t>
  </si>
  <si>
    <t>LONG-TERM POTENTIATION; ARM WEIGHT SUPPORT; MOTOR RECOVERY; VIRTUAL-REALITY; L-DOPA; DOUBLE-BLIND; SYNAPTIC PLASTICITY; PARKINSONS-DISEASE; SUBACUTE STROKE; UPPER EXTREMITY</t>
  </si>
  <si>
    <t>Despite aggressive conventional therapy, lasting hemiplegia persists in a large percentage of stroke survivors. The aim of this article is to critically review the rationale behind targeting multiple sites along the motor learning network by combining robotic therapy with pharmacotherapy and virtual reality-based reward learning to alleviate upper extremity impairment in stroke survivors. Methods for personalizing pharmacologic facilitation to each individual's unique biology are also reviewed. At the molecular level, treatment with levodopa was shown to induce long-term potentiation-like and practice-dependent plasticity. Clinically, trials combining conventional therapy with levodopa in stroke survivors yielded statistically significant but clinically unconvincing outcomes because of limited personalization, standardization, and reproducibility. Robotic therapy can induce neuroplasticity by delivering intensive, reproducible, and functionally meaningful interventions that are objective enough for the rigors of research. Robotic therapy also provides an apt platform for virtual reality, which boosts learning by engaging reward circuits. The future of stroke rehabilitation should target distinct molecular, synaptic, and cortical sites through personalized multimodal treatments to maximize motor recovery.</t>
  </si>
  <si>
    <t>[Tran, Duc A.; Daneault, Jean-Francois; Fregni, Felipe; Bonato, Paolo; Zafonte, Ross] Harvard Univ, Sch Med, Dept Phys Med &amp; Rehabil, 300 First Ave, Charlestown, MA 02129 USA; [Pajaro-Blazquez, Marta] Univ Hosp Virgen Rocio, Seville, Spain; [Gallegos, Jaime G.] Washington Hosp Ctr, Washington, DC 20010 USA; [Pons, Jose] Spanish Natl Res Council, Inst Cajal, Madrid, Spain</t>
  </si>
  <si>
    <t>Harvard University; Virgen del Rocio University Hospital; MedStar Washington Hospital Center; Consejo Superior de Investigaciones Cientificas (CSIC); CSIC - Instituto Cajal (IC)</t>
  </si>
  <si>
    <t>Tran, DA (corresponding author), Harvard Univ, Sch Med, Spaulding Rehabil Hosp, Dept Phys Med &amp; Rehabil, 300 First Ave, Charlestown, MA 02129 USA.</t>
  </si>
  <si>
    <t>Daneault, Jean-Francois/AAI-5413-2020; Bonato, Paolo/GPF-9956-2022</t>
  </si>
  <si>
    <t>Fregni, Felipe/0000-0001-9359-8643; Daneault, Jean-Francois/0000-0002-8530-1827; Pons, Jose L./0000-0003-0265-0181</t>
  </si>
  <si>
    <t>grant Engineering for Neurologic Rehabilitation, NIH-NICHD [R24HD050821]; NIH-NICHD [R24HD065688]</t>
  </si>
  <si>
    <t>grant Engineering for Neurologic Rehabilitation, NIH-NICHD; NIH-NICHD(United States Department of Health &amp; Human ServicesNational Institutes of Health (NIH) - USANIH Eunice Kennedy Shriver National Institute of Child Health &amp; Human Development (NICHD))</t>
  </si>
  <si>
    <t>Supported, in part, by grant Engineering for Neurologic Rehabilitation, NIH-NICHD, grant R24HD050821 and by grant entitled Improving Outcome Measurement for Medical Rehabilitation Clinical Trials, NIH-NICHD, grant R24HD065688. Financial disclosure statements have been obtained, and no conflicts of interest have been reported by the authors or by any individuals in control of the content of this article.</t>
  </si>
  <si>
    <t>10.1097/PHM.0000000000000438</t>
  </si>
  <si>
    <t>DM7ST</t>
  </si>
  <si>
    <t>WOS:000376561000015</t>
  </si>
  <si>
    <t>Fazekas, G; Tavaszi, I; Tóth, A</t>
  </si>
  <si>
    <t>Fazekas Gabor; Tavaszi Ibolya; Toth Andras</t>
  </si>
  <si>
    <t>NEW OPPORTUNITIES IN NEURO-REHABILITATION: ROBOT MEDIATED THERAPY IN CONDITONS POST CENTRAL NERVOUS SYSTEM IMPAIRMENTS</t>
  </si>
  <si>
    <t>stroke; rehabilitation; robot mediated therapy</t>
  </si>
  <si>
    <t>UPPER-LIMB PHYSIOTHERAPY; RECOVERY; EXERCISE; ARM</t>
  </si>
  <si>
    <t>Decreasing the often-seen multiple disabilities as a consequence of central nervous system impairments requires broadening of the tools of rehabilitation. A promising opportunity for this purpose is the application of physiotherapy robots. The development of such devices goes back a quarter of century. Nowadays several robots are commercially available both for supporting upper and lower limb therapy. The aim is never to replace the therapists, but rather to support and supplement their work. It is worthwhile applying these devices for goal-oriented exercises in high repetition, which one physically fatiguing for the therapist or for the correction of functional movement by various strategies. Robot mediated therapy is also useful for motivation of the patient and making the rehabilitation programme more versatile. Robots can be used for assessment of the neuromotor status as well. Several clinical studies have been executed in this field, all over the world. Meta-analyses based on randomized, controlled trials show that supplementing the traditional physiotherapy with a robot-mediated component presents advantage for the patients. Further studies are necessary to clarify which modality and intensity of the exercises, in which group of patients, in which stage lead to the expected outcome.</t>
  </si>
  <si>
    <t>[Fazekas Gabor; Tavaszi Ibolya] Orszagos Orvosi Rehabil Int, Budapest, Hungary; [Fazekas Gabor] Szent Janos Korhaz, Dios Arok 1, H-1125 Budapest, Hungary; [Toth Andras] Budapesti Muszaki &amp; Gazdasagtudomanyi Egyet, Budapest, Hungary</t>
  </si>
  <si>
    <t>Budapest University of Technology &amp; Economics</t>
  </si>
  <si>
    <t>Fazekas, G (corresponding author), Szent Janos Korhaz, Dios Arok 1, H-1125 Budapest, Hungary.;Fazekas, G (corresponding author), Eszak Budai Egyesitett Korhazak, Dios Arok 1, H-1125 Budapest, Hungary.</t>
  </si>
  <si>
    <t>fazekas123@t-online.hu</t>
  </si>
  <si>
    <t>2498-6208</t>
  </si>
  <si>
    <t>5-6</t>
  </si>
  <si>
    <t>10.18071/isz.69.0148</t>
  </si>
  <si>
    <t>DN5YL</t>
  </si>
  <si>
    <t>WOS:000377147500001</t>
  </si>
  <si>
    <t>Reinkensmeyer, DJ; Burdet, E; Casadio, M; Krakauer, JW; Kwakkel, G; Lang, CE; Swinnen, SP; Ward, NS; Schweighofer, N</t>
  </si>
  <si>
    <t>Reinkensmeyer, David J.; Burdet, Etienne; Casadio, Maura; Krakauer, John W.; Kwakkel, Gert; Lang, Catherine E.; Swinnen, Stephan P.; Ward, Nick S.; Schweighofer, Nicolas</t>
  </si>
  <si>
    <t>Computational neurorehabilitation: modeling plasticity and learning to predict recovery</t>
  </si>
  <si>
    <t>Neurorehabilitation; Computational modeling; Motor control; Plasticity; Motor learning; Stroke recovery</t>
  </si>
  <si>
    <t>UPPER-LIMB RECOVERY; NONINVASIVE CORTICAL STIMULATION; CONSTRAINT-INDUCED MOVEMENT; AUGMENTED EXERCISE THERAPY; PARETIC UPPER-LIMB; UPPER-EXTREMITY; MOTOR RECOVERY; CHRONIC STROKE; FUNCTIONAL GAINS; REACHING MOVEMENTS</t>
  </si>
  <si>
    <t>Despite progress in using computational approaches to inform medicine and neuroscience in the last 30 years, there have been few attempts to model the mechanisms underlying sensorimotor rehabilitation. We argue that a fundamental understanding of neurologic recovery, and as a result accurate predictions at the individual level, will be facilitated by developing computational models of the salient neural processes, including plasticity and learning systems of the brain, and integrating them into a context specific to rehabilitation. Here, we therefore discuss Computational Neurorehabilitation, a newly emerging field aimed at modeling plasticity and motor learning to understand and improve movement recovery of individuals with neurologic impairment. We first explain how the emergence of robotics and wearable sensors for rehabilitation is providing data that make development and testing of such models increasingly feasible. We then review key aspects of plasticity and motor learning that such models will incorporate. We proceed by discussing how computational neurorehabilitation models relate to the current benchmark in rehabilitation modeling - regression-based, prognostic modeling. We then critically discuss the first computational neurorehabilitation models, which have primarily focused on modeling rehabilitation of the upper extremity after stroke, and show how even simple models have produced novel ideas for future investigation. Finally, we conclude with key directions for future research, anticipating that soon we will see the emergence of mechanistic models of motor recovery that are informed by clinical imaging results and driven by the actual movement content of rehabilitation therapy as well as wearable sensor-based records of daily activity.</t>
  </si>
  <si>
    <t>[Reinkensmeyer, David J.] Univ Calif Irvine, Dept Anat &amp; Neurobiol, Irvine, CA 92717 USA; [Reinkensmeyer, David J.] Univ Calif Irvine, Dept Mech &amp; Aerosp Engn, Irvine, CA 92717 USA; [Reinkensmeyer, David J.] Univ Calif Irvine, Dept Biomed Engn, Irvine, CA USA; [Reinkensmeyer, David J.] Univ Calif Irvine, Dept Phys Med &amp; Rehabil, Irvine, CA USA; [Burdet, Etienne] Univ London Imperial Coll Sci Technol &amp; Med, Dept Bioengn, London, England; [Casadio, Maura] Univ Genoa, Dept Informat Bioengn Robot &amp; Syst, Genoa, Italy; [Krakauer, John W.] Johns Hopkins Univ, Sch Med, Dept Neurol, Baltimore, MD USA; [Krakauer, John W.] Johns Hopkins Univ, Sch Med, Dept Neurosci, Baltimore, MD USA; [Kwakkel, Gert] Vrije Univ Amsterdam, Med Ctr, MOVE Res Inst Amsterdam, Dept Rehabil Med, Amsterdam, Netherlands; [Kwakkel, Gert] Reade, Ctr Rehabil &amp; Rheumatol, Amsterdam, Netherlands; [Kwakkel, Gert] Northwestern Univ, Dept Phys Therapy &amp; Human Movement Sci, Chicago, IL 60611 USA; [Lang, Catherine E.] Washington Univ, Sch Med, Program Occupat Therapy, Dept Neurol,Program Phys Therapy, St Louis, MO USA; [Swinnen, Stephan P.] KU Leuven Movement Control &amp; Neuroplast Res Grp, Dept Kinesiol, Leuven, KU, Belgium; [Swinnen, Stephan P.] KU, Leuven Res Inst Neurosci &amp; Dis LIND, Leuven, Belgium; [Ward, Nick S.] UCL Inst Neurol, Sobell Dept Motor Neurosci, Queen Sq, London, England; [Ward, Nick S.] UCL Inst Neurol, UCLPartners Ctr Neurorehabil, Queen Sq, London, England; [Schweighofer, Nicolas] Univ So Calif, Div Biokinesiol &amp; Phys Therapy, Los Angeles, CA USA</t>
  </si>
  <si>
    <t>University of California System; University of California Irvine; University of California System; University of California Irvine; University of California System; University of California Irvine; University of California System; University of California Irvine; Imperial College London; University of Genoa; Johns Hopkins University; Johns Hopkins University; Vrije Universiteit Amsterdam; Northwestern University; Washington University (WUSTL); KU Leuven; KU Leuven; University of London; University College London; University of London; University College London; University of Southern California</t>
  </si>
  <si>
    <t>Reinkensmeyer, DJ (corresponding author), Univ Calif Irvine, Dept Anat &amp; Neurobiol, Irvine, CA 92717 USA.;Reinkensmeyer, DJ (corresponding author), Univ Calif Irvine, Dept Mech &amp; Aerosp Engn, Irvine, CA 92717 USA.;Reinkensmeyer, DJ (corresponding author), Univ Calif Irvine, Dept Biomed Engn, Irvine, CA USA.;Reinkensmeyer, DJ (corresponding author), Univ Calif Irvine, Dept Phys Med &amp; Rehabil, Irvine, CA USA.</t>
  </si>
  <si>
    <t>dreinken@uci.edu</t>
  </si>
  <si>
    <t>Casadio, Maura/AFM-0496-2022; Schweighofer, Nicolas/A-3675-2008</t>
  </si>
  <si>
    <t>Ward, Nick/0000-0002-7688-9649; Kwakkel, Gert/0000-0002-4041-4043; Burdet, Etienne/0000-0002-2123-0185; Swinnen, Stephan/0000-0001-7173-435X; schweighofer, nicolas/0000-0003-3362-6088; Lang, Catherine/0000-0002-7120-0136</t>
  </si>
  <si>
    <t>Borchard Foundation; NIH [R01 HD062744, R01 HD068290, R01 HD065438]; EU-FP7 [ICT-601003, ICT-2013-10]; EU-H2020 [ICT-644727]; [FP7-PEOPLE-2012-CIG-334201]; BBSRC [BB/I026162/1] Funding Source: UKRI; Eunice Kennedy Shriver National Institute of Child Health and Human Development [R01HD062744] Funding Source: NIH RePORTER</t>
  </si>
  <si>
    <t>Borchard Foundation; NIH(United States Department of Health &amp; Human ServicesNational Institutes of Health (NIH) - USA); EU-FP7(European Union (EU)); EU-H2020(Horizon 2020); ; BBSRC(UK Research &amp; Innovation (UKRI)Biotechnology and Biological Sciences Research Council (BBSRC)); Eunice Kennedy Shriver National Institute of Child Health and Human Development(United States Department of Health &amp; Human ServicesNational Institutes of Health (NIH) - USANIH Eunice Kennedy Shriver National Institute of Child Health &amp; Human Development (NICHD))</t>
  </si>
  <si>
    <t>The authors would like to thank the Borchard Foundation for supporting this work.DJR was supported by grant NIH R01 HD062744EB was supported by grants EU-FP7 ICT-601003 BALANCE, ICT-2013-10 SYMBITRON, and EU-H2020 ICT-644727 COGIMON.CEL was supported by grant NIH R01 HD068290MC was supported by grant FP7-PEOPLE-2012-CIG-334201 (REMAKE)NS was supported by grant NIH R01 HD065438.</t>
  </si>
  <si>
    <t>10.1186/s12984-016-0148-3</t>
  </si>
  <si>
    <t>DL2NG</t>
  </si>
  <si>
    <t>WOS:000375471500001</t>
  </si>
  <si>
    <t>Veale, AJ; Xie, SQ</t>
  </si>
  <si>
    <t>Veale, Allan Joshua; Xie, Shane Quan</t>
  </si>
  <si>
    <t>Towards compliant and wearable robotic orthoses: A review of current and emerging actuator technologies</t>
  </si>
  <si>
    <t>Actuators; Exoskeletons; Rehabilitation robotics; Smart materials; User centered design</t>
  </si>
  <si>
    <t>ELECTRO-CONJUGATE FLUID; OF-THE-ART; REHABILITATION ROBOT; EXOSKELETON ROBOT; DESIGN; STROKE; SYSTEM; PEOPLE; SPEED; PHYSIOTHERAPY</t>
  </si>
  <si>
    <t>Robotic orthoses, or exoskeletons, have the potential to provide effective rehabilitation while overcoming the availability and cost constraints of therapists. However, current orthosis actuation systems use components designed for industrial applications, not specifically for interacting with humans. This can limit orthoses' capabilities and, if their users' needs are not adequately considered, contribute to their abandonment. Here, a user centered review is presented on: requirements for orthosis actuators; the electric, hydraulic, and pneumatic actuators currently used in orthoses and their advantages and limitations; the potential of new actuator technologies, including smart materials, to actuate orthoses; and the future of orthosis actuator research. (C) 2016 IPEM. Published by Elsevier Ltd. All rights reserved.</t>
  </si>
  <si>
    <t>[Veale, Allan Joshua; Xie, Shane Quan] Univ Auckland, Dept Mech Engn, 20 Symonds St, Auckland 1010, New Zealand</t>
  </si>
  <si>
    <t>University of Auckland</t>
  </si>
  <si>
    <t>Veale, AJ (corresponding author), Univ Auckland, Dept Mech Engn, 20 Symonds St, Auckland 1010, New Zealand.</t>
  </si>
  <si>
    <t>avea007@aucklanduni.ac.nz</t>
  </si>
  <si>
    <t>Xie, Sheng Quan/0000-0003-2641-2620; Veale, Allan/0000-0001-6397-9146</t>
  </si>
  <si>
    <t>University of Auckland Doctoral Scholarship</t>
  </si>
  <si>
    <t>The authors gratefully acknowledge the funding support of The University of Auckland Doctoral Scholarship, which made this work possible.</t>
  </si>
  <si>
    <t>10.1016/j.medengphy.2016.01.010</t>
  </si>
  <si>
    <t>DI5NU</t>
  </si>
  <si>
    <t>WOS:000373546700001</t>
  </si>
  <si>
    <t>Iosa, M; Morone, G; Cherubini, A; Paolucci, S</t>
  </si>
  <si>
    <t>Iosa, Marco; Morone, Giovanni; Cherubini, Andrea; Paolucci, Stefano</t>
  </si>
  <si>
    <t>The Three Laws of Neurorobotics: A Review on What Neurorehabilitation Robots Should Do for Patients and Clinicians</t>
  </si>
  <si>
    <t>JOURNAL OF MEDICAL AND BIOLOGICAL ENGINEERING</t>
  </si>
  <si>
    <t>Rehabilitation; Robotic training; Neuroscience; Ethics; Medical robots</t>
  </si>
  <si>
    <t>UPPER-LIMB IMPAIRMENT; ASSISTED THERAPY; SUBACUTE STROKE; GAIT TRAINER; REHABILITATION; DEVICES; WALKING; TRIAL; STIMULATION; MULTICENTER</t>
  </si>
  <si>
    <t>Most studies and reviews on robots for neurorehabilitation focus on their effectiveness. These studies often report inconsistent results. This and many other reasons limit the credit given to these robots by therapists and patients. Further, neurorehabilitation is often still based on therapists' expertise, with competition among different schools of thought, generating substantial uncertainty about what exactly a neurorehabilitation robot should do. Little attention has been given to ethics. This review adopts a new approach, inspired by Asimov's three laws of robotics and based on the most recent studies in neurorobotics, for proposing new guidelines for designing and using robots for neurorehabilitation. We propose three laws of neurorobotics based on the ethical need for safe and effective robots, the redefinition of their role as therapist helpers, and the need for clear and transparent human-machine interfaces. These laws may allow engineers and clinicians to work closely together on a new generation of neurorobots.</t>
  </si>
  <si>
    <t>[Iosa, Marco; Morone, Giovanni; Paolucci, Stefano] IRCCS Fdn Santa Lucia, Clin Lab Expt Neurorehabil, Via Ardeatina 306, I-00179 Rome, Italy; [Cherubini, Andrea] CNRS LIRMM UMR 5506, IDH Grp, 161 Rue Ada, F-34392 Montpellier, France</t>
  </si>
  <si>
    <t>Iosa, M (corresponding author), IRCCS Fdn Santa Lucia, Clin Lab Expt Neurorehabil, Via Ardeatina 306, I-00179 Rome, Italy.</t>
  </si>
  <si>
    <t>m.iosa@hsantalucia.it</t>
  </si>
  <si>
    <t>Iosa, Marco/B-9531-2012; Morone, Giovanni/AAN-2666-2020; Cherubini, Andrea/MZS-9767-2025; Morone, Giovanni/A-9561-2013</t>
  </si>
  <si>
    <t>Cherubini, Andrea/0000-0002-7272-6922; Morone, Giovanni/0000-0003-3602-4197</t>
  </si>
  <si>
    <t>1609-0985</t>
  </si>
  <si>
    <t>2199-4757</t>
  </si>
  <si>
    <t>J MED BIOL ENG</t>
  </si>
  <si>
    <t>J. Med. Biol. Eng.</t>
  </si>
  <si>
    <t>10.1007/s40846-016-0115-2</t>
  </si>
  <si>
    <t>DH1GT</t>
  </si>
  <si>
    <t>WOS:000372533100001</t>
  </si>
  <si>
    <t>Song, WK</t>
  </si>
  <si>
    <t>Song, Won-Kyung</t>
  </si>
  <si>
    <t>Trends in Rehabilitation Robots and Their Translational Research in National Rehabilitation Center, Korea</t>
  </si>
  <si>
    <t>Rehabilitation; Robot; Translational research; Trends</t>
  </si>
  <si>
    <t>CLASSIFICATION; PEOPLE</t>
  </si>
  <si>
    <t>Robots are expected to play an important role in rehabilitation as rehabilitation robots can provide frequent and repetitive doses during treatment or provide seamless support in daily living activities. However, the research and development results of rehabilitation robots indicate that they are not suitable for clinical applications because of several requirements such as safety, effectiveness, long-term investment, and other barriers between bench and bedside. This paper reviews the current trends in rehabilitation robots and then shares the experience of a translational research for rehabilitation robots in the National Rehabilitation Center (NRC) of Korea during the last three years. The NRC translational research for rehabilitation robots consists of three parts: extramural projects of universities, research institutes, and companies for clinical applications, intramural projects within NRC, and operation of an NRC Robot Gym, i.e., a sharing space between clinicians and engineers. This translational research provides infrastructures for clinicians and engineers conducting studies on rehabilitation robots. NRC is trying to connect robotic technology with clinical application through this translational research. In addition, a novel direction for the next three years is presented. This research will contribute visible results such as boosting the rehabilitation robot industry and improving the quality of life of people with disabilities and senior citizens.</t>
  </si>
  <si>
    <t>[Song, Won-Kyung] Natl Rehabil Ctr, Translat Res Program Rehabil Robots, Seoul 01022, South Korea</t>
  </si>
  <si>
    <t>Song, WK (corresponding author), Natl Rehabil Ctr, Translat Res Program Rehabil Robots, Seoul 01022, South Korea.</t>
  </si>
  <si>
    <t>wksong@nrc.go.kr</t>
  </si>
  <si>
    <t>Song, Won-Kyung/I-3234-2016</t>
  </si>
  <si>
    <t>National Rehabilitation Center, Ministry of Health and Welfare [NRCRI12-D-01, NRCTR-IN15005]; R&amp;D program of MOTIE/KEIT Development of an overground gait rehabilitation robot technology with a success rate of over 90% in gait intention detection based on biosignal interface for various gait rehabilitation of stroke patients [10045164]</t>
  </si>
  <si>
    <t>National Rehabilitation Center, Ministry of Health and Welfare; R&amp;D program of MOTIE/KEIT Development of an overground gait rehabilitation robot technology with a success rate of over 90% in gait intention detection based on biosignal interface for various gait rehabilitation of stroke patients</t>
  </si>
  <si>
    <t>This study was partially supported by the Research Program (NRCRI12-D-01, NRCTR-IN15005) of the National Rehabilitation Center, Ministry of Health and Welfare and the R&amp;D program of MOTIE/KEIT Development of an overground gait rehabilitation robot technology with a success rate of over 90% in gait intention detection based on biosignal interface for various gait rehabilitation of stroke patients (grant No. 10045164). The author thanks Dr. Moon Suk Bang, Dr. Seong Jae Lee, Dr. Jongbae Kim, Dr. Eun Joo Kim, Dr. Jung Yoon Kim, Dr. Joon-Ho Shin, Dr. Hogene Kim, Dr. Ki Hun Cho, Dr. Hyosun Kwon, and Dr. Kwang-Ok Ahn for their comments and assistance.</t>
  </si>
  <si>
    <t>10.1007/s13534-016-0211-9</t>
  </si>
  <si>
    <t>VG3LM</t>
  </si>
  <si>
    <t>WOS:000446427700001</t>
  </si>
  <si>
    <t>Chen, YP; Howard, AM</t>
  </si>
  <si>
    <t>Chen, Yu-Ping; Howard, Ayanna M.</t>
  </si>
  <si>
    <t>Effects of robotic therapy on upper-extremity function in children with cerebral palsy: A systematic review</t>
  </si>
  <si>
    <t>DEVELOPMENTAL NEUROREHABILITATION</t>
  </si>
  <si>
    <t>Arm; cerebral palsy; children; robotic therapy</t>
  </si>
  <si>
    <t>INDUCED MOVEMENT THERAPY; TOXIN TYPE-A; RANDOMIZED-TRIAL; MOTOR FUNCTION; REHABILITATION; FEASIBILITY; OUTCOMES; STROKE; IMPACT; DEVICE</t>
  </si>
  <si>
    <t>Objective: To systematically examine the effects of robotic therapy on upper extremity (UE) function in children with cerebral palsy (CP). Methods: A systematic literature search was conducted in Pubmed, CINAHL, Cochrane, PsychInfo, TRIP, and Web of Science up to July 2013. Studies of children with CP, using robotic therapy and measures of UE were included. Results: Nine articles using three different robotic systems were included. Of these, seven were case studies. Overall, robotic therapy showed the potential effects as all studies reported at least one positive outcome: a moderate effect in improving reaching duration, smoothness, or decreased muscle tone, and a small to large effect in standardized clinical assessment (e.g. Fugl-Meyer). Conclusion: This review confirms the potential for robotic therapy to improve UE function in children with CP. However, the paucity of group design studies summons the need for more rigorous research before conclusive recommendations can be made.</t>
  </si>
  <si>
    <t>[Chen, Yu-Ping] Georgia State Univ, Dept Phys Therapy, Atlanta, GA 30302 USA; [Howard, Ayanna M.] Georgia Inst Technol, Sch Elect &amp; Comp Engn, Atlanta, GA 30332 USA</t>
  </si>
  <si>
    <t>University System of Georgia; Georgia State University; University System of Georgia; Georgia Institute of Technology</t>
  </si>
  <si>
    <t>Chen, YP (corresponding author), Georgia State Univ, Dept Phys Therapy, POB 4019, Atlanta, GA 30302 USA.</t>
  </si>
  <si>
    <t>ypchen@gsu.edu</t>
  </si>
  <si>
    <t>Chen, Yuping/0000-0001-7127-8323</t>
  </si>
  <si>
    <t>National Science Foundation [1208287]; Direct For Computer &amp; Info Scie &amp; Enginr; Div Of Information &amp; Intelligent Systems [1208287] Funding Source: National Science Foundation</t>
  </si>
  <si>
    <t>National Science Foundation(National Science Foundation (NSF)); Direct For Computer &amp; Info Scie &amp; Enginr; Div Of Information &amp; Intelligent Systems(National Science Foundation (NSF)NSF - Directorate for Computer &amp; Information Science &amp; Engineering (CISE)NSF - Division of Information &amp; Intelligent Systems (IIS))</t>
  </si>
  <si>
    <t>The authors report no conflicts of interests. The authors alone are responsible for the content and writing of this article. This study was supported in part by a National Science Foundation grant (#1208287) awarded to both authors.</t>
  </si>
  <si>
    <t>1751-8423</t>
  </si>
  <si>
    <t>1751-8431</t>
  </si>
  <si>
    <t>DEV NEUROREHABIL</t>
  </si>
  <si>
    <t>Dev. Neurorehabil.</t>
  </si>
  <si>
    <t>10.3109/17518423.2014.899648</t>
  </si>
  <si>
    <t>Clinical Neurology; Pediatrics; Rehabilitation</t>
  </si>
  <si>
    <t>Neurosciences &amp; Neurology; Pediatrics; Rehabilitation</t>
  </si>
  <si>
    <t>DA1HL</t>
  </si>
  <si>
    <t>WOS:000367546800009</t>
  </si>
  <si>
    <t>Akhtaruzzaman, M.; Shafie, A. A.; Khan, M. R.</t>
  </si>
  <si>
    <t>A REVIEW ON LOWER APPENDICULAR MUSCULOSKELETAL SYSTEM OF HUMAN BODY</t>
  </si>
  <si>
    <t>IIUM ENGINEERING JOURNAL</t>
  </si>
  <si>
    <t>Musculoskeletal system; Human lower limbs; Muscle groups; Joint motion; Biomechatronics; Rehabilitation</t>
  </si>
  <si>
    <t>REHABILITATION; STROKE</t>
  </si>
  <si>
    <t>Rehabilitation engineering plays an important role in designing various autonomous robots to provide better therapeutic exercise to disabled patients. Hence it is necessary to study human musculoskeletal system and also needs to be presented in scientific manner in order to describe and analyze the biomechanics of human body motion. This review focuses on lower appendicular musculoskeletal structure of human body to represent joints and links architectures; to identify muscle attachments and functions; and to illustrate muscle groups which are responsible for a particular joint movement. Firstly, human lower skeletal structure, linking systems, joint mechanisms, and their functions are described with a conceptual representation of joint architecture of human skeleton. This section also represents joints and limbs by comparing with mechanical systems. Characteristics of ligaments and their functions to construct skeletal joints are also discussed briefly in this part. Secondly, the study focuses on muscular system of human lower limbs where muscle structure, functions, roles in moving endoskeleton structure, and supporting mechanisms are presented ellaborately. Thirdly, muscle groups are tabulated based on functions that provide mobility to different joints of lower limbs. Finally, for a particular movement action of lower extremity, muscles are also grouped and tabulated to have a better understanding on functions of individual muscle. Basically the study presents an overview of the structure of human lower limbs by characterizing and classifying skeletal and muscular systems.</t>
  </si>
  <si>
    <t>[Akhtaruzzaman, M.; Shafie, A. A.; Khan, M. R.] Int Islamic Univ Malaysia, Fac Engn, Dept Mechatron Engn, Kuala Lumpur 53100, Malaysia</t>
  </si>
  <si>
    <t>Akhtaruzzaman, M (corresponding author), Int Islamic Univ Malaysia, Fac Engn, Dept Mechatron Engn, Kuala Lumpur 53100, Malaysia.</t>
  </si>
  <si>
    <t>Shafie, Amir/0000-0003-2440-7537; , Md. Akhtaruzzaman/0000-0002-7891-6321; Akhtaruzzaman, Md/0000-0002-9929-4066</t>
  </si>
  <si>
    <t>Ministry of Education (MOE), Malaysia through the Fundamental Research Grant Scheme (FRGS)</t>
  </si>
  <si>
    <t>The authors would like to express their gratitude to the Ministry of Education (MOE), Malaysia for funding the project through the Fundamental Research Grant Scheme (FRGS).</t>
  </si>
  <si>
    <t>KULLIYYAH ENGINEERING</t>
  </si>
  <si>
    <t>JALAN GOMBAK</t>
  </si>
  <si>
    <t>INT ISLAMIC UNIV MALAYSIA, JALAN GOMBAK, 53100, MALAYSIA</t>
  </si>
  <si>
    <t>1511-788X</t>
  </si>
  <si>
    <t>2289-7860</t>
  </si>
  <si>
    <t>IIUM ENG J</t>
  </si>
  <si>
    <t>IIUM Eng. J.</t>
  </si>
  <si>
    <t>10.31436/iiumej.v17i1.571</t>
  </si>
  <si>
    <t>ED4DR</t>
  </si>
  <si>
    <t>WOS:000388798300006</t>
  </si>
  <si>
    <t>Babaiasl, M; Mahdioun, SH; Jaryani, P; Yazdani, M</t>
  </si>
  <si>
    <t>Babaiasl, Mahdieh; Mahdioun, Seyyed Hamed; Jaryani, Poorya; Yazdani, Mojtaba</t>
  </si>
  <si>
    <t>A review of technological and clinical aspects of robot-aided rehabilitation of upper-extremity after stroke</t>
  </si>
  <si>
    <t>ADL training; clinical testing of rehabilitation robots; impedance control; physiotherapy; robot-aided rehabilitation; stroke; upper-extremity</t>
  </si>
  <si>
    <t>INDUCED MOVEMENT THERAPY; BLINDED RANDOMIZED-TRIAL; UPPER-LIMB PHYSIOTHERAPY; ARM TRAINING IMPROVES; SEVERELY AFFECTED ARM; PARETIC UPPER-LIMB; RECOVERY; IMPAIRMENT; NEUROREHABILITATION; SYSTEM</t>
  </si>
  <si>
    <t>Cerebrovascular accident (CVA) or stroke is one of the leading causes of disability and loss of motor function. Millions of people around the world are effected by it each year. Stroke results in disabled arm function. Restoration of arm function is essential to regaining activities of daily living (ADL). Along with traditional rehabilitation methods, robot-aided therapy has emerged in recent years. Robot-aided rehabilitation is more intensive, of longer duration and more repetitive. Using robots, repetitive dull exercises can turn into a more challenging and motivating tasks such as games. Besides, robots can provide a quantitative measure of the rehabilitation progress. This article overviews the terms used in robot-aided upper-limb rehabilitation. It continues by investigating the requirements for rehabilitation robots. Then the most outstanding works in robot-aided upper-limb rehabilitation and their control schemes have been investigated. The clinical outcomes of the built robots are also given that demonstrates the usability of these robots in real-life applications and their acceptance. This article summarizes a review done along with a research on the design, simulation and control of a robot for use in upper-limb rehabilitation after stroke.</t>
  </si>
  <si>
    <t>[Babaiasl, Mahdieh; Mahdioun, Seyyed Hamed] Univ Tabriz, Sch Engn Emerging Technol, Tabriz, Iran; [Jaryani, Poorya] Islamic Azad Univ, Islamshahr Branch, Dept Mech Engn, Islamshahr, Iran; [Yazdani, Mojtaba] Semnan Univ, Elect Fac, Control Dept, Semnan, Iran</t>
  </si>
  <si>
    <t>University of Tabriz; Islamic Azad University; Semnan University</t>
  </si>
  <si>
    <t>Babaiasl, M (corresponding author), Univ Tabriz, Sch Engn Emerging Technol, Tabriz, Iran.</t>
  </si>
  <si>
    <t>m.babaiasl@gmail.com</t>
  </si>
  <si>
    <t>Babaiasl, Mahdieh/U-9822-2019</t>
  </si>
  <si>
    <t>10.3109/17483107.2014.1002539</t>
  </si>
  <si>
    <t>EA2WP</t>
  </si>
  <si>
    <t>WOS:000386457100001</t>
  </si>
  <si>
    <t>Chernikova, LA; Suponeva, NA; Klochkov, AS; Khizhnikova, AE; Lyukmanov, RH; Gnedovskaya, EV; Yankevich, DS; Piradov, MA</t>
  </si>
  <si>
    <t>Chernikova, L. A.; Suponeva, N. A.; Klochkov, A. S.; Khizhnikova, A. E.; Lyukmanov, R. H.; Gnedovskaya, E. V.; Yankevich, D. S.; Piradov, M. A.</t>
  </si>
  <si>
    <t>Robotic and Mechanotherapeutic Technology to Restore the Functions of the Upper Limbs: Prospects for Development</t>
  </si>
  <si>
    <t>SOVREMENNYE TEHNOLOGII V MEDICINE</t>
  </si>
  <si>
    <t>robotic technology; rehabilitation after stroke; exoskeleton; brain-computer interface; mechanotherapy</t>
  </si>
  <si>
    <t>ASSISTED THERAPY; UPPER-EXTREMITY; STROKE PATIENTS; AIDED NEUROREHABILITATION; PROGNOSTIC INDEXES; REACHING MOVEMENTS; POSTSTROKE FATIGUE; RANDOMIZED-TRIAL; REHABILITATION; RECOVERY</t>
  </si>
  <si>
    <t>We have analyzed the advantages and disadvantages of the robotic and mechanotherapeutic technologies used for rehabilitation of the upper limbs. Robotic and mechanotherapeutic devices started as simple controllers and upper limb weight support systems in kinesitherapy, but have subsequently shown their potential as systems for providing task oriented movement training, by efforts to maximize the correspondence between the features of anatomical and biomechanical arms. Integration of functional neuromuscular electrostimulation with robotic and mechanotherapeutic technology considerably widens the possibilities of using robots for rehabilitation and for providing mechanical assistance, while the appearance of portable and fixed exoskeletons is leading to completely new devices based on both rehabilitation and assistive technologies. Currently prototypes of robotic assistive and rehabilitation devices controlled by brain-computer interfaces are being developed.</t>
  </si>
  <si>
    <t>[Chernikova, L. A.; Suponeva, N. A.; Klochkov, A. S.; Khizhnikova, A. E.; Lyukmanov, R. H.] Res Ctr Neurol, Neurorehabil Dept, 80 Volokolamskoye Shosse, Moscow 125367, Russia; [Suponeva, N. A.; Khizhnikova, A. E.; Piradov, M. A.] Res Ctr Neurol, 80 Volokolamskoye Shosse, Moscow 125367, Russia; [Gnedovskaya, E. V.] Res Ctr Neurol, Sci &amp; Org Work &amp; Dev, 80 Volokolamskoye Shosse, Moscow 125367, Russia; [Yankevich, D. S.] Fed Agcy Sci Org Russia, Dept Coordinat &amp; Maintenance Org Act Field Med Sc, 32a Leninsky Prospect, Moscow 119334, Russia; [Piradov, M. A.] Russian Acad Sci, Res Ctr Neurol, 80 Volokolamskoye Shosse, Moscow 125367, Russia</t>
  </si>
  <si>
    <t>Research Center of Neurology; Research Center of Neurology; Research Center of Neurology; Research Center of Neurology; Russian Academy of Sciences</t>
  </si>
  <si>
    <t>Suponeva, NA (corresponding author), Res Ctr Neurol, Neurorehabil Dept, 80 Volokolamskoye Shosse, Moscow 125367, Russia.;Suponeva, NA (corresponding author), Res Ctr Neurol, 80 Volokolamskoye Shosse, Moscow 125367, Russia.</t>
  </si>
  <si>
    <t>nasu2709@mail.ru</t>
  </si>
  <si>
    <t>Suponeva, Natalia/B-4686-2012; Chernikova, Ludmila/D-3182-2013; Gnedovskaya, Elena/C-1891-2012; Klochkov, Anton/E-9752-2019; Khizhnikova, Anastasiya/F-1152-2019; Yankevich, DS/AAG-1392-2020; Piradov, Michael/B-4407-2012; Lyukmanov, Roman/X-5954-2019</t>
  </si>
  <si>
    <t>Gnedovskaya, Elena/0000-0001-6026-3388; Khizhnikova, Anastasiya/0000-0003-1395-6645; Klochkov, Anton/0000-0002-4730-3338; Yankevich, DS/0000-0001-5143-7366; Piradov, Michael/0000-0002-6338-0392; Lyukmanov, Roman/0000-0002-8671-5861</t>
  </si>
  <si>
    <t>State Scientific Research project [115013010106]</t>
  </si>
  <si>
    <t>State Scientific Research project</t>
  </si>
  <si>
    <t>The study was performed under State Scientific Research (project No. 115013010106).</t>
  </si>
  <si>
    <t>NIZHNIY NOVGOROD STATE MEDICAL ACAD</t>
  </si>
  <si>
    <t>NIZHNIY NOVGOROD</t>
  </si>
  <si>
    <t>MININ &amp; POZHARSKY SQUARE, 10-1, NIZHNIY NOVGOROD, 603005, RUSSIA</t>
  </si>
  <si>
    <t>2076-4243</t>
  </si>
  <si>
    <t>SOVREM TEHNOL MED</t>
  </si>
  <si>
    <t>Sovrem. Tehnol. Med.</t>
  </si>
  <si>
    <t>10.17691/stm2016.8.4.27</t>
  </si>
  <si>
    <t>EG7XJ</t>
  </si>
  <si>
    <t>WOS:000391269500028</t>
  </si>
  <si>
    <t>Gopura, RARC; Bandara, DSV; Kiguchi, K; Mann, GKI</t>
  </si>
  <si>
    <t>Gopura, R. A. R. C.; Bandara, D. S. V.; Kiguchi, Kazuo; Mann, G. K. I.</t>
  </si>
  <si>
    <t>Developments in hardware systems of active upper-limb exoskeleton robots: A review</t>
  </si>
  <si>
    <t>Exoskeleton robot; Upper-limb; Power-assist robot; Rehabilitation</t>
  </si>
  <si>
    <t>ARM EXOSKELETON; REHABILITATION ROBOTICS; MUSCLE SUIT; DESIGN; WRIST; KINEMATICS; THERAPY; SUPPORT; DRIVEN; DEVICE</t>
  </si>
  <si>
    <t>The very first application of active exoskeleton robot was to provide external power to a soldier so that he can carry additional weight than his strength. Since then this technology has focused on developing systems for assisting and augmenting human power. Later this technology is expanded into other applications such as limb rehabilitation and tele-operations. Exoskeleton research is still a growing area and demands multi-disciplinary approaches in solving complex technical issues. In this paper, the developments of active upper-limb exoskeleton robots are reviewed. This paper presents the major developments occurred in the history, the key milestones during the evolution and major research challenges in the present day context of hardware systems of upper-limb exoskeleton robots. Moreover, the paper provides a classification, a comparison and a design overview of mechanisms, actuation and power transmission of most of the upper-limb exoskeleton robots that have been found in the literature. A brief review on the control methods of upper-limb exoskeleton robots is also presented. At the end, a discussion on the future directions of the upper-limb exoskeleton robots was included. (C) 2015 Elsevier B.V. All rights reserved.</t>
  </si>
  <si>
    <t>[Gopura, R. A. R. C.; Bandara, D. S. V.] Univ Moratuwa, Dept Mech Engn, Katubedda, Sri Lanka; [Kiguchi, Kazuo] Kyushu Univ, Fac Engn, Dept Mech Engn, Fukuoka 812, Japan; [Mann, G. K. I.] Mem Univ Newfoundland, Fac Engn &amp; Appl Sci, St John, NF, Canada</t>
  </si>
  <si>
    <t>University Moratuwa; Kyushu University; Memorial University Newfoundland</t>
  </si>
  <si>
    <t>Gopura, RARC (corresponding author), Univ Moratuwa, Dept Mech Engn, Katubedda, Sri Lanka.</t>
  </si>
  <si>
    <t>gopura@mech.mrt.ac.lk</t>
  </si>
  <si>
    <t>Gopura, Ruwan/A-7795-2013; Mann, George K. I./AAW-9312-2021</t>
  </si>
  <si>
    <t>Mann, George K. I./0000-0002-1211-3374; Gopura, Ruwan/0000-0002-9977-4545; Bandara, Sanjaya/0000-0002-8763-8474</t>
  </si>
  <si>
    <t>national research council (NRC), Sri Lanka [11-067]</t>
  </si>
  <si>
    <t>national research council (NRC), Sri Lanka</t>
  </si>
  <si>
    <t>The authors gratefully acknowledge the support provided by national research council (NRC), Sri Lanka from the research grant (no 11-067). The authors would also like to extend their sincere gratitude to Dr. Sanath Jayawardane for his cooperation.</t>
  </si>
  <si>
    <t>10.1016/j.robot.2015.10.001</t>
  </si>
  <si>
    <t>DA4IK</t>
  </si>
  <si>
    <t>WOS:000367763400007</t>
  </si>
  <si>
    <t>Koumpouros, Y</t>
  </si>
  <si>
    <t>Koumpouros, Yiannis</t>
  </si>
  <si>
    <t>A Systematic Review on Existing Measures for the Subjective Assessment of Rehabilitation and Assistive Robot Devices</t>
  </si>
  <si>
    <t>USABILITY ASSESSMENT; STROKE; SATISFACTION; INTERFACE; THERAPY; MANIPULATION; EXOSKELETON; RELIABILITY; PERFORMANCE; TECHNOLOGY</t>
  </si>
  <si>
    <t>The objective of the current study is to identify and classify outcome measures currently used for the assessment of rehabilitation or assistive robot devices. We conducted a systematic review of the literature using PubMed, MEDLINE, CIRRIE, and Scopus databases for studies that assessed rehabilitation or assistive robot devices from 1980 through January 2016. In all, 31 articles met all inclusion criteria. Tailor-made questionnaires were the most commonly used tool at 66.7%, while the great majority (93.9%) of the studies used nonvalidated instruments. The study reveals the absence of a standard scale which makes it difficult to compare the results from different researchers. There is a great need, therefore, for a valid and reliable instrument to be available for use by the intended end users for the subjective assessment of robot devices. The study concludes by identifying two scales that have been validated in general assistive technology devices and could support the scope of subjective assessment in rehabilitation or assistive robots (however, with limited coverage) and a new one called PYTHEIA, recently published. The latter intends to close the gap and help researchers and developers to evaluate, assess, and produce products that satisfy the real needs of the end users.</t>
  </si>
  <si>
    <t>[Koumpouros, Yiannis] Technol Educ Inst Athens, Dept Informat, Athens 12243, Greece</t>
  </si>
  <si>
    <t>University of West Attica</t>
  </si>
  <si>
    <t>Koumpouros, Y (corresponding author), Technol Educ Inst Athens, Dept Informat, Athens 12243, Greece.</t>
  </si>
  <si>
    <t>ykoump@teiath.gr</t>
  </si>
  <si>
    <t>Koumpouros, Yiannis/AAT-7484-2021</t>
  </si>
  <si>
    <t>Koumpouros, Yiannis/0000-0001-6912-5475</t>
  </si>
  <si>
    <t>European Union [600796]</t>
  </si>
  <si>
    <t>The work leading to the presented results has received funding from the European Union under Grant Agreement no. 600796.</t>
  </si>
  <si>
    <t>10.1155/2016/1048964</t>
  </si>
  <si>
    <t>DM1DC</t>
  </si>
  <si>
    <t>WOS:000376084300001</t>
  </si>
  <si>
    <t>Mahmoudi, H</t>
  </si>
  <si>
    <t>Mahmoudi, Human</t>
  </si>
  <si>
    <t>New Modalities and Approaches in Stroke Rehabilitation</t>
  </si>
  <si>
    <t>GALEN MEDICAL JOURNAL</t>
  </si>
  <si>
    <t>Stroke; Transcranial Direct Current Stimulation; Virtual Reality Rehabilitation; Robotic Rehabilitation</t>
  </si>
  <si>
    <t>TRANSCRANIAL MAGNETIC STIMULATION; VIRTUAL-REALITY; MOTOR RECOVERY; METAANALYSIS; PLASTICITY</t>
  </si>
  <si>
    <t>During recent years, our understanding of recovery after stroke has changed dramatically. As a result, some new approaches and technologies have emerged to help stroke survivors improve even years after the accident. I am trying to introduce some of the most recent and scientifically investigated approaches and technologies used in stroke rehabilitation. Technologies and approaches such as intensive task-specific approach, repetitive Transcranial magnetic stimulation, transcranial direct current stimulation, virtual reality rehabilitation, robotic rehabilitation.</t>
  </si>
  <si>
    <t>[Mahmoudi, Human] Shiraz Univ Med Sci, Clin Neurol Res Ctr, Shiraz, Iran; [Mahmoudi, Human] Shiraz Univ Med Sci, Dr Mahmoudis Acquired Brain Injury Rehabil Ctr, Shiraz, Iran</t>
  </si>
  <si>
    <t>Mahmoudi, H (corresponding author), Human Mahmoudi Dr Mahmoudis Acquired Brain Injury, 15th Alley,Eram St, Shiraz, Iran.</t>
  </si>
  <si>
    <t>hm_rehab@yahoo.com</t>
  </si>
  <si>
    <t>FASA UNIV MEDICAL SCIENCES</t>
  </si>
  <si>
    <t>FASA</t>
  </si>
  <si>
    <t>FASA UNIV MEDICAL SCIENCES, FASA, 00000, IRAN</t>
  </si>
  <si>
    <t>2588-2767</t>
  </si>
  <si>
    <t>2322-2379</t>
  </si>
  <si>
    <t>GALEN MED J</t>
  </si>
  <si>
    <t>Galen Med. J.</t>
  </si>
  <si>
    <t>DQ7UI</t>
  </si>
  <si>
    <t>WOS:000379413000010</t>
  </si>
  <si>
    <t>Rukina, NN; Kuznetsov, AN; Borzikov, VV; Komkova, OV; Belova, AN</t>
  </si>
  <si>
    <t>Rukina, N. N.; Kuznetsov, A. N.; Borzikov, V. V.; Komkova, O. V.; Belova, A. N.</t>
  </si>
  <si>
    <t>Principles of Efficiency and Safety Assessment in Using Exoskeletons for Patients with Lower Limb Paralyses</t>
  </si>
  <si>
    <t>exoskeleton; assessment of walking; approbation of exoskeleton devices; paralysis of the lower limbs</t>
  </si>
  <si>
    <t>SPINAL-CORD-INJURY; PHYSIOLOGICAL COST INDEX; QUALITY-OF-LIFE; SIT-TO-STAND; ENERGY-EXPENDITURE; POWERED EXOSKELETON; ROBOTIC EXOSKELETON; GAIT REHABILITATION; RECIPROCAL GAIT; MUSCLE-ACTIVITY</t>
  </si>
  <si>
    <t>In rehabilitation of patients who have lost their ability to move independently due to the paralysis of lower limbs, using exoskeletons is a perspective direction. In recent years a great number of robotic devices improving walking of people with lower paraparesis have been developed. However, their comparison is hindered since there are no standardized approaches to the assessment of their efficiency and safety. In this review, general principles of evaluating external robotic devices have been presented, and methods of determining safety and convenience of exoskeleton usage have been analyzed. Assessment of qualitative and quantitative parameters of exoskeleton-assisted walking has also been considered. The characteristic of the questionnaires, standard tests and biochemical investigations, which are used in approbation of exoskeletal devices in people with paraplegia has been presented. Possible ways of evaluating energy expenditure when moving in exoskeletons are shown. The need of elaborating a unified evaluation strategy of walking in exoskeletons has been substantiated.</t>
  </si>
  <si>
    <t>[Rukina, N. N.; Kuznetsov, A. N.; Komkova, O. V.; Belova, A. N.] Minist Hlth Russian Federat, Privolzhsky Fed Res Med Ctr, Dept Funct Diagnost, 18 Verkhne Volzhskaya Naberezhnaya St, Nizhnii Novgorod 603155, Russia; [Borzikov, V. V.] Minist Hlth Russian Federat, Privolzhsky Fed Res Med Ctr, Sci &amp; Clin Dept, 18 Verkhne Volzhskaya Naberezhnaya St, Nizhnii Novgorod 603155, Russia; [Belova, A. N.] Minist Hlth Russian Federat, Privolzhsky Fed Res Med Ctr, 18 Verkhne Volzhskaya Naberezhnaya St, Nizhnii Novgorod 603155, Russia</t>
  </si>
  <si>
    <t>Ministry of Health of the Russian Federation; Privolzhsky Research Medical University; Ministry of Health of the Russian Federation; Privolzhsky Research Medical University; Privolzhsky Research Medical University; Ministry of Health of the Russian Federation</t>
  </si>
  <si>
    <t>Rukina, NN (corresponding author), Minist Hlth Russian Federat, Privolzhsky Fed Res Med Ctr, Dept Funct Diagnost, 18 Verkhne Volzhskaya Naberezhnaya St, Nizhnii Novgorod 603155, Russia.</t>
  </si>
  <si>
    <t>rukinann@mail.ru</t>
  </si>
  <si>
    <t>Белова, Анна/U-2048-2019</t>
  </si>
  <si>
    <t>Kuznecov, Aleksei/0000-0003-1889-1297</t>
  </si>
  <si>
    <t>Ministry of Education and Science of the Russian Federation [14.578.21.0107, RFMEF157815X0107]</t>
  </si>
  <si>
    <t>Ministry of Education and Science of the Russian Federation(Ministry of Education and Science, Russian Federation)</t>
  </si>
  <si>
    <t>The work was supported by the Ministry of Education and Science of the Russian Federation within the frames of the Federal targeted program Research and developments in priority areas of advancement of the Russian scientific and technological complex for 2014-2020; agreement on subsidy No. 14.578.21.0107 of 27.102015 (project unique identifier RFMEF157815X0107).</t>
  </si>
  <si>
    <t>10.17691/stm2016.8.4.28</t>
  </si>
  <si>
    <t>WOS:000391269500029</t>
  </si>
  <si>
    <t>Siciliano, B</t>
  </si>
  <si>
    <t>Xie, S</t>
  </si>
  <si>
    <t>Siciliano, Bruno</t>
  </si>
  <si>
    <t>Literature Review</t>
  </si>
  <si>
    <t>ADVANCED ROBOTICS FOR MEDICAL REHABILITATION: CURRENT STATE OF THE ART AND RECENT ADVANCES</t>
  </si>
  <si>
    <t>Springer Tracts in Advanced Robotics</t>
  </si>
  <si>
    <t>ANKLE-FOOT ORTHOSIS; PATIENT-COOPERATIVE CONTROL; DISTURBANCE OBSERVER; ROBUST-CONTROL; JOINT COMPLEX; REHABILITATION; ROBOT; DESIGN; MODEL; SYSTEM</t>
  </si>
  <si>
    <t>Crepaz, Katharina/F-4132-2017</t>
  </si>
  <si>
    <t>Crepaz, Katharina/0000-0003-1033-0823</t>
  </si>
  <si>
    <t>SPRINGER-VERLAG BERLIN</t>
  </si>
  <si>
    <t>HEIDELBERGER PLATZ 3, D-14197 BERLIN, GERMANY</t>
  </si>
  <si>
    <t>1610-7438</t>
  </si>
  <si>
    <t>978-3-319-19896-5; 978-3-319-19895-8</t>
  </si>
  <si>
    <t>SPRINGER TRAC ADV RO</t>
  </si>
  <si>
    <t>10.1007/978-3-319-19896-5_2</t>
  </si>
  <si>
    <t>10.1007/978-3-319-19896-5</t>
  </si>
  <si>
    <t>BF7DW</t>
  </si>
  <si>
    <t>WOS:000383981400004</t>
  </si>
  <si>
    <t>Vujaklija, I; Farina, D; Aszmann, OC</t>
  </si>
  <si>
    <t>Vujaklija, Ivan; Farina, Dario; Aszmann, Oskar C.</t>
  </si>
  <si>
    <t>New developments in prosthetic arm systems</t>
  </si>
  <si>
    <t>ORTHOPEDIC RESEARCH AND REVIEWS</t>
  </si>
  <si>
    <t>prosthetic; amputations; rehabilitation; hand; arm</t>
  </si>
  <si>
    <t>TARGETED MUSCLE REINNERVATION; SEVERE HAND INJURY; MYOELECTRIC CONTROL; PATTERN-RECOGNITION; FINGER TRANSFER; LIMB AMPUTEES; EMG SIGNALS; DEKA ARM; AMPUTATION; OSSEOINTEGRATION</t>
  </si>
  <si>
    <t>Absence of an upper limb leads to severe impairments in everyday life, which can further influence the social and mental state. For these reasons, early developments in cosmetic and body-driven prostheses date some centuries ago, and they have been evolving ever since. Following the end of the Second World War, rapid developments in technology resulted in powered myoelectric hand prosthetics. In the years to come, these devices were common on the market, though they still suffered high user abandonment rates. The reasons for rejection were trifold - insufficient functionality of the hardware, fragile design, and cumbersome control. In the last decade, both academia and industry have reached major improvements concerning technical features of upper limb prosthetics and methods for their interfacing and control. Advanced robotic hands are offered by several vendors and research groups, with a variety of active and passive wrist options that can be articulated across several degrees of freedom. Nowadays, elbow joint designs include active solutions with different weight and power options. Control features are getting progressively more sophisticated, offering options for multiple sensor integration and multi-joint articulation. Latest developments in socket designs are capable of facilitating implantable and multiple surface electromyography sensors in both traditional and osseointegration-based systems. Novel surgical techniques in combination with modern, sophisticated hardware are enabling restoration of dexterous upper limb functionality. This article is aimed at reviewing the latest state of the upper limb prosthetic market, offering insights on the accompanying technologies and techniques. We also examine the capabilities and features of some of academia's flagship solutions and methods.</t>
  </si>
  <si>
    <t>[Vujaklija, Ivan; Farina, Dario] Univ Gottingen, Univ Med Ctr Gottingen, Bernstein Focus Neurotechnol Gottingen, Inst Neurorehabil Syst, Gottingen, Germany; [Aszmann, Oskar C.] Med Univ Vienna, Christian Doppler Lab Restorat Extrem Funct, Dept Surg, Div Plast &amp; Reconstruct Surg, Wahringer Gurtel 18-20, A-1090 Vienna, Austria</t>
  </si>
  <si>
    <t>University of Gottingen; UNIVERSITY GOTTINGEN HOSPITAL; Medical University of Vienna</t>
  </si>
  <si>
    <t>Aszmann, OC (corresponding author), Med Univ Vienna, Christian Doppler Lab Restorat Extrem Funct, Dept Surg, Div Plast &amp; Reconstruct Surg, Wahringer Gurtel 18-20, A-1090 Vienna, Austria.</t>
  </si>
  <si>
    <t>oskar.aszmann@meduniwien.ac.at</t>
  </si>
  <si>
    <t>Vujaklija, Ivan/AAB-9163-2021; Farina, Dario/AAB-2648-2019</t>
  </si>
  <si>
    <t>Vujaklija, Ivan/0000-0002-7394-9474; Aszmann, Oskar/0000-0001-5530-726X</t>
  </si>
  <si>
    <t>Christian Doppler Research Foundation of the Austrian Federal Ministry of Science, Research and Economy; European Research Council [267888]</t>
  </si>
  <si>
    <t>Christian Doppler Research Foundation of the Austrian Federal Ministry of Science, Research and Economy; European Research Council(European Research Council (ERC))</t>
  </si>
  <si>
    <t>This work was supported by the Christian Doppler Research Foundation of the Austrian Federal Ministry of Science, Research and Economy and by the European Research Council Advanced Grant DEMOVE (contract # 267888).</t>
  </si>
  <si>
    <t>1179-1462</t>
  </si>
  <si>
    <t>ORTHOP RES REV</t>
  </si>
  <si>
    <t>Orthop. Res. Rev.</t>
  </si>
  <si>
    <t>10.2147/ORR.S71468</t>
  </si>
  <si>
    <t>EA2QW</t>
  </si>
  <si>
    <t>WOS:000386440600001</t>
  </si>
  <si>
    <t>Atzori, M; Müller, H</t>
  </si>
  <si>
    <t>Atzori, Manfredo; Mueller, Henning</t>
  </si>
  <si>
    <t>Control Capabilities of Myoelectric Robotic Prostheses by Hand Amputees: A Scientific Research and Market Overview</t>
  </si>
  <si>
    <t>electromyography; prosthetics; rehabilitation robotics; machine learning</t>
  </si>
  <si>
    <t>OF-THE-ART; SURFACE EMG; PATTERN-RECOGNITION; REAL-TIME; MOVEMENT CLASSIFICATION; INTERFACES; SIGNALS; ONLINE; KINEMATICS; CHALLENGES</t>
  </si>
  <si>
    <t>Hand amputation can dramatically affect the capabilities of a person. Cortical reorganization occurs in the brain, but the motor and somatosensorial cortex can interact with the remnant muscles of the missing hand even many years after the amputation, leading to the possibility to restore the capabilities of hand amputees through myoelectric prostheses. Myoelectric hand prostheses with many degrees of freedom are commercially available and recent advances in rehabilitation robotics suggest that their natural control can be performed in real life. The first commercial products exploiting pattern recognition to recognize the movements have recently been released, however the most common control systems are still usually unnatural and must be learned through long training. Dexterous and naturally controlled robotic prostheses can become reality in the everyday life of amputees but the path still requires many steps. This mini-review aims to improve the situation by giving an overview of the advancements in the commercial and scientific domains in order to outline the current and future chances in this field and to foster the integration between market and scientific research.</t>
  </si>
  <si>
    <t>[Atzori, Manfredo; Mueller, Henning] Univ App Sci Western Switzerland HES SO Valais, Inst Informat Syst, Sierre, Switzerland</t>
  </si>
  <si>
    <t>Atzori, M (corresponding author), Univ App Sci Western Switzerland HES SO Valais, Inst Informat Syst, Sierre, Switzerland.</t>
  </si>
  <si>
    <t>manfredo.atzori@hevs.ch</t>
  </si>
  <si>
    <t>Atzori, Manfredo/AAQ-4053-2020</t>
  </si>
  <si>
    <t>atzori, manfredo/0000-0001-5397-2063; Muller, Henning/0000-0001-6800-9878</t>
  </si>
  <si>
    <t>PO BOX 110, EPFL INNOVATION PARK, BUILDING I, LAUSANNE, 1015, SWITZERLAND</t>
  </si>
  <si>
    <t>10.3389/fnsys.2015.00162</t>
  </si>
  <si>
    <t>CZ0TM</t>
  </si>
  <si>
    <t>WOS:000366818900001</t>
  </si>
  <si>
    <t>Louie, DR; Eng, JJ; Lam, T</t>
  </si>
  <si>
    <t>Louie, Dennis R.; Eng, Janice J.; Lam, Tania</t>
  </si>
  <si>
    <t>SCIRE Res Team</t>
  </si>
  <si>
    <t>Gait speed using powered robotic exoskeletons after spinal cord injury: a systematic review and correlational study</t>
  </si>
  <si>
    <t>WALKING; REHABILITATION; ORTHOSIS; AMBULATION; COMPLICATIONS; INDIVIDUALS; POPULATION; LEVEL</t>
  </si>
  <si>
    <t>Powered robotic exoskeletons are an emerging technology of wearable orthoses that can be used as an assistive device to enable non-ambulatory individuals with spinal cord injury (SCI) to walk, or as a rehabilitation tool to improve walking ability in ambulatory individuals with SCI. No studies to date have systematically reviewed the literature on the efficacy of powered exoskeletons on restoring walking function. Our objective was to systematically review the literature to determine the gait speed attained by individuals with SCI when using a powered exoskeleton to walk, factors influencing this speed, and characteristics of studies involving a powered exoskeleton (e.g. inclusion criteria, screening, and training processes). A systematic search in computerized databases was conducted to identify articles that reported on walking outcomes when using a powered exoskeleton. Individual gait speed data from each study was extracted. Pearson correlations were performed between gait speed and 1) age, 2) years post-injury, 3) injury level, and 4) number of training sessions. Fifteen articles met inclusion criteria, 14 of which investigated the powered exoskeleton as an assistive device for non-ambulatory individuals and one which used it as a training intervention for ambulatory individuals with SCI. The mean gait speed attained by non-ambulatory participants (n = 84) while wearing a powered exoskeleton was 0.26 m/s, with the majority having a thoracic-level motor-complete injury. Twelve articles reported individual data for the non-ambulatory participants, from which a positive correlation was found between gait speed and 1) age (r = 0.27, 95 % CI 0.02-0.48, p = 0.03, 63 participants), 2) injury level (r = 0.27, 95 % CI 0.02-0.48, p = 0.03, 63 participants), and 3) training sessions (r = 0.41, 95 % CI 0.16-0.61, p = 0.002, 55 participants). In conclusion, powered exoskeletons can provide non-ambulatory individuals with thoracic-level motor-complete SCI the ability to walk at modest speeds. This speed is related to level of injury as well as training time.</t>
  </si>
  <si>
    <t>[Louie, Dennis R.; Eng, Janice J.; Lam, Tania] Univ British Columbia, Vancouver, BC V5Z 1M9, Canada; [Louie, Dennis R.; Eng, Janice J.] Rehabil Res Program, Vancouver, BC V5Z 2G9, Canada; [Louie, Dennis R.; Eng, Janice J.] Vancouver Coastal Hlth Res Inst, Vancouver, BC, Canada; [Eng, Janice J.; Lam, Tania] Int Collaborat Repair Discoveries, Vancouver, BC, Canada; [Eng, Janice J.] Univ British Columbia, Dept Phys Therapy, Vancouver, BC V6T 1Z3, Canada</t>
  </si>
  <si>
    <t>University of British Columbia; Vancouver Coastal Health Research Institute; University of British Columbia</t>
  </si>
  <si>
    <t>Eng, JJ (corresponding author), Univ British Columbia, Vancouver, BC V5Z 1M9, Canada.</t>
  </si>
  <si>
    <t>Lam, Tania/H-3730-2015</t>
  </si>
  <si>
    <t>Lam, Tania/0000-0002-5782-2537; Eng, Janice/0000-0002-2093-0788</t>
  </si>
  <si>
    <t>Rick Hansen Institute; Ontario Neurotrauma Foundation; Canadian Institutes of Health Research</t>
  </si>
  <si>
    <t>Rick Hansen Institute; Ontario Neurotrauma Foundation; Canadian Institutes of Health Research(Canadian Institutes of Health Research (CIHR))</t>
  </si>
  <si>
    <t>We acknowledge support from the Rick Hansen Institute, Ontario Neurotrauma Foundation and Canadian Institutes of Health Research.</t>
  </si>
  <si>
    <t>OCT 14</t>
  </si>
  <si>
    <t>10.1186/s12984-015-0074-9</t>
  </si>
  <si>
    <t>CT2KK</t>
  </si>
  <si>
    <t>WOS:000362630200001</t>
  </si>
  <si>
    <t>Salonia, A; Castagna, G; Capogrosso, P; Castiglione, F; Briganti, A; Montorsi, F</t>
  </si>
  <si>
    <t>Salonia, Andrea; Castagna, Giulia; Capogrosso, Paolo; Castiglione, Fabio; Briganti, Alberto; Montorsi, Francesco</t>
  </si>
  <si>
    <t>Prevention and management of post prostatectomy erectile dysfunction</t>
  </si>
  <si>
    <t>Prostate cancer (PCa); radical prostatectomy (RP); erectile function (EF); erectile dysfunction (ED)</t>
  </si>
  <si>
    <t>SPARING RADICAL PROSTATECTOMY; CAVERNOSAL NERVE RESECTION; QUALITY-OF-LIFE; ACCESSORY PUDENDAL ARTERIES; BASE-LINE POTENCY; SEXUAL FUNCTION; PENILE REHABILITATION; FUNCTION RECOVERY; RETROPUBIC PROSTATECTOMY; INTERNATIONAL-INDEX</t>
  </si>
  <si>
    <t>Sexual dysfunction is common in patients with prostate cancer (PC) following radical prostatectomy (RP). Review the available literature concerning prevention and management strategies for post-RP erectile function (EF) impairment in terms of preoperative patient characteristics, intra and postoperative factors that may influence EF recovery, and postoperative treatments for erectile dysfunction (ED). A literature search was performed using Google and PubMed database for English-language original and review articles, either published or e-published up to July 2013. The literature still demonstrates a great inconsistency in the definition of what is considered normal EF both before and after RP. Thus, using validated psychometric instruments with recognized cut-offs for normalcy and severity during the pre- and post-operative evaluation should be routinely considered. Therefore, a comprehensive discussion with the patient about the true prevalence of postoperative ED, the concept of spontaneous or pharmacologically-assisted erections, and the difference between back to baseline EF and erections adequate enough to have successful intercourse clearly emerge as key issues in the eventual understanding of post-RP ED prevention and promotion of satisfactory EF recovery. Patient factors (including age, baseline EF, comorbid conditions status), cancer selection (non- vs. uni- vs. bilateral nerve-sparing), type of surgery (i.e., intra vs. inter vs. extrafascial surgeries), surgical techniques (i.e., open, laparoscopic and robotically-assisted RP), and surgeon factors (i.e., surgical volume and surgical skill) represent the key significant contributors to EF recovery. A number of preclinical and clinical data show that rehabilitation and treatment in due time are undoubtedly better than leaving the erectile tissue to its unassisted postoperative fate. The role of postoperative ED treatment for those patients who received a non-nerve-sparing RP was also extensively discussed. Optimal outcomes are achieved mainly by the careful choice of the correct patient for the correct type of surgery. Despite a plethora of potential rehabilitative approaches, they should be only considered as strategies, since incontrovertible evidence of their effectiveness for improving natural EF recovery is limited. Conversely, numerous effective therapeutic options are available for treating post-RP ED.</t>
  </si>
  <si>
    <t>[Salonia, Andrea; Castagna, Giulia; Capogrosso, Paolo; Castiglione, Fabio; Briganti, Alberto; Montorsi, Francesco] Univ Vita Salute San Raffaele, Dept Urol, Via Olgettina 60, I-20132 Milan, Italy; [Salonia, Andrea; Briganti, Alberto] Magna Graecia Univ Catanzaro, Res Doctorate Program Urol, Catanzaro, Italy</t>
  </si>
  <si>
    <t>Vita-Salute San Raffaele University; Magna Graecia University of Catanzaro</t>
  </si>
  <si>
    <t>Montorsi, F (corresponding author), Univ Vita Salute San Raffaele, Dept Urol, Via Olgettina 60, I-20132 Milan, Italy.</t>
  </si>
  <si>
    <t>montorsi.francesco@hsr.it</t>
  </si>
  <si>
    <t>Montorsi, Francesco/AAN-2473-2020; Briganti, Alberto/AAN-1965-2020; Castiglione, Fabio/AAL-6765-2020; Salonia, Andrea/H-1025-2016</t>
  </si>
  <si>
    <t>Capogrosso, Paolo/0000-0003-2347-9504; Salonia, Andrea/0000-0002-0595-7165</t>
  </si>
  <si>
    <t>10.3978/j.issn.2223-4683.2013.09.10</t>
  </si>
  <si>
    <t>V5R8E</t>
  </si>
  <si>
    <t>WOS:000219880700005</t>
  </si>
  <si>
    <t>Reid, LB; Rose, SE; Boyd, RN</t>
  </si>
  <si>
    <t>Reid, Lee B.; Rose, Stephen E.; Boyd, Roslyn N.</t>
  </si>
  <si>
    <t>Rehabilitation and neuroplasticity in children with unilateral cerebral palsy</t>
  </si>
  <si>
    <t>INDUCED MOVEMENT THERAPY; TRANSCRANIAL MAGNETIC STIMULATION; RANDOMIZED CONTROLLED-TRIAL; PAIRED-ASSOCIATIVE STIMULATION; UPPER-LIMB REHABILITATION; MOTOR CORTEX PLASTICITY; ROBOT-ASSISTED THERAPY; CONGENITAL HEMIPARESIS; STROKE PATIENTS; OCCUPATIONAL PERFORMANCE</t>
  </si>
  <si>
    <t>Cerebral palsy is a childhood-onset, lifelong neurological disorder that primarily impairs motor function. Unilateral cerebral palsy (UCP), which impairs use of one hand and perturbs bimanual co-ordination, is the most common form of the condition. The main contemporary upper limb rehabilitation strategies for UCP are constraint-induced movement therapy and bimanual intensive therapy. In this Review, we outline the factors that are crucial to the success of motor rehabilitation in children with UCP, including the dose of training, the relevance of training to daily life, the suitability of training to the age and goals of the child, and the ability of the child to maintain close attention to the tasks. Emerging evidence suggests that the first 2 years of life are a critical period during which interventions for UCP could be more effective than in later life. Abnormal brain organization in UCP, and the effects of development on rehabilitation, must also be understood to develop new effective interventions. Therefore, we also consider neuroimaging methods that can provide insight into the neurobiology of UCP and how the condition responds to existing therapies. We discuss how these methods could shape future rehabilitative strategies based on the neurobiology of UCP and the therapy-induced changes seen in the brain.</t>
  </si>
  <si>
    <t>[Reid, Lee B.; Rose, Stephen E.] Brisbane &amp; Womens Hosp, Australian E Hlth Res Ctr, Herston, Qld 4029, Australia; [Boyd, Roslyn N.] Univ Queensland, Childrens Hlth Res Ctr, Queensland Cerebral Palsy &amp; Rehabil Res Ctr, Sch Med,Lady Cilento Childrens Hosp, South Brisbane, Qld 4101, Australia</t>
  </si>
  <si>
    <t>Royal Brisbane &amp; Women's Hospital; Commonwealth Scientific &amp; Industrial Research Organisation (CSIRO); University of Queensland; Childrens Health Queensland Hospital &amp; Health Service; Queensland Childrens Hospital</t>
  </si>
  <si>
    <t>Boyd, RN (corresponding author), Univ Queensland, Childrens Hlth Res Ctr, Queensland Cerebral Palsy &amp; Rehabil Res Ctr, Sch Med,Lady Cilento Childrens Hosp, Level 6, South Brisbane, Qld 4101, Australia.</t>
  </si>
  <si>
    <t>r.boyd@uq.edu.au</t>
  </si>
  <si>
    <t>Reid, Lynn/A-7364-2011; Rose, Stephen/C-8044-2009; Boyd, Roslyn/A-4498-2011; Reid, Lee/M-4801-2014</t>
  </si>
  <si>
    <t>Rose, Stephen/0000-0003-1558-6297; Boyd, Roslyn/0000-0002-4919-5975; Reid, Lee/0000-0002-3585-8141</t>
  </si>
  <si>
    <t>10.1038/nrneurol.2015.97</t>
  </si>
  <si>
    <t>CM2CG</t>
  </si>
  <si>
    <t>WOS:000357486700007</t>
  </si>
  <si>
    <t>Khalid, YM; Gouwanda, D; Parasuraman, S</t>
  </si>
  <si>
    <t>Khalid, Yusuf M.; Gouwanda, Darwin; Parasuraman, Subramanian</t>
  </si>
  <si>
    <t>A review on the mechanical design elements of ankle rehabilitation robot</t>
  </si>
  <si>
    <t>Rehabilitation robots; human foot and ankle; platform-based robots; wearable robots</t>
  </si>
  <si>
    <t>FOOT ORTHOSIS; IMPEDANCE CONTROL; SUBTALAR JOINTS; GAIT TRAINER; STROKE; SYSTEM; PERFORMANCE; KINEMATICS; MOVEMENT; INDIVIDUALS</t>
  </si>
  <si>
    <t>Ankle rehabilitation robots are developed to enhance ankle strength, flexibility and proprioception after injury and to promote motor learning and ankle plasticity in patients with drop foot. This article reviews the design elements that have been incorporated into the existing robots, for example, backdrivability, safety measures and type of actuation. It also discusses numerous challenges faced by engineers in designing this robot, including robot stability and its dynamic characteristics, universal evaluation criteria to assess end-user comfort, safety and training performance and the scientific basis on the optimal rehabilitation strategies to improve ankle condition. This article can serve as a reference to design robot with better stability and dynamic characteristics and good safety measures against internal and external events. It can also serve as a guideline for the engineers to report their designs and findings.</t>
  </si>
  <si>
    <t>[Khalid, Yusuf M.; Gouwanda, Darwin; Parasuraman, Subramanian] Monash Univ Malaysia, Sch Engn, Bandar Sunway 46150, Selangor Darul, Malaysia</t>
  </si>
  <si>
    <t>Gouwanda, D (corresponding author), Monash Univ Malaysia, Sch Engn, Jalan Lagoon Selatan, Bandar Sunway 46150, Selangor Darul, Malaysia.</t>
  </si>
  <si>
    <t>darwin.gouwanda@monash.edu</t>
  </si>
  <si>
    <t>, S.Parasuraman/A-5438-2013; Gouwanda, Darwin/F-8474-2013</t>
  </si>
  <si>
    <t>Gouwanda, Darwin/0000-0002-6166-2214</t>
  </si>
  <si>
    <t>Malaysia Ministry of Higher Education under Exploratory Research Grant Scheme (ERGS) [ERGS/1/2012/TK02/MUSM/03/2]; Malaysia Ministry of Science, Technology and Information under eScience [06-02-10-SF0264]</t>
  </si>
  <si>
    <t>Malaysia Ministry of Higher Education under Exploratory Research Grant Scheme (ERGS); Malaysia Ministry of Science, Technology and Information under eScience</t>
  </si>
  <si>
    <t>This research is partially supported by Malaysia Ministry of Higher Education under Exploratory Research Grant Scheme (ERGS) with reference no. ERGS/1/2012/TK02/MUSM/03/2 and by Malaysia Ministry of Science, Technology and Information under eScience with reference no. 06-02-10-SF0264.</t>
  </si>
  <si>
    <t>10.1177/0954411915585597</t>
  </si>
  <si>
    <t>CJ9XK</t>
  </si>
  <si>
    <t>WOS:000355856600004</t>
  </si>
  <si>
    <t>Çelik, B</t>
  </si>
  <si>
    <t>Celik, Berna</t>
  </si>
  <si>
    <t>Robotic Technology for Spinal Cord Injury: Upper Extremity</t>
  </si>
  <si>
    <t>TURKIYE FIZIKSEL TIP VE REHABILITASYON DERGISI-TURKISH JOURNAL OF PHYSICAL MEDICINE AND REHABILITATION</t>
  </si>
  <si>
    <t>Turkish</t>
  </si>
  <si>
    <t>Spinal cord injury; robot; rehabilitation; upper extremity</t>
  </si>
  <si>
    <t>QUALITY-OF-LIFE; CHRONIC STROKE; MOTOR CORTEX; MEMORY; PERFORMANCE; ADAPTATION; MOVEMENTS; PEOPLE; ERROR</t>
  </si>
  <si>
    <t>Spinal cord injury brings a sudden change in the lives of the affected individuals and causes permanent functional motor limitations. Although this condition has been believed to be refractory to treatment for many years, the life expectancy of affected individual is comparable to that of healthy individuals with the application of new treatment methods. Upper extremity function in tetraplegic patients affects the quality of life. Currently, the use of robots has increased for different treatment alternatives. Robot-mediated rehabilitation includes robot assistance, robotic perturbation, adding virtual reality to robot-mediated therapy, and interfacing the brain with a robotic device. The effects of upper extremity robotic rehabilitation, during and following treatment, and their side effects will be discussed along with currently available literature.</t>
  </si>
  <si>
    <t>Istanbul Fiz Tedavi Rehabil Egitim &amp; Arastirma Ha, Istanbul, Turkey</t>
  </si>
  <si>
    <t>Istanbul Physical Medicine &amp; Rehabilitation Training &amp; Research Hospital</t>
  </si>
  <si>
    <t>Çelik, B (corresponding author), Istanbul Fiz Tedavi Rehabil Egitim &amp; Arastirma Ha, Istanbul, Turkey.</t>
  </si>
  <si>
    <t>celikbe@hotmail.com</t>
  </si>
  <si>
    <t>Celik, Berna/IZQ-0051-2023</t>
  </si>
  <si>
    <t>ORNEK MH DR SUPHI EZGI SK SARAY APT NO 11 D 6, ATASEHIR, ISTANBUL 34704, TURKEY</t>
  </si>
  <si>
    <t>1302-0234</t>
  </si>
  <si>
    <t>1308-6316</t>
  </si>
  <si>
    <t>TURK FIZ TIP REHAB D</t>
  </si>
  <si>
    <t>Turk. Fiz. Tip Rehabil. Derg.</t>
  </si>
  <si>
    <t>S32</t>
  </si>
  <si>
    <t>S36</t>
  </si>
  <si>
    <t>10.5152/tftrd.2015.87513</t>
  </si>
  <si>
    <t>CL9YM</t>
  </si>
  <si>
    <t>WOS:000357335000008</t>
  </si>
  <si>
    <t>Özbudak Demir, S</t>
  </si>
  <si>
    <t>Ozbudak Demir, Sibel</t>
  </si>
  <si>
    <t>Robot-Assisted Gait Training for Patients with Spinal Cord Injury</t>
  </si>
  <si>
    <t>Robot-assisted gait training; spinal cord injury</t>
  </si>
  <si>
    <t>FUNCTIONAL ELECTRICAL-STIMULATION; POWERED EXOSKELETON; WALKING; INDIVIDUALS; RECOVERY; REHABILITATION; LOCOMOTION; PATTERNS; THERAPY; RESTORATION</t>
  </si>
  <si>
    <t>Regaining one's ability to walk is of great importance in spinal cord injury (SCI) patients, and it is the major goal of all rehabilitation programs. In recent years, several pharmacological treatments and rehabilitative approaches have been initiated to enhance the locomotion capacity of SCI patients. Robot-assisted gait training is re-education of the gait movements in a functional and task-oriented way through robotic systems. It has been suggested that this method be combined with other rehabilitation approaches to yield better results in SCI rehabilitation.</t>
  </si>
  <si>
    <t>Ankara Fiz Tedavi &amp; Rehabil Egitim &amp; Arastirma Ha, Ankara, Turkey</t>
  </si>
  <si>
    <t>Ankara Physical Therapy &amp; Rehabilitation Hospital</t>
  </si>
  <si>
    <t>Özbudak Demir, S (corresponding author), Ankara Fiz Tedavi &amp; Rehabil Egitim &amp; Arastirma Ha, Ankara, Turkey.</t>
  </si>
  <si>
    <t>sibidemi@gmail.com</t>
  </si>
  <si>
    <t>S37</t>
  </si>
  <si>
    <t>10.5152/tftrd.2015.59558</t>
  </si>
  <si>
    <t>WOS:000357335000009</t>
  </si>
  <si>
    <t>Wall, A; Borg, J; Palmcrantz, S</t>
  </si>
  <si>
    <t>Wall, Anneli; Borg, Jorgen; Palmcrantz, Susanne</t>
  </si>
  <si>
    <t>Clinical application of the Hybrid Assistive Limb (HAL) for gait training - a systematic review</t>
  </si>
  <si>
    <t>rehabilitation; robotics; gait; walking; locomotion; paresis; review; gait machine</t>
  </si>
  <si>
    <t>SPINAL-CORD-INJURY; OUTCOME MEASURES; STROKE; REHABILITATION; WALKING; RECOVERY; ROBOT; EXOSKELETON; FEASIBILITY; MOBILITY</t>
  </si>
  <si>
    <t>Objective: The aim of this study was to review the literature on clinical applications of the Hybrid Assistive Limb system for gait training. Methods: A systematic literature search was conducted using Web of Science, PubMed, CINAHL and clinicaltrials.gov and additional search was made using reference lists in identified reports. Abstracts were screened, relevant articles were reviewed and subject to quality assessment. Results: Out of 37 studies, 7 studies fulfilled inclusion criteria. Six studies were single group studies and 1 was an explorative randomized controlled trial. In total, these studies involved 140 participants of whom 118 completed the interventions and 107 used HAL for gait training. Five studies concerned gait training after stroke, 1 after spinal cord injury (SCI) and 1 study after stroke, SCI or other diseases affecting walking ability. Minor and transient side effects occurred but no serious adverse events were reported in the studies. Beneficial effects on gait function variables and independence in walking were observed. Conclusions: The accumulated findings demonstrate that the HAL system is feasible when used for gait training of patients with lower extremity paresis in a professional setting. Beneficial effects on gait function and independence in walking were observed but data do not allow conclusions. Further controlled studies are recommended.</t>
  </si>
  <si>
    <t>[Wall, Anneli; Borg, Jorgen; Palmcrantz, Susanne] Danderyd Hosp, Dept Rehabil Med, Stockholm, Sweden; [Wall, Anneli; Borg, Jorgen; Palmcrantz, Susanne] Karolinska Inst, Dept Clin Sci, Stockholm, Sweden</t>
  </si>
  <si>
    <t>Danderyds Hospital; Karolinska Institutet</t>
  </si>
  <si>
    <t>Wall, A (corresponding author), Rehabiliteringsmed Univ Kliniken, Danderyds Sjukhus, Danderyd Univ Hosp, Dept Rehabil Med, Hus 39,Plan 3, S-18288 Stockholm, Sweden.</t>
  </si>
  <si>
    <t>anneli.wall@ds.se</t>
  </si>
  <si>
    <t>Borg, Jorgen/0000-0002-2372-7478</t>
  </si>
  <si>
    <t>10.3389/fnsys.2015.00048</t>
  </si>
  <si>
    <t>CU6WO</t>
  </si>
  <si>
    <t>WOS:000363675900001</t>
  </si>
  <si>
    <t>Hughes, CML; Tommasino, P; Budhota, A; Campolo, D</t>
  </si>
  <si>
    <t>Hughes, Charmayne Mary Lee; Tommasino, Paolo; Budhota, Aamani; Campolo, Domenico</t>
  </si>
  <si>
    <t>Upper extremity proprioception in healthy aging and stroke populations, and the effects of therapist- and robot-based rehabilitation therapies on proprioceptive function</t>
  </si>
  <si>
    <t>proprioception; stroke; aging; rehabilitation robotics; upper extremity</t>
  </si>
  <si>
    <t>PURE SENSORY STROKE; SOMATOSENSORY EVOKED-POTENTIALS; UPPER-LIMB; POSITION SENSE; REACHING MOVEMENTS; MUSCLE-SPINDLES; SPATIAL ACUITY; OPTOKINETIC STIMULATION; QUANTITATIVE ASSESSMENT; DEAFFERENTED SUBJECT</t>
  </si>
  <si>
    <t>The world's population is aging, with the number of people ages 65 or older expected to surpass 1.5 billion people, or 16% of the global total. As people age, there are notable declines in proprioception due to changes in the central and peripheral nervous systems. Moreover, the risk of stroke increases with age, with approximately two-thirds of stroke-related hospitalizations occurring in people over the age of 65. In this literature review, we first summarize behavioral studies investigating proprioceptive deficits in normally aging older adults and stroke patients, and discuss the differences in proprioceptive function between these populations. We then provide a state of the art review the literature regarding therapist- and robot-based rehabilitation of the upper extremity proprioceptive dysfunction in stroke populations and discuss avenues of future research.</t>
  </si>
  <si>
    <t>[Hughes, Charmayne Mary Lee; Tommasino, Paolo; Budhota, Aamani; Campolo, Domenico] Nanyang Technol Univ, Robot Res Ctr, Sch Mech &amp; Aerosp Engn, Singapore 639798, Singapore; [Budhota, Aamani] Nanyang Technol Univ, Interdisciplinary Grad Sch, Singapore 639798, Singapore</t>
  </si>
  <si>
    <t>Nanyang Technological University; Nanyang Technological University</t>
  </si>
  <si>
    <t>Hughes, CML (corresponding author), Nanyang Technol Univ, Hughes Robot Res Ctr, Sch Mech &amp; Aerosp Engn, 50 Nanyang Ave, Singapore 639798, Singapore.</t>
  </si>
  <si>
    <t>c.hughes@ntu.edu.sg</t>
  </si>
  <si>
    <t>Tommasino, Paolo/Q-1229-2019; Campolo, Domenico/G-5648-2010; Tommasino, Paolo/L-1853-2018</t>
  </si>
  <si>
    <t>Campolo, Domenico/0000-0001-6930-0413; Tommasino, Paolo/0000-0003-3602-1594</t>
  </si>
  <si>
    <t>H-Man project, Ministry of Health, Singapore [NMRC/BnB/0006b/2013]</t>
  </si>
  <si>
    <t>H-Man project, Ministry of Health, Singapore</t>
  </si>
  <si>
    <t>This work was partly supported by the H-Man project (NMRC/BnB/0006b/2013), Ministry of Health, Singapore.</t>
  </si>
  <si>
    <t>MAR 2</t>
  </si>
  <si>
    <t>10.3389/fnhum.2015.00120</t>
  </si>
  <si>
    <t>CC5YP</t>
  </si>
  <si>
    <t>WOS:000350441600001</t>
  </si>
  <si>
    <t>Qian, ZQ; Bi, ZM</t>
  </si>
  <si>
    <t>Qian, Zhiqin; Bi, Zhuming</t>
  </si>
  <si>
    <t>Recent Development of Rehabilitation Robots</t>
  </si>
  <si>
    <t>UPPER-LIMB; ANKLE REHABILITATION; STROKE; NEUROREHABILITATION; THERAPY; DESIGN; GAIT; ORTHOSIS; SYSTEMS</t>
  </si>
  <si>
    <t>We have conducted a critical review on the development of rehabilitation robots to identify the limitations of existing studies and clarify some promising research directions in this field. This paper is presented to summarize our findings and understanding. The demands for assistive technologies for elderly and disabled population have been discussed, the advantages and disadvantages of rehabilitation robots as assistive technologies have been explored, the issues involved in the development of rehabilitation robots are investigated, some representative robots in this field by leading research institutes have been introduced, and a few of critical challenges in developing advanced rehabilitation robots have been identified. Finally to meet the challenges of developing practical rehabilitation robots, reconfigurable and modular systems have been proposed to meet the identified challenges, and a few of critical areas leading to the potential success of rehabilitation robots have been discussed.</t>
  </si>
  <si>
    <t>[Qian, Zhiqin; Bi, Zhuming] E China Univ Sci &amp; Technol, Sch Mech &amp; Power Engn, Shanghai 200237, Peoples R China; [Bi, Zhuming] Indiana Univ Purdue Univ, Dept Engn, Ft Wayne, IN 46818 USA</t>
  </si>
  <si>
    <t>East China University of Science &amp; Technology; Purdue University System; Indiana University Purdue University Fort Wayne</t>
  </si>
  <si>
    <t>Bi, ZM (corresponding author), E China Univ Sci &amp; Technol, Sch Mech &amp; Power Engn, Meilong Rd 130, Shanghai 200237, Peoples R China.</t>
  </si>
  <si>
    <t>biz@ipfw.edu</t>
  </si>
  <si>
    <t>Bi, Zhuming/AAA-3088-2019</t>
  </si>
  <si>
    <t>10.1155/2014/563062</t>
  </si>
  <si>
    <t>CH5NW</t>
  </si>
  <si>
    <t>WOS:000354083600024</t>
  </si>
  <si>
    <t>Tucker, MR; Olivier, J; Pagel, A; Bleuler, H; Bouri, M; Lambercy, O; Millán, JD; Riener, R; Vallery, H; Gassert, R</t>
  </si>
  <si>
    <t>Tucker, Michael R.; Olivier, Jeremy; Pagel, Anna; Bleuler, Hannes; Bouri, Mohamed; Lambercy, Olivier; Millan, Jose del R.; Riener, Robert; Vallery, Heike; Gassert, Roger</t>
  </si>
  <si>
    <t>Control strategies for active lower extremity prosthetics and orthotics: a review</t>
  </si>
  <si>
    <t>Prosthetic; Orthotic; Exoskeleton; Control architecture; Intention recognition; Activity mode recognition; Volitional control; Shared control; Finite-state machine; Electromyography; Sensory feedback; Sensory substitution; Seamless integration; Sensory-motor control; Rehabilitation robotics; Bionic; Biomechatronic; Legged locomotion</t>
  </si>
  <si>
    <t>CENTRAL PATTERN GENERATOR; TIME MYOELECTRIC CONTROL; ANKLE-FOOT PROSTHESIS; OF-THE-ART; INTENT RECOGNITION; NEURAL-CONTROL; SENSORY FEEDBACK; REHABILITATION ROBOTS; CONTROL ALGORITHMS; VOLITIONAL CONTROL</t>
  </si>
  <si>
    <t>Technological advancements have led to the development of numerous wearable robotic devices for the physical assistance and restoration of human locomotion. While many challenges remain with respect to the mechanical design of such devices, it is at least equally challenging and important to develop strategies to control them in concert with the intentions of the user. This work reviews the state-of-the-art techniques for controlling portable active lower limb prosthetic and orthotic (P/O) devices in the context of locomotive activities of daily living (ADL), and considers how these can be interfaced with the user's sensory-motor control system. This review underscores the practical challenges and opportunities associated with P/O control, which can be used to accelerate future developments in this field. Furthermore, this work provides a classification scheme for the comparison of the various control strategies. As a novel contribution, a general framework for the control of portable gait-assistance devices is proposed. This framework accounts for the physical and informatic interactions between the controller, the user, the environment, and the mechanical device itself. Such a treatment of P/Os - not as independent devices, but as actors within an ecosystem - is suggested to be necessary to structure the next generation of intelligent and multifunctional controllers. Each element of the proposed framework is discussed with respect to the role that it plays in the assistance of locomotion, along with how its states can be sensed as inputs to the controller. The reviewed controllers are shown to fit within different levels of a hierarchical scheme, which loosely resembles the structure and functionality of the nominal human central nervous system (CNS). Active and passive safety mechanisms are considered to be central aspects underlying all of P/O design and control, and are shown to be critical for regulatory approval of such devices for real-world use. The works discussed herein provide evidence that, while we are getting ever closer, significant challenges still exist for the development of controllers for portable powered P/O devices that can seamlessly integrate with the user's neuromusculoskeletal system and are practical for use in locomotive ADL.</t>
  </si>
  <si>
    <t>[Tucker, Michael R.; Lambercy, Olivier; Gassert, Roger] ETH, Dept Hlth Sci &amp; Technol, Rehabilitat Engn Lab, Zurich, Switzerland; [Olivier, Jeremy; Bleuler, Hannes; Bouri, Mohamed] Ecole Polytech Fed Lausanne, Inst Microengn, Robot Syst Lab, CH-1015 Lausanne, Switzerland; [Pagel, Anna; Riener, Robert; Vallery, Heike] ETH, Dept Hlth Sci &amp; Technol, Sensory Motor Syst Lab, Zurich, Switzerland; [Millan, Jose del R.] Ecole Polytech Fed Lausanne, Inst Bioengn, Ctr Neuroprosthet, Defitech Chair Noninvas Brain Machine Interface, CH-1015 Lausanne, Switzerland; [Riener, Robert] Univ Zurich, Balgrist Univ Hosp, Spinal Cord Injury Ctr, Fac Med, Zurich, Switzerland; [Vallery, Heike] Delft Univ Technol, Dept BioMech Engn, Fac Mech Maritime &amp; Mat Engn, Delft, Netherlands</t>
  </si>
  <si>
    <t>Swiss Federal Institutes of Technology Domain; ETH Zurich; Swiss Federal Institutes of Technology Domain; Ecole Polytechnique Federale de Lausanne; Swiss Federal Institutes of Technology Domain; ETH Zurich; Swiss Federal Institutes of Technology Domain; Ecole Polytechnique Federale de Lausanne; University of Geneva; University of Zurich; Delft University of Technology</t>
  </si>
  <si>
    <t>Tucker, MR (corresponding author), ETH, Dept Hlth Sci &amp; Technol, Rehabilitat Engn Lab, Zurich, Switzerland.</t>
  </si>
  <si>
    <t>mtucker@ethz.ch</t>
  </si>
  <si>
    <t>Gassert, Roger/I-1591-2019; Olivier, Jeremy/HZJ-4144-2023; Riener, Robert/B-9868-2016; Millan, Jose del R./F-1696-2011; Vallery, Heike/A-4254-2013; Gassert, Roger/B-6351-2011</t>
  </si>
  <si>
    <t>Olivier, Jeremy/0000-0002-6026-381X; Riener, Robert/0000-0002-1726-2950; Millan, Jose del R./0000-0001-5819-1522; Vallery, Heike/0000-0002-0305-398X; Tucker, Michael Robert/0000-0001-5769-2085; Gassert, Roger/0000-0002-6373-8518</t>
  </si>
  <si>
    <t>Swiss National Science foundation through the National Center of Competence in Research (NCCR) on Robotics</t>
  </si>
  <si>
    <t>Swiss National Science foundation through the National Center of Competence in Research (NCCR) on Robotics(Swiss National Science Foundation (SNSF))</t>
  </si>
  <si>
    <t>This work was supported by the Swiss National Science foundation through the National Center of Competence in Research (NCCR) on Robotics.</t>
  </si>
  <si>
    <t>10.1186/1743-0003-12-1</t>
  </si>
  <si>
    <t>AZ7KS</t>
  </si>
  <si>
    <t>WOS:000348398600001</t>
  </si>
  <si>
    <t>Iqbal, J; Baizid, K</t>
  </si>
  <si>
    <t>Iqbal, Jamshed; Baizid, Khelifa</t>
  </si>
  <si>
    <t>Stroke rehabilitation using exoskeleton-based robotic exercisers: Mini Review.</t>
  </si>
  <si>
    <t>BIOMEDICAL RESEARCH-INDIA</t>
  </si>
  <si>
    <t>Rehabilitation; stroke; hand function; hand exercisers; robotic exoskeletons</t>
  </si>
  <si>
    <t>Stroke is a debilitating disease that has afflicted millions of people throughout the world. Assisting physiotherapists in post-stroke activities to conduct rehabilitation therapies, scientific community has presented a new type of man-machine intelligent systems i.e. exoskeleton based exercisers. These devices help the patients having neurological disabilities to partially or fully regain their motor performance by applying forces to the affected finger phalanx and preventing unsuitable motion patterns. The exoskeletons because of their wide range of sensory capabilities have replaced traditional assessment of stroke patients. This article reviews developments in robotic prosthetics and exoskeletons. The primary design requirements of these devices are identified. Highlighting the authors' research achievements in this domain, a collection of exoskeleton-based hand rehabilitation devices has been then presented with a brief description about their mechanical designs. Finally, an overall view of research in this domain is commented.</t>
  </si>
  <si>
    <t>[Iqbal, Jamshed] Ist Italiano Technol, Adv Robot ADVR Dept, I-16163 Genoa, Italy; [Iqbal, Jamshed] COMSATS Inst Informat Technol, Dept Elect Engn, Islamabad 44000, Pakistan; [Baizid, Khelifa] Univ Cassino &amp; Southern Lazio, DIEI, I-03043 Casino, Italy</t>
  </si>
  <si>
    <t>Istituto Italiano di Tecnologia - IIT; COMSATS University Islamabad (CUI); University of Cassino</t>
  </si>
  <si>
    <t>Iqbal, J (corresponding author), Ist Italiano Technol, Adv Robot ADVR Dept, I-16163 Genoa, Italy.</t>
  </si>
  <si>
    <t>Iqbal, Jamshed/AER-0153-2022</t>
  </si>
  <si>
    <t>Iqbal, Jamshed/0000-0002-0795-0282</t>
  </si>
  <si>
    <t>DIST, University of Genova, Italy</t>
  </si>
  <si>
    <t>This research has been funded by a PhD grant from DIST, University of Genova, Italy. The authors would like to thank the funding agency.</t>
  </si>
  <si>
    <t>ALLIED ACAD</t>
  </si>
  <si>
    <t>40 BLOOMSBURY WAY, LOWER GROUND FLR, LONDON, WC1A 2SE, ENGLAND</t>
  </si>
  <si>
    <t>0970-938X</t>
  </si>
  <si>
    <t>0976-1683</t>
  </si>
  <si>
    <t>BIOMED RES-INDIA</t>
  </si>
  <si>
    <t>Biomed. Res.-India</t>
  </si>
  <si>
    <t>CI3HA</t>
  </si>
  <si>
    <t>WOS:000354637200031</t>
  </si>
  <si>
    <t>Artificial Limbs; Recovery of Function; Robotics; Upper Extremity; Activities of Daily Living; Exercise Therapy [instrumentation; methods]; Muscle Strength [physiology]; Randomized Controlled Trials as Topic; Stroke [physiopathology; rehabilitation]; Humans; Middle Aged</t>
  </si>
  <si>
    <t>UPPER EXTREMITY DYSFUNCTION; CONSTRAINT-INDUCED THERAPY; RANDOMIZED CLINICAL-TRIAL; MOTOR LEARNING-METHODS; SEVERELY AFFECTED ARM; UPPER-LIMB FUNCTION; QUALITY-OF-LIFE; ELECTRICAL-STIMULATION; AIDED NEUROREHABILITATION; HAND REHABILITATION</t>
  </si>
  <si>
    <t>Background Electromechanical and robot-assisted arm training devices are used in rehabilitation, and may help to improve arm function after stroke. Objectives To assess the effectiveness of electromechanical and robot-assisted arm training for improving activities of daily living, arm function, and arm muscle strength in people after stroke. We also assessed the acceptability and safety of the therapy. Search methods We searched the Cochrane Stroke Group's Trials Register (last searched February 2015), the Cochrane Central Register of Controlled Trials (CENTRAL) (the Cochrane Library 2015, Issue 3), MEDLINE (1950 to March 2015), EMBASE (1980 to March 2015), CINAHL (1982 to March 2015), AMED (1985 to March 2015), SPORTDiscus (1949 to March 2015), PEDro (searched April 2015), Compendex (1972 toMarch 2015), and Inspec (1969 toMarch 2015). We also handsearched relevant conference proceedings, searched trials and research registers, checked reference lists, and contacted trialists, experts, and researchers in our field, as well as manufacturers of commercial devices. Selection criteria Randomised controlled trials comparing electromechanical and robot-assisted arm training for recovery of arm function with other rehabilitation or placebo interventions, or no treatment, for people after stroke. Data collection and analysis Two review authors independently selected trials for inclusion, assessed trial quality and risk of bias, and extracted data. We contacted trialists for additional information. We analysed the results as standardised mean differences (SMDs) for continuous variables and risk differences (RDs) for dichotomous variables. Main results We included 34 trials (involving 1160 participants) in this update of our review. Electromechanical and robot-assisted arm training improved activities of daily living scores (SMD 0.37, 95% confidence interval (CI) 0.11 to 0.64, P = 0.005, I-2 = 62%), arm function (SMD 0.35, 95% CI 0.18 to 0.51, P &lt; 0.0001, I-2 = 36%), and arm muscle strength (SMD 0.36, 95% CI 0.01 to 0.70, P = 0.04, I-2 = 72%), but the quality of the evidence was low to very low. Electromechanical and robot-assisted arm training did not increase the risk of participant drop-out (RD 0.00, 95% CI -0.02 to 0.03, P = 0.84, I-2 = 0%) with moderate-quality evidence, and adverse events were rare. Authors' conclusions People who receive electromechanical and robot-assisted arm and hand training after stroke might improve their activities of daily living, arm and hand function, and arm and hand muscle strength. However, the results must be interpreted with caution because the quality of the evidence was low to very low, and there were variations between the trials in the intensity, duration, and amount of training; type of treatment; and participant characteristics.</t>
  </si>
  <si>
    <t>[Mehrholz, Jan] Klin Bavaria Kreischa GmbH, Private Europa Med Akad, Wissensch Inst, Wolfsschlucht 1-2, D-01731 Kreischa, Germany; [Mehrholz, Jan] Gesundheit Gera gGmbH, Sekt Therapiewissensch, SRH Fachhsch, D-07548 Gera, Germany; [Mehrholz, Jan; Kugler, Joachim] Tech Univ Dresden, Dresden Med Sch, Dept Publ Hlth, Dresden, Germany; [Pohl, Marcus] Helios Klin Schloss Pulsnitz, Neurol Rehabil, Pulsnitz, Germany; [Platz, Thomas] Ernst Moritz Arndt Univ Greifswald, Neurorehabil Ctr, Greifswald, Germany; [Platz, Thomas] Ernst Moritz Arndt Univ Greifswald, BDH Klin Greifswald, Spinal Cord Injury Unit, Greifswald, Germany; [Platz, Thomas] Ernst Moritz Arndt Univ, Neurowissensch, Greifswald, Germany; [Elsner, Bernhard] Tech Univ Dresden, Fac Med Carl Gustav Carus, Dept Publ Hlth, Dresden, Germany</t>
  </si>
  <si>
    <t>Technische Universitat Dresden; Helios Kliniken; Universitat Greifswald; Universitat Greifswald; Universitat Greifswald; Technische Universitat Dresden</t>
  </si>
  <si>
    <t>Mehrholz, J (corresponding author), Klin Bavaria Kreischa GmbH, Private Europa Med Akad, Wissensch Inst, Wolfsschlucht 1-2, D-01731 Kreischa, Germany.</t>
  </si>
  <si>
    <t>Elsner, Bernhard/K-5951-2015; Kugler, Joachim/IST-6529-2023; Platz, Thomas/AGF-9881-2022</t>
  </si>
  <si>
    <t>Wissenschaftliches Institut, Klinik Bavaria Kreischa, Germany; Department of Public Health, TU Dresden, Germany; SRH Fachhochschule fur Gesundheit Gera gGmbH, Germany</t>
  </si>
  <si>
    <t>Internal sourcesWissenschaftliches Institut, Klinik Bavaria Kreischa, Germany.Department of Public Health, TU Dresden, Germany.SRH Fachhochschule fur Gesundheit Gera gGmbH, Germany.</t>
  </si>
  <si>
    <t>10.1002/14651858.CD006876.pub4</t>
  </si>
  <si>
    <t>V47DY</t>
  </si>
  <si>
    <t>WOS:000209933700012</t>
  </si>
  <si>
    <t>Boucenna, S; Narzisi, A; Tilmont, E; Muratori, F; Pioggia, G; Cohen, D; Chetouani, M</t>
  </si>
  <si>
    <t>Boucenna, Sofiane; Narzisi, Antonio; Tilmont, Elodie; Muratori, Filippo; Pioggia, Giovanni; Cohen, David; Chetouani, Mohamed</t>
  </si>
  <si>
    <t>Interactive Technologies for Autistic Children: A Review</t>
  </si>
  <si>
    <t>COGNITIVE COMPUTATION</t>
  </si>
  <si>
    <t>Robotics; Children with autism; Joint attention; Imitation</t>
  </si>
  <si>
    <t>SOCIALLY ASSISTIVE ROBOTICS; VIRTUAL-REALITY; IMITATION; COMMUNICATION; SYNCHRONY; REHABILITATION; INDIVIDUALS; RECOGNITION; ADOLESCENTS; CHALLENGES</t>
  </si>
  <si>
    <t>Recently, there have been considerable advances in the research on innovative information communication technology (ICT) for the education of people with autism. This review focuses on two aims: (1) to provide an overview of the recent ICT applications used in the treatment of autism and (2) to focus on the early development of imitation and joint attention in the context of children with autism as well as robotics. There have been a variety of recent ICT applications in autism, which include the use of interactive environments implemented in computers and special input devices, virtual environments, avatars and serious games as well as telerehabilitation. Despite exciting preliminary results, the use of ICT remains limited. Many of the existing ICTs have limited capabilities and performance in actual interactive conditions. Clinically, most ICT proposals have not been validated beyond proof of concept studies. Robotics systems, developed as interactive devices for children with autism, have been used to assess the child's response to robot behaviors; to elicit behaviors that are promoted in the child; to model, teach and practice a skill; and to provide feedback on performance in specific environments (e.g., therapeutic sessions). Based on their importance for both early development and for building autonomous robots that have humanlike abilities, imitation, joint attention and interactive engagement are key issues in the development of assistive robotics for autism and must be the focus of further research.</t>
  </si>
  <si>
    <t>[Boucenna, Sofiane; Tilmont, Elodie; Cohen, David; Chetouani, Mohamed] Univ Paris 06, CNRS, UMR 7222, Inst Syst Intelligents &amp; Robot, Paris, France; [Narzisi, Antonio; Muratori, Filippo] Univ Pisa, Stella Maris Sci Inst, Div Child Neurol &amp; Psychiat, Calambrone, Italy; [Tilmont, Elodie; Cohen, David] Univ Paris 06, Grp Hosp Pitie Salpetriere, AP HP, Dept Child &amp; Adolescent Psychiat, Paris, France; [Pioggia, Giovanni] CNR, Rome, Italy</t>
  </si>
  <si>
    <t>Centre National de la Recherche Scientifique (CNRS); CNRS - Institute for Information Sciences &amp; Technologies (INS2I); Sorbonne Universite; University of Pisa; IRCCS Fondazione Stella Maris; Assistance Publique Hopitaux Paris (APHP); Hopital Universitaire Pitie-Salpetriere - APHP; Sorbonne Universite; Consiglio Nazionale delle Ricerche (CNR)</t>
  </si>
  <si>
    <t>Boucenna, S (corresponding author), Univ Paris 06, CNRS, UMR 7222, Inst Syst Intelligents &amp; Robot, Paris, France.</t>
  </si>
  <si>
    <t>sofiane.boucenna@gmail.com</t>
  </si>
  <si>
    <t>narzisi, antonio/AHE-0027-2022; Muratori, Filippo/K-3187-2018; CHETOUANI, Mohamed/F-5854-2010; Pioggia, Giovanni/C-8119-2016; Bargagna, Stefania/AAB-7603-2019</t>
  </si>
  <si>
    <t>narzisi, antonio/0000-0003-3996-3827; Muratori, Filippo/0000-0001-9598-0096; CHETOUANI, Mohamed/0000-0002-2920-4539; Pioggia, Giovanni/0000-0002-8089-7449; Bargagna, Stefania/0000-0001-6430-9494</t>
  </si>
  <si>
    <t>European Commission [288241]; fund Entreprendre pour aider</t>
  </si>
  <si>
    <t>European Commission(European Union (EU)European Commission Joint Research Centre); fund Entreprendre pour aider</t>
  </si>
  <si>
    <t>This study was supported by a grant from the European Commission (FP7: Michelangelo under Grant agreement n 288241) and the fund Entreprendre pour aider.'' The funding agencies and the University were not involved in the study design, collection, analysis and interpretation of data, writing of the paper or the decision to submit the paper for publication. We would like to thank MICHELANGELO Study Group (S. Bonfiglio, K. Maharatna, E. Tamburini, A. Giuliano, M. Donnelly) for interesting discussions.</t>
  </si>
  <si>
    <t>1866-9956</t>
  </si>
  <si>
    <t>1866-9964</t>
  </si>
  <si>
    <t>COGN COMPUT</t>
  </si>
  <si>
    <t>Cogn. Comput.</t>
  </si>
  <si>
    <t>10.1007/s12559-014-9276-x</t>
  </si>
  <si>
    <t>Computer Science, Artificial Intelligence; Neurosciences</t>
  </si>
  <si>
    <t>Computer Science; Neurosciences &amp; Neurology</t>
  </si>
  <si>
    <t>AW0PJ</t>
  </si>
  <si>
    <t>WOS:000345994900010</t>
  </si>
  <si>
    <t>Cao, JH; Xie, SQ; Das, R; Zhu, GL</t>
  </si>
  <si>
    <t>Cao, Jinghui; Xie, Sheng Quan; Das, Raj; Zhu, Guo L.</t>
  </si>
  <si>
    <t>Control strategies for effective robot assisted gait rehabilitation: The state of art and future prospects</t>
  </si>
  <si>
    <t>Rehabilitation robotics; Gait rehabilitation; Control strategies</t>
  </si>
  <si>
    <t>BODY-WEIGHT SUPPORT; SUBACUTE STROKE PATIENTS; MOTOR RELEARNING PROGRAM; FLOOR WALKING; TREADMILL WALKING; ELECTRICAL-STIMULATION; ACTIVE PARTICIPATION; HEMIPARETIC PATIENTS; LOCOMOTOR THERAPY; HYBRID CONTROL</t>
  </si>
  <si>
    <t>A large number of gait rehabilitation robots, together with a variety of control strategies, have been developed and evaluated during the last decade. Initially, control strategies applied to rehabilitation robots were adapted from those applied to traditional industrial robots. However, these strategies cannot optimise effectiveness of gait rehabilitation. As a result, researchers have been investigating control strategies tailored for the needs of rehabilitation. Among these control strategies, assisted-as-needed (AAN) control is one of the most popular research topics in this field. AAN training strategies have gained the theoretical and practical evidence based backup from motor learning principles and clinical studies. Various approaches to AAN training have been proposed and investigated by research groups all around the world. This article presents a review on control algorithms of gait rehabilitation robots to summarise related knowledge and investigate potential trends of development. There are existing review papers on control strategies of rehabilitation robots. The review by Marchal-Crespo and Reinkensmeyer (2009) had a broad cover of control strategies of all kinds of rehabilitation robots. Hussain et al. (2011) had specifically focused on treadmill gait training robots and covered a limited number of control implementations on them. This review article encompasses more detailed information on control strategies for robot assisted gait rehabilitation, but is not limited to treadmill based training. It also investigates the potential to further develop assist-as-needed gait training based on assessments of patients' ability. In this paper, control strategies are generally divided into the trajectory tracking control and AAN control. The review covers these two basic categories, as well as other control algorithm and technologies derived from them, such as biofeedback control. Assessments on human gait ability are also included to investigate how to further develop implementations based on assist-as-needed concept. For the consideration of effectiveness, clinical studies on robotic gait rehabilitation are reviewed and analysed from the viewpoint of control algorithm. (C) 2014 IPEM. Published by Elsevier Ltd. All rights reserved.</t>
  </si>
  <si>
    <t>[Cao, Jinghui; Xie, Sheng Quan; Das, Raj] Univ Auckland, Dept Mech Engn, Auckland 1, New Zealand; [Xie, Sheng Quan; Zhu, Guo L.] Huazhong Univ Sci &amp; Technol, State Key Lab Digital Equipment &amp; Technol, Wuhan 430074, Peoples R China</t>
  </si>
  <si>
    <t>University of Auckland; Huazhong University of Science &amp; Technology</t>
  </si>
  <si>
    <t>jcao027@aucklanduni.ac.nz; s.xie@auckland.ac.nz; r.das@auckland.ac.nz; glzhu@mail.hust.edu.cn</t>
  </si>
  <si>
    <t>Cao, Jinghui/AAO-6495-2020; Xie, Sheng/AAU-3957-2021</t>
  </si>
  <si>
    <t>Xie, Sheng Quan/0000-0003-2641-2620; Xie, Shane/0000-0002-8082-9112; Das, Raj/0000-0001-9977-6201</t>
  </si>
  <si>
    <t>University of Auckland Doctoral Scholarship; Auckland Medical Research Foundation [1111014]</t>
  </si>
  <si>
    <t>University of Auckland Doctoral Scholarship; Auckland Medical Research Foundation</t>
  </si>
  <si>
    <t>The authors would like to acknowledge the funding support from the University of Auckland Doctoral Scholarship and the Auckland Medical Research Foundation, project number: 1111014.</t>
  </si>
  <si>
    <t>10.1016/j.medengphy.2014.08.005</t>
  </si>
  <si>
    <t>AY3SE</t>
  </si>
  <si>
    <t>WOS:000347502000001</t>
  </si>
  <si>
    <t>Jarrassé, N; Proietti, T; Crocher, V; Robertson, J; Sahbani, A; Morel, G; Roby-Brami, A</t>
  </si>
  <si>
    <t>Jarrasse, Nathanael; Proietti, Tommaso; Crocher, Vincent; Robertson, Johanna; Sahbani, Anis; Morel, Guillaume; Roby-Brami, Agnes</t>
  </si>
  <si>
    <t>Robotic exoskeletons: a perspective for the rehabilitation of arm coordination in stroke patients</t>
  </si>
  <si>
    <t>rehabilitation robotics; exoskeleton; upper-limb; synergies; arm coordination control</t>
  </si>
  <si>
    <t>INDUCED MOVEMENT THERAPY; UPPER-LIMB PHYSIOTHERAPY; PARETIC UPPER-LIMB; UPPER-EXTREMITY; INTERJOINT COORDINATION; MUSCLE ACTIVATION; TRUNK RESTRAINT; MOTOR CONTROL; POINTING MOVEMENTS; JOINT COORDINATION</t>
  </si>
  <si>
    <t>Upper-limb impairment after stroke is caused by weakness, loss of individual joint control, spasticity, and abnormal synergies. Upper-limb movement frequently involves abnormal, stereotyped, and fixed synergies, likely related to the increased use of sub-cortical networks following the stroke. The flexible coordination of the shoulder and elbow joints is also disrupted. New methods for motor learning, based on the stimulation of activity-dependent neural plasticity have been developed. These include robots that can adaptively assist active movements and generate many movement repetitions. However, most of these robots only control the movement of the hand in space. The aim of the present text is to analyze the potential of robotic exoskeletons to specifically rehabilitate joint motion and particularly inter-joint coordination. First, a review of studies on upper-limb coordination in stroke patients is presented and the potential for recovery of coordination is examined. Second, issues relating to the mechanical design of exoskeletons and the transmission of constraints between the robotic and human limbs are discussed. The third section considers the development of different methods to control exoskeletons: existing rehabilitation devices and approaches to the control and rehabilitation of joint coordinations are then reviewed, along with preliminary clinical results available. Finally, perspectives and future strategies for the design of control mechanisms for rehabilitation exoskeletons are discussed.</t>
  </si>
  <si>
    <t>[Jarrasse, Nathanael; Proietti, Tommaso; Crocher, Vincent; Sahbani, Anis; Morel, Guillaume; Roby-Brami, Agnes] CNRS, Inst Intelligent Syst &amp; Robot ISIR, UMR 7222, F-75005 Paris, France; [Jarrasse, Nathanael; Proietti, Tommaso; Crocher, Vincent; Sahbani, Anis; Morel, Guillaume; Roby-Brami, Agnes] Univ Paris 06, Sorbonne Univ, UMR 7222, F-75005 Paris, France; [Jarrasse, Nathanael; Proietti, Tommaso; Sahbani, Anis; Morel, Guillaume; Roby-Brami, Agnes] INSERM, Agathe ISIR, U1150, Paris, France; [Crocher, Vincent] Univ Melbourne, Dept Elect &amp; Elect Engn, Melbourne, Vic, Australia; [Robertson, Johanna; Roby-Brami, Agnes] Hop Raymond Poincare, Dept Phys Med &amp; Rehabil, Garches, France</t>
  </si>
  <si>
    <t>Centre National de la Recherche Scientifique (CNRS); CNRS - Institute for Information Sciences &amp; Technologies (INS2I); Sorbonne Universite; Sorbonne Universite; Centre National de la Recherche Scientifique (CNRS); CNRS - Institute for Information Sciences &amp; Technologies (INS2I); Institut National de la Sante et de la Recherche Medicale (Inserm); University of Melbourne; Assistance Publique Hopitaux Paris (APHP); Hopital Universitaire Raymond-Poincare - APHP</t>
  </si>
  <si>
    <t>Roby-Brami, A (corresponding author), CNRS, Inst Intelligent Syst &amp; Robot ISIR, UMR 7222, 4 Pl Jussieu, F-75005 Paris, France.</t>
  </si>
  <si>
    <t>Proietti, Tommaso/AAN-4429-2020; Crocher, Vincent/AAQ-2561-2020; Robertson, Johanna/HGD-3181-2022; Jarrasse, Nathanael/AAH-9270-2021; Sahbani, Anis/C-3294-2013; Roby-Brami, Agnes/K-5759-2017</t>
  </si>
  <si>
    <t>Jarrasse, Nathanael/0000-0002-5680-1566; Crocher, Vincent/0000-0001-9643-8389; Proietti, Tommaso/0000-0002-8875-8646; Sahbani, Anis/0000-0001-6817-1146; Roby-Brami, Agnes/0000-0002-6196-7229</t>
  </si>
  <si>
    <t>French National Agency for research, ANR [PSIROB-ROBO-0003]; Region Ile de France</t>
  </si>
  <si>
    <t>French National Agency for research, ANR(Agence Nationale de la Recherche (ANR)); Region Ile de France(Region Ile-de-France)</t>
  </si>
  <si>
    <t>The authors thank Catherine Bidard, Philippe Garrec, and Yann Perrot (CEA-LIST) for their contribution with the ABLE Exoskeleton and the participants of the European Network on Robotics for Neuro Rehabilitation (COST action TD1006) for fruitful discussions. We also thank Prof. Djamel Bensmail and Prof. Bernard Bussel (Hopital Raymond Poincare Garches) for their support with clinical experiments. Funding: This work was supported by the French National Agency for research, ANR, program PSIROB-ROBO-0003. Tommaso Proietti received a doctoral grant from Region Ile de France.</t>
  </si>
  <si>
    <t>10.3389/fnhum.2014.00947</t>
  </si>
  <si>
    <t>AU4CS</t>
  </si>
  <si>
    <t>WOS:000345557200001</t>
  </si>
  <si>
    <t>Di Pino, G; Pellegrino, G; Assenza, G; Capone, F; Ferreri, F; Formica, D; Ranieri, F; Tombini, M; Ziemann, U; Rothwell, JC; Di Lazzaro, V</t>
  </si>
  <si>
    <t>Di Pino, Giovanni; Pellegrino, Giovanni; Assenza, Giovanni; Capone, Fioravante; Ferreri, Florinda; Formica, Domenico; Ranieri, Federico; Tombini, Mario; Ziemann, Ulf; Rothwell, John C.; Di Lazzaro, Vincenzo</t>
  </si>
  <si>
    <t>Modulation of brain plasticity in stroke: a novel model for neurorehabilitation</t>
  </si>
  <si>
    <t>TRANSCRANIAL MAGNETIC STIMULATION; THETA-BURST STIMULATION; HUMAN MOTOR CORTEX; INVASIVE CORTICAL STIMULATION; ROBOT-ASSISTED THERAPY; UPPER-LIMB IMPAIRMENT; LTP-LIKE PLASTICITY; ELECTRICAL-STIMULATION; UNAFFECTED HEMISPHERE; ISCHEMIC-STROKE</t>
  </si>
  <si>
    <t>Noninvasive brain stimulation (NIBS) techniques can be used to monitor and modulate the excitability of intracortical neuronal circuits. Long periods of cortical stimulation can produce lasting effects on brain function, paving the way for therapeutic applications of NIBS in chronic neurological disease. The potential of NIBS in stroke rehabilitation has been of particular interest, because stroke is the main cause of permanent disability in industrial nations, and treatment outcomes often fail to meet the expectations of patients. Despite promising reports from many clinical trials on NIBS for stroke recovery, the number of studies reporting a null effect remains a concern. One possible explanation is that the interhemispheric competition model-which posits that suppressing the excitability of the hemisphere not affected by stroke will enhance recovery by reducing interhemispheric inhibition of the stroke hemisphere, and forms the rationale for many studies-is oversimplified or even incorrect. Here, we critically review the proposed mechanisms of synaptic and functional reorganization after stroke, and suggest a bimodal balance-recovery model that links interhemispheric balancing and functional recovery to the structural reserve spared by the lesion. The proposed model could enable NIBS to be tailored to the needs of individual patients.</t>
  </si>
  <si>
    <t>[Di Pino, Giovanni; Pellegrino, Giovanni; Assenza, Giovanni; Capone, Fioravante; Ferreri, Florinda; Ranieri, Federico; Tombini, Mario; Di Lazzaro, Vincenzo] Campus Biomed Univ, Inst Neurol, I-00128 Rome, Italy; [Formica, Domenico] Campus Biomed Univ, Ctr Integrated Res, Lab Biomed Robot &amp; Biomicrosyst, I-00128 Rome, Italy; [Ziemann, Ulf] Univ Tubingen, Dept Neurol &amp; Stroke, D-72076 Tubingen, Germany; [Ziemann, Ulf] Univ Tubingen, Hertie Inst Clin Brain Res, D-72076 Tubingen, Germany; [Rothwell, John C.] UCL, Inst Neurol, Sobell Dept Motor Neurosci &amp; Movement Disorders, London WC1N 3BG, England</t>
  </si>
  <si>
    <t>University Campus Bio-Medico - Rome Italy; University Campus Bio-Medico - Rome Italy; Eberhard Karls University of Tubingen; Eberhard Karls University of Tubingen; Eberhard Karls University Hospital; University of London; University College London</t>
  </si>
  <si>
    <t>Di Lazzaro, V (corresponding author), Campus Biomed Univ, Inst Neurol, Via Alvaro Portillo 200, I-00128 Rome, Italy.</t>
  </si>
  <si>
    <t>V.DiLazzaro@unicampus.it</t>
  </si>
  <si>
    <t>Rothwell, JOhn/HCH-2015-2022; Assenza, Giovanni/K-6877-2018; Ziemann, Ulf/AAY-9125-2020; Di Lazzaro, Vincenzo/L-3731-2018; Capone, Fioravante/K-9698-2016; Tombini, Mario/AAB-9579-2019; Ranieri, Federico/K-6993-2016; Pellegrino, Giovanni/K-5328-2016; Di Pino, Giovanni/J-8254-2018; Formica, Domenico/G-9403-2011</t>
  </si>
  <si>
    <t>Di Lazzaro, Vincenzo/0000-0002-9113-5925; Capone, Fioravante/0000-0002-7639-5104; Ferreri, Florinda/0000-0002-7938-905X; Tombini, Mario/0000-0002-0328-7815; Rothwell, John/0000-0003-1367-6467; Ranieri, Federico/0000-0001-6530-1857; Pellegrino, Giovanni/0000-0002-1195-1421; Di Pino, Giovanni/0000-0001-5046-5816; Assenza, Giovanni/0000-0002-6160-4348; Formica, Domenico/0000-0003-0240-1265</t>
  </si>
  <si>
    <t>10.1038/nrneurol.2014.162</t>
  </si>
  <si>
    <t>AR2MF</t>
  </si>
  <si>
    <t>WOS:000343420800007</t>
  </si>
  <si>
    <t>Nordin, N; Xie, SQ; Wünsche, B</t>
  </si>
  <si>
    <t>Nordin, Nurdiana; Xie, Sheng Quan; Wuensche, Burkhard</t>
  </si>
  <si>
    <t>Assessment of movement quality in robot-assisted upper limb rehabilitation after stroke: a review</t>
  </si>
  <si>
    <t>Robot kinematics; Motion analysis; Rehabilitation robotics; Stroke</t>
  </si>
  <si>
    <t>UPPER-EXTREMITY; REACHING MOVEMENTS; MOTOR FUNCTION; ARM MOVEMENT; AIDED NEUROREHABILITATION; QUANTITATIVE-EVALUATION; HUNTINGTONS-DISEASE; POSITION SENSE; RECOVERY; THERAPY</t>
  </si>
  <si>
    <t>Studies of stroke patients undergoing robot-assisted rehabilitation have revealed various kinematic parameters describing movement quality of the upper limb. However, due to the different level of stroke impairment and different assessment criteria and interventions, the evaluation of the effectiveness of rehabilitation program is undermined. This paper presents a systematic review of kinematic assessments of movement quality of the upper limb and identifies the suitable parameters describing impairments in stroke patients. A total of 41 different clinical and pilot studies on different phases of stroke recovery utilizing kinematic parameters are evaluated. Kinematic parameters describing movement accuracy are mostly reported for chronic patients with statistically significant outcomes and correlate strongly with clinical assessments. Meanwhile, parameters describing feed-forward sensorimotor control are the most frequently reported in studies on sub-acute patients with significant outcomes albeit without correlation to any clinical assessments. However, lack of measures in coordinated movement and proximal component of upper limb enunciate the difficulties to distinguish the exploitation of joint redundancies exhibited by stroke patients in completing the movement. A further study on overall measures of coordinated movement is recommended.</t>
  </si>
  <si>
    <t>[Nordin, Nurdiana; Xie, Sheng Quan] Univ Auckland, Dept Mech Engn, Auckland 1, New Zealand; [Wuensche, Burkhard] Univ Auckland, Dept Comp Sci, Auckland 1, New Zealand; [Nordin, Nurdiana] Univ Tekn Malaysia Melaka, Fac Elect Engn, Hang Tuah Jaya, Melaka, Malaysia; [Xie, Sheng Quan] Huazhong Univ Sci &amp; Technol, State Key Lab Digital Equipment &amp; Technol, Wuhan 430074, Peoples R China</t>
  </si>
  <si>
    <t>University of Auckland; University of Auckland; University Teknikal Malaysia Melaka; Huazhong University of Science &amp; Technology</t>
  </si>
  <si>
    <t>Nordin, N (corresponding author), Univ Auckland, Dept Mech Engn, 20 Symonds St, Auckland 1, New Zealand.</t>
  </si>
  <si>
    <t>nurdiana@utem.edu.my</t>
  </si>
  <si>
    <t>Xie, Sheng/AAU-3957-2021; Nordin, Nurdiana/AAG-2428-2019</t>
  </si>
  <si>
    <t>Xie, Sheng Quan/0000-0003-2641-2620; Wuensche, Burkhard/0000-0002-8013-4118; Nordin, Nurdiana/0000-0001-8016-2066</t>
  </si>
  <si>
    <t>University of Auckland, New Zealand; Ministry of Higher Education, Malaysia</t>
  </si>
  <si>
    <t>University of Auckland, New Zealand; Ministry of Higher Education, Malaysia(Ministry of Education, Malaysia)</t>
  </si>
  <si>
    <t>This work was performed under financial support from the University of Auckland, New Zealand. Meanwhile, the authors also thank the Ministry of Higher Education, Malaysia for its sponsorship.</t>
  </si>
  <si>
    <t>SEP 12</t>
  </si>
  <si>
    <t>10.1186/1743-0003-11-137</t>
  </si>
  <si>
    <t>AP8YN</t>
  </si>
  <si>
    <t>WOS:000342365400001</t>
  </si>
  <si>
    <t>Castellini, C; Artemiadis, P; Wininger, M; Ajoudani, A; Alimusaj, M; Bicchi, A; Caputo, B; Craelius, W; Dosen, S; Englehart, K; Farina, D; Gijsberts, A; Godfrey, SB; Hargrove, L; Ison, M; Kuiken, T; Markovic, M; Pilarski, PM; Rupp, R; Scheme, E</t>
  </si>
  <si>
    <t>Castellini, Claudio; Artemiadis, Panagiotis; Wininger, Michael; Ajoudani, Arash; Alimusaj, Merkur; Bicchi, Antonio; Caputo, Barbara; Craelius, William; Dosen, Strahinja; Englehart, Kevin; Farina, Dario; Gijsberts, Arjan; Godfrey, Sasha B.; Hargrove, Levi; Ison, Mark; Kuiken, Todd; Markovic, Marko; Pilarski, Patrick M.; Rupp, Ruediger; Scheme, Erik</t>
  </si>
  <si>
    <t>Proceedings of the first workshop on Peripheral Machine Interfaces: going beyond traditional surface electromyography</t>
  </si>
  <si>
    <t>human-machine interfaces; prosthetics; rehabilitation robotics; EMG; prosthetic control</t>
  </si>
  <si>
    <t>TARGETED MUSCLE REINNERVATION; OF-THE-ART; MYOELECTRIC CONTROL; PATTERN-RECOGNITION; PROSTHESES; FEEDBACK; MOVEMENTS; SYNERGIES; FOREARM; VISION</t>
  </si>
  <si>
    <t>One of the hottest topics in rehabilitation robotics is that of proper control of prosthetic devices. Despite decades of research, the state of the art is dramatically behind the expectations. To shed light on this issue, in June, 2013 the first international workshop on Present and future of non-invasive peripheral nervous system (PNS)-Machine Interfaces (MI; PMI) was convened, hosted by the International Conference on Rehabilitation Robotics. The keyword PMI has been selected to denote human-machine interfaces targeted at the limb-deficient, mainly upper-limb amputees, dealing with signals gathered from the PNS in a non-invasive way, that is, from the surface of the residuum. The workshop was intended to provide an overview of the state of the art and future perspectives of such interfaces; this paper represents is a collection of opinions expressed by each and every researcher/group involved in it.</t>
  </si>
  <si>
    <t>[Castellini, Claudio] German Aerosp Ctr, Robot &amp; Mechatron Ctr, Oberpfaffenhofen, Germany; [Artemiadis, Panagiotis; Ison, Mark] Arizona State Univ, Dept Mech &amp; Aerosp Engn, Tempe, AZ 85287 USA; [Wininger, Michael] Univ Hartford, Prosthet &amp; Orthot Program, Rehabil Computron Lab, Hartford, CT 06117 USA; [Wininger, Michael] Dept Vet Affairs, VA Cooperat Studies Program, West Haven, CT USA; [Ajoudani, Arash; Bicchi, Antonio; Godfrey, Sasha B.] Ist Italiano Tecnol, Dept Adv Robot, Genoa, Italy; [Ajoudani, Arash; Bicchi, Antonio] Univ Pisa, Ctr Ric E Piaggio, Pisa, Italy; [Alimusaj, Merkur] Univ Heidelberg Hosp, Dept Orthopaed Surg, Heidelberg, Germany; [Caputo, Barbara; Gijsberts, Arjan] Univ Roma La Sapienza, Dept Comp Control &amp; Management Engn, I-00185 Rome, Italy; [Caputo, Barbara] Idiap Res Inst, Martigny, Switzerland; [Craelius, William] Rutgers State Univ, Dept Biomed Engn, Piscataway, NJ USA; [Dosen, Strahinja; Farina, Dario; Markovic, Marko] Univ Gottingen, Univ Med Ctr, Dept Neurorehabil Engn, D-37073 Gottingen, Germany; [Englehart, Kevin; Scheme, Erik] Univ New Brunswick, Inst Biomed Engn, Fredericton, NB, Canada; [Hargrove, Levi; Kuiken, Todd] Northwestern Univ, Rehabil Inst Chicago, Chicago, IL 60611 USA; [Pilarski, Patrick M.] Univ Alberta, Dept Comp Sci, Edmonton, AB, Canada</t>
  </si>
  <si>
    <t>Helmholtz Association; German Aerospace Centre (DLR); Arizona State University; Arizona State University-Tempe; University of Hartford; Istituto Italiano di Tecnologia - IIT; University of Pisa; Ruprecht Karls University Heidelberg; Sapienza University Rome; Rutgers University System; Rutgers University New Brunswick; University of Gottingen; UNIVERSITY GOTTINGEN HOSPITAL; University of New Brunswick; Northwestern University; Shirley Ryan AbilityLab; University of Alberta</t>
  </si>
  <si>
    <t>Wininger, M (corresponding author), Univ Hartford, Prosthet &amp; Orthot Program, Rehabil Computron Lab, 200 Bloomfield Ave, Hartford, CT 06117 USA.</t>
  </si>
  <si>
    <t>wininger@hartford.edu</t>
  </si>
  <si>
    <t>Artemiadis, Panagiotis/M-4432-2015; Rupp, Ruediger/ABE-6871-2022; Farina, Dario/AAB-2648-2019; Kuiken, Todd/U-3476-2019; Caputo, Barbara/J-8976-2015; Pilarski, Patrick M./C-3485-2008; Castellini, Claudio/M-8555-2017; Wininger, Michael/K-8985-2012</t>
  </si>
  <si>
    <t>Caputo, Barbara/0000-0001-7169-0158; Pilarski, Patrick M./0000-0003-1686-2978; Castellini, Claudio/0000-0002-7346-2180; Englehart, Kevin/0000-0003-4525-1121; AJOUDANI, Arash/0000-0002-1261-737X; Dosen, Strahinja/0000-0003-3035-147X; Godfrey, Sasha Blue/0000-0001-9992-5975; Wininger, Michael/0000-0002-7871-3292; Artemiadis, Panagiotis/0000-0001-9512-0803</t>
  </si>
  <si>
    <t>AUG 15</t>
  </si>
  <si>
    <t>10.3389/fnbot.2014.00022</t>
  </si>
  <si>
    <t>CA3OC</t>
  </si>
  <si>
    <t>WOS:000348815300001</t>
  </si>
  <si>
    <t>Teo, WP; Chew, E</t>
  </si>
  <si>
    <t>Teo, Wei-Peng; Chew, Effie</t>
  </si>
  <si>
    <t>Is Motor-Imagery Brain-Computer Interlace Feasible in Stroke Rehabilitation?</t>
  </si>
  <si>
    <t>DIRECT-CURRENT STIMULATION; TRANSCRANIAL MAGNETIC STIMULATION; CHRONIC POSTSTROKE HEMIPARESIS; MULTIMODAL EEG-ANALYSIS; MENTAL PRACTICE; INTERFACE BCI; MU-RHYTHM; GAIT REHABILITATION; CONTROLLED-TRIAL; EXCITABILITY</t>
  </si>
  <si>
    <t>In the past 3 decades, interest has increased in brain-computer interface (BCI) technology as a tool for assisting, augmenting, and rehabilitating sensorimotor functions in clinical populations. Initially designed as an assistive device for partial or total body impairments, BCI systems have since been explored as a possible adjuvant therapy in the rehabilitation of patients who have had a stroke. In particular, BCI systems incorporating a robotic manipulanda to passively manipulate affected limbs have been studied. These systems can use a range of invasive (ie, intracranial implanted electrodes) or noninvasive neurophysiologic recording techniques (ie, electroencephalography [EEG], near-infrared spectroscopy, and magnetoencephalography) to establish communication links between the brain and the BCI system. Trials are most commonly performed on EEG-based BCI in comparison with the other techniques because of its high temporal resolution, relatively low setup costs, portability, and noninvasive nature. EEG-based BCI detects event-related desynchronization/synchronization in sensorimotor oscillatory rhythms associated with motor imagery (MI), which in turn drives the BCI. Previous evidence suggests that the process of MI preferentially activates sensorimotor regions similar to actual task performance and that repeated practice of MI can induce plasticity changes in the brain. It is therefore postulated that the combination of MI and BCI may augment rehabilitation gains in patients who have had a stroke by activating corticomotor networks via MI and providing sensory feedback from the affected limb using end-effector robots. In this review we examine the current literature surrounding the feasibility of EEG-based MI-BCI systems in stroke rehabilitation. We also discuss the limitations of using EEG-based MI-BCI in patients who have had a stroke and suggest possible solutions to overcome these limitations.</t>
  </si>
  <si>
    <t>[Teo, Wei-Peng] Cent Queensland Univ, Sch Med &amp; Appl Sci, Rockhampton, Qld 4702, Australia; [Chew, Effie] Natl Univ Hlth Syst, Div Neurol, Singapore, Singapore; [Chew, Effie] Natl Univ Hlth Syst, Yong Loo Lin Sch Med, Singapore, Singapore</t>
  </si>
  <si>
    <t>Central Queensland University; National University of Singapore; National University of Singapore</t>
  </si>
  <si>
    <t>Teo, WP (corresponding author), Cent Queensland Univ, Sch Med &amp; Appl Sci, Bruce Highway, Rockhampton, Qld 4702, Australia.</t>
  </si>
  <si>
    <t>teoweipeng@hotmail.com</t>
  </si>
  <si>
    <t>Chew, Effie/MCK-2424-2025; Teo, Wei-Peng/AAE-3334-2021</t>
  </si>
  <si>
    <t>Teo, Wei-Peng/0000-0003-3929-9778</t>
  </si>
  <si>
    <t>10.1016/j.pmrj.2014.01.006</t>
  </si>
  <si>
    <t>AO8PN</t>
  </si>
  <si>
    <t>WOS:000341616800008</t>
  </si>
  <si>
    <t>Van der Heide, LA; van Ninhuijs, B; Bergsma, A; Gelderblom, GJ; van der Pijl, DJ; de Witte, LP</t>
  </si>
  <si>
    <t>Van der Heide, Loek A.; van Ninhuijs, Bob; Bergsma, Arjen; Gelderblom, Gert Jan; van der Pijl, Dick J.; de Witte, Luc P.</t>
  </si>
  <si>
    <t>An overview and categorization of dynamic arm supports for people with decreased arm function</t>
  </si>
  <si>
    <t>PROSTHETICS AND ORTHOTICS INTERNATIONAL</t>
  </si>
  <si>
    <t>Dynamic arm support; self-help devices; orthotic devices</t>
  </si>
  <si>
    <t>DUCHENNE MUSCULAR-DYSTROPHY; UPPER EXTREMITY; POWERED ORTHOSIS; FES SYSTEM; DESIGN; ROBOT; REHABILITATION; RESTORATION; STIMULATION; RECOVERY</t>
  </si>
  <si>
    <t>Background: Assistive devices that augment arm function were already introduced during the polio era. Devices are still being developed, but a review has not been performed thus far. Objective: To create an overview and categorize assistive devices facilitating arm function in activities of daily living for people with decreased arm function. Study design: Literature review. Methods: A systematic review in three scientific literature databases. Conference proceedings, assistive technology databases, and references were searched and experts consulted. This resulted in a database of dynamic arm supports. Product information was added, and the devices were categorized. Results: A total of 104 dynamic arm supports were found. These could be categorized as nonactuated devices (N = 39), passively actuated devices (N = 24), actively actuated devices (N = 34), or devices using the functional electrical stimulation principle (N = 7). Functionality analysis resulted in second-level categorization: tremor suppression, facilitation of anti-gravity movement, and assistance of specific joint motion. Conclusion: All devices could be ordered in a categorization of low complexity. Many have been developed; most have disappeared and have been succeeded by similar devices. Limitations of the devices found mainly concern interfacing and the range of motion facilitated. Future devices could make use of whatever residual strength is available in the users' arm for control.</t>
  </si>
  <si>
    <t>[Van der Heide, Loek A.; Gelderblom, Gert Jan; de Witte, Luc P.] Zuyd Univ Appl Sci, Res Ctr Technol Care, NL-6219 PB Heerlen, Netherlands; [Van der Heide, Loek A.; de Witte, Luc P.] Maastricht Univ, Sch Publ Hlth &amp; Primary Care CAPHRI, Maastricht, Netherlands; [van Ninhuijs, Bob] Eindhoven Univ Technol, Electromech &amp; Power Elect Grp, Dept Elect Engn, NL-5600 MB Eindhoven, Netherlands; [Bergsma, Arjen] Radboud Univ Nijmegen, Med Ctr, Dept Rehabil, Nijmegen Ctr Evidence Based Practice, NL-6525 ED Nijmegen, Netherlands; [van der Pijl, Dick J.] Focal Meditech BV, Tilburg, Netherlands</t>
  </si>
  <si>
    <t>Maastricht University; Eindhoven University of Technology; Radboud University Nijmegen</t>
  </si>
  <si>
    <t>Van der Heide, LA (corresponding author), Zuyd Univ Appl Sci, Res Ctr Technol Care, Henri Dunantstr 2, NL-6219 PB Heerlen, Netherlands.</t>
  </si>
  <si>
    <t>loek.vanderheide@zuyd.nl</t>
  </si>
  <si>
    <t>national innovation program Pieken in de Delta; Agentschap NL [102055]</t>
  </si>
  <si>
    <t>national innovation program Pieken in de Delta; Agentschap NL</t>
  </si>
  <si>
    <t>This work was supported by the national innovation program Pieken in de Delta. Agentschap NL (grant no. PID 102055), the provinces of Limburg and Brabant.</t>
  </si>
  <si>
    <t>0309-3646</t>
  </si>
  <si>
    <t>1746-1553</t>
  </si>
  <si>
    <t>PROSTHET ORTHOT INT</t>
  </si>
  <si>
    <t>Prosthet. Orthot. Int.</t>
  </si>
  <si>
    <t>10.1177/0309364613498538</t>
  </si>
  <si>
    <t>AM8WM</t>
  </si>
  <si>
    <t>WOS:000340159500002</t>
  </si>
  <si>
    <t>Cadena, E; Guerra, R; Pérez-Mitchell, C</t>
  </si>
  <si>
    <t>Cadena, Enrique; Guerra, Ricardo; Perez-Mitchell, Carlos</t>
  </si>
  <si>
    <t>Transoral Robotic Surgery (TORS), in the management of head and neck tumors</t>
  </si>
  <si>
    <t>REVISTA COLOMBIANA DE CANCEROLOGIA</t>
  </si>
  <si>
    <t>Squamous cell carcinoma; Head and neck tumors; Robotics; Remote operations</t>
  </si>
  <si>
    <t>SQUAMOUS-CELL CARCINOMA; UNKNOWN PRIMARY TUMORS; LYMPH-NODE METASTASES; LOCALLY ADVANCED HEAD; OROPHARYNGEAL CANCER; POSTOPERATIVE RADIATION; TONGUE BASE; RECONSTRUCTION; CHEMOTHERAPY; RADIOTHERAPY</t>
  </si>
  <si>
    <t>Head and neck cancer is a complicated disease, with an increasing incidence in the last decade, and is associated with the human papilloma virus infection. The basic treatment is surgery, which should be done with interventions through the neck, which are extensive and crippling, supplemented by chemotherapy and radiotherapy, leaving hard-to-manage functional sequels. The use of the Da Vinci (R) robot was approved in 2009 for the resection of tumors of the oropharynx and supraglotis, using transoral robotic surgery. The benefits of this technique, leading to an early recovery of the patient, arise from the excellent three-dimensional views and exceptional movements of the automated instrument (EndoWrist (R)). This has led to the recommendations for its use being continuously redefined. This article summarizes the indications, advantages, disadvantages, postoperative care, management, rehabilitation, and adjuvant therapy of this new treatment. (C) 2014 Instituto Nacional de Cancerologia. Published by Elsevier Espana, S.L.U. All rights reserved.</t>
  </si>
  <si>
    <t>[Cadena, Enrique] Inst Nacl Cancerol, Grp Cirugia Cabeza &amp; Cuello, Bogota, Colombia; [Cadena, Enrique; Guerra, Ricardo] Clin Marly, Unidad Otorrinolaringol Cirugia Cabeza &amp; Cuello, Cirugia Robot, Cirurobot, Bogota, Colombia; [Cadena, Enrique] Univ Nacl Colombia, Unidad Otorrinolaringol, Bogota, Colombia; [Guerra, Ricardo] Hosp Univ Infantil San Jose, Fdn Univ Ciencias Salud, Ses Laringol, Unidad Otorrinolaringol, Bogota, Colombia; [Perez-Mitchell, Carlos] Hosp HIMA San Pablo, Inst Oncol Cabeza &amp; Cuello, Caguas, PR USA; [Perez-Mitchell, Carlos] Univ Puerto Rico Recinto Ciencias Med, Dept Otorrinolaringol Cirugia Cabeza &amp; Cuello, San Juan, PR USA</t>
  </si>
  <si>
    <t>Universidad Nacional de Colombia; Fundacion Universitaria de Ciencias de la Salud (FUCS)</t>
  </si>
  <si>
    <t>Cadena, E (corresponding author), Inst Nacl Cancerol, Grp Cirugia Cabeza &amp; Cuello, Bogota, Colombia.</t>
  </si>
  <si>
    <t>enriquecadena2005@yahoo.com</t>
  </si>
  <si>
    <t>CADENA-PINEROS, ENRIQUE/0000-0003-1216-358X</t>
  </si>
  <si>
    <t>ELSEVIER INC</t>
  </si>
  <si>
    <t>525 B STREET, STE 1900, SAN DIEGO, CA 92101-4495 USA</t>
  </si>
  <si>
    <t>0123-9015</t>
  </si>
  <si>
    <t>2346-0199</t>
  </si>
  <si>
    <t>REV COLOMB CANCEROL</t>
  </si>
  <si>
    <t>Rev. Colomb. Cancerol.</t>
  </si>
  <si>
    <t>10.1016/j.rccan.2014.06.003</t>
  </si>
  <si>
    <t>VH2BV</t>
  </si>
  <si>
    <t>WOS:000451090500005</t>
  </si>
  <si>
    <t>Dzahir, MAM; Yamamoto, S</t>
  </si>
  <si>
    <t>Dzahir, Mohd Azuwan Mat; Yamamoto, Shin-ichiroh</t>
  </si>
  <si>
    <t>Recent Trends in Lower-Limb Robotic Rehabilitation Orthosis: Control Scheme and Strategy for Pneumatic Muscle Actuated Gait Trainers</t>
  </si>
  <si>
    <t>pneumatic muscle-type actuators; co-contraction strategy of antagonistic actuators</t>
  </si>
  <si>
    <t>LOCOMOTOR-ACTIVITY; EXOSKELETON; PERFORMANCE; JOINT; COCONTRACTION; COACTIVATION; THERAPY; WALKING; DESIGN; DRIVEN</t>
  </si>
  <si>
    <t>It is a general assumption that pneumatic muscle-type actuators will play an important role in the development of an assistive rehabilitation robotics system. In the last decade, the development of a pneumatic muscle actuated lower-limb leg orthosis has been rather slow compared to other types of actuated leg orthoses that use AC motors, DC motors, pneumatic cylinders, linear actuators, series elastic actuators (SEA) and brushless servomotors. However, recent years have shown that the interest in this field has grown exponentially, mainly due to the demand for a more compliant and interactive human-robotics system. This paper presents a survey of existing lower-limb leg orthoses for rehabilitation, which implement pneumatic muscle-type actuators, such as McKibben artificial muscles, rubbertuators, air muscles, pneumatic artificial muscles (PAM) or pneumatic muscle actuators (PMA). It reviews all the currently existing lower-limb rehabilitation orthosis systems in terms of comparison and evaluation of the design, as well as the control scheme and strategy, with the aim of clarifying the current and on-going research in the lower-limb robotic rehabilitation field.</t>
  </si>
  <si>
    <t>[Dzahir, Mohd Azuwan Mat; Yamamoto, Shin-ichiroh] Shibaura Inst Technol, Dept Bio Sci Engn, Minuma Ku, 307 Fukasaku, Saitama, Saitama 3378570, Japan; [Dzahir, Mohd Azuwan Mat] UTM Skudai, Fac Mech Engn, Johor Baharu 81310, Malaysia</t>
  </si>
  <si>
    <t>Shibaura Institute of Technology; Universiti Teknologi Malaysia</t>
  </si>
  <si>
    <t>Dzahir, MAM (corresponding author), Shibaura Inst Technol, Dept Bio Sci Engn, Minuma Ku, 307 Fukasaku, Saitama, Saitama 3378570, Japan.</t>
  </si>
  <si>
    <t>nb11503@shibaura-it.ac.jp; yamashin@se.shibaura-it.ac.jp</t>
  </si>
  <si>
    <t>Mat Dzahir, Mohd Azuwan/0000-0002-5058-9381</t>
  </si>
  <si>
    <t>KAKENHI [21300202]; Grants-in-Aid for Scientific Research [25282161, 21300202] Funding Source: KAKEN</t>
  </si>
  <si>
    <t>KAKENHI(Ministry of Education, Culture, Sports, Science and Technology, Japan (MEXT)Japan Society for the Promotion of ScienceGrants-in-Aid for Scientific Research (KAKENHI)); Grants-in-Aid for Scientific Research(Ministry of Education, Culture, Sports, Science and Technology, Japan (MEXT)Japan Society for the Promotion of ScienceGrants-in-Aid for Scientific Research (KAKENHI))</t>
  </si>
  <si>
    <t>This work was supported by KAKENHI: Grant-in-Aid for Scientific Research (B) 21300202.</t>
  </si>
  <si>
    <t>10.3390/robotics3020120</t>
  </si>
  <si>
    <t>V4A9V</t>
  </si>
  <si>
    <t>WOS:000218767000002</t>
  </si>
  <si>
    <t>Furusho, J; Haraguchi, M</t>
  </si>
  <si>
    <t>Furusho, Junji; Haraguchi, Makoto</t>
  </si>
  <si>
    <t>Development of Rehabilitation Systems for the Limbs Using Functional Fluids</t>
  </si>
  <si>
    <t>rehabilitation robot; functional fluid; ER fluid; MR fluid; virtual reality</t>
  </si>
  <si>
    <t>ER FLUID</t>
  </si>
  <si>
    <t>Many patients who have their movement impaired by paralysis after a cerebral stroke require extensive rehabilitation. Rehabilitation support systems for the upper limbs using force display devices are expected to quantify the effects of rehabilitative training and enhance the motivation of patients. Furu-sho and Haraguchi have developed force display systems for rehabilitation training that use functional yet highly safe fluid actuators and brakes for the EMUL, Robotherapist and PLEMO Series.</t>
  </si>
  <si>
    <t>[Furusho, Junji] Fukui Univ Technol, Dept Management Informat Sci, Fac Engn, Mech Engn Course,Grad Sch Engn, 3-6-1 Gakuen, Fukui, Fukui 9100028, Japan; [Haraguchi, Makoto] Fukui Univ Technol, Dept Mech Engn, Fac Engn, Fukui, Fukui 9100028, Japan</t>
  </si>
  <si>
    <t>Fukui University of Technology; Fukui University of Technology</t>
  </si>
  <si>
    <t>Furusho, J (corresponding author), Fukui Univ Technol, Dept Management Informat Sci, Fac Engn, Mech Engn Course,Grad Sch Engn, 3-6-1 Gakuen, Fukui, Fukui 9100028, Japan.</t>
  </si>
  <si>
    <t>furusho-j@fukui-ut.ac.jp; m-haraguchi@fukui-ut.ac.jp</t>
  </si>
  <si>
    <t>10.20965/jrm.2014.p0302</t>
  </si>
  <si>
    <t>VG8WA</t>
  </si>
  <si>
    <t>WOS:000448931400003</t>
  </si>
  <si>
    <t>Wolf, A; Scheiderer, R; Napolitan, N; Belden, C; Shaub, L; Whitford, M</t>
  </si>
  <si>
    <t>Wolf, Angela; Scheiderer, Rachel; Napolitan, Nicholas; Belden, Courtney; Shaub, Lauren; Whitford, Maureen</t>
  </si>
  <si>
    <t>Efficacy and Task Structure of Bimanual Training Post Stroke: A Systematic Review</t>
  </si>
  <si>
    <t>bimanual; interlimb; rehabilitation; stroke; upper extremity</t>
  </si>
  <si>
    <t>CONSTRAINT-INDUCED THERAPY; INDUCED MOVEMENT THERAPY; MOTOR FUNCTION; HAND USE; ARM; REHABILITATION; POSTSTROKE; PERFORMANCE; INTENSITY; RECOVERY</t>
  </si>
  <si>
    <t>Background: Bimanual training has been shown to be as effective as, but not superior to, unimanual paretic upper extremity (UE) training interventions in improving paretic UE function and use post stroke. However, it is still unclear whether different training interventions or task structures within bimanual interventions may differentially affect the outcomes. Objective: The objectives of this review were to (1) systematically determine the efficacy of bimanual training in relation to the International Classification of Functioning, Disability and Health model components and (2) explore the structure of current bimanual training interventions. Method: A systematic review was conducted using Preferred Reporting Items for Systematic Reviews and Meta-Analyses (PRISMA) guidelines. Eleven studies were accepted for review. Results: Three main types of bimanual training emerged: functional task training (FTT), bilateral training with rhythmic auditory cues (BATRAC), and robot-assisted training (RAT). Bimanual training is generally efficacious overall in improving paretic UE movement in individuals with subacute and/or chronic stroke as compared with other interventions. FTT, BATRAC, and RAT showed no significant differences compared with conventional therapy. Bimanual training may have greater proximal control benefits but fewer benefits in terms of subjects' perceived amount and quality of use as compared with constraint-induced movement therapy. Conclusion: There were not enough data to draw any conclusions about the effects of bimanual task symmetry or commonality of goal.</t>
  </si>
  <si>
    <t>[Wolf, Angela; Scheiderer, Rachel; Napolitan, Nicholas; Belden, Courtney; Shaub, Lauren; Whitford, Maureen] Walsh Univ, Dept Phys Therapy, North Canton, OH USA</t>
  </si>
  <si>
    <t>University System of Ohio; Walsh University</t>
  </si>
  <si>
    <t>Wolf, A (corresponding author), 7454 Baldwin Creek Dr, Middleburg Hts, OH 44130 USA.</t>
  </si>
  <si>
    <t>angelakwolf@gmail.com</t>
  </si>
  <si>
    <t>MAY-JUN</t>
  </si>
  <si>
    <t>10.1310/tsr2103-181</t>
  </si>
  <si>
    <t>AK1MQ</t>
  </si>
  <si>
    <t>WOS:000338179600002</t>
  </si>
  <si>
    <t>Altobelli, E; Nappo, SG; Guidotti, M; Caione, P</t>
  </si>
  <si>
    <t>Altobelli, Emanuela; Nappo, Simona Gerocarni; Guidotti, Michele; Caione, Paolo</t>
  </si>
  <si>
    <t>Vesicoureteral reflux in pediatric age: where are we today?</t>
  </si>
  <si>
    <t>UROLOGIA JOURNAL</t>
  </si>
  <si>
    <t>Vesicoureteral reflux; Reflux nephropathy; Renal dysplasia; Endoscopic Treatment; Antimicrobial Prophylaxis; Ureteral Reimplantation</t>
  </si>
  <si>
    <t>URINARY-TRACT-INFECTION; DEXTRANOMER/HYALURONIC ACID COPOLYMER; TERM FOLLOW-UP; MINIMALLY INVASIVE TREATMENT; CHRONIC-RENAL-FAILURE; ENDOSCOPIC TREATMENT; ANTIBIOTIC-PROPHYLAXIS; ACUTE PYELONEPHRITIS; SPONTANEOUS RESOLUTION; INTERNATIONAL REFLUX</t>
  </si>
  <si>
    <t>Although the diagnosis of vesicoureteral reflux and of reflux nephropathy is a well-established and shared procedure, its treatment nowadays is still very controversial. New developments on the knowledge of pathophysiology of renal damage associated to reflux opened the way towards a different diagnostic work- up and different therapeutic approaches. Recently, the top-down diagnostic approach has gained wider interest, versus the down-top protocol. The attention has recently focused on the renal parenchyma damage and less interest has been given to the presence and the radiological degree of vesicoureteral reflux. The review criteria were based on an in-depth search of references conducted on PubMed, using the terms vesicoureteral reflux, children, incidence, etiology, diagnosis,  treatment and outcomes. The selection of the papers cited in this review was influenced by the content and the relevance to the points focused in the article. Conservative approaches include no treatment option with watchful waiting, long-term antibiotic prophylaxis and bladder rehabilitation. The operative treatment consists of endoscopic, open, laparoscopic and robotic procedures to stop the refluxing ureter. No final consensus has been achieved in literature yet, and further studies are necessary in order to better define the subset of children at risk of developing progression of renal damage. This review aims to clarify the diagnostic management and the urological-nephrological treatment of reflux in pediatric age, on the basis of a review of the best-published evidence.</t>
  </si>
  <si>
    <t>[Altobelli, Emanuela] Campus Biomed Univ, Div Urol, Rome, Italy; [Nappo, Simona Gerocarni; Guidotti, Michele; Caione, Paolo] Bambino Gesu Pediat Hosp, IRCCS, Div Urol &amp; Androl, Rome, Italy</t>
  </si>
  <si>
    <t>University Campus Bio-Medico - Rome Italy; IRCCS Bambino Gesu</t>
  </si>
  <si>
    <t>Caione, P (corresponding author), Bambino Gesu Pediat Hosp, IRCC, Piazza S Onofrio 4, I-00165 Rome, Italy.</t>
  </si>
  <si>
    <t>paolo.caione@opbg.net</t>
  </si>
  <si>
    <t>Nappo, Simona/ABD-4992-2020</t>
  </si>
  <si>
    <t>0391-5603</t>
  </si>
  <si>
    <t>1724-6075</t>
  </si>
  <si>
    <t>UROLOGIA J</t>
  </si>
  <si>
    <t>Urolog. J.</t>
  </si>
  <si>
    <t>10.5301/urologia.5000052</t>
  </si>
  <si>
    <t>V8V5I</t>
  </si>
  <si>
    <t>WOS:000422005300002</t>
  </si>
  <si>
    <t>Andrade, AO; Pereira, AA; Walter, S; Almeida, R; Loureiro, R; Compagna, D; Kyberd, PJ</t>
  </si>
  <si>
    <t>Andrade, Adriano O.; Pereira, Adriano A.; Walter, Steffen; Almeida, Rosimary; Loureiro, Rui; Compagna, Diego; Kyberd, Peter J.</t>
  </si>
  <si>
    <t>Bridging the gap between robotic technology and health care</t>
  </si>
  <si>
    <t>BIOMEDICAL SIGNAL PROCESSING AND CONTROL</t>
  </si>
  <si>
    <t>Robotics; Health care; Prosthetics; Rehabilitation; Companion robotic systems</t>
  </si>
  <si>
    <t>SOCIALLY ASSISTIVE ROBOTICS; UPPER-LIMB IMPAIRMENT; STROKE PATIENTS; THERAPY; REHABILITATION; HAND; PROSTHESIS; ARM; DESIGN; NEUROREHABILITATION</t>
  </si>
  <si>
    <t>Although technology and computation power have become more and more present in our daily lives, we have yet to see the same tendency in robotics applied to health care. In this work we focused on the study of four distinct applications of robotic technology to health care, named Robotic Assisted Surgery, Robotics in Rehabilitation, Prosthetics and Companion Robotic Systems. We identified the main roadblocks that are limiting the progress of such applications by an extensive examination of recent reports. Based on the limitations of the practical use of current robotic technology for health care we proposed a general modularization approach for the conception and implementation of specific robotic devices. The main conclusions of this review are: (i) there is a clear need of the adaptation of robotic technology (closed loop) to the user, so that robotics can be widely accepted and used in the context of heath care; (ii) for all studied robotic technologies cost is still prohibitive and limits their wide use. The reduction of costs influences technology acceptability; thus innovation by using cheaper computer systems and sensors is relevant and should be taken into account in the implementation of robotic systems. (C) 2014 Elsevier Ltd. All rights reserved.</t>
  </si>
  <si>
    <t>[Andrade, Adriano O.; Pereira, Adriano A.] Univ Fed Uberlandia, Fac Elect Engn, Biomed Engn Lab, BR-38400 Uberlandia, MG, Brazil; [Walter, Steffen] Univ Ulm, Fac Med, D-89069 Ulm, Germany; [Almeida, Rosimary] Univ Fed Rio de Janeiro, COPPE, Grad Sch &amp; Res Engn, Biomed Engn Program,Alberto Luiz Coimbra Inst, BR-21945 Rio De Janeiro, Brazil; [Loureiro, Rui] Middlesex Univ, Sch Sci &amp; Technol, London N17 8HR, England; [Compagna, Diego] Univ Duisburg Essen, Fac Social Sci, Duisburg, Germany; [Kyberd, Peter J.] Univ New Brunswick, Inst Biomed Engn, Fredericton, NB, Canada</t>
  </si>
  <si>
    <t>Universidade Federal de Uberlandia; Ulm University; Universidade Federal do Rio de Janeiro; Middlesex University; University of Duisburg Essen; University of New Brunswick</t>
  </si>
  <si>
    <t>Andrade, AO (corresponding author), Univ Fed Uberlandia, Fac Elect Engn, Biomed Engn Lab, Av Engenheiro Dinz 1178,CP 593, BR-38400 Uberlandia, MG, Brazil.</t>
  </si>
  <si>
    <t>aoandrade@feelt.ufu.br</t>
  </si>
  <si>
    <t>Pereira, Adriano/AAK-2075-2020; de Almeida, Rosimary Terezinha/G-2972-2014; Andrade, Adriano/D-9721-2012; A Pereira, Adriano/N-9481-2017</t>
  </si>
  <si>
    <t>de Almeida, Rosimary Terezinha/0000-0002-4196-2682; Kyberd, Peter/0000-0001-9022-6748; Andrade, Adriano/0000-0002-5689-6606; Compagna, Diego/0000-0002-2366-3873; A Pereira, Adriano/0000-0002-1522-9989</t>
  </si>
  <si>
    <t>1746-8094</t>
  </si>
  <si>
    <t>1746-8108</t>
  </si>
  <si>
    <t>BIOMED SIGNAL PROCES</t>
  </si>
  <si>
    <t>Biomed. Signal Process. Control</t>
  </si>
  <si>
    <t>10.1016/j.bspc.2013.12.009</t>
  </si>
  <si>
    <t>AE5AX</t>
  </si>
  <si>
    <t>WOS:000334001300008</t>
  </si>
  <si>
    <t>Dietz, V; Fouad, K</t>
  </si>
  <si>
    <t>Dietz, Volker; Fouad, Karim</t>
  </si>
  <si>
    <t>Restoration of sensorimotor functions after spinal cord injury</t>
  </si>
  <si>
    <t>rehabilitation engineering; spinal cord injury; spinal cord injury repair; neuronal plasticity; neurorehabilitation</t>
  </si>
  <si>
    <t>WEIGHT-SUPPORTED TREADMILL; OLFACTORY-ENSHEATHING GLIA; INDUCED MOVEMENT THERAPY; ELECTRICAL-STIMULATION; LOCOMOTOR-ACTIVITY; DELAYED TRANSPLANTATION; NEUROLOGICAL RECOVERY; CELL TRANSPLANTATION; EPIDURAL STIMULATION; COMPLETE TRANSECTION</t>
  </si>
  <si>
    <t>The purpose of this review is to discuss the achievements and perspectives regarding rehabilitation of sensorimotor functions after spinal cord injury. In the first part we discuss clinical approaches based on neuroplasticity, a term referring to all adaptive and maladaptive changes within the sensorimotor systems triggered by a spinal cord injury. Neuroplasticity can be facilitated through the training of movements with assistance as needed, and/or by electrical stimulation techniques. The success of such training in individuals with incomplete spinal cord injury critically depends on the presence of physiological proprioceptive input to the spinal cord leading to meaningful muscle activations during movement performances. The addition of rehabilitation technology, such as robotic devices allows for longer training times and provision of feedback information regarding changes in movement performance. Nevertheless, the improvement of function by such approaches for rehabilitation is limited. In the second part, we discuss preclinical approaches to restore function by compensating for the loss of descending input to spinal networks following complete spinal cord injury. This can be achieved with stimulation of spinal networks or approaches to restore their descending input. Electrical and pharmacological stimulation of spinal neural networks is still in an experimental stage; and despite promising repair studies in animal models, translations to humans up to now have not been convincing. It is likely that combinations of techniques targeting the promotion of axonal regeneration and meaningful plasticity are necessary to advance the restoration of function. In the future, refinement of animal studies may contribute to greater translational success.</t>
  </si>
  <si>
    <t>[Dietz, Volker] Univ Hosp Balgrist, Spinal Cord Injury Ctr, CH-8008 Zurich, Switzerland; [Fouad, Karim] Univ Alberta, Fac Rehabil Med, Edmonton, AB, Canada</t>
  </si>
  <si>
    <t>University of Zurich; University of Alberta</t>
  </si>
  <si>
    <t>Dietz, V (corresponding author), Univ Hosp Balgrist, Spinal Cord Injury Ctr, Forchstr 340, CH-8008 Zurich, Switzerland.</t>
  </si>
  <si>
    <t>vdietz@paralab.balgrist.ch</t>
  </si>
  <si>
    <t>Fouad, Karim/0000-0003-3654-7852</t>
  </si>
  <si>
    <t>Alberta Innovates Health Solutions</t>
  </si>
  <si>
    <t>K.F. is supported by Alberta Innovates Health Solutions.</t>
  </si>
  <si>
    <t>10.1093/brain/awt262</t>
  </si>
  <si>
    <t>AB8JN</t>
  </si>
  <si>
    <t>WOS:000332036300006</t>
  </si>
  <si>
    <t>Masiero, S; Poli, P; Rosati, G; Zanotto, D; Iosa, M; Paolucci, S; Morone, G</t>
  </si>
  <si>
    <t>Masiero, Stefano; Poli, Patrizia; Rosati, Giulio; Zanotto, Damiano; Iosa, Marco; Paolucci, Sefano; Morone, Giovanni</t>
  </si>
  <si>
    <t>The value of robotic systems in stroke rehabilitation</t>
  </si>
  <si>
    <t>activities of daily living; motor learning; neurorehabilitation; plasticity; robot-assisted training; stroke</t>
  </si>
  <si>
    <t>UPPER-LIMB REHABILITATION; DIRECT-CURRENT STIMULATION; ASSISTED THERAPY; WALKING COMPETENCE; MOTOR CORTEX; GAIT; ARM; MOVEMENTS; PERFORMANCE; TRIAL</t>
  </si>
  <si>
    <t>In this paper, we discuss robot-mediated neurorehabilitation as a significant emerging field in clinical medicine. Stroke rehabilitation is advancing toward more integrated processes, using robotics to facilitate this integration. Rehabilitation approaches have tremendous value in reducing long-term impairments in stroke patients during hospitalization and after discharge, of which robotic systems are a new modality that can provide more effective rehabilitation. The function of robotics in rehabilitative interventions has been examined extensively, generating positive yet not completely satisfactory clinical results. This article presents state-of-the-art robotic systems and their prospective function in poststroke rehabilitation of the upper and lower limbs.</t>
  </si>
  <si>
    <t>[Masiero, Stefano; Poli, Patrizia] Univ Padua, Dept Neurosci, Unit Rehabil, Padua, Italy; [Rosati, Giulio] Univ Padua, Dept Innovat Mech &amp; Management, Padua, Italy; [Zanotto, Damiano] Univ Delaware, Newark, DE USA; [Iosa, Marco; Paolucci, Sefano; Morone, Giovanni] IRCCS Santa Lucia Fdn, Clin Lab Expt Neurorehabil, Rome, Italy; [Morone, Giovanni] Univ Padua, Sch Doctorate, Padua, Italy</t>
  </si>
  <si>
    <t>University of Padua; University of Padua; University of Delaware; IRCCS Santa Lucia; University of Padua</t>
  </si>
  <si>
    <t>Masiero, S (corresponding author), Univ Padua, Dept Neurosci, Unit Rehabil, Padua, Italy.</t>
  </si>
  <si>
    <t>stef.masiero@unipd.it</t>
  </si>
  <si>
    <t>Zanotto, Damiano/HPF-4386-2023; Poli, Patrizia/D-3017-2017; Morone, Giovanni/AAN-2666-2020; Iosa, Marco/B-9531-2012; Masiero, Stefano/K-6473-2016; Rosati, Giulio/A-8873-2010; Morone, Giovanni/A-9561-2013</t>
  </si>
  <si>
    <t>Paolucci, Stefano/0000-0002-3105-1148; Rosati, Giulio/0000-0002-5150-9486; Zanotto, Damiano/0000-0003-3514-6889; Masiero, Stefano/0000-0002-0361-4898; Iosa, Marco/0000-0003-2434-3887; Morone, Giovanni/0000-0003-3602-4197</t>
  </si>
  <si>
    <t>10.1586/17434440.2014.882766</t>
  </si>
  <si>
    <t>AG3MS</t>
  </si>
  <si>
    <t>WOS:000335324000010</t>
  </si>
  <si>
    <t>Swinnen, E; Beckwee, D; Meeusen, R; Baeyens, JP; Kerckhofs, E</t>
  </si>
  <si>
    <t>Swinnen, Eva; Beckwee, David; Meeusen, Romain; Baeyens, Jean-Pierre; Kerckhofs, Eric</t>
  </si>
  <si>
    <t>Does Robot-Assisted Gait Rehabilitation Improve Balance in Stroke Patients? A Systematic Review</t>
  </si>
  <si>
    <t>Berg Balance Scale; balance; gait; robot assistance; stroke</t>
  </si>
  <si>
    <t>BODY-WEIGHT SUPPORT; SPINAL-CORD; SUBACUTE STROKE; TREADMILL; WALKING; STIMULATION; RELIABILITY; PERFORMANCE; RECOVERY; MOBILITY</t>
  </si>
  <si>
    <t>The aim of this systematic review was to summarize the improvements in balance after robot-assisted gait training (RAGT) in stroke patients. Two databases were searched: PubMed and Web of Knowledge. The most important key words are stroke, RAGT, balance, Lokomat, and gait trainer. Studies were included if stroke patients were involved in RAGT protocols, and balance was determined as an outcome measurement. The articles were checked for methodological quality by 2 reviewers (Cohen's kappa = 0.72). Nine studies were included (7 true experimental and 2 pre-experimental studies; methodological quality score, 56%-81%). In total, 229 subacute or chronic stroke patients (70.5% male) were involved in RAGT (3 to 5 times per week, 3 to 10 weeks, 12 to 25 sessions). In 5 studies, the gait trainer was used; in 2, the Lokomat was used; in 1 study, a single-joint wearable knee orthosis was used; and in 1 study, the AutoAmbulator was used. Eight studies compared RAGT with other gait rehabilitation methods. Significant improvements (no to large effect sizes, Cohen's d = 0.01 to 3.01) in balance scores measured with the Berg Balance Scale, the Tinetti test, postural sway tests, and the Timed Up and Go test were found after RAGT. No significant differences in balance between the intervention and control groups were reported. RAGT can lead to improvements in balance in stroke patients; however, it is not clear whether the improvements are greater compared with those associated with other gait rehabilitation methods. Because a limited number of studies are available, more specific research (eg, randomized controlled trials with larger, specific populations) is necessary to draw stronger conclusions.</t>
  </si>
  <si>
    <t>[Swinnen, Eva; Beckwee, David; Meeusen, Romain; Baeyens, Jean-Pierre; Kerckhofs, Eric] Vrije Univ Brussel, Fac Phys Educ &amp; Physiotherapy, B-1090 Brussels, Belgium; [Swinnen, Eva; Meeusen, Romain; Kerckhofs, Eric] Vrije Univ Brussel, Ctr Neurosci, B-1090 Brussels, Belgium; [Baeyens, Jean-Pierre] Univ Coll Thim van der Laan, Landquart, Switzerland</t>
  </si>
  <si>
    <t>Swinnen, E (corresponding author), Vrije Univ Brussel, Rehabil Res RERE, Fac Phys Educ &amp; Physiotherapy, Laarbeeklaan 103, B-1090 Brussels, Belgium.</t>
  </si>
  <si>
    <t>eswinnen@vub.ac.be</t>
  </si>
  <si>
    <t>meeusen, romain/B-3909-2011; Swinnen, Eva/GLS-9171-2022; Beckwée, David/A-1323-2009; Swinnen, Eva/H-7964-2014</t>
  </si>
  <si>
    <t>Swinnen, Eva/0000-0002-3771-9479; Beckwee, David/0000-0001-9951-9993; Baeyens, Jean-Pierre/0000-0003-2630-1912</t>
  </si>
  <si>
    <t>10.1310/tsr2102-87</t>
  </si>
  <si>
    <t>AD8WK</t>
  </si>
  <si>
    <t>WOS:000333546200003</t>
  </si>
  <si>
    <t>Astrand, E; Wardak, C; Ben Hamed, S</t>
  </si>
  <si>
    <t>Astrand, Elaine; Wardak, Claire; Ben Hamed, Suliann</t>
  </si>
  <si>
    <t>Selective visual attention to drive cognitive brain-machine interfaces: from concepts to neurofeedback and rehabilitation applications</t>
  </si>
  <si>
    <t>brain-machine interfaces; brain-computer interfaces; cognition; spatial attention; neurofeedback; neural training; frontal eye field; prefrontal cortex</t>
  </si>
  <si>
    <t>Brain machine interfaces (BMIs) using motor cortical activity to drive an external effector like a screen cursor or a robotic arm have seen enormous success and proven their great rehabilitation potential. An emerging parallel effort is now directed to BMIs controlled by endogenous cognitive activity, also called cognitive BMIs. While more challenging, this approach opens new dimensions to the rehabilitation of cognitive disorders. In the present work, we focus on BMIs driven by visuospatial attention signals and we provide a critical review of these studies in the light of the accumulated knowledge about the psychophysics, anatomy, and neurophysiology of visual spatial attention. Importantly, we provide a unique comparative overview of the several studies, ranging from non-invasive to invasive human and non-human primates studies, that decode attention-related information from ongoing neuronal activity. We discuss these studies in the light of the challenges attention-driven cognitive BMIs have to face. In a second part of the review, we discuss past and current attention-based neurofeedback studies, describing both the covert effects of neurofeedback onto neuronal activity and its overt behavioral effects. Importantly, we compare neurofeedback studies based on the amplitude of cortical activity to studies based on the enhancement of cortical information content. Last, we discuss several lines of future research and applications for attention-driven cognitive brain-computer interfaces (BCIs), including the rehabilitation of cognitive deficits, restored communication in locked in patients, and open-field applications for enhanced cognition in normal subjects. The core motivation of this work is the key idea that the improvement of current cognitive BM Is for therapeutic and open field applications needs to be grounded in a proper interdisciplinary understanding of the physiology of the cognitive function of interest, be it spatial attention, working memory or any other cognitive signal.</t>
  </si>
  <si>
    <t>[Astrand, Elaine; Wardak, Claire; Ben Hamed, Suliann] Univ Lyon 1, CNRS, Cognit Neurosci Ctr, UMR 5229, 67 Blvd Pthel, F-69675 Bron, France</t>
  </si>
  <si>
    <t>Centre National de la Recherche Scientifique (CNRS); CNRS - National Institute for Biology (INSB); Universite Claude Bernard Lyon 1</t>
  </si>
  <si>
    <t>Ben Hamed, S (corresponding author), Univ Lyon 1, CNRS, Cognit Neurosci Ctr, UMR 5229, 67 Blvd Pthel, F-69675 Bron, France.</t>
  </si>
  <si>
    <t>benhamed@isc.cnrs.fr</t>
  </si>
  <si>
    <t>Ben Hamed, Suliann/O-6070-2014; Astrand, Elaine/AAL-3927-2021; Wardak, Claire/P-6222-2016</t>
  </si>
  <si>
    <t>Ben Hamed, Suliann/0000-0003-1510-7284; Wardak, Claire/0000-0001-8847-1859</t>
  </si>
  <si>
    <t>Fondation pour la recherche medicate (FRM); Direction generale des armees (DGA); French Agence nationale de la recherche [PANR-05-JCJC-0230-01, ANR11-BSV4-0011]; CNRS bioinformatics grant</t>
  </si>
  <si>
    <t>Fondation pour la recherche medicate (FRM)(Fondation pour la Recherche Medicale); Direction generale des armees (DGA); French Agence nationale de la recherche(Agence Nationale de la Recherche (ANR)); CNRS bioinformatics grant</t>
  </si>
  <si>
    <t>Elaine Astrand was funded by the Fondation pour la recherche medicate (FRM) and the Direction generale des armees (DGA). Suliann Ben Hamed was funded by the French Agence nationale de la recherche (Grant PANR-05-JCJC-0230-01 and Grant #ANR11-BSV4-0011), as well as by a CNRS bioinformatics grant.</t>
  </si>
  <si>
    <t>10.3389/fnsys.2014.00144</t>
  </si>
  <si>
    <t>V19XW</t>
  </si>
  <si>
    <t>WOS:000214852700143</t>
  </si>
  <si>
    <t>Hu, XL; Wang, YW; Zhao, T; Gunduz, A</t>
  </si>
  <si>
    <t>Hu, Xiaoling; Wang, Yiwen; Zhao, Ting; Gunduz, Aysegul</t>
  </si>
  <si>
    <t>Neural Coding for Effective Rehabilitation</t>
  </si>
  <si>
    <t>BRAIN-MACHINE INTERFACES; CHRONIC STROKE; MOTOR CORTEX; FUNCTIONAL CONNECTIVITY; COMPUTER INTERFACES; SPECTRAL-ANALYSIS; CORTICAL CONTROL; NATURAL IMAGES; ARM MOVEMENTS; IN-VIVO</t>
  </si>
  <si>
    <t>Successful neurological rehabilitation depends on accurate diagnosis, effective treatment, and quantitative evaluation. Neural coding, a technology for interpretation of functional and structural information of the nervous system, has contributed to the advancements in neuroimaging, brain-machine interface (BMI), and design of training devices for rehabilitation purposes. In this review, we summarized the latest breakthroughs in neuroimaging from microscale to macroscale levels with potential diagnostic applications for rehabilitation. We also reviewed the achievements in electrocorticography (ECoG) coding with both animal models and human beings for BMI design, electromyography (EMG) interpretation for interaction with external robotic systems, and robot-assisted quantitative evaluation on the progress of rehabilitation programs. Future rehabilitation would be more home-based, automatic, and self-served by patients. Further investigations and breakthroughs are mainly needed in aspects of improving the computational efficiency in neuroimaging and multichannel ECoG by selection of localized neuroinformatics, validation of the effectiveness in BMI guided rehabilitation programs, and simplification of the system operation in training devices.</t>
  </si>
  <si>
    <t>[Hu, Xiaoling] Hong Kong Polytech Univ, Interdisciplinary Div Biomed Engn, Kowloon, Hong Kong, Peoples R China; [Wang, Yiwen] Zhejiang Univ, Qiushi Acad Adv Studies, Hangzhou 310027, Zhejiang, Peoples R China; [Zhao, Ting] Howard Hughes Med Inst, Ashburn, VA 20147 USA; [Gunduz, Aysegul] Univ Florida, J Crayton Pruitt Family Dept Biomed Engn, Gainesville, FL 32611 USA</t>
  </si>
  <si>
    <t>Hong Kong Polytechnic University; Zhejiang University; Howard Hughes Medical Institute; State University System of Florida; University of Florida</t>
  </si>
  <si>
    <t>Hu, XL (corresponding author), Hong Kong Polytech Univ, Interdisciplinary Div Biomed Engn, Kowloon, Hong Kong, Peoples R China.</t>
  </si>
  <si>
    <t>xiaoling.hu@polyu.edu.hk</t>
  </si>
  <si>
    <t>Wang, Yiwen/M-1216-2015; Gunduz, Aysegul/Q-2336-2016</t>
  </si>
  <si>
    <t>Gunduz, Aysegul/0000-0001-7925-0747; Hu, Xiaoling/0000-0003-3188-3005</t>
  </si>
  <si>
    <t>ITF grant from the Innovation and Technology Commission of the Hong Kong Special Administrative Region [ITS/033/12]; Natural Science Foundation of China [61473261]; Zhejiang provincial Natural Science Foundation of China [LY14F030015]</t>
  </si>
  <si>
    <t>ITF grant from the Innovation and Technology Commission of the Hong Kong Special Administrative Region; Natural Science Foundation of China(National Natural Science Foundation of China (NSFC)); Zhejiang provincial Natural Science Foundation of China(Natural Science Foundation of Zhejiang Province)</t>
  </si>
  <si>
    <t>The authors acknowledge the financial supports: ITF grant (ITS/033/12) from the Innovation and Technology Commission of the Hong Kong Special Administrative Region; Natural Science Foundation of China (no. 61473261); Zhejiang provincial Natural Science Foundation of China (no. LY14F030015).</t>
  </si>
  <si>
    <t>10.1155/2014/286505</t>
  </si>
  <si>
    <t>AT6JC</t>
  </si>
  <si>
    <t>WOS:000345044200001</t>
  </si>
  <si>
    <t>Krishnan, RH; Pugazhenthi, S</t>
  </si>
  <si>
    <t>Krishnan, R. Hari; Pugazhenthi, S.</t>
  </si>
  <si>
    <t>Mobility assistive devices and self-transfer robotic systems for elderly, a review</t>
  </si>
  <si>
    <t>Assistive robotics; Wheel chair; Self-transfer; Patient lift; Rehabilitation</t>
  </si>
  <si>
    <t>PATIENT TRANSFER; SMART HOUSE; REHABILITATION; WHEELCHAIR; CLASSIFICATION; NAVIGATION</t>
  </si>
  <si>
    <t>When mobility degrades with age, it is of great significance to develop devices which can support the elderly in their day-to-day life. With the usage of intelligent assistive robotic systems, elderly population can lead a better quality of life independently. This article is a review of various assistive devices for elderly focussing on mobility and self-transfer systems. The practical difficulties in walking and moving from bed to wheel chair or wheel chair to toilet seat affect the daily activities of aged people. Depending on care-givers to access toilets affects one's dignity. The review covers various advances that have been evolved in this area of research and addresses the limitations to be overcome.</t>
  </si>
  <si>
    <t>[Krishnan, R. Hari; Pugazhenthi, S.] SASTRA Univ, Sch Mech Engn, Thanjavur 613401, Tamil Nadu, India</t>
  </si>
  <si>
    <t>Shanmugha Arts, Science, Technology &amp; Research Academy (SASTRA)</t>
  </si>
  <si>
    <t>Krishnan, RH (corresponding author), SASTRA Univ, Sch Mech Engn, Thanjavur 613401, Tamil Nadu, India.</t>
  </si>
  <si>
    <t>harikrishnan@mech.sastra.edu; pugazhenthi@mech.sastra.edu</t>
  </si>
  <si>
    <t>S, Pugazhenthi/0000-0002-5860-1525; R, Hari Krishnan/0000-0001-8949-3072</t>
  </si>
  <si>
    <t>10.1007/s11370-013-0142-6</t>
  </si>
  <si>
    <t>AI4QK</t>
  </si>
  <si>
    <t>WOS:000336849700004</t>
  </si>
  <si>
    <t>Pollock, A; Farmer, SE; Brady, MC; Langhorne, P; Mead, GE; Mehrholz, J; van Wijck, F</t>
  </si>
  <si>
    <t>Pollock, Alex; Farmer, Sybil E.; Brady, Marian C.; Langhorne, Peter; Mead, Gillian E.; Mehrholz, Jan; van Wijck, Frederike</t>
  </si>
  <si>
    <t>Interventions for improving upper limb function after stroke</t>
  </si>
  <si>
    <t>INDUCED MOVEMENT THERAPY; CONSTRAINT-INDUCED THERAPY; NONINVASIVE BRAIN-STIMULATION; UPPER-EXTREMITY FUNCTION; ROBOT-ASSISTED THERAPY; HEALTH-RELATED-QUALITY; MOTOR FUNCTION; BOBATH CONCEPT; ARM FUNCTION; ELECTRICAL-STIMULATION</t>
  </si>
  <si>
    <t>Background Improving upper limb function is a core element of stroke rehabilitation needed to maximise patient outcomes and reduce disability. Evidence about effects of individual treatment techniques and modalities is synthesised within many reviews. For selection of effective rehabilitation treatment, the relative effectiveness of interventions must be known. However, a comprehensive overview of systematic reviews in this area is currently lacking. Objectives To carry out a Cochrane overview by synthesising systematic reviews of interventions provided to improve upper limb function after stroke. Methods Search methods: We comprehensively searched the Cochrane Database of Systematic Reviews; the Database of Reviews of Effects; and PROSPERO (an international prospective register of systematic reviews) (June 2013). We also contacted review authors in an effort to identify further relevant reviews. Selection criteria: We included Cochrane and non-Cochrane reviews of randomised controlled trials (RCTs) of patients with stroke comparing upper limb interventions with no treatment, usual care or alternative treatments. Our primary outcome of interest was upper limb function; secondary outcomes included motor impairment and performance of activities of daily living. When we identified overlapping reviews, we systematically identified the most up-to-date and comprehensive review and excluded reviews that overlapped with this. Data collection and analysis: Two overview authors independently applied the selection criteria, excluding reviews that were superseded by more up-to-date reviews including the same (or similar) studies. Two overview authors independently assessed the methodological quality of reviews (using a modified version of the AMSTAR tool) and extracted data. Quality of evidence within each comparison in each review was determined using objective criteria (based on numbers of participants, risk of bias, heterogeneity and review quality) to apply GRADE (Grades of Recommendation, Assessment, Development and Evaluation) levels of evidence. We resolved disagreements through discussion. We systematically tabulated the effects of interventions and used quality of evidence to determine implications for clinical practice and to make recommendations for future research. Main results Our searches identified 1840 records, from which we included 40 completed reviews (19 Cochrane; 21 non-Cochrane), covering 18 individual interventions and dose and setting of interventions. The 40 reviews contain 503 studies (18,078 participants). We extracted pooled data from 31 reviews related to 127 comparisons. We judged the quality of evidence to be high for 1/127 comparisons (transcranial direct current stimulation (tDCS) demonstrating no benefit for outcomes of activities of daily living (ADLs)); moderate for 49/127 comparisons (covering seven individual interventions) and low or very low for 77/127 comparisons. Moderate-quality evidence showed a beneficial effect of constraint-induced movement therapy (CIMT), mental practice, mirror therapy, interventions for sensory impairment, virtual reality and a relatively high dose of repetitive task practice, suggesting that these may be effective interventions; moderate-quality evidence also indicated that unilateral arm training may be more effective than bilateral arm training. Information was insufficient to reveal the relative effectiveness of different interventions. Moderate-quality evidence from subgroup analyses comparing greater and lesser doses of mental practice, repetitive task training and virtual reality demonstrates a beneficial effect for the group given the greater dose, although not for the group given the smaller dose; however tests for subgroup differences do not suggest a statistically significant difference between these groups. Future research related to dose is essential. Specific recommendations for future research are derived from current evidence. These recommendations include but are not limited to adequately powered, high-quality RCTs to confirm the benefit of CIMT, mental practice, mirror therapy, virtual reality and a relatively high dose of repetitive task practice; high-quality RCTs to explore the effects of repetitive transcranial magnetic stimulation (rTMS), tDCS, hands-on therapy, music therapy, pharmacological interventions and interventions for sensory impairment; and up-to-date reviews related to biofeedback, Bobath therapy, electrical stimulation, reach-to-grasp exercise, repetitive task training, strength training and stretching and positioning. Authors' conclusions Large numbers of overlapping reviews related to interventions to improve upper limb function following stroke have been identified, and this overview serves to signpost clinicians and policy makers toward relevant systematic reviews to support clinical decisions, providing one accessible, comprehensive document, which should support clinicians and policy makers in clinical decision making for stroke rehabilitation. Currently, no high-quality evidence can be found for any interventions that are currently used as part of routine practice, and evidence is insufficient to enable comparison of the relative effectiveness of interventions. Effective collaboration is urgently needed to support large, robust RCTs of interventions currently used routinely within clinical practice. Evidence related to dose of interventions is particularly needed, as this information has widespread clinical and research implications.</t>
  </si>
  <si>
    <t>[Pollock, Alex; Farmer, Sybil E.; Brady, Marian C.] Glasgow Caledonian Univ, Nursing Midwifery &amp; Allied Hlth Profess Res Unit, Glasgow G4 0BA, Lanark, Scotland; [Langhorne, Peter] Univ Glasgow, Acad Sect Geriatr Med, Glasgow, Lanark, Scotland; [Mead, Gillian E.] Univ Edinburgh, Ctr Clin Brain Sci, Edinburgh, Midlothian, Scotland; [Mehrholz, Jan] Kreischa GmbH, Klin Bavaria, Private Europa Med Akad, Wissenschaft Inst, Kreischa, Germany; [van Wijck, Frederike] Glasgow Caledonian Univ, Inst Appl Hlth Res, Glasgow G4 0BA, Lanark, Scotland; [van Wijck, Frederike] Glasgow Caledonian Univ, Sch Hlth &amp; Life Sci, Glasgow G4 0BA, Lanark, Scotland</t>
  </si>
  <si>
    <t>Glasgow Caledonian University; University of Glasgow; University of Edinburgh; Glasgow Caledonian University; Glasgow Caledonian University</t>
  </si>
  <si>
    <t>Pollock, A (corresponding author), Glasgow Caledonian Univ, Nursing Midwifery &amp; Allied Hlth Profess Res Unit, Buchanan House,Cowcaddens Rd, Glasgow G4 0BA, Lanark, Scotland.</t>
  </si>
  <si>
    <t>alex.pollock@gcu.ac.uk</t>
  </si>
  <si>
    <t>Brady, marian/AHB-3737-2022</t>
  </si>
  <si>
    <t>Chief Scientist Office, Scotland, UK; Chief Scientist Office of the Scottish Government</t>
  </si>
  <si>
    <t>Chief Scientist Office, Scotland, UK(Chief Scientist Office - Scotland); Chief Scientist Office of the Scottish Government(Chief Scientist Office - Scotland)</t>
  </si>
  <si>
    <t>External sourcesChief Scientist Office, Scotland, UK.This overview is supported by a project grant from the Chief Scientist Office of the Scottish Government.</t>
  </si>
  <si>
    <t>CD010820</t>
  </si>
  <si>
    <t>10.1002/14651858.CD010820.pub2</t>
  </si>
  <si>
    <t>AY5YY</t>
  </si>
  <si>
    <t>WOS:000347646200061</t>
  </si>
  <si>
    <t>Zhang, MM; Davies, TC; Zhang, YX; Xie, SN</t>
  </si>
  <si>
    <t>Zhang, Mingming; Davies, T. Claire; Zhang, Yanxin; Xie, Shane</t>
  </si>
  <si>
    <t>Reviewing effectiveness of ankle assessment techniques for use in robot-assisted therapy</t>
  </si>
  <si>
    <t>ankle measurement; ankle stiffness; clinical effectiveness; disability assessment; qualitative assessment; quantitative assessment; range of motion; rehabilitation device; reliability; robot-assisted therapy</t>
  </si>
  <si>
    <t>STANDARD RATING SYSTEM; MR-COMPATIBLE DEVICE; HEALTHY-YOUNG MEN; JOINT DORSIFLEXION; ABILITY MEASURE; INTRARATER RELIABILITY; INTERRATER RELIABILITY; ULTRASOUND EXAMINATION; STRENGTH MEASUREMENTS; OUTCOME MEASUREMENT</t>
  </si>
  <si>
    <t>This article provides a comprehensive review of studies that investigated ankle assessment techniques to better understand those that can be used in the real-time monitoring of rehabilitation progress for implementation in conjunction with robot-assisted therapy. Seventy-six publications published between January 1980 and August 2013 were selected based on eight databases. They were divided into two main categories (16 qualitative and 60 quantitative studies): 13 goniometer studies, 18 dynamometer studies, and 29 studies about innovative techniques. A total of 465 subjects participated in the 29 quantitative studies of innovative measurement techniques that may potentially be integrated in a real-time monitoring device, of which 19 studies included less than 10 participants. Results show that qualitative ankle assessment methods are not suitable for real-time monitoring in robot-assisted therapy, though they are reliable for certain patients, while the quantitative methods show great potential. The majority of quantitative techniques are reliable in measuring ankle kinematics and kinetics but are usually available only for use in the sagittal plane. Limited studies determine kinematics and kinetics in all three planes (sagittal, transverse, and frontal) where motions of the ankle joint and the subtalar joint actually occur.</t>
  </si>
  <si>
    <t>[Zhang, Mingming; Davies, T. Claire; Xie, Shane] Univ Auckland, Dept Mech Engn, Auckland 1142, New Zealand; [Davies, T. Claire] Univ Auckland, Dept Surg, Auckland 1142, New Zealand; [Zhang, Yanxin] Univ Auckland, Dept Sport &amp; Exercise Sci, Auckland 1142, New Zealand</t>
  </si>
  <si>
    <t>University of Auckland; University of Auckland; University of Auckland</t>
  </si>
  <si>
    <t>Xie, SN (corresponding author), Univ Auckland, Dept Mech Engn, Room 401-1004,20 Symonds St, Auckland 1142, New Zealand.</t>
  </si>
  <si>
    <t>s.xie@auckland.ac.nz</t>
  </si>
  <si>
    <t>Zhang, Mingming/0000-0001-8016-1856; Zhang, Yanxin/0000-0002-7638-1669; Davies, Theresa Claire/0000-0003-4880-2654; Xie, Sheng Quan/0000-0003-2641-2620</t>
  </si>
  <si>
    <t>University of Auckland Faculty of Engineering Research Development Fund [3625057]; China Sponsorship Council</t>
  </si>
  <si>
    <t>University of Auckland Faculty of Engineering Research Development Fund; China Sponsorship Council</t>
  </si>
  <si>
    <t>This material was based on work supported by the University of Auckland Faculty of Engineering Research Development Fund (grant 3625057, Physical Robot-Human Interaction for Performance-Based Progressive Robot-Assisted Therapy) and the China Sponsorship Council.</t>
  </si>
  <si>
    <t>10.1682/JRRD.2013.03.0066</t>
  </si>
  <si>
    <t>AN8ZR</t>
  </si>
  <si>
    <t>WOS:000340895400002</t>
  </si>
  <si>
    <t>Breceda, EY; Dromerick, AW</t>
  </si>
  <si>
    <t>Breceda, Erika Y.; Dromerick, Alexander W.</t>
  </si>
  <si>
    <t>Motor rehabilitation in stroke and traumatic brain injury: stimulating and intense</t>
  </si>
  <si>
    <t>brain injuries; cerebrovascular disease; motor recovery; neuronal plasticity; rehabilitation</t>
  </si>
  <si>
    <t>CONSTRAINT-INDUCED MOVEMENT; RANDOMIZED CONTROLLED-TRIAL; UPPER EXTREMITY FUNCTION; ANKLE-FOOT ORTHOSIS; TREADMILL EXERCISE; CORTICAL STIMULATION; ISCHEMIC-STROKE; DOUBLE-BLIND; CARDIOVASCULAR FITNESS; HEMIPARETIC STROKE</t>
  </si>
  <si>
    <t>Purpose of review The purpose of this review is to provide an update on the latest neurorehabilitation literature for motor recovery in stroke and traumatic brain injury to assist clinical decision making and assessing future research directions. Recent findings The emerging approach to motor restoration is now multimodal. It engages the traditional multidisciplinary rehabilitation team, but incorporates highly structured activity-based therapies, pharmacology, brain stimulation and robotics. Clinical trial data support selective serotonin reuptake inhibitors and amantadine to assist motor recovery poststroke and traumatic brain injury, respectively. Similarly, there is continued support for intensity as a key factor in activity-based therapies, across skilled and nonskilled interventions. Aerobic training appears to have multiple benefits; increasing the capacity to meet the demands of hemiparetic gait improves endurance for activities of daily living while promoting cognition and mood. At this time, the primary benefit of robotic therapy lies in the delivery of highly intense and repetitive motor practice. Both transcranial direct current and magnetic stimulation therapies are in early stages, but have promise in motor and language restoration. Summary Advancements in neurorehabilitation have shifted treatment away from nonspecific activity regimens and amphetamines. As the body of knowledge grows, evidence-based practice using interventions targeted at specific subgroups becomes progressively more feasible.</t>
  </si>
  <si>
    <t>[Breceda, Erika Y.; Dromerick, Alexander W.] Washington DC Vet Affairs Med Ctr, Washington, DC USA; [Breceda, Erika Y.; Dromerick, Alexander W.] Georgetown Univ, Medstar Natl Rehabil Hosp, Dept Rehabil Med, Washington, DC 20010 USA</t>
  </si>
  <si>
    <t>Georgetown University</t>
  </si>
  <si>
    <t>Dromerick, AW (corresponding author), Georgetown Univ, Medstar Natl Rehabil Hosp, Dept Rehabil Med, 102 Irving St NW, Washington, DC 20010 USA.</t>
  </si>
  <si>
    <t>Alexander.W.Dromerick@medstar.net</t>
  </si>
  <si>
    <t>Department of Veterans Affairs Office of Academic Affiliations (OAA)</t>
  </si>
  <si>
    <t>Department of Veterans Affairs Office of Academic Affiliations (OAA)(US Department of Veterans Affairs)</t>
  </si>
  <si>
    <t>This work was supported in part by the Department of Veterans Affairs Office of Academic Affiliations (OAA).</t>
  </si>
  <si>
    <t>10.1097/WCO.0000000000000024</t>
  </si>
  <si>
    <t>WOS:000327554300001</t>
  </si>
  <si>
    <t>Borton, D; Micera, S; Millán, JD; Courtine, G</t>
  </si>
  <si>
    <t>Borton, David; Micera, Silvestro; Millan, Jose del R.; Courtine, Gregoire</t>
  </si>
  <si>
    <t>Personalized Neuroprosthetics</t>
  </si>
  <si>
    <t>SCIENCE TRANSLATIONAL MEDICINE</t>
  </si>
  <si>
    <t>BRAIN-COMPUTER-INTERFACE; ROBOT-ASSISTED THERAPY; SPINAL-CORD-INJURY; MACHINE INTERFACE; NEURAL INTERFACES; CHRONIC STROKE; STEM-CELLS; STIMULATION; MOVEMENT; REHABILITATION</t>
  </si>
  <si>
    <t>Decades of technological developments have populated the field of neuroprosthetics with myriad replacement strategies, neuromodulation therapies, and rehabilitation procedures to improve the quality of life for individuals with neuromotor disorders. Despite the few but impressive clinical successes, and multiple breakthroughs in animal models, neuroprosthetic technologies remain mainly confined to sophisticated laboratory environments. We summarize the core principles and latest achievements in neuroprosthetics, but also address the challenges that lie along the path toward clinical fruition. We propose a pragmatic framework to personalize neurotechnologies and rehabilitation for patient-specific impairments to achieve the timely dissemination of neuroprosthetic medicine.</t>
  </si>
  <si>
    <t>[Borton, David; Micera, Silvestro; Millan, Jose del R.; Courtine, Gregoire] Ecole Polytech Fed Lausanne, Ctr Neuroprosthet, CH-1015 Lausanne, Switzerland; [Borton, David; Courtine, Gregoire] Ecole Polytech Fed Lausanne, Brain Mind Inst, CH-1015 Lausanne, Switzerland; [Micera, Silvestro; Millan, Jose del R.] Ecole Polytech Fed Lausanne, Inst Bioengn, CH-1015 Lausanne, Switzerland; [Micera, Silvestro] Scuola Super Sant Anna, BioRobot Inst, I-56026 Pisa, Italy</t>
  </si>
  <si>
    <t>Swiss Federal Institutes of Technology Domain; Ecole Polytechnique Federale de Lausanne; Swiss Federal Institutes of Technology Domain; Ecole Polytechnique Federale de Lausanne; Swiss Federal Institutes of Technology Domain; Ecole Polytechnique Federale de Lausanne; Scuola Superiore Sant'Anna</t>
  </si>
  <si>
    <t>Courtine, G (corresponding author), Ecole Polytech Fed Lausanne, Ctr Neuroprosthet, CH-1015 Lausanne, Switzerland.</t>
  </si>
  <si>
    <t>gregoire.courtine@epfl.ch</t>
  </si>
  <si>
    <t>Micera, Silvestro/AAD-6630-2021; courtine, gregoire/AAJ-1694-2020; Millan, Jose del R./F-1696-2011</t>
  </si>
  <si>
    <t>Micera, Silvestro/0000-0003-4396-8217; Millan, Jose del R./0000-0001-5819-1522; courtine, gregoire/0000-0002-5744-4142</t>
  </si>
  <si>
    <t>1946-6234</t>
  </si>
  <si>
    <t>1946-6242</t>
  </si>
  <si>
    <t>SCI TRANSL MED</t>
  </si>
  <si>
    <t>Sci. Transl. Med.</t>
  </si>
  <si>
    <t>210rv2</t>
  </si>
  <si>
    <t>10.1126/scitranslmed.3005968</t>
  </si>
  <si>
    <t>Cell Biology; Medicine, Research &amp; Experimental</t>
  </si>
  <si>
    <t>Cell Biology; Research &amp; Experimental Medicine</t>
  </si>
  <si>
    <t>250UE</t>
  </si>
  <si>
    <t>WOS:000326880200001</t>
  </si>
  <si>
    <t>Geroin, C; Mazzoleni, S; Smania, N; Gandolfi, M; Bonaiuti, D; Gasperini, G; Munari, D; Sale, P; Waldner, A; Spidalieri, R; Bovolenta, F; Picelli, A; Posteraro, F; Molteni, F; Franceschini, M</t>
  </si>
  <si>
    <t>Geroin, Christian; Mazzoleni, Stefano; Smania, Nicola; Gandolfi, Marialuisa; Bonaiuti, Donatella; Gasperini, Giulio; Munari, Daniele; Sale, Patrizio; Waldner, Andreas; Spidalieri, Raffaele; Bovolenta, Federica; Picelli, Alessandro; Posteraro, Federico; Molteni, Franco; Franceschini, Marco</t>
  </si>
  <si>
    <t>IRNRG</t>
  </si>
  <si>
    <t>SYSTEMATIC REVIEW OF OUTCOME MEASURES OF WALKING TRAINING USING ELECTROMECHANICAL AND ROBOTIC DEVICES IN PATIENTS WITH STROKE</t>
  </si>
  <si>
    <t>stroke; lower limb; rehabilitation; motor recovery; robot; training; therapy; physiotherapy; function; study; robot-assisted; trial</t>
  </si>
  <si>
    <t>RIVERMEAD MOBILITY INDEX; MOTOR-ASSESSMENT SCALE; GAIT TRAINER; PSYCHOMETRIC PROPERTIES; SUBACUTE STROKE; HEMIPARETIC PATIENTS; FLOOR WALKING; MECHANIZED GAIT; RELIABILITY; REHABILITATION</t>
  </si>
  <si>
    <t>Objective: The aim of this systematic review was to identify appropriate selection criteria of clinical scales for future trials, starting from those most commonly reported in the literature, according to their psychometric properties and International Classification of Functioning, Disability and Health (ICE) domains. Data sources: A computerized literature research of articles was conducted in MEDLINE, EMBASE, CINALH, PubMed, PsychINFO and Scopus databases. Study selection: Clinical trials evaluating the effects of electromechanical and robot-assisted gait training trials in stroke survivors. Data extraction: Fifteen independent authors performed an extensive literature review. Data synthesis: A total of 45 scales was identified from 27 studies involving 966 subjects. The most commonly used outcome measures were: Functional Ambulation Category (18 studies), 10-Meter Walking Test (13 studies), Motricity Index (12 studies), 6-Minute Walking Test (11 studies), Rivermead Mobility Index (8 studies) and Berg Balance Scale (8 studies). According to the ICE domains 1 outcome measure was categorized into Body Function and Structure, 5 into Activity and none into Participation. Conclusion: The most commonly used scales evaluated the basic components of walking. Future studies should also include instrumental evaluation. Criteria for scale selection should be based on the ICF framework, psychometric properties and patient characteristics.</t>
  </si>
  <si>
    <t>[Geroin, Christian; Smania, Nicola; Gandolfi, Marialuisa; Munari, Daniele; Picelli, Alessandro] Univ Verona, CRRNC, Dept Neurol &amp; Movement Sci, I-37134 Verona, Italy; [Mazzoleni, Stefano] Scuola Super Sant Anna, BioRobot Inst, Pisa, Italy; [Bonaiuti, Donatella] S Gerardo Hosp, Dept Phys Med &amp; Rehabil, Monza, Italy; [Gasperini, Giulio; Molteni, Franco] Osped Valduce, Dept Rehabil Med, Costamasnaga, Lecco, Italy; [Sale, Patrizio; Franceschini, Marco] IRCCS San Raffaele Pisana, Dept Rehabil, Rome, Italy; [Waldner, Andreas] Private Hosp Villa Melitta, Dept Neurol Rehabil, Bolzano, Italy; [Spidalieri, Raffaele] Ist Riabilitaz Neurol Madre Divina Provvidenza Ag, Arezzo, Italy; [Bovolenta, Federica] Med Rehabil NOCSAE Hosp AUSL Modena, Modena, Italy; [Posteraro, Federico] Auxilium Vitae Rehabil Ctr, Neurol Rehabil Unit, Volterra, Italy</t>
  </si>
  <si>
    <t>University of Verona; Scuola Superiore Sant'Anna; Fondazione IRCCS San Gerardo dei Tintori; IRCCS San Raffaele Pisana</t>
  </si>
  <si>
    <t>Geroin, C (corresponding author), Univ Verona, CRRNC, Dept Neurol &amp; Movement Sci, I-37134 Verona, Italy.</t>
  </si>
  <si>
    <t>christian.geroin@univr.it</t>
  </si>
  <si>
    <t>Munari, Daniele/AAT-1718-2020; Mazzoleni, Stefano/AAM-8581-2020; Molteni, Franco/J-4455-2016; Sale, Patrizio/K-8757-2016; Gandolfi, Marialuisa/J-7033-2018; Picelli, Alessandro/K-5610-2016; Mazzoleni, Stefano/B-5875-2011; Geroin, Christian/K-9348-2016</t>
  </si>
  <si>
    <t>Sale, Patrizio/0000-0002-4850-3673; Franceschini, Marco/0000-0002-2131-1583; Gandolfi, Marialuisa/0000-0002-0877-4807; Picelli, Alessandro/0000-0002-3558-8276; Mazzoleni, Stefano/0000-0002-9528-3239; Gasperini, Giulio/0000-0002-3992-3246; munari, daniele/0000-0001-6740-1560; Geroin, Christian/0000-0001-6095-1930; Posteraro, Federico/0000-0002-7643-6834</t>
  </si>
  <si>
    <t>10.2340/16501977-1234</t>
  </si>
  <si>
    <t>251TE</t>
  </si>
  <si>
    <t>WOS:000326952800001</t>
  </si>
  <si>
    <t>Ruel, M; Une, D; Bonatti, J; McGinn, JT</t>
  </si>
  <si>
    <t>Ruel, Marc; Une, Dai; Bonatti, Johannes; McGinn, Joseph T.</t>
  </si>
  <si>
    <t>Minimally invasive coronary artery bypass grafting: is it time for the robot?</t>
  </si>
  <si>
    <t>CURRENT OPINION IN CARDIOLOGY</t>
  </si>
  <si>
    <t>left thoracotomy; minimally invasive coronary artery bypass grafting; robotic coronary artery bypass grafting; total endoscopic coronary artery bypass grafting</t>
  </si>
  <si>
    <t>VALVE-REPLACEMENT; LEFT THORACOTOMY; OFF-PUMP; SURGERY</t>
  </si>
  <si>
    <t>Purpose of reviewMinimally invasive coronary artery bypass grafting (MICS CABG) consists of single-vessel or multivessel revascularization via a small left thoracotomy, and has been proposed as an alternative to a standard sternotomy approach. The purpose of this article is to examine the current status of MICS CABG and discuss its future directions.Recent findingsExperience in the first 450 cases was reported in 2009, and established the efficacy and safety of a small thoracotomy approach for multivessel and single-vessel revascularization. In addition to earlier recovery and rehabilitation, MICS CABG is associated with fewer transfusions and fewer wound infections than off-pump CABG. Recently, the MICS CABG Patency Study showed excellent graft patency in patients assessed by 64-slice computed tomography angiography 6 months after operation. We also showed that the use of cardiopulmonary bypass assistance may help alleviate some of the learning curve inherent in this operation.SummaryMICS CABG has developed into a reproducible, high-quality, complete surgical revascularization alternative to conventional CABG. Preservation of sternal integrity allows patients to recover earlier, require fewer transfusions, and experience fewer infections. Further research on expanding the applicability of MICS CABG and enhancing its advantages over conventional CABG is warranted.</t>
  </si>
  <si>
    <t>[Ruel, Marc; Une, Dai] Univ Ottawa, Inst Heart, Div Cardiac Surg, Ottawa, ON, Canada; [Bonatti, Johannes] Cleveland Clin Abu Dhabi, Dept Cardiothorac Surg, Abu Dhabi, U Arab Emirates; [McGinn, Joseph T.] Staten Isl Univ Hosp, Cardiothorac Dept, New York, NY USA</t>
  </si>
  <si>
    <t>University of Ottawa; University of Ottawa Heart Institute; Cleveland Clinic Foundation; Northwell Health</t>
  </si>
  <si>
    <t>Ruel, M (corresponding author), Univ Ottawa, Inst Heart, Div Cardiac Surg, 40 Ruskin St,Suite 3402, Ottawa, ON, Canada.</t>
  </si>
  <si>
    <t>mruel@ottawaheart.ca</t>
  </si>
  <si>
    <t>RUEL, MARC/0000-0002-0487-1319</t>
  </si>
  <si>
    <t>Medtronic Inc.</t>
  </si>
  <si>
    <t>Medtronic Inc.(Medtronic)</t>
  </si>
  <si>
    <t>M.R. and J.T.M. received research support and honoraria from Medtronic Inc. D.U. received honoraria from Medtronic Japan Co., Ltd. J.B. reports no conflicts.</t>
  </si>
  <si>
    <t>0268-4705</t>
  </si>
  <si>
    <t>1531-7080</t>
  </si>
  <si>
    <t>CURR OPIN CARDIOL</t>
  </si>
  <si>
    <t>Curr. Opin. Cardiol.</t>
  </si>
  <si>
    <t>10.1097/HCO.0b013e3283653fd1</t>
  </si>
  <si>
    <t>247AU</t>
  </si>
  <si>
    <t>WOS:000326585900005</t>
  </si>
  <si>
    <t>Ng, YS; Chew, E; Samuel, GS; Tan, YL; Kong, KH</t>
  </si>
  <si>
    <t>Ng, Yee Sien; Chew, Effie; Samuel, Geoffrey S.; Tan, Yeow Leng; Kong, Keng He</t>
  </si>
  <si>
    <t>Advances in rehabilitation medicine</t>
  </si>
  <si>
    <t>SINGAPORE MEDICAL JOURNAL</t>
  </si>
  <si>
    <t>advances; disability; functional outcomes; rehabilitation</t>
  </si>
  <si>
    <t>TRANSCRANIAL MAGNETIC STIMULATION; CONSTRAINT-INDUCED MOVEMENT; TRAUMATIC BRAIN-INJURY; ROBOT-ASSISTED THERAPY; OBSTRUCTIVE PULMONARY-DISEASE; EARLY SUPPORTED DISCHARGE; INTEGRATED CARE PATHWAYS; UPPER-LIMB IMPAIRMENT; HUMAN MOTOR CORTEX; INPATIENT REHABILITATION</t>
  </si>
  <si>
    <t>Rehabilitation medicine is the medical specialty that integrates rehabilitation as its core therapeutic modality in disability management. More than a billion people worldwide are disabled, and the World Health Organization has developed the International Classification of Functioning, Disability and Health as a framework through which disability is addressed. Herein, we explore paradigm shifts in neurorehabilitation, with a focus on restoration, and provide overviews on developments in neuropharmacology, rehabilitation robotics, virtual reality, constraint-induced therapy and brain stimulation. We also discuss important issues in rehabilitation systems of care, including integrated care pathways, very early rehabilitation, early supported discharge and telerehabilitation. Finally, we highlight major new fields of rehabilitation such as spasticity management, frailty and geriatric rehabilitation, intensive care and cancer rehabilitation.</t>
  </si>
  <si>
    <t>[Ng, Yee Sien; Samuel, Geoffrey S.; Tan, Yeow Leng] Singapore Gen Hosp, Dept Rehabil Med, Singapore 169608, Singapore; [Chew, Effie] Natl Univ Hlth Syst, Univ Med Cluster, Div Neurol, Rehabil Med, Singapore, Singapore; [Kong, Keng He] Tan Tock Seng Hosp, Dept Rehabil Med, Singapore, Singapore</t>
  </si>
  <si>
    <t>Singapore General Hospital; National University of Singapore; Tan Tock Seng Hospital</t>
  </si>
  <si>
    <t>Ng, YS (corresponding author), Singapore Gen Hosp, Dept Rehabil Med, Outram Rd, Singapore 169608, Singapore.</t>
  </si>
  <si>
    <t>ng.yee.sien@sgh.com.sg</t>
  </si>
  <si>
    <t>Chew, Effie/MCK-2424-2025; Tan, Yeow/AAG-9346-2019</t>
  </si>
  <si>
    <t>Ng, Yee-Sien/0000-0003-1377-5852</t>
  </si>
  <si>
    <t>0037-5675</t>
  </si>
  <si>
    <t>2737-5935</t>
  </si>
  <si>
    <t>SINGAP MED J</t>
  </si>
  <si>
    <t>Singap. Med. J.</t>
  </si>
  <si>
    <t>255NA</t>
  </si>
  <si>
    <t>WOS:000327245300008</t>
  </si>
  <si>
    <t>Chang, WH; Kim, YH</t>
  </si>
  <si>
    <t>Chang, Won Hyuk; Kim, Yun-Hee</t>
  </si>
  <si>
    <t>Robot-assisted Therapy in Stroke Rehabilitation</t>
  </si>
  <si>
    <t>Stroke; Robot-assisted therapy; Motor disorder; Rehabilitation</t>
  </si>
  <si>
    <t>ELECTROMECHANICAL GAIT TRAINER; RANDOMIZED CLINICAL-TRIAL; UPPER-LIMB; SUBACUTE STROKE; HAND REHABILITATION; FLOOR WALKING; MOTOR CONTROL; ARM; RECOVERY; EXERCISE</t>
  </si>
  <si>
    <t>Research into rehabilitation robotics has grown rapidly and the number of therapeutic rehabilitation robots has expanded dramatically during the last two decades. Robotic rehabilitation therapy can deliver high-dosage and high-intensity training, making it useful for patients with motor disorders caused by stroke or spinal cord disease. Robotic devices used for motor rehabilitation include end-effector and exoskeleton types; herein, we review the clinical use of both types. One application of robot-assisted therapy is improvement of gait function in patients with stroke. Both end-effector and the exoskeleton devices have proven to be effective complements to conventional physiotherapy in patients with subacute stroke, but there is no clear evidence that robotic gait training is superior to conventional physiotherapy in patients with chronic stroke or when delivered alone. In another application, upper limb motor function training in patients recovering from stroke, robot-assisted therapy was comparable or superior to conventional therapy in patients with subacute stroke. With end-effector devices, the intensity of therapy was the most important determinant of upper limb motor recovery. However, there is insufficient evidence for the use of exoskeleton devices for upper limb motor function in patients with stroke. For rehabilitation of hand motor function, either end-effector and exoskeleton devices showed similar or additive effects relative to conventional therapy in patients with chronic stroke. The present evidence supports the use of robot-assisted therapy for improving motor function in stroke patients as an additional therapeutic intervention in combination with the conventional rehabilitation therapies. Nevertheless, there will be substantial opportunities for technical development in near future.</t>
  </si>
  <si>
    <t>[Chang, Won Hyuk; Kim, Yun-Hee] Sungkyunkwan Univ, Dept Phys &amp; Rehabil Med, Sch Med, Stroke &amp; Cerebrovasc Ctr,Samsung Med Ctr, Seoul 135710, South Korea; [Kim, Yun-Hee] Sungkyunkwan Univ, Samsung Adv Inst Hlth Sci &amp; Technol, Seoul 135710, South Korea</t>
  </si>
  <si>
    <t>Kim, YH (corresponding author), Sungkyunkwan Univ, Dept Phys &amp; Rehabil Med, Div Neurorehabilitat,Stroke &amp; Cerebrovasc Ctr, Samsung Adv Inst Hlth Sci &amp; Technol,Sch Med, 81 Irwon Ro, Seoul 135710, South Korea.</t>
  </si>
  <si>
    <t>yunkim@skku.edu</t>
  </si>
  <si>
    <t>KOSEF grant - Korean government [M10644000022-06N4400-02210]</t>
  </si>
  <si>
    <t>KOSEF grant - Korean government</t>
  </si>
  <si>
    <t>This article was supported by a KOSEF grant (M10644000022-06N4400-02210) funded by the Korean government.</t>
  </si>
  <si>
    <t>10.5853/jos.2013.15.3.174</t>
  </si>
  <si>
    <t>AQ5ND</t>
  </si>
  <si>
    <t>WOS:000342855000007</t>
  </si>
  <si>
    <t>Casadio, M; Tamagnone, I; Summa, S; Sanguineti, V</t>
  </si>
  <si>
    <t>Casadio, Maura; Tamagnone, Irene; Summa, Susanna; Sanguineti, Vittorio</t>
  </si>
  <si>
    <t>Neuromotor recovery from stroke: computational models at central, functional, and muscle synergy level</t>
  </si>
  <si>
    <t>FRONTIERS IN COMPUTATIONAL NEUROSCIENCE</t>
  </si>
  <si>
    <t>functional recovery; cortical reorganization; motor skill learning; compensation; robot; slacking; muscle synergy</t>
  </si>
  <si>
    <t>ROBOT-AIDED NEUROREHABILITATION; MOTOR RECOVERY; POINTING MOVEMENTS; REHABILITATION; MECHANISMS; STRATEGIES; DISCHARGE; STIMULATION; RECRUITMENT; PERFORMANCE</t>
  </si>
  <si>
    <t>Computational models of neuromotor recovery after a stroke might help to unveil the underlying physiological mechanisms and might suggest how to make recovery faster and more effective. At least in principle, these models could serve: (i) To provide testable hypotheses on the nature of recovery; (ii) To predict the recovery of individual patients; (iii) To design patient-specific optimal therapy, by setting the treatment variables for maximizing the amount of recovery or for achieving a better generalization of the learned abilities across different tasks. Here we review the state of the art of computational models for neuromotor recovery through exercise, and their implications for treatment. We show that to properly account for the computational mechanisms of neuromotor recovery, multiple levels of description need to be taken into account. The review specifically covers models of recovery at central, functional and muscle synergy level.</t>
  </si>
  <si>
    <t>[Casadio, Maura; Tamagnone, Irene; Summa, Susanna; Sanguineti, Vittorio] Univ Genoa, Dept Informat Bioengn Robot &amp; Syst Engn, Neuroengn &amp; Neurorobot Lab NeuroLAB, I-16145 Genoa, Italy</t>
  </si>
  <si>
    <t>University of Genoa</t>
  </si>
  <si>
    <t>Sanguineti, V (corresponding author), Univ Genoa, Dept Informat Bioengn Robot &amp; Syst Engn, Via AllOpera Pia 13, I-16145 Genoa, Italy.</t>
  </si>
  <si>
    <t>vittorio.sanguineti@unige.it</t>
  </si>
  <si>
    <t>Casadio, Maura/AFM-0496-2022; Sanguineti, Vittorio/J-3550-2012; summa, susanna/K-4172-2018</t>
  </si>
  <si>
    <t>summa, susanna/0000-0002-7416-4855; Sanguineti, Vittorio/0000-0001-8746-3136</t>
  </si>
  <si>
    <t>EU [FP7-ICT-271724]; Italian Ministry of Research; COST Action [TD1006]</t>
  </si>
  <si>
    <t>EU(European Union (EU)); Italian Ministry of Research(Ministry of Education, Universities and Research (MIUR)); COST Action(European Cooperation in Science and Technology (COST))</t>
  </si>
  <si>
    <t>This work was partly supported by the EU Grant FP7-ICT-271724 (HUMOUR), by a grant from the Italian Ministry of Research (PRIN 2009), and by the COST Action TD1006 (European Network on Robotics for NeuroRehabilitation).</t>
  </si>
  <si>
    <t>1662-5188</t>
  </si>
  <si>
    <t>FRONT COMPUT NEUROSC</t>
  </si>
  <si>
    <t>Front. Comput. Neurosci.</t>
  </si>
  <si>
    <t>10.3389/fncom.2013.00097</t>
  </si>
  <si>
    <t>Mathematical &amp; Computational Biology; Neurosciences</t>
  </si>
  <si>
    <t>Mathematical &amp; Computational Biology; Neurosciences &amp; Neurology</t>
  </si>
  <si>
    <t>205CH</t>
  </si>
  <si>
    <t>WOS:000323418100001</t>
  </si>
  <si>
    <t>Ahamed, NU; Sundaraj, K; Ahmad, B; Rahman, M; Ali, MA; Islam, MA; Palaniappan, R</t>
  </si>
  <si>
    <t>Ahamed, Nizam Uddin; Sundaraj, Kenneth; Ahmad, Badlishah; Rahman, Matiur; Ali, Md. Asraf; Islam, Md. Anamul; Palaniappan, Rajkumar</t>
  </si>
  <si>
    <t>Rehabilitation systems for physically disabled patients: A brief review of sensor-based computerised signal-monitoring systems.</t>
  </si>
  <si>
    <t>Biosensor; Signal; Computer; Hardware; Rehabilitation; Software; Disable Patients</t>
  </si>
  <si>
    <t>DESIGN; HAND; EXOSKELETON; PLATFORM; ROBOT</t>
  </si>
  <si>
    <t>This brief review addresses the existing systems and challenges and provides future recommendations on computer-and biosensor-assisted rehabilitation systems for physically disabled patients. We further list the types of sensors, technical issues, and different software and hardware technologies that are currently used in rehabilitation systems to make the whole process dynamic and real-time. The review focused on 36 consolidated studies that were found using the following keywords: rehabilitation system, sensor, and computer. The electronic databases PubMed, Scopus, and Google Scholar were searched for relevant articles that were published from 2007 through 2012. These published articles included discussion of several biosensors, automated rehabilitation systems, and the application of these systems in the affected body parts of the individuals. We found that 54 types of biosensors have been used for real-time and computer-assisted rehabilitation systems. The findings suggest that there are still some body parts (such as the muscle tendons area and abdomen) and application areas (e. g., post-and pre-pregnancy) that have not yet been targeted by biosensor-supported medical rehabilitation systems aided by suitable hardware, software, and other assistive technologies.</t>
  </si>
  <si>
    <t>[Ahamed, Nizam Uddin; Sundaraj, Kenneth; Ahmad, Badlishah; Ali, Md. Asraf; Islam, Md. Anamul; Palaniappan, Rajkumar] Univ Malaysia Perlis, AI Rehab Res Grp, Arau 02600, Perlis, Malaysia; [Rahman, Matiur] Najran Univ, Coll Comp Sci &amp; Informat Syst, Najran, Saudi Arabia</t>
  </si>
  <si>
    <t>Universiti Malaysia Perlis; Najran University</t>
  </si>
  <si>
    <t>Ahamed, NU (corresponding author), Univ Malaysia Perlis, AI Rehab Res Grp, Kampus Pauh Putra, Arau 02600, Perlis, Malaysia.</t>
  </si>
  <si>
    <t>Rahman, Matiur/AAS-8586-2021; Sundaraj, Kenneth/AAD-1783-2019; Ali, Md Asraf/JTS-9550-2023; Ahmad, R.Badlishah/A-4703-2019; Ahamed, Nizam/J-6248-2012; Palaniappan, Rajkumar/J-6099-2012</t>
  </si>
  <si>
    <t>Sundaraj, Kenneth/0000-0001-7221-0072; Ahmad, R.Badlishah/0000-0002-4862-2728; Ahamed, Nizam/0000-0003-0497-7356; Islam, Md. Anamul/0000-0001-6214-7081; Palaniappan, Rajkumar/0000-0003-2086-0561; Ali, Md Asraf/0000-0002-4732-5529</t>
  </si>
  <si>
    <t>189ZZ</t>
  </si>
  <si>
    <t>WOS:000322308100015</t>
  </si>
  <si>
    <t>Bernabei, V; De Ronchi, D; La Ferla, T; Moretti, F; Tonelli, L; Ferrari, B; Forlani, M; Atti, AR</t>
  </si>
  <si>
    <t>Bernabei, V.; De Ronchi, D.; La Ferla, T.; Moretti, F.; Tonelli, L.; Ferrari, B.; Forlani, M.; Atti, A. R.</t>
  </si>
  <si>
    <t>Animal-assisted interventions for elderly patients affected by dementia or psychiatric disorders: A review</t>
  </si>
  <si>
    <t>JOURNAL OF PSYCHIATRIC RESEARCH</t>
  </si>
  <si>
    <t>Pet therapy; Animal assisted interventions; Elderly; Dementia; Alzheimer disease; Mental health; Psychiatry; Rehabilitation</t>
  </si>
  <si>
    <t>SCHIZOPHRENIC-PATIENTS; THERAPY INTERVENTION; ALZHEIMERS-DISEASE; SCALE; PEOPLE; HEALTH; VALIDATION; DEPRESSION; CARE; DOG</t>
  </si>
  <si>
    <t>Objective: The aim of this literature review was to assess the effects of Animal-Assisted Interventions (AAI) on elderly patients with dementia or various psychiatric disorders. Methods: We conducted a comprehensive literature search using the online PubMed network of the US National Library of Medicine &amp; National Institutes of Health, Embase, PsycINFO, with the purpose of investigating AAI effects on cognitive functions, mood, and behaviour. Results: A total of 18 articles on dementia and 5 on psychiatric disorders were included in the present review. AAI were found to have positive influences on demented patients by reducing degree of agitation and by improving degree and quality of social interaction. Few studies have assessed the effects of AAI on mood, and even fewer have assessed its consequences on cognitive functions. The results that are available indicate a positive effect on communication and coping ability, but none on cognitive performance. A substitute pet robot yielded encouraging results, but its use requires further investigation. The few studies conducted for elderly patients presenting a variety of psychiatric diagnoses produced controversial findings. Conclusions: In spite of the encouraging results of AAI, much more research examining the issue of optimal AAI duration, frequency of sessions, and suitable target group is needed. (C) 2013 Elsevier Ltd. All rights reserved.</t>
  </si>
  <si>
    <t>[Bernabei, V.; De Ronchi, D.; Moretti, F.; Tonelli, L.; Ferrari, B.; Forlani, M.; Atti, A. R.] Dept Biomed &amp; Neuromotor Sci, I-40123 Bologna, Italy; [La Ferla, T.; Tonelli, L.] Univ Perugia, Dept Clin &amp; Expt Med, Sect Psychiat, I-06100 Perugia, Italy</t>
  </si>
  <si>
    <t>University of Perugia</t>
  </si>
  <si>
    <t>Bernabei, V (corresponding author), Dept Biomed &amp; Neuromotor Sci, Viale C Pepoli 5, I-40123 Bologna, Italy.</t>
  </si>
  <si>
    <t>virginia.bernabei@studio.unibo.it; diana.deronchi@unibo.it; teresalaferla@gmail.com; francesca.moretti@studio.unibo.it; letizia.tonelli@studio.unibo.it; barbara.ferrari4@unibo.it; martina.forlani@studio.unibo.it; annarita.atti@unibo.it</t>
  </si>
  <si>
    <t>Atti, Anna/AAP-7878-2020</t>
  </si>
  <si>
    <t>0022-3956</t>
  </si>
  <si>
    <t>1879-1379</t>
  </si>
  <si>
    <t>J PSYCHIATR RES</t>
  </si>
  <si>
    <t>J. Psychiatr. Res.</t>
  </si>
  <si>
    <t>10.1016/j.jpsychires.2012.12.014</t>
  </si>
  <si>
    <t>135ZH</t>
  </si>
  <si>
    <t>WOS:000318328700010</t>
  </si>
  <si>
    <t>Meyer-Heim, A; van Hedel, HJA</t>
  </si>
  <si>
    <t>Meyer-Heim, Andreas; van Hedel, Hubertus J. A.</t>
  </si>
  <si>
    <t>Robot-Assisted and Computer-Enhanced Therapies for Children with Cerebral Palsy: Current State and Clinical Implementation</t>
  </si>
  <si>
    <t>SEMINARS IN PEDIATRIC NEUROLOGY</t>
  </si>
  <si>
    <t>VIRTUAL-REALITY; TREADMILL THERAPY; STROKE PATIENTS; GAIT ORTHOSIS; REHABILITATION; IMPAIRMENT; MOTIVATION; SYSTEM; ARM; ENVIRONMENTS</t>
  </si>
  <si>
    <t>The field of pediatric neurorehabilitation has rapidly evolved with the introduction of technological advancements over recent years. Rehabilitation robotics and computer-assisted systems can complement conventional physiotherapeutics or occupational therapies. These systems appear promising, especially in children, where exciting and challenging virtual reality scenarios could increase motivation to train intensely in a playful therapeutic environment. Despite promising experience and a large acceptance by the patients and parents, so far, only a few therapy systems have been evaluated in children, and well-designed randomized controlled studies in this field are still lacking. This narrative review aims to provide an overview about the to-date robot-assisted and computer-based therapies and the current level of evidence and to share the authors experience about the clinical implication of these new technologies available for children with cerebral palsy. Semin Pediatr Neurol 20:139-145 (C) 2013 Elsevier Inc. All rights reserved.</t>
  </si>
  <si>
    <t>[Meyer-Heim, Andreas] Univ Childrens Hosp, Div Paediat Rehabil, Rehabil Ctr Affoltern Am Albis, CH-8910 Zurich, Affoltern Am Al, Switzerland; [Meyer-Heim, Andreas] Univ Childrens Hosp, Rehabil Ctr, Rehabil Ctr Affoltern Am Albis, CH-8910 Zurich, Affoltern Am Al, Switzerland; [van Hedel, Hubertus J. A.] Univ Childrens Hosp, Rehabil Ctr, Paediat Rehab Res Grp, CH-8910 Zurich, Affoltern Am Al, Switzerland</t>
  </si>
  <si>
    <t>University Children's Hospital Zurich; University Children's Hospital Zurich; University Children's Hospital Zurich</t>
  </si>
  <si>
    <t>Meyer-Heim, A (corresponding author), Univ Childrens Hosp, Rehabil Ctr, Muhlebergstr 104, CH-8910 Zurich, Affoltern Am Al, Switzerland.</t>
  </si>
  <si>
    <t>andreas.meyer-heim@kispi.uzh.ch</t>
  </si>
  <si>
    <t>van Hedel, Hubertus/0000-0002-9577-5049</t>
  </si>
  <si>
    <t>Maxi-Foundation (Zurich); Fondation Gaydoul (Zurich); Clinical Research Priority Program (CRPP) Neuro-Rehab of the University of Zurich (Zurich); Swiss Foundation for Children with Cerebral palsy</t>
  </si>
  <si>
    <t>Supporting agencies the Maxi-Foundation (Zurich), the Fondation Gaydoul (Zurich), the Clinical Research Priority Program (CRPP) Neuro-Rehab of the University of Zurich (Zurich) and the Swiss Foundation for Children with Cerebral palsy (www.cerebral.ch).</t>
  </si>
  <si>
    <t>1071-9091</t>
  </si>
  <si>
    <t>1558-0776</t>
  </si>
  <si>
    <t>SEMIN PEDIATR NEUROL</t>
  </si>
  <si>
    <t>Semin. Pediatr. Neurol.</t>
  </si>
  <si>
    <t>10.1016/j.spen.2013.06.006</t>
  </si>
  <si>
    <t>Clinical Neurology; Pediatrics</t>
  </si>
  <si>
    <t>Neurosciences &amp; Neurology; Pediatrics</t>
  </si>
  <si>
    <t>207GA</t>
  </si>
  <si>
    <t>WOS:000323585700010</t>
  </si>
  <si>
    <t>Wutzke, CJ; Mercer, VS; Lewek, MD</t>
  </si>
  <si>
    <t>Wutzke, Clinton J.; Mercer, Vicki S.; Lewek, Michael D.</t>
  </si>
  <si>
    <t>Influence of Lower Extremity Sensory Function on Locomotor Adaptation Following Stroke: A Review</t>
  </si>
  <si>
    <t>adaptation; gait; stroke</t>
  </si>
  <si>
    <t>BODY-WEIGHT SUPPORT; SPLIT-BELT TREADMILL; LIMB POSITION SENSE; INTERLIMB COORDINATION; OVERGROUND WALKING; GAIT PARAMETERS; SENSATION; BALANCE; MOTOR; REHABILITATION</t>
  </si>
  <si>
    <t>Following stroke, people commonly demonstrate locomotor impairments including reduced walking speed and spatiotemporal asymmetry. Rehabilitation programs have been effective in increasing gait speed, but spatiotemporal asymmetry has been more resistant to change. The inability to modify gait patterns for improved symmetry may be related, in part, to impairments in lower extremity sensation. Assessment of lower extremity sensory impairments in people post stroke, including cutaneous and proprioceptive sensation, has been insufficiently studied. Conventional rehabilitation programs, including body weight-supported walking or robotic assistance, that modify sensory feedback intended to alter lower extremity movement patterns have shown limited success in improving gait symmetry. Rehabilitation programs that amplify specific gait asymmetries have demonstrated the potential to ultimately produce more symmetric gait, presumably by allowing individuals post stroke to more readily perceive their gait asymmetry. The effectiveness of such error augmentation paradigms, however, may be influenced by lower extremity sensation and the ability of the central nervous system to be aware of altered lower extremity movement. The purpose of this review is to critically examine the literature on lower extremity sensory function and its influence on gait adaptation in people post stroke.</t>
  </si>
  <si>
    <t>[Wutzke, Clinton J.; Mercer, Vicki S.; Lewek, Michael D.] Univ N Carolina, Interdisciplinary Program Human Movement Sci, Chapel Hill, NC 27515 USA; [Mercer, Vicki S.; Lewek, Michael D.] Univ N Carolina, Dept Allied Hlth Sci, Div Phys Therapy, Chapel Hill, NC USA</t>
  </si>
  <si>
    <t>University of North Carolina; University of North Carolina Chapel Hill; University of North Carolina; University of North Carolina Chapel Hill</t>
  </si>
  <si>
    <t>Wutzke, CJ (corresponding author), Univ N Carolina, Interdisciplinary Program Human Movement Sci, Chapel Hill, NC 27515 USA.</t>
  </si>
  <si>
    <t>Mercer, Vicki/AAN-6669-2021; Wutzke, Clinton/M-3672-2016</t>
  </si>
  <si>
    <t>Lewek, Michael/0000-0002-1917-5594; Mercer, Vicki/0000-0002-9022-9428; Wutzke, Clinton/0000-0003-4882-1388</t>
  </si>
  <si>
    <t>10.1310/tsr2003-233</t>
  </si>
  <si>
    <t>153ZL</t>
  </si>
  <si>
    <t>WOS:000319641200006</t>
  </si>
  <si>
    <t>Zhang, MM; Davies, TC; Xie, SN</t>
  </si>
  <si>
    <t>Zhang, Mingming; Davies, T. Claire; Xie, Shane</t>
  </si>
  <si>
    <t>Effectiveness of robot-assisted therapy on ankle rehabilitation - a systematic review</t>
  </si>
  <si>
    <t>Robot-assisted therapy; Ankle rehabilitation; Clinical effectiveness</t>
  </si>
  <si>
    <t>FOOT ORTHOSIS; GAIT TRAINER; STROKE; PERFORMANCE; DESIGN; MOTOR; MOVEMENT; DEVICE; LIMB; IMPAIRMENTS</t>
  </si>
  <si>
    <t>Objective: The aim of this study was to provide a systematic review of studies that investigated the effectiveness of robot-assisted therapy on ankle motor and function recovery from musculoskeletal or neurologic ankle injuries. Methods: Thirteen electronic databases of articles published from January, 1980 to June, 2012 were searched using keywords 'ankle*', 'robot*', 'rehabilitat*' or 'treat*' and a free search in Google Scholar based on effects of ankle rehabilitation robots was also conducted. References listed in relevant publications were further screened. Eventually, twenty-nine articles were selected for review and they focused on effects of robot-assisted ankle rehabilitation. Results: Twenty-nine studies met the inclusion criteria and a total of 164 patients and 24 healthy subjects participated in these trials. Ankle performance and gait function were the main outcome measures used to assess the therapeutic effects of robot-assisted ankle rehabilitation. The protocols and therapy treatments were varied, which made comparison among different studies difficult or impossible. Few comparative trials were conducted among different devices or control strategies. Moreover, the majority of study designs met levels of evidence that were no higher than American Academy for Cerebral Palsy (CP) and Developmental Medicine (AACPDM) level IV. Only one study used a Randomized Control Trial (RCT) approach with the evidence level being II. Conclusion: All the selected studies showed improvements in terms of ankle performance or gait function after a period of robot-assisted ankle rehabilitation training. The most effective robot-assisted intervention cannot be determined due to the lack of universal evaluation criteria for various devices and control strategies. Future research into the effects of robot-assisted ankle rehabilitation should be carried out based on universal evaluation criteria, which could determine the most effective method of intervention. It is also essential to conduct trials to analyse the differences among different devices or control strategies.</t>
  </si>
  <si>
    <t>[Zhang, Mingming; Davies, T. Claire; Xie, Shane] Univ Auckland, Dept Mech Engn, Auckland 1, New Zealand; [Davies, T. Claire] Univ Auckland, Dept Surg, Auckland 1, New Zealand</t>
  </si>
  <si>
    <t>University of Auckland; University of Auckland</t>
  </si>
  <si>
    <t>Zhang, MM (corresponding author), Univ Auckland, Dept Mech Engn, Auckland 1, New Zealand.</t>
  </si>
  <si>
    <t>Zhang, Mingming/0000-0001-8016-1856; Xie, Sheng Quan/0000-0003-2641-2620; Davies, Theresa Claire/0000-0003-4880-2654</t>
  </si>
  <si>
    <t>University of Auckland, New Zealand; China Sponsorship Council</t>
  </si>
  <si>
    <t>This work was carried out with financial support from the University of Auckland, New Zealand. Meanwhile, the authors also thank China Sponsorship Council for its sponsorship.</t>
  </si>
  <si>
    <t>10.1186/1743-0003-10-30</t>
  </si>
  <si>
    <t>132KF</t>
  </si>
  <si>
    <t>WOS:000318065800001</t>
  </si>
  <si>
    <t>Belter, JT; Segil, JL; Dollar, AM; Weir, RF</t>
  </si>
  <si>
    <t>Belter, Joseph T.; Segil, Jacob L.; Dollar, Aaron M.; Weir, Richard F.</t>
  </si>
  <si>
    <t>Mechanical design and performance specifications of anthropomorphic prosthetic hands: A review</t>
  </si>
  <si>
    <t>amputee; grasping; grippers; hands; iLimb Hand; manipulation; Michelangelo Hand; rehabilitation; robotics; terminal devices</t>
  </si>
  <si>
    <t>In this article, we set forth a detailed analysis of the mechanical characteristics of anthropomorphic prosthetic hands. We report on an empirical study concerning the performance of several commercially available myoelectric prosthetic hands, including the Vincent, iLimb, iLimb Pulse, Bebionic, Bebionic v2, and Michelangelo hands. We investigated the finger design and kinematics, mechanical joint coupling, and actuation methods of these commercial prosthetic hands. The empirical findings are supplemented with a compilation of published data on both commercial and prototype research prosthetic hands. We discuss numerous mechanical design parameters by referencing examples in the literature. Crucial design trade-offs are highlighted, including number of actuators and hand complexity, hand weight, and grasp force. Finally, we offer a set of rules of thumb regarding the mechanical design of anthropomorphic prosthetic hands.</t>
  </si>
  <si>
    <t>[Belter, Joseph T.; Dollar, Aaron M.] Yale Univ, Dept Mech Engn &amp; Mat Sci, New Haven, CT 06511 USA; [Segil, Jacob L.] Univ Colorado, Dept Mech Engn, Boulder, CO 80309 USA; [Weir, Richard F.] Denver VA Med Ctr, Dept Vet Affairs VA Eastern Colorado Healthcare, Biomechatron Dev Lab, Denver, CO USA; [Weir, Richard F.] Univ Colorado Denver, Coll Engn &amp; Appl Sci, Dept Bioengn, Denver, CO USA</t>
  </si>
  <si>
    <t>Yale University; University of Colorado System; University of Colorado Boulder; US Department of Veterans Affairs; Veterans Health Administration (VHA); Veterans Affairs Medical Center - Denver; University of Colorado System; University of Colorado Denver; University of Colorado Anschutz Medical Campus; Children's Hospital Colorado</t>
  </si>
  <si>
    <t>Belter, JT (corresponding author), Yale Univ, Dept Mech Engn &amp; Mat Sci, 10 Hillhouse Ave, New Haven, CT 06511 USA.</t>
  </si>
  <si>
    <t>joseph.belter@yale.edu</t>
  </si>
  <si>
    <t>Dollar, Aaron/0000-0002-2409-4668</t>
  </si>
  <si>
    <t>Gustavus and Louise Pfeiffer Research Foundation; Department of Veterans Affairs (VA) Rehabilitation Research and Development Service; U.S. Department of Defense [W81XWH-10-1-0921]</t>
  </si>
  <si>
    <t>Gustavus and Louise Pfeiffer Research Foundation; Department of Veterans Affairs (VA) Rehabilitation Research and Development Service(US Department of Veterans Affairs); U.S. Department of Defense(United States Department of Defense)</t>
  </si>
  <si>
    <t>This material was based on work supported by the Gustavus and Louise Pfeiffer Research Foundation; Department of Veterans Affairs (VA) Rehabilitation Research and Development Service, administered through the VA Colorado Eastern Healthcare System; and a U.S. Department of Defense award (grant W81XWH-10-1-0921).</t>
  </si>
  <si>
    <t>10.1682/JRRD.2011.10.0188</t>
  </si>
  <si>
    <t>202RO</t>
  </si>
  <si>
    <t>WOS:000323237500003</t>
  </si>
  <si>
    <t>Bishop, L; Stein, J</t>
  </si>
  <si>
    <t>Bishop, Lauri; Stein, Joel</t>
  </si>
  <si>
    <t>Three upper limb robotic devices for stroke rehabilitation: A review and clinical perspective</t>
  </si>
  <si>
    <t>Neurorehabilitation; robotics; stroke</t>
  </si>
  <si>
    <t>TRANSCRANIAL MAGNETIC STIMULATION; ASSISTED THERAPY; HEART-DISEASE; RECOVERY; UPDATE; PHASE; ARM</t>
  </si>
  <si>
    <t>BACKGROUND: Stroke is a leading cause of disability worldwide. Many survivors of stroke remain with residual disabilities, even years later. Advances in technology have led to the development of a variety of robotic devices for use in rehabilitation. The integration of robotics in the delivery of neurorehabilitation is promising, but still not widely used in clinical settings. OBJECTIVES: The aim of this review is to discuss the general design of three typical upper limb robotic devices, and examine the practical considerations for their use in a clinical environment. METHODS: Each device is described, the available clinical literature is reviewed and a clinical perspective is given on the usefulness of these robotic devices in rehabilitation of this population. RESULTS: Current literature supports the use of robotics in the clinical environment. However, claims that robotic therapy is more effective than traditional treatment is not substantially supported. The majority of clinical trials reported are small, and lack the use of a control group for comparison treatment. CONCLUSIONS: The use of robotics in stroke rehabilitation is still a relatively new treatment platform, and still evolving. As technological advances are made, there is much potential for growth in this field.</t>
  </si>
  <si>
    <t>[Bishop, Lauri; Stein, Joel] Columbia Univ, Med Ctr, Dept Rehabil &amp; Regenerat Med, New York, NY 10032 USA</t>
  </si>
  <si>
    <t>Bishop, L (corresponding author), Columbia Univ, Med Ctr, Dept Rehabil &amp; Regenerat Med, 180 Ft Washington Ave,Suite 199, New York, NY 10032 USA.</t>
  </si>
  <si>
    <t>lb2413@columbia.edu</t>
  </si>
  <si>
    <t>10.3233/NRE-130922</t>
  </si>
  <si>
    <t>216DA</t>
  </si>
  <si>
    <t>WOS:000324260400002</t>
  </si>
  <si>
    <t>Brewer, L; Horgan, F; Hickey, A; Williams, D</t>
  </si>
  <si>
    <t>Brewer, L.; Horgan, F.; Hickey, A.; Williams, D.</t>
  </si>
  <si>
    <t>Stroke rehabilitation: recent advances and future therapies</t>
  </si>
  <si>
    <t>QJM-AN INTERNATIONAL JOURNAL OF MEDICINE</t>
  </si>
  <si>
    <t>LOW-FREQUENCY RTMS; RANDOMIZED CONTROLLED-TRIAL; COLONY-STIMULATING FACTOR; INDUCED MOVEMENT THERAPY; ROBOT-ASSISTED THERAPY; UPPER-LIMB IMPAIRMENT; MOTOR RECOVERY; FUNCTIONAL RECOVERY; SUBACUTE STROKE; ELECTRICAL-STIMULATION</t>
  </si>
  <si>
    <t>Despite advances in the acute management of stroke, a large proportion of stroke patients are left with significant impairments. Over the coming decades the prevalence of stroke-related disability is expected to increase worldwide and this will impact greatly on families, healthcare systems and economies. Effective neuro-rehabilitation is a key factor in reducing disability after stroke. In this review, we discuss the effects of stroke, principles of stroke rehabilitative care and predictors of recovery. We also discuss novel therapies in stroke rehabilitation, including non-invasive brain stimulation, robotics and pharmacological augmentation. Many trials are currently underway, which, in time, may impact on future rehabilitative practice.</t>
  </si>
  <si>
    <t>[Brewer, L.; Williams, D.] Royal Coll Surgeons Ireland, Dept Stroke &amp; Geriatr Med, Dublin 2, Ireland; [Horgan, F.] Royal Coll Surgeons Ireland, Dept Physiotherapy, Dublin 2, Ireland; [Hickey, A.] Royal Coll Surgeons Ireland, Dept Psychol, Dublin 2, Ireland</t>
  </si>
  <si>
    <t>Royal College of Surgeons - Ireland; Royal College of Surgeons - Ireland; Royal College of Surgeons - Ireland; University College Dublin</t>
  </si>
  <si>
    <t>Brewer, L (corresponding author), Royal Coll Surgeons Ireland, Dept Stroke &amp; Geriatr Med, 123 St Stephens Green, Dublin 2, Ireland.</t>
  </si>
  <si>
    <t>lindabrewer@rcsi.ie</t>
  </si>
  <si>
    <t>Horgan, N/F-4029-2012</t>
  </si>
  <si>
    <t>Williams, David/0000-0002-1923-462X</t>
  </si>
  <si>
    <t>1460-2725</t>
  </si>
  <si>
    <t>1460-2393</t>
  </si>
  <si>
    <t>QJM-INT J MED</t>
  </si>
  <si>
    <t>QJM-An Int. J. Med.</t>
  </si>
  <si>
    <t>10.1093/qjmed/hcs174</t>
  </si>
  <si>
    <t>061XA</t>
  </si>
  <si>
    <t>WOS:000312882300003</t>
  </si>
  <si>
    <t>Donati, M; Vitiello, N; De Rossi, SMM; Lenzi, T; Crea, S; Persichetti, A; Giovacchini, F; Koopman, B; Podobnik, J; Munih, M; Carrozza, MC</t>
  </si>
  <si>
    <t>Donati, Marco; Vitiello, Nicola; De Rossi, Stefano Marco Maria; Lenzi, Tommaso; Crea, Simona; Persichetti, Alessandro; Giovacchini, Francesco; Koopman, Bram; Podobnik, Janez; Munih, Marko; Carrozza, Maria Chiara</t>
  </si>
  <si>
    <t>A Flexible Sensor Technology for the Distributed Measurement of Interaction Pressure</t>
  </si>
  <si>
    <t>distributed force sensor; wearable robotics; physical human-robot interaction; pressure-sensitive insole</t>
  </si>
  <si>
    <t>EXOSKELETON; DESIGN; REHABILITATION; ROBOT; ASSISTANCE; WALKING; SYSTEM; MODULE</t>
  </si>
  <si>
    <t>We present a sensor technology for the measure of the physical human-robot interaction pressure developed in the last years at Scuola Superiore Sant'Anna. The system is composed of flexible matrices of opto-electronic sensors covered by a soft silicone cover. This sensory system is completely modular and scalable, allowing one to cover areas of any sizes and shapes, and to measure different pressure ranges. In this work we present the main application areas for this technology. A first generation of the system was used to monitor human-robot interaction in upper- (NEUROExos; Scuola Superiore Sant'Anna) and lower-limb (LOPES; University of Twente) exoskeletons for rehabilitation. A second generation, with increased resolution and wireless connection, was used to develop a pressure-sensitive foot insole and an improved human-robot interaction measurement systems. The experimental characterization of the latter system along with its validation on three healthy subjects is presented here for the first time. A perspective on future uses and development of the technology is finally drafted.</t>
  </si>
  <si>
    <t>[Donati, Marco; Vitiello, Nicola; De Rossi, Stefano Marco Maria; Lenzi, Tommaso; Crea, Simona; Persichetti, Alessandro; Giovacchini, Francesco; Carrozza, Maria Chiara] Scuola Super Sant Anna, BioRobot Inst, I-56025 Pontedera, PI, Italy; [Koopman, Bram] Univ Twente, Inst Biomed Technol &amp; Tech Med MIRA, Biomech Engn Lab, NL-7500 EA Enschede, Netherlands; [Podobnik, Janez; Munih, Marko] Univ Ljubljana, Robot Lab, SI-1000 Ljubljana, Slovenia</t>
  </si>
  <si>
    <t>Scuola Superiore Sant'Anna; University of Twente; University of Ljubljana</t>
  </si>
  <si>
    <t>Donati, M (corresponding author), Scuola Super Sant Anna, BioRobot Inst, Viale Rinaldo Piaggio 34, I-56025 Pontedera, PI, Italy.</t>
  </si>
  <si>
    <t>m.donati@sssup.it; n.vitiello@sssup.it; s.derossi@sssup.it; t.lenzi@sssup.it; s.crea@sssup.it; a.persichetti@sssup.it; f.giovacchini@sssup.it; b.koopman@ctw.utwente.nl; janez.podobnik@robo.fe.uni-lj.si; marko.munih@robo.fe.uni-lj.si; carrozza@sssup.it</t>
  </si>
  <si>
    <t>Oddo, Calogero/B-7798-2009; Vitiello, Nicola/B-8960-2009; Lenzi, Tommaso/E-4156-2015</t>
  </si>
  <si>
    <t>Crea, Simona/0000-0001-9833-4401; Munih, Marko/0000-0001-5289-4059; Podobnik, Janez/0000-0001-9359-0297; Lenzi, Tommaso/0000-0003-0957-6412; Giovacchini, Francesco/0009-0002-4615-3785; De Rossi, Stefano Marco Maria/0000-0001-9800-3784; Carrozza, Maria Chiara/0000-0002-7630-0865</t>
  </si>
  <si>
    <t>EU within the EVRYON Project (FP7) [231451]; EU within the CYBERLEGs Project (FP7) [287894]; EU within the CareToy Project (FP7) [287932]; EU within the WAY project (FP7) [288551]; Regione Toscana under the Health Regional Research Programme within the project EARLYREHAB; Italian Government within the national AMULOS Project, Industria [MI01_00319]</t>
  </si>
  <si>
    <t>EU within the EVRYON Project (FP7); EU within the CYBERLEGs Project (FP7); EU within the CareToy Project (FP7); EU within the WAY project (FP7); Regione Toscana under the Health Regional Research Programme within the project EARLYREHAB(Regione Toscana); Italian Government within the national AMULOS Project, Industria</t>
  </si>
  <si>
    <t>This work was partly supported by: EU within the EVRYON Project (FP7/2007-2013 Grant Agreement No. 231451), the CYBERLEGs Project (FP7/2007-2013 Grant Agreement No. 287894), the CareToy Project (FP7/2007-2013 Grant Agreement No. 287932), and the WAY project (FP7/2007-2013 Grant Agreement No. 288551); Regione Toscana under the Health Regional Research Programme 2009 within the project EARLYREHAB; the Italian Government within the national AMULOS Project, Industria 2015, grant agreement MI01_00319.</t>
  </si>
  <si>
    <t>10.3390/s130101021</t>
  </si>
  <si>
    <t>077JV</t>
  </si>
  <si>
    <t>WOS:000314024800059</t>
  </si>
  <si>
    <t>Elsner, B; Kugler, J; Pohl, M; Mehrholz, J</t>
  </si>
  <si>
    <t>Elsner, Bernhard; Kugler, Joachim; Pohl, Marcus; Mehrholz, Jan</t>
  </si>
  <si>
    <t>Transcranial direct current stimulation (tDCS) for improving function and activities of daily living in patients after stroke</t>
  </si>
  <si>
    <t>SIMULTANEOUS OCCUPATIONAL-THERAPY; NONINVASIVE BRAIN-STIMULATION; MOTOR CORTEX STIMULATION; UPPER-LIMB; CORTICAL STIMULATION; DC STIMULATION; SKILL ACQUISITION; ROBOTIC THERAPY; RECOVERY; EXCITABILITY</t>
  </si>
  <si>
    <t>Background Stroke is one of the leading causes of disability worldwide. Functional impairment resulting in poor performance in activities of daily living (ADLs) among stroke survivors is common. Current rehabilitation approaches have limited effectiveness in improving ADL performance and function after stroke, but a possible adjunct to stroke rehabilitation might be non-invasive brain stimulation by transcranial direct current stimulation (tDCS) to modulate cortical excitability and hence to improve ADL performance and function. Objectives To assess the effects of tDCS on generic activities of daily living (ADLs) and motor function in people with stroke. Search methods We searched the Cochrane Stroke Group Trials Register (March 2013), the Cochrane Central Register of Controlled Trials (CENTRAL) (The Cochrane Library, May 2013), MEDLINE (1948 to May 2013), EMBASE (1980 to May 2013), CINAHL (1982 to May 2013), AMED (1985 to May 2013), Science Citation Index (1899 to May 2013) and four additional databases. In an effort to identify further published, unpublished and ongoing trials, we searched trials registers and reference lists, handsearched conference proceedings and contacted authors and equipment manufacturers. Selection criteria We included only randomised controlled trials (RCTs) and randomised controlled cross-over trials (from which we analysed only the first period as a parallel-group design) that compared tDCS versus control in adults with stroke for improving ADL performance and function. Data collection and analysis Two review authors independently assessed trial quality (JM and MP) and extracted data (BE and JM). If necessary, we contacted study authors to ask for additional information. We collected information on dropouts and adverse events from the trial reports. Main results We included 15 studies involving a total of 455 participants. Analysis of six studies involving 326 participants regarding our primary outcome, ADL, showed no evidence of an effect in favour of tDCS at the end of the intervention phase (mean difference (MD) 5.31 Barthel Index (BI) points; 95% confidence interval (CI) -0.52 to 11.14; inverse variance method with random-effects model), whereas at follow-up (MD 11.13 BI points; 95% CI 2.89 to 19.37; inverse variance method with random-effects model), we found evidence of an effect. However, the confidence intervals were wide and the effect was not sustained when only studies with low risk of bias were included. For our secondary outcome, upper limb function, we analysed eight trials with 358 participants, which showed evidence of an effect in favour of tDCS at the end of the intervention phase (MD 3.45 Upper Extremity Fugl-Meyer Score points (UE-FM points); 95% CI 1.24 to 5.67; inverse variance method with random-effects model) but not at the end of follow-up three months after the intervention (MD 9.23 UE-FM points; 95% CI -13.47 to 31.94; inverse variance method with random-effects model). These results were sensitive to inclusion of studies at high risk of bias. Adverse events were reported and the proportions of dropouts and adverse events were comparable between groups (risk difference (RD) 0.00; 95% CI -0.02 to 0.03; Mantel-Haenszel method with random-effects model). Authors' conclusions At the moment, evidence of very low to low quality is available on the effectiveness of tDCS (anodal/cathodal/dual) versus control (sham/any other intervention) for improving ADL performance and function after stroke. Future research should investigate the effects of tDCS on lower limb function and should address methodological issues by routinely reporting data on adverse events and dropouts and allocation concealment, and by performing intention-to-treat analyses.</t>
  </si>
  <si>
    <t>[Elsner, Bernhard; Kugler, Joachim; Mehrholz, Jan] Tech Univ Dresden, Dresden Med Sch, Dept Publ Hlth, D-01307 Dresden, Sachsen, Germany; [Pohl, Marcus] Klin Bavaria Kreischa, Abt Neurol &amp; Fachubergreifende Rehabil, Kreischa, Germany; [Mehrholz, Jan] Kreischa GmbH, Klin Bavaria, Wissensch Inst, Private Europa Med Akad, Kreischa, Germany</t>
  </si>
  <si>
    <t>Elsner, B (corresponding author), Tech Univ Dresden, Dresden Med Sch, Dept Publ Hlth, Fetscherstr 74, D-01307 Dresden, Sachsen, Germany.</t>
  </si>
  <si>
    <t>brnhrd.lsnr@googlemail.com</t>
  </si>
  <si>
    <t>Gesundheitswissenschaften/Public Health, Medizinische Fakultat Carl Gustav Carus der TU Dresden, Fetscherstr. Dresden, Germany; Wissenschaftliches Institut, Private Europaische Medizinische Akademie der Klinik Bavaria in Kreischa GmbH, An der Wolfsschlucht, Kreischa, Germany; Lehrstuhl Therapiewissenschaften, SRH Fachhochschule fur Gesundheit Gera gGmbH, Hermann-Drechsler-Str. Gera, Germany</t>
  </si>
  <si>
    <t>Internal sourcesGesundheitswissenschaften/Public Health, Medizinische Fakultat Carl Gustav Carus der TU Dresden, Fetscherstr. 74, 01307 Dresden, Germany.Wissenschaftliches Institut, Private Europaische Medizinische Akademie der Klinik Bavaria in Kreischa GmbH, An der Wolfsschlucht 1-2, 01731 Kreischa, Germany.Lehrstuhl Therapiewissenschaften, SRH Fachhochschule fur Gesundheit Gera gGmbH, Hermann-Drechsler-Str. 2, 07548 Gera, Germany.</t>
  </si>
  <si>
    <t>CD009645</t>
  </si>
  <si>
    <t>10.1002/14651858.CD009645.pub2</t>
  </si>
  <si>
    <t>260IH</t>
  </si>
  <si>
    <t>WOS:000327587700021</t>
  </si>
  <si>
    <t>Jacobs, EFP; Boris, R; Masterson, TA</t>
  </si>
  <si>
    <t>Jacobs, Emma F. P.; Boris, Ronald; Masterson, Timothy A.</t>
  </si>
  <si>
    <t>Advances in Robotic-Assisted Radical Prostatectomy over Time</t>
  </si>
  <si>
    <t>PROSTATE CANCER</t>
  </si>
  <si>
    <t>VATTIKUTI-INSTITUTE PROSTATECTOMY; QUALITY-OF-LIFE; BLADDER NECK PRESERVATION; SEXUAL FUNCTION; RETROPUBIC PROSTATECTOMY; LAPAROSCOPIC PROSTATECTOMY; NEUROVASCULAR BUNDLE; VIDEO DOCUMENTATION; INCISIONAL HERNIAS; URINARY FUNCTION</t>
  </si>
  <si>
    <t>Since the introduction of robot-assisted radical prostatectomy (RALP), robotics has become increasingly more commonplace in the armamentarium of the urologic surgeon. Robotic utilization has exploded across surgical disciplines well beyond the fields of urology and prostate surgery. The literature detailing technical steps, comparison of large surgical series, and even robotically focused randomized control trials are available for review. RALP, the first robot-assisted surgical procedure to achieve widespread use, has recently become the primary approach for the surgical management of localized prostate cancer. As a result, surgeons are constantly trying to refine and improve upon current technical aspects of the operation. Recent areas of published modifications include bladder neck anastomosis and reconstruction, bladder drainage, nerve sparing approaches and techniques, and perioperative and postoperative management including penile rehabilitation. In this review, we summarize recent advances in perioperative management and surgical technique for RALP.</t>
  </si>
  <si>
    <t>[Jacobs, Emma F. P.; Boris, Ronald; Masterson, Timothy A.] Indiana Univ, Med Ctr, Dept Urol, 535 N Barnhill Dr,Suite 420, Indianapolis, IN 46202 USA</t>
  </si>
  <si>
    <t>Jacobs, EFP (corresponding author), Indiana Univ, Med Ctr, Dept Urol, 535 N Barnhill Dr,Suite 420, Indianapolis, IN 46202 USA.</t>
  </si>
  <si>
    <t>jacobemi@iupui.edu</t>
  </si>
  <si>
    <t>2090-3111</t>
  </si>
  <si>
    <t>2090-312X</t>
  </si>
  <si>
    <t>Prostate Cancer</t>
  </si>
  <si>
    <t>10.1155/2013/902686</t>
  </si>
  <si>
    <t>V17NS</t>
  </si>
  <si>
    <t>WOS:000214691100017</t>
  </si>
  <si>
    <t>Poli, P; Morone, G; Rosati, G; Masiero, S</t>
  </si>
  <si>
    <t>Poli, Patrizia; Morone, Giovanni; Rosati, Giulio; Masiero, Stefano</t>
  </si>
  <si>
    <t>Robotic Technologies and Rehabilitation: New Tools for Stroke Patients' Therapy</t>
  </si>
  <si>
    <t>DIRECT-CURRENT STIMULATION; UPPER-LIMB; WALKING COMPETENCE; MOTOR CONTROL; HAND SKILLS; ARM; SUBACUTE; RECOVERY; REORGANIZATION; PLASTICITY</t>
  </si>
  <si>
    <t>Introduction. The role of robotics in poststroke patients' rehabilitation has been investigated intensively. This paper presents the state-of-the-art and the possible future role of robotics in poststroke rehabilitation, for both upper and lower limbs. Materials and Methods. We performed a comprehensive search of PubMed, Cochrane, and PeDRO databases using as keywords robot AND stroke AND rehabilitation. Results and Discussion. In upper limb robotic rehabilitation, training seems to improve arm function in activities of daily living. In addition, electromechanical gait training after stroke seems to be effective. It is still unclear whether robot-assisted arm training may improve muscle strength, and which electromechanical gait-training device may be the most effective for walking training implementation. Conclusions. In the field of robotic technologies for stroke patients' rehabilitation we identified currently relevant growing points and areas timely for developing research. Among the growing points there is the development of new easily transportable, wearable devices that could improve rehabilitation also after discharge, in an outpatient or home-based setting. For developing research, efforts are being made to establish the ideal type of treatment, the length and amount of training protocol, and the patient's characteristics to be successfully enrolled to this treatment.</t>
  </si>
  <si>
    <t>[Poli, Patrizia; Masiero, Stefano] Univ Padua, Dept Neurosci, Rehabil Unit, I-35128 Padua, Italy; [Morone, Giovanni] IRCCS Santa Lucia Fdn, Clin Lab Expt Neurorehabil, I-00179 Rome, Italy; [Morone, Giovanni] Univ Padua, Doctoral Sch, I-35100 Padua, Italy; [Rosati, Giulio] Univ Padua, Dept Innovat Mech &amp; Management DIMEG, I-35131 Padua, Italy</t>
  </si>
  <si>
    <t>University of Padua; IRCCS Santa Lucia; University of Padua; University of Padua</t>
  </si>
  <si>
    <t>Masiero, S (corresponding author), Univ Padua, Dept Neurosci, Rehabil Unit, Via Giustiniani 3, I-35128 Padua, Italy.</t>
  </si>
  <si>
    <t>stef.masiero@tiscali.it</t>
  </si>
  <si>
    <t>Poli, Patrizia/D-3017-2017; Morone, Giovanni/AAN-2666-2020; Masiero, Stefano/K-6473-2016; Morone, Giovanni/A-9561-2013; Rosati, Giulio/A-8873-2010</t>
  </si>
  <si>
    <t>Masiero, Stefano/0000-0002-0361-4898; Morone, Giovanni/0000-0003-3602-4197; Rosati, Giulio/0000-0002-5150-9486</t>
  </si>
  <si>
    <t>10.1155/2013/153872</t>
  </si>
  <si>
    <t>260YR</t>
  </si>
  <si>
    <t>WOS:000327631100001</t>
  </si>
  <si>
    <t>METHODS FOR MOVEMENT RESTORATION</t>
  </si>
  <si>
    <t>TRANSCRANIAL MAGNETIC STIMULATION; FUNCTIONAL ELECTRICAL-STIMULATION; MOTOR CORTEX STIMULATION; NERVE CUFF ELECTRODE; NEUROMUSCULAR STIMULATION; BRAIN-STIMULATION; SYSTEM; MUSCLE; EXCITABILITY; RECRUITMENT</t>
  </si>
  <si>
    <t>Restoration of movement in humans with motor disability is an important element of rehabilitation that allows reintegration into healthy life. The rehabilitation comprises the use of various technologies in addition to person-to-person interaction. The desired scenario of rehabilitation is to augment the natural recovery leading to normal-like functions (e.g., hands-free standing, walking, reach, and grasp) with no or minimum external assistance. However, in many cases the level of impairment requires lifelong use of assistive systems (e. g., orthosis, neural prosthesis) to assist the impaired function. This reveals two tasks to be addressed: (1) to design technologies that are used for therapy for a limited time, and (2) to design neural prostheses that are an integral part of the body for the rest of the life of the person with the disability. In this chapter we consider both tasks. We intentionally concentrate only on methods and systems for assisting the function, and we leave out artificial limbs. The basis of movement restoration is the external assistance that provides the compromised function for the person with the disability. This assistance can come from the therapist, a robot, or the external activation of neural tissues (e.g., electrical or magnetic stimulation). The assistance should in all cases be linked to voluntary effort of the user to perform the movement or, even better, a functional task. The assistance for restoring standing and walking is very different from the assistance required for arm-hand movement. Assistance for standing and walking deals with a relatively small repertoire of cyclic-like activities and high power requirements (antigravity function). Reach-and-grasp tasks deal with complex three-dimensional control of a highly redundant system (more than 20 degrees of freedom for one arm-hand) that has never been replicated by an artificial system so far; but the power requirements are low. The other element that makes a major difference is the type of disability: persons with bilateral paralysis benefit from assistance and definitely need it; persons with unilateral disability could replace the missing function by a variety of compensatory strategies, especially the reach-and-grasp tasks. Here we present methods of assistance and illustrate them with some systems that are currently being accepted as favorable for rehabilitation: balance and body weight robot assistants for training of walking (e.g., Lokomat, Advanced Gait Trainer, Walkaround); reaching assistants for training shoulder and elbow functions (e.g., Armeo, InMotion, Braccio di Ferro); assistive systems based on electrical stimulation (e.g., Bioness L300 and Bioness H200, Parastep, Stiwell 4med, Actigait, Freehand). We also briefly present the possible use of magnetic or direct electrical stimulation of brain structures and spinal cord to enhance motor function and have therapeutic effect.</t>
  </si>
  <si>
    <t>[Popovic, Dejan B.; Popovic, Mirjana B.] Univ Belgrade, Fac Elect Engn, Belgrade 11001, Serbia; [Popovic, Dejan B.; Popovic, Mirjana B.] Aalborg Univ, Dept Hlth Sci &amp; Engn, Aalborg, Denmark; [Popovic, Mirjana B.] Univ Belgrade, Inst Multidisciplinary Res, Belgrade, Serbia</t>
  </si>
  <si>
    <t>Popovic, DB (corresponding author), Univ Belgrade, Fac Elect Engn, Belgrade 11001, Serbia.</t>
  </si>
  <si>
    <t>WOS:000333469200023</t>
  </si>
  <si>
    <t>Rosati, G; Rodà, A; Avanzini, F; Masiero, S</t>
  </si>
  <si>
    <t>Rosati, Giulio; Roda, Antonio; Avanzini, Federico; Masiero, Stefano</t>
  </si>
  <si>
    <t>On the Role of Auditory Feedback in Robot-Assisted Movement Training after Stroke: Review of the Literature</t>
  </si>
  <si>
    <t>COMPUTATIONAL INTELLIGENCE AND NEUROSCIENCE</t>
  </si>
  <si>
    <t>UPPER-LIMB; NEUROTROPHIC FACTOR; VIRTUAL-REALITY; MOTOR RECOVERY; AIDED NEUROREHABILITATION; REHABILITATION; MUSIC; BRAIN; THERAPY; PLASTICITY</t>
  </si>
  <si>
    <t>The goal of this paper is to address a topic that is rarely investigated in the literature of technology-assisted motor rehabilitation, that is, the integration of auditory feedback in the rehabilitation device. After a brief introduction on rehabilitation robotics, the main concepts of auditory feedback are presented, together with relevant approaches, techniques, and technologies available in this domain. Current uses of auditory feedback in the context of technology-assisted rehabilitation are then reviewed. In particular, a comparative quantitative analysis over a large corpus of the recent literature suggests that the potential of auditory feedback in rehabilitation systems is currently and largely underexploited. Finally, several scenarios are proposed in which the use of auditory feedback may contribute to overcome some of the main limitations of current rehabilitation systems, in terms of user engagement, development of acute-phase and home rehabilitation devices, learning of more complex motor tasks, and improving activities of daily living.</t>
  </si>
  <si>
    <t>[Rosati, Giulio] Univ Padua, Dept Management &amp; Engn, I-35131 Padua, Italy; [Roda, Antonio; Avanzini, Federico] Univ Padua, Dept Informat Engn, I-35131 Padua, Italy; [Masiero, Stefano] Univ Padua, Dept Med &amp; Surg Sci, I-35121 Padua, Italy</t>
  </si>
  <si>
    <t>University of Padua; University of Padua; University of Padua</t>
  </si>
  <si>
    <t>Rodà, A (corresponding author), Univ Padua, Dept Informat Engn, Via Gradenigo 6-A, I-35131 Padua, Italy.</t>
  </si>
  <si>
    <t>roda@dei.unipd.it</t>
  </si>
  <si>
    <t>Roda Martínez, Antonio/MCY-1126-2025; Masiero, Stefano/K-6473-2016; Rosati, Giulio/A-8873-2010; Avanzini, Federico/I-3917-2012</t>
  </si>
  <si>
    <t>Rosati, Giulio/0000-0002-5150-9486; Avanzini, Federico/0000-0002-1257-5878; Masiero, Stefano/0000-0002-0361-4898</t>
  </si>
  <si>
    <t>1687-5265</t>
  </si>
  <si>
    <t>1687-5273</t>
  </si>
  <si>
    <t>COMPUT INTEL NEUROSC</t>
  </si>
  <si>
    <t>Comput. Intell. Neurosci.</t>
  </si>
  <si>
    <t>10.1155/2013/586138</t>
  </si>
  <si>
    <t>AE6NL</t>
  </si>
  <si>
    <t>WOS:000334110500001</t>
  </si>
  <si>
    <t>Takeuchi, N; Izumi, SI</t>
  </si>
  <si>
    <t>Takeuchi, Naoyuki; Izumi, Shin-Ichi</t>
  </si>
  <si>
    <t>Rehabilitation with Poststroke Motor Recovery: A Review with a Focus on Neural Plasticity</t>
  </si>
  <si>
    <t>STROKE RESEARCH AND TREATMENT</t>
  </si>
  <si>
    <t>TRANSCRANIAL MAGNETIC STIMULATION; CONSTRAINT-INDUCED MOVEMENT; FUNCTIONAL ELECTRICAL-STIMULATION; BRAIN-COMPUTER INTERFACE; BODY-WEIGHT SUPPORT; INDUCED CORTICAL REORGANIZATION; RANDOMIZED CLINICAL-TRIAL; ROBOT-ASSISTED THERAPY; EXTREMITY FUNCTION 3; UPPER-LIMB RECOVERY</t>
  </si>
  <si>
    <t>Motor recovery after stroke is related to neural plasticity, which involves developing new neuronal interconnections, acquiring new functions, and compensating for impairment. However, neural plasticity is impaired in the stroke-affected hemisphere. Therefore, it is important that motor recovery therapies facilitate neural plasticity to compensate for functional loss. Stroke rehabilitation programs should include meaningful, repetitive, intensive, and task-specific movement training in an enriched environment to promote neural plasticity and motor recovery. Various novel stroke rehabilitation techniques for motor recovery have been developed based on basic science and clinical studies of neural plasticity. However, the effectiveness of rehabilitative interventions among patients with stroke varies widely because the mechanisms underlying motor recovery are heterogeneous. Neurophysiological and neuroimaging studies have been developed to evaluate the heterogeneity of mechanisms underlying motor recovery for effective rehabilitation interventions after stroke. Here, we review novel stroke rehabilitation techniques associated with neural plasticity and discuss individualized strategies to identify appropriate therapeutic goals, prevent maladaptive plasticity, and maximize functional gain in patients with stroke.</t>
  </si>
  <si>
    <t>[Takeuchi, Naoyuki; Izumi, Shin-Ichi] Tohoku Univ, Grad Sch Med, Dept Phys Med &amp; Rehabil, Aoba Ku, 2-1 Seiryo Cho, Sendai, Miyagi 9808575, Japan</t>
  </si>
  <si>
    <t>Takeuchi, N (corresponding author), Tohoku Univ, Grad Sch Med, Dept Phys Med &amp; Rehabil, Aoba Ku, 2-1 Seiryo Cho, Sendai, Miyagi 9808575, Japan.</t>
  </si>
  <si>
    <t>naoyuki@med.hokudai.ac.jp</t>
  </si>
  <si>
    <t>Izumi, Shin-Ichi/0000-0001-9035-2808</t>
  </si>
  <si>
    <t>JSPS [23500576]; Grants-in-Aid for Scientific Research [23500576] Funding Source: KAKEN</t>
  </si>
  <si>
    <t>JSPS(Ministry of Education, Culture, Sports, Science and Technology, Japan (MEXT)Japan Society for the Promotion of Science); Grants-in-Aid for Scientific Research(Ministry of Education, Culture, Sports, Science and Technology, Japan (MEXT)Japan Society for the Promotion of ScienceGrants-in-Aid for Scientific Research (KAKENHI))</t>
  </si>
  <si>
    <t>This work was supported by JSPS Grant-in-Aid for Scientific Research no. 23500576.</t>
  </si>
  <si>
    <t>2090-8105</t>
  </si>
  <si>
    <t>2042-0056</t>
  </si>
  <si>
    <t>STROKE RES TREAT</t>
  </si>
  <si>
    <t>Stroke Res. Treat.</t>
  </si>
  <si>
    <t>10.1155/2013/128641</t>
  </si>
  <si>
    <t>V17QQ</t>
  </si>
  <si>
    <t>WOS:000214698700002</t>
  </si>
  <si>
    <t>Turner, DL; Ramos-Murguialday, A; Birbaumer, N; Hoffmann, U; Luft, A</t>
  </si>
  <si>
    <t>Turner, Duncan L.; Ramos-Murguialday, Ander; Birbaumer, Niels; Hoffmann, Ulrich; Luft, Andreas</t>
  </si>
  <si>
    <t>Neurophysiology of robot-mediated training and therapy: a perspective for future use in clinical populations</t>
  </si>
  <si>
    <t>motor cortex; spinal cord; rehabilitation; motor learning; motor adaptation</t>
  </si>
  <si>
    <t>The recovery of functional movements following injury to the central nervous system (CNS) is multifaceted and is accompanied by processes occurring in the injured and non-injured hemispheres of the brain or above/below a spinal cord lesion. The changes in the CNS are the consequence of functional and structural processes collectively termed neuroplasticity and these may occur spontaneously and/or be induced by movement practice. The neurophysiological mechanisms underlying such brain plasticity may take different forms in different types of injury, for example stroke vs. spinal cord injury (SCI). Recovery of movement can be enhanced by intensive, repetitive, variable, and rewarding motor practice. To this end, robots that enable or facilitate repetitive movements have been developed to assist recovery and rehabilitation. Here, we suggest that some elements of robot-mediated training such as assistance and perturbation may have the potential to enhance neuroplasticity. Together the elemental components for developing integrated robot-mediated training protocols may form part of a neurorehabilitation framework alongside those methods already employed by therapists. Robots could thus open up a wider choice of options for delivering movement rehabilitation grounded on the principles underpinning neuroplasticity in the human CNS.</t>
  </si>
  <si>
    <t>[Turner, Duncan L.] Univ E London, Neurorehabil Unit, London E15 4LZ, England; [Turner, Duncan L.] Cambridge Univ NHS Fdn Trust, Dept Clin Neurosci, Lewin Stroke Rehabil Unit, Cambridge, England; [Ramos-Murguialday, Ander; Birbaumer, Niels] Univ Tubingen, MEG Ctr, Inst Med Psychol &amp; Behav Neurobiol, Tubingen, Germany; [Ramos-Murguialday, Ander; Hoffmann, Ulrich] Tecnalia Res &amp; Innovat, Hlth Div, San Sebastian, Spain; [Birbaumer, Niels] Osped San Camillo, Ist Ricovero &amp; Cura Carattere Sci, Venezia Lido, Italy; [Luft, Andreas] Univ Zurich, Dept Neurol, Clin Neurorehabil, Zurich, Switzerland</t>
  </si>
  <si>
    <t>University of East London; Eberhard Karls University of Tubingen; Eberhard Karls University Hospital; University of Zurich</t>
  </si>
  <si>
    <t>Turner, DL (corresponding author), Univ E London, Sch Hlth Sport &amp; Biosci, Neurorehabil Unit, London E15 4LZ, England.</t>
  </si>
  <si>
    <t>d.l.turner@uel.ac.uk</t>
  </si>
  <si>
    <t>Ramos, Ander/JOZ-4341-2023; Rosi, Andrea/AAV-2825-2020</t>
  </si>
  <si>
    <t>Turner, Duncan/0000-0001-8916-4025; Ramos-Murguialday, Dr. Ander/0000-0002-1549-4029</t>
  </si>
  <si>
    <t>EU Commission through COST Action European Network on Robotics for Rehabilitation [Nr.TD1006]; DFG (Deutsche Forschungsgemeinschaft); Bundesministerium fur Bildung and Forschung (BMBF): Bernstein Center Tubingen-Freiburg [01GQ0831]</t>
  </si>
  <si>
    <t>EU Commission through COST Action European Network on Robotics for Rehabilitation; DFG (Deutsche Forschungsgemeinschaft)(German Research Foundation (DFG)); Bundesministerium fur Bildung and Forschung (BMBF): Bernstein Center Tubingen-Freiburg</t>
  </si>
  <si>
    <t>Funded in part by the EU Commission through COST Action European Network on Robotics for Rehabilitation (TD1006). Niels Birbaumer is supported by the DFG (Deutsche Forschungsgemeinschaft) and the Bundesministerium fur Bildung and Forschung (BMBF): Bernstein Center Tubingen-Freiburg (Nr.01GQ0831).</t>
  </si>
  <si>
    <t>10.3389/fneur.2013.00184</t>
  </si>
  <si>
    <t>V42QT</t>
  </si>
  <si>
    <t>WOS:000209629000180</t>
  </si>
  <si>
    <t>Viteckova, S; Kutilek, P; Jirina, M</t>
  </si>
  <si>
    <t>Viteckova, Slavka; Kutilek, Patrik; Jirina, Marcel</t>
  </si>
  <si>
    <t>Wearable lower limb robotics: A review</t>
  </si>
  <si>
    <t>Wearable robotic; Rehabilitative robotic; Lower limbs; Active orthosis; Exoskeleton</t>
  </si>
  <si>
    <t>ANKLE-FOOT ORTHOSIS; EXOSKELETON; DESIGN; STRATEGIES; DROP; AFO; LEG</t>
  </si>
  <si>
    <t>Owing to the recent progress in the field of supportive robotic technologies, interest in the area of active orthoses and exoskeletons has increased rapidly. The first attempts to create such devices took place 40 years ago. Although many solutions have been found since then, many challenges still remain. Works concerning the lower extremities and active orthoses are listed and described in this paper. The research conducted and commercially available devices are presented, and their actuation, hardware, and movements they make possible are described. In addition, possible challenges and improvements are outlined. Crown Copyright (C) 2013 Published by Elsevier Urban &amp; Partner Sp. z o.o. on behalf of Nalecz Institute of Biocybernetics and Biomedical Engineering. All rights reserved.</t>
  </si>
  <si>
    <t>[Viteckova, Slavka; Kutilek, Patrik; Jirina, Marcel] Czech Tech Univ, Fac Biomed Engn, CR-16635 Prague, Czech Republic</t>
  </si>
  <si>
    <t>Viteckova, S (corresponding author), Czech Tech Univ, Fac Biomed Engn, CR-16635 Prague, Czech Republic.</t>
  </si>
  <si>
    <t>slavka.viteckova@fbmi.cvut.cz</t>
  </si>
  <si>
    <t>Netukova, Slavka/AAP-5058-2021; Kutílek, Patrik/AAM-1123-2020</t>
  </si>
  <si>
    <t>Netukova, Slavka/0000-0002-0383-8787</t>
  </si>
  <si>
    <t>[SGS12/206/OHK4/3T/17]</t>
  </si>
  <si>
    <t>This work was supported by grant no. SGS12/206/OHK4/3T/17.</t>
  </si>
  <si>
    <t>10.1016/j.bbe.2013.03.005</t>
  </si>
  <si>
    <t>177ZK</t>
  </si>
  <si>
    <t>WOS:000321413700003</t>
  </si>
  <si>
    <t>Zhu, BW; Kaber, DB</t>
  </si>
  <si>
    <t>Duffy, VG</t>
  </si>
  <si>
    <t>Zhu, Biwen; Kaber, David B.</t>
  </si>
  <si>
    <t>A Review of Sensory Feedback and Skill Learning for Rehabilitation</t>
  </si>
  <si>
    <t>ADVANCES IN HUMAN ASPECTS OF HEALTHCARE</t>
  </si>
  <si>
    <t>Advances in Human Factors and Ergonomics Series</t>
  </si>
  <si>
    <t>rehabilitation; motor learning; virtual reality systems; sensory feedback; human information processing</t>
  </si>
  <si>
    <t>As part of on-going advances in virtual reality (VR) and robotics technologies for rehabilitation applications, augmented sensory feedback (e.g., knowledge of result [KR] and knowledge of performance [KP]) systems have been developed to motivate patients through visual, auditory or haptic modalities. The objective of the present research was to provide a systematic review on types of augmented feedback and modalities that could produce optimum outcomes in terms of learning rate and skill retention. Based on the review, we proposed links between the constructs of a human information processing (HIP) model and motor learning processes. Our findings indicate human perceptual, cognitive and motor performance in training tasks mainly depend on the flow of information processing; whereas, skill learning (expertise) is primarily related to the formation of long-term memory (LTM) and how frequently communications occur among the perceptual process, working memory and LTM. On this basis, KP feedback was expected to support greater learning than KR since it facilitates more frequent memory communications. Similarly, auditory and haptic cues were expected to support greater learning than visual cues due to their retention strength in short-term memory stores. Future directions of empirical research were identified, including assessing the proposed model of human learning under various feedback conditions as well as the effectiveness of recommended modes of feedback in actual training systems.</t>
  </si>
  <si>
    <t>[Zhu, Biwen; Kaber, David B.] N Carolina State Univ, Edwards P Fitts Dept Ind &amp; Syst Engn, Raleigh, NC 27695 USA</t>
  </si>
  <si>
    <t>North Carolina State University</t>
  </si>
  <si>
    <t>Zhu, BW (corresponding author), N Carolina State Univ, Edwards P Fitts Dept Ind &amp; Syst Engn, Raleigh, NC 27695 USA.</t>
  </si>
  <si>
    <t>CRC PRESS-TAYLOR &amp; FRANCIS GROUP</t>
  </si>
  <si>
    <t>BOCA RATON</t>
  </si>
  <si>
    <t>6000 BROKEN SOUND PARKWAY NW, STE 300, BOCA RATON, FL 33487-2742 USA</t>
  </si>
  <si>
    <t>978-1-4398-7022-8; 978-1-4398-7021-1</t>
  </si>
  <si>
    <t>ADV HUM FACT ERG SER</t>
  </si>
  <si>
    <t>ADV. HUMAN FACT. ERG. SER</t>
  </si>
  <si>
    <t>Ergonomics; Health Policy &amp; Services</t>
  </si>
  <si>
    <t>Book Citation Index – Social Sciences &amp; Humanities (BKCI-SSH)</t>
  </si>
  <si>
    <t>Engineering; Health Care Sciences &amp; Services</t>
  </si>
  <si>
    <t>BC3OW</t>
  </si>
  <si>
    <t>WOS:000351774500071</t>
  </si>
  <si>
    <t>Pennycott, A; Wyss, D; Vallery, H; Klamroth-Marganska, V; Riener, R</t>
  </si>
  <si>
    <t>Pennycott, Andrew; Wyss, Dario; Vallery, Heike; Klamroth-Marganska, Verena; Riener, Robert</t>
  </si>
  <si>
    <t>Towards more effective robotic gait training for stroke rehabilitation: a review</t>
  </si>
  <si>
    <t>CENTRAL POSTSTROKE PAIN; JOINT POSITION SENSE; PRIMARY MOTOR CORTEX; BODY-WEIGHT SUPPORT; SPINAL-CORD; MUSCLE STRENGTH; MOVEMENT REPRESENTATIONS; FUNCTIONAL OUTCOMES; SUBACUTE STROKE; VOLUNTARY ACTIVATION</t>
  </si>
  <si>
    <t>Background: Stroke is the most common cause of disability in the developed world and can severely degrade walking function. Robot-driven gait therapy can provide assistance to patients during training and offers a number of advantages over other forms of therapy. These potential benefits do not, however, seem to have been fully realised as of yet in clinical practice. Objectives: This review determines ways in which robot-driven gait technology could be improved in order to achieve better outcomes in gait rehabilitation. Methods: The literature on gait impairments caused by stroke is reviewed, followed by research detailing the different pathways to recovery. The outcomes of clinical trials investigating robot-driven gait therapy are then examined. Finally, an analysis of the literature focused on the technical features of the robot-based devices is presented. This review thus combines both clinical and technical aspects in order to determine the routes by which robot-driven gait therapy could be further developed. Conclusions: Active subject participation in robot-driven gait therapy is vital to many of the potential recovery pathways and is therefore an important feature of gait training. Higher levels of subject participation and challenge could be promoted through designs with a high emphasis on robotic transparency and sufficient degrees of freedom to allow other aspects of gait such as balance to be incorporated.</t>
  </si>
  <si>
    <t>[Pennycott, Andrew; Wyss, Dario; Vallery, Heike; Klamroth-Marganska, Verena; Riener, Robert] ETH, Sensory Motor Syst Lab, Zurich, Switzerland; [Pennycott, Andrew; Wyss, Dario; Vallery, Heike; Klamroth-Marganska, Verena; Riener, Robert] Univ Zurich, Univ Hosp Balgrist, Zurich, Switzerland</t>
  </si>
  <si>
    <t>Pennycott, A (corresponding author), ETH, Sensory Motor Syst Lab, Zurich, Switzerland.</t>
  </si>
  <si>
    <t>andrew.pennycott@hest.ethz.ch</t>
  </si>
  <si>
    <t>Riener, Robert/B-9868-2016; Vallery, Heike/A-4254-2013</t>
  </si>
  <si>
    <t>Vallery, Heike/0000-0002-0305-398X; Riener, Robert/0000-0002-1726-2950</t>
  </si>
  <si>
    <t>SEP 7</t>
  </si>
  <si>
    <t>10.1186/1743-0003-9-65</t>
  </si>
  <si>
    <t>026JA</t>
  </si>
  <si>
    <t>WOS:000310270600001</t>
  </si>
  <si>
    <t>Liepert, J</t>
  </si>
  <si>
    <t>Liepert, J.</t>
  </si>
  <si>
    <t>Evidence-Based Methods in Motor Rehabilitation after Stroke</t>
  </si>
  <si>
    <t>FORTSCHRITTE DER NEUROLOGIE PSYCHIATRIE</t>
  </si>
  <si>
    <t>evidence-based modalities; motor recovery; stroke; randomised controlled trial</t>
  </si>
  <si>
    <t>CONSTRAINT-INDUCED MOVEMENT; UPPER EXTREMITY FUNCTION; DOUBLE-BLIND; CONVENTIONAL THERAPY; BOBATH CONCEPT; SINGLE-BLIND; ARM PARESIS; RECOVERY; PHYSIOTHERAPY; AMPHETAMINE</t>
  </si>
  <si>
    <t>In this review, treatments for motor rehabilitation after stroke will be presented. In particular, randomised, controlled trials, meta-analyses and systematic reviews, mainly from the years 2009 2011, were taken into consideration. In summary, evidence is best for constraint-induced movement therapy and Botulinum toxin type A in patients with focal spasticity. Superiority has been demonstrated for the administration of drugs (serotonin re-uptake inhibitors and L-dopa), mirror therapy, the use of virtual reality, electromechanical devices to restore independent walking, and fitness and circuit training. Other therapies (bilateral arm training, treadmill therapy, robot-assisted arm therapy) did not show superiority. For sensory training and repetitive transcranial magnetic stimulation large clinical studies still need to be done.</t>
  </si>
  <si>
    <t>Kliniken Schmieder, D-78476 Allensbach, Germany</t>
  </si>
  <si>
    <t>Liepert, J (corresponding author), Kliniken Schmieder, Zum Tafelholz 8, D-78476 Allensbach, Germany.</t>
  </si>
  <si>
    <t>j.liepert@kliniken-schmieder.de</t>
  </si>
  <si>
    <t>0720-4299</t>
  </si>
  <si>
    <t>1439-3522</t>
  </si>
  <si>
    <t>FORTSCHR NEUROL PSYC</t>
  </si>
  <si>
    <t>Forschritte Neurol. Psychiatr.</t>
  </si>
  <si>
    <t>10.1055/s-0031-1299490</t>
  </si>
  <si>
    <t>973WL</t>
  </si>
  <si>
    <t>WOS:000306390700010</t>
  </si>
  <si>
    <t>Pelton, T; van Vliet, P; Hollands, K</t>
  </si>
  <si>
    <t>Pelton, Trudy; van Vliet, Paulette; Hollands, Kristen</t>
  </si>
  <si>
    <t>Interventions for improving coordination of reach to grasp following stroke: a systematic review</t>
  </si>
  <si>
    <t>neurology; physiotherapy; rehabilitation; systematic review</t>
  </si>
  <si>
    <t>INDUCED MOVEMENT THERAPY; MOTOR FUNCTION; KINEMATIC ANALYSIS; TRUNK RESTRAINT; ARM FUNCTION; RECOVERY; PATIENT; LIMB</t>
  </si>
  <si>
    <t>Background Stroke is associated with disruption to efficient and accurate reach to grasp function. Information about treatments for upper limb coordination deficits and their effectiveness may contribute to improved recovery of upper limb function after stroke. Aims To identify all existing interventions targeted at coordination of arm and hand segments for reach to grasp following stroke. To determine the effectiveness of current treatments for improving coordination of reach to grasp after stroke. Search strategy The search included The Cochrane Central Register of Controlled Trials (CENTRAL) (The Cochrane Library); MEDLINE; EMBASE; CINAHL; AMED; ProQuest Dissertations and Theses (International) and ISI Proceedings (Conference) databases. A grey literature search included Mednar, Dissertation International, Conference Proceedings, National Institute of Health Clinical Trials and the National Institute of Clinical Studies. We also explored Physiotherapy Evidence Database, Chartered Society of Physiotherapy Research and REHABDATA therapy databases. Finally, the reference lists of identified articles were examined for additional studies. The search spanned from 1950 to April 2010 and was limited to English language papers only. Methods of the review Studies were included with a specific design objective related to coordination of the hand and arm during reach to grasp and involving participants with a clinical diagnosis of stroke. The review was inclusive with regard to study design. To determine effectiveness of interventions we analysed studies with coordination measures that exist within impairment measurement scales or specific kinematic measures of coordination. The methodological quality of the studies was assessed by two independent authors using the Joanna Briggs Institute (JBI) Critical Appraisal Checklist for Comparable Cohort/Case Control and the JBI Critical Appraisal Checklist for Experimental Studies together with additional questions from Downs and Black. Two review authors independently extracted data from the studies using standardised JBI-MAStARI data extraction forms. Pooling of results was not appropriate so the findings were summarised in tables and in narrative form. Results One randomised controlled trial, two case-control studies and four experimental studies without controls were included in this review. The review has identified three categories of potential intervention for improving hand and arm coordination after stroke; functional therapy, biofeedback or electrical stimulation and robot or computerised training. In view of the limited availability of good quality evidence and lack of empirical data, this review does not draw a definitive conclusion for the second question regarding the effectiveness of interventions aimed at improving hand and arm coordination after stroke. Improvements in hand and arm coordination during reach to grasp were reported in four studies, whereas one study found no benefit. Two studies did not report specific effects of interventions for hand and arm coordination after stroke. Conclusions Implications for practice: There is currently insufficient evidence to provide strong recommendations about the effect of interventions for improving hand and arm coordination during reach to grasp after stroke. Implications for research: Randomised controlled trials of sufficient power with standardised outcome measures are needed to enable meta-analysis comparison in the future. Such studies should include both functional performance and detailed kinematic measures of hand and arm coordination.</t>
  </si>
  <si>
    <t>[Pelton, Trudy] Univ Birmingham, Sch Psychol, Coll Life &amp; Environm Sci, Birmingham, W Midlands, England; [Hollands, Kristen] Univ Salford, Sch Hlth Sport &amp; Rehabil Sci, Salford, Lancs, England; [van Vliet, Paulette] Univ Newcastle, Fac Hlth, Sch Hlth Sci, Callaghan, NSW, Australia</t>
  </si>
  <si>
    <t>University of Birmingham; University of Salford; University of Newcastle</t>
  </si>
  <si>
    <t>Pelton, T (corresponding author), Univ Birmingham, Coll Life &amp; Environm Sci, Birmingham B15 2TT, W Midlands, England.</t>
  </si>
  <si>
    <t>t.a.pelton@bham.ac.uk</t>
  </si>
  <si>
    <t>van Vliet, Paulette/F-4616-2010</t>
  </si>
  <si>
    <t>Pelton, Trudy/0009-0002-4215-8490</t>
  </si>
  <si>
    <t>Stroke Association</t>
  </si>
  <si>
    <t>This review is part of an Allied Health Research Bursary funded by the Stroke Association awarded to Dr P.M. van Vliet, Professor A.M. Wing and Miss T. A. Pelton.</t>
  </si>
  <si>
    <t>10.1111/j.1744-1609.2012.00261.x</t>
  </si>
  <si>
    <t>V98CZ</t>
  </si>
  <si>
    <t>WOS:000213378800002</t>
  </si>
  <si>
    <t>Viaud-Delmon, I; Gaggioli, A; Ferscha, A; Dunne, S</t>
  </si>
  <si>
    <t>Viaud-Delmon, Isabelle; Gaggioli, Andrea; Ferscha, Alois; Dunne, Stephen</t>
  </si>
  <si>
    <t>Human Computer Confluence Applied in Healthcare and Rehabilitation</t>
  </si>
  <si>
    <t>ANNUAL REVIEW OF CYBERTHERAPY AND TELEMEDICINE</t>
  </si>
  <si>
    <t>Perception; human body; cognitive neuroscience; embodiment; brain computer interface</t>
  </si>
  <si>
    <t>Human computer confluence (HCC) is an ambitious research program studying how the emerging symbiotic relation between humans and computing devices can enable radically new forms of sensing, perception, interaction, and understanding. It is an interdisciplinary field, bringing together researches from horizons as various as pervasive computing, bio-signals processing, neuroscience, electronics, robotics, virtual &amp; augmented reality, and provides an amazing potential for applications in medicine and rehabilitation.</t>
  </si>
  <si>
    <t>[Viaud-Delmon, Isabelle] UPMC, CNRS, IRCAM 1, UMR 9912, Paris, France; [Gaggioli, Andrea] Univ Cattolica Sacro Cuore, Milan, Italy; [Ferscha, Alois] Johannes Kepler Univ Linz, Inst Pervas Comp, Linz, Austria; [Dunne, Stephen] Starlab, Barcelona, Spain</t>
  </si>
  <si>
    <t>Centre National de la Recherche Scientifique (CNRS); CNRS - Institute for Information Sciences &amp; Technologies (INS2I); Sorbonne Universite; Catholic University of the Sacred Heart; Johannes Kepler University Linz</t>
  </si>
  <si>
    <t>Viaud-Delmon, I (corresponding author), UPMC, CNRS, IRCAM 1, UMR 9912, Paris, France.</t>
  </si>
  <si>
    <t>isabelle.viauddelmon@gmail.com</t>
  </si>
  <si>
    <t>Dunne, Stephen/N-3365-2019; Gaggioli, Andrea/B-4643-2013</t>
  </si>
  <si>
    <t>Gaggioli, Andrea/0000-0001-7818-7598; Viaud-Delmon, Isabelle/0000-0002-8664-3941</t>
  </si>
  <si>
    <t>European Commission [258063 HC2]</t>
  </si>
  <si>
    <t>Supported by the European Commission under the Future and Emerging Technologies program under grant 258063 HC2.</t>
  </si>
  <si>
    <t>INTERACTIVE MEDIA INST</t>
  </si>
  <si>
    <t>9565 WAPLES ST, STE 200, SAN DIEGO, CA 92121 USA</t>
  </si>
  <si>
    <t>1554-8716</t>
  </si>
  <si>
    <t>2352-927X</t>
  </si>
  <si>
    <t>ANN REV CYBERTHERAPY</t>
  </si>
  <si>
    <t>Ann. Rev. CyberTherapy Telemed.</t>
  </si>
  <si>
    <t>SUM</t>
  </si>
  <si>
    <t>V1H5M</t>
  </si>
  <si>
    <t>WOS:000216909700010</t>
  </si>
  <si>
    <t>Dietz, V</t>
  </si>
  <si>
    <t>Dietz, Volker</t>
  </si>
  <si>
    <t>Neuronal plasticity after a human spinal cord injury: Positive and negative effects</t>
  </si>
  <si>
    <t>Neuronal plasticity; Spinal cord injury; Human locomotion; EMG-activity; Neuronal dysfunction; Load receptors</t>
  </si>
  <si>
    <t>SOMATOSENSORY-EVOKED POTENTIALS; LOCOMOTOR-ACTIVITY; RECOVERY; REFLEX; TRANSECTION; CAPACITY; MUSCLE; INHIBITION; AFFERENTS; WALKING</t>
  </si>
  <si>
    <t>In patients suffering an incomplete spinal cord injury (SCI) an improvement in walking function can be achieved by providing a functional training with an appropriate afferent input. In contrast, in immobilized incomplete and complete subjects a negative neuroplasticity leads to a neuronal dysfunction. After an SCI, neuronal centers below the level of lesion exhibit plasticity that either can be exploited by specific training paradigms or undergo a degradation of function due to the loss of appropriate input. Load- and hip-joint-related afferent inputs seem to be of crucial importance for the generation of a locomotor pattern and, consequently, the effectiveness of the locomotor training. In severely affected SCI subjects rehabilitation robots allow for a longer and more intensive training and can provide feedback information. Conversely, in severely affected chronic SCI individuals without functional training the locomotor activity in the leg muscles exhausts rapidly during assisted locomotion. This is accompanied by a shift from early to dominant late spinal reflex components. The exhaustion of locomotor activity is also observed in non-ambulatory patients with an incomplete SCI. It is assumed that in chronic SCI the patients immobility results in a reduced input from supraspinal and peripheral sources and leads to a dominance of inhibitory drive within spinal neuronal circuitries underlying locomotor pattern and spinal reflex generation. A training with an enhancement of an appropriate proprioceptive input early after an SCI might serve as an intervention to prevent neuronal dysfunction. (C) 2011 Elsevier Inc. All rights reserved.</t>
  </si>
  <si>
    <t>Balgrist Univ Hosp, Spinal Cord Injury Ctr, CH-8008 Zurich, Switzerland</t>
  </si>
  <si>
    <t>University of Zurich</t>
  </si>
  <si>
    <t>Dietz, V (corresponding author), Balgrist Univ Hosp, Spinal Cord Injury Ctr, Forchstr 340, CH-8008 Zurich, Switzerland.</t>
  </si>
  <si>
    <t>Swiss National Science Foundation [32-105324]</t>
  </si>
  <si>
    <t>Swiss National Science Foundation(Swiss National Science Foundation (SNSF))</t>
  </si>
  <si>
    <t>This work was supported by the Swiss National Science Foundation (Grant No. 32-105324).</t>
  </si>
  <si>
    <t>10.1016/j.expneurol.2011.04.007</t>
  </si>
  <si>
    <t>934FZ</t>
  </si>
  <si>
    <t>WOS:000303430400012</t>
  </si>
  <si>
    <t>Duerinck, S; Swinnen, E; Beyl, P; Hagman, F; Jonkers, I; Vaes, P; Van Roy, P</t>
  </si>
  <si>
    <t>Duerinck, Saartje; Swinnen, Eva; Beyl, Pieter; Hagman, Friso; Jonkers, Ilse; Vaes, Peter; Van Roy, Peter</t>
  </si>
  <si>
    <t>THE ADDED VALUE OF AN ACTUATED ANKLE-FOOT ORTHOSIS TO RESTORE NORMAL GAIT FUNCTION IN PATIENTS WITH SPINAL CORD INJURY: A SYSTEMATIC REVIEW</t>
  </si>
  <si>
    <t>actuated ankle-foot orthosis; spinal cord injury; rehabilitation</t>
  </si>
  <si>
    <t>CENTRAL PATTERN GENERATOR; LOCOMOTOR-ACTIVITY; AFFERENT INPUT; NEURAL-CONTROL; WALKING SPEED; MOTOR SKILL; PLASTICITY; RECOVERY; PERFORMANCE; ADAPTATION</t>
  </si>
  <si>
    <t>Objective: To provide an overview of robot-assisted rehabilitation devices developed for actuation of the ankle-foot complex and their ability to influence the attributes of normal gait in patients with spinal cord injury. Methods: A search was conducted in MEDLINE, Web of Knowledge, National Academic Research and Collaborations Information System, and Physiotherapy Evidence Database (1985-2011), using, ankle, foot, robotics, orthotics and spinal cord injury as most relevant keywords. Article inclusion was performed in 3 stages; at the level of: (i) title, (ii) abstract and (iii) full text. Results: The actuated ankle-foot orthoses currently available are characterized by several combinations of an actuator and a control mechanism. Both the actuator and the control strategy substantially influence human-machine interaction and therefore the potential of the device to assist in modifying locomotor function and potentially modify the underlying motor control mechanisms. Conclusion: Due to small sample sizes, limited studies in patients with spinal cord injury, and limitations in study design, it is difficult to draw firm conclusions on the effect of different types of actuated ankle-foot orthoses. Based on the limited data available, pneumatic artificial muscles in combination with proportional myoelectric control are suggested to have the potential to meet most of the preconditions to restore the attributes of normal gait and therefore facilitate neuroplasticity.</t>
  </si>
  <si>
    <t>[Duerinck, Saartje] Vrije Univ Brussel, Fac Phys Educ &amp; Physiotherapy, Dept Expt Anat, BE-1090 Brussels, Belgium; [Beyl, Pieter] Vrije Univ Brussel, Fac Engn, BE-1090 Brussels, Belgium; [Jonkers, Ilse] Katholieke Univ Leuven, Fac Movement Sci &amp; Physiotherapy, Movement Control &amp; Neuroplast Res Grp, Louvain, Belgium</t>
  </si>
  <si>
    <t>Vrije Universiteit Brussel; Vrije Universiteit Brussel; KU Leuven</t>
  </si>
  <si>
    <t>Duerinck, S (corresponding author), Vrije Univ Brussel, Fac Phys Educ &amp; Physiotherapy, Dept Expt Anat, Laarbeeklaan 103, BE-1090 Brussels, Belgium.</t>
  </si>
  <si>
    <t>sduerinc@vub.ac.be</t>
  </si>
  <si>
    <t>Swinnen, Eva/GLS-9171-2022; jonkers, ilse/J-9544-2015; Swinnen, Eva/H-7964-2014</t>
  </si>
  <si>
    <t>jonkers, ilse/0000-0001-7611-3747; Swinnen, Eva/0000-0002-3771-9479</t>
  </si>
  <si>
    <t>Vrije Universiteit Brussel [GOA59]</t>
  </si>
  <si>
    <t>The preparation of this paper was funded by Vrije Universiteit Brussel (GOA59).</t>
  </si>
  <si>
    <t>10.2340/16501977-0958</t>
  </si>
  <si>
    <t>939WS</t>
  </si>
  <si>
    <t>WOS:000303850800002</t>
  </si>
  <si>
    <t>Lo, HS; Xie, SQ</t>
  </si>
  <si>
    <t>Lo, Ho Shing; Xie, Sheng Quan</t>
  </si>
  <si>
    <t>Exoskeleton robots for upper-limb rehabilitation: State of the art and future prospects</t>
  </si>
  <si>
    <t>Exoskeleton; Upper limb; Robotic therapy; Physiotherapy; Stroke rehabilitation</t>
  </si>
  <si>
    <t>THERAPY; MOTION; PERFORMANCE; MOVEMENT; DESIGN; SYSTEM</t>
  </si>
  <si>
    <t>Current health services are struggling to provide optimal rehabilitation therapy to victims of stroke. This has motivated researchers to explore the use of robotic devices to provide rehabilitation therapy for strokepatients. This paper reviews the recent progress of upper limb exoskeleton robots for rehabilitation treatment of patients with neuromuscular disorders. Firstly, a brief introduction to rehabilitation robots will be given along with examples of existing commercial devices. The advancements in upper limb exoskeleton technology and the fundamental challenges in developing these devices are described. Potential areas for future research are discussed. (C) 2011 IPEM. Published by Elsevier Ltd. All rights reserved.</t>
  </si>
  <si>
    <t>[Lo, Ho Shing; Xie, Sheng Quan] Univ Auckland, Dept Mech Engn, Auckland 1010, New Zealand</t>
  </si>
  <si>
    <t>Lo, HS (corresponding author), Univ Auckland, Dept Mech Engn, 20 Symonds St, Auckland 1010, New Zealand.</t>
  </si>
  <si>
    <t>hlo015@aucklanduni.ac.nz; s.xie@auckland.ac.nz</t>
  </si>
  <si>
    <t>University of Auckland Council</t>
  </si>
  <si>
    <t>The authors would like to acknowledge the support of The University of Auckland Council in funding this research effort.</t>
  </si>
  <si>
    <t>10.1016/j.medengphy.2011.10.004</t>
  </si>
  <si>
    <t>921AB</t>
  </si>
  <si>
    <t>WOS:000302449300001</t>
  </si>
  <si>
    <t>Mehrholz, J; Pohl, M</t>
  </si>
  <si>
    <t>Mehrholz, Jan; Pohl, Marcus</t>
  </si>
  <si>
    <t>ELECTROMECHANICAL-ASSISTED GAIT TRAINING AFTER STROKE: A SYSTEMATIC REVIEW COMPARING END-EFFECTOR AND EXOSKELETON DEVICES</t>
  </si>
  <si>
    <t>stroke; exercise; walking; rehabilitation</t>
  </si>
  <si>
    <t>FLOOR WALKING; SUBACUTE STROKE; RELIABILITY; LOKOMAT; TRIAL; ROBOT</t>
  </si>
  <si>
    <t>Objectives: Although electromechanical-assisted gait training after stroke seems to be effective, in the absence of a direct comparison between electromechanical devices it is not clear which device may be the most effective for recovery of walking. The aim of this study was therefore to compare the effects of different devices used in gait training after stroke. Data sources: We searched the Cochrane Stroke Group Trials Register, CENTRAL, MEDLINE, EMBASE, CINAHL, AMED, SPORTDiscus, PEDro, COMPENDEX and INSPEC. In addition, we hand-searched relevant conference proceedings, trials and research registers, checked reference lists and contacted authors to identify further trials. Study selection: Randomized studies were included. Authors independently selected trials for inclusion, assessed trial quality and extracted the data. Data extraction: Data were extracted with the help of a standardized data extraction form. Data synthesis: Data were pooled for meta-analysis. The primary outcome was the proportion of patients walking independently. Results: We included 18 trials involving 885 patients. We found significantly higher rates of independent walking in end-effector compared with exoskeleton-based training (p = 0.03). Complication rates in both groups were comparable. Conclusion: The results suggest that the type of electromechanical-assisted device might influence the outcome of gait rehabilitation after stroke.</t>
  </si>
  <si>
    <t>[Mehrholz, Jan] Klin Bavaria, Wissenschaftliches Inst, Dept Early Rehabil, DE-01731 Kreischa, Germany</t>
  </si>
  <si>
    <t>Mehrholz, J (corresponding author), Klin Bavaria, Wissenschaftliches Inst, Dept Early Rehabil, Wolfsschlucht 1-2, DE-01731 Kreischa, Germany.</t>
  </si>
  <si>
    <t>10.2340/16501977-0943</t>
  </si>
  <si>
    <t>961TO</t>
  </si>
  <si>
    <t>WOS:000305492600001</t>
  </si>
  <si>
    <t>Sale, P; Franceschini, M; Waldner, A; Hesse, S</t>
  </si>
  <si>
    <t>Sale, P.; Franceschini, M.; Waldner, A.; Hesse, S.</t>
  </si>
  <si>
    <t>Use of the robot assisted gait therapy in rehabilitation of patients with stroke and spinal cord injury</t>
  </si>
  <si>
    <t>Rehabilitation; Stroke; Spinal cord injuries; Robotics; Orthothic devices</t>
  </si>
  <si>
    <t>BODY-WEIGHT SUPPORT; MUSCLE-ACTIVITY; LONG-TERM; AIDED THERAPY; UPPER-LIMB; WALKING; RECOVERY; INDIVIDUALS; IMPAIRMENT; LOCOMOTION</t>
  </si>
  <si>
    <t>Difficulty in walking is a major feature of neurological disease, and loss of mobility is the activity of daily living on which patients place the greatest value. The impact on patients is enormous, with negative ramifications on their participation in social, vocational, and recreational activities. In current clinical practice the gait restoration with robotic device is an integral part of rehabilitation program. Robot therapy involves the use of a robot exoskeleton device or end-effector device to help the patient retrain motor coordination by performing well-focused and carefully directed repetitive practice. The exoskeleton, as an assistive device, is also an external structural mechanism with joints and links corresponding to those of the human body. These robots use joint trajectories of the entire gait cycle and offer a uniform (more or less) stiff control along this trajectory. In this field the new powered exoskeleton Re Walk (Argo Medical Technologies Ltd) was developed to have an alternative mobility solution to the wheelchair and rehabilitation treatment for individuals with severe walking impairments, enabling them to stand, walk, ascend/descent stairs and more. The end-effector-based robot is a device with footplates placed on a double crank and rocker gear system. Alternatives to powered exoskeletons are devices that use movable footplates to which the patient's feet are attached. All devices include some form of body weight support. Prominent goals in the field include: developing implementable technologies that can be easily used by patients, therapists, and clinicians; enhancing the efficacy of clinician's therapies and increasing the ease of activities in the daily lives of patients.</t>
  </si>
  <si>
    <t>[Sale, P.; Franceschini, M.] IRCCS San Raffaele Pisana, Dept NeuroRehabil, I-00163 Rome, Italy; [Waldner, A.] Privatklin Villa Melitta, Bolzano, Italy; [Hesse, S.] Univ Med, Dept Neurol Rehabil Charite, Berlin, Germany</t>
  </si>
  <si>
    <t>IRCCS San Raffaele Pisana</t>
  </si>
  <si>
    <t>Sale, P (corresponding author), IRCCS San Raffaele Pisana, Dept NeuroRehabil, Via Pisana 235, I-00163 Rome, Italy.</t>
  </si>
  <si>
    <t>patrizio.sale@gmail.com</t>
  </si>
  <si>
    <t>Sale, Patrizio/K-8757-2016</t>
  </si>
  <si>
    <t>Sale, Patrizio/0000-0002-4850-3673; Franceschini, Marco/0000-0002-2131-1583</t>
  </si>
  <si>
    <t>944VT</t>
  </si>
  <si>
    <t>WOS:000304232600012</t>
  </si>
  <si>
    <t>Shih, JJ; Krusienski, DJ; Wolpaw, JR</t>
  </si>
  <si>
    <t>Shih, Jerry J.; Krusienski, Dean J.; Wolpaw, Jonathan R.</t>
  </si>
  <si>
    <t>Brain-Computer Interfaces in Medicine</t>
  </si>
  <si>
    <t>FUNCTIONAL ELECTRICAL-STIMULATION; P300 SPELLING SYSTEM; ELECTROCORTICOGRAPHIC SIGNALS; MOVEMENT TRAJECTORIES; GAMMA-OSCILLATIONS; MACHINE INTERFACE; FINGER MOVEMENTS; CORTICAL CONTROL; CURSOR CONTROL; MOTOR IMAGERY</t>
  </si>
  <si>
    <t>Brain-computer interfaces (BCIs) acquire brain signals, analyze them, and translate them into commands that are relayed to output devices that carry out desired actions. BCIs do not use normal neuromuscular output pathways. The main goal of BCI is to replace or restore useful function to people disabled by neuromuscular disorders such as amyotrophic lateral sclerosis, cerebral palsy, stroke, or spinal cord injury. From initial demonstrations of electroenceph-alography-based spelling and single-neuron-based device control, researchers have gone on to use electroenceph-alographic, intracortical, electrocorticographic, and other brain signals for increasingly complex control of cursors, robotic arms, prostheses, wheelchairs, and other devices. Brain-computer interfaces may also prove useful for rehabilitation after stroke and for other disorders. In the future, they might augment the performance of surgeons or other medical professionals. Brain-computer interface technology is the focus of a rapidly growing research and development enterprise that is greatly exciting scientists, engineers, clinicians, and the public in general. Its future achievements will depend on advances in 3 crucial areas. Brain-computer interfaces need signal-acquisition hardware that is convenient, portable, safe, and able to function in all environments. Brain-computer interface systems need to be validated in long-term studies of real-world use by people with severe disabilities, and effective and viable models for their widespread dissemination must be implemented. Finally, the day-to-day and moment-to-moment reliability of BCI performance must be improved so that it approaches the reliability of natural muscle-based function. (C) 2012 Mayo Foundation for Medical Education and Research square Mayo Clin Proc. 2012;87(3):268-279</t>
  </si>
  <si>
    <t>[Shih, Jerry J.] Mayo Clin, Dept Neurol, Jacksonville, FL 32224 USA; [Krusienski, Dean J.] Old Dominion Univ, Dept Elect &amp; Comp Engn, Norfolk, VA USA; [Wolpaw, Jonathan R.] New York State Dept Hlth, Wadsworth Ctr, Lab Neural Injury &amp; Repair, Albany, NY 12237 USA; [Wolpaw, Jonathan R.] SUNY Albany, Albany, NY 12222 USA</t>
  </si>
  <si>
    <t>Mayo Clinic; Old Dominion University; Wadsworth Center; State University of New York (SUNY) System; State University of New York (SUNY) System; University at Albany, SUNY</t>
  </si>
  <si>
    <t>Shih, JJ (corresponding author), Mayo Clin, Dept Neurol, 4500 San Pablo Rd, Jacksonville, FL 32224 USA.</t>
  </si>
  <si>
    <t>shih.jerry@mayo.edu</t>
  </si>
  <si>
    <t>Krusienski, Dean/AAI-3782-2020</t>
  </si>
  <si>
    <t>Wolpaw, Jonathan/0000-0003-0805-1315; Krusienski, Dean/0000-0002-4668-5784</t>
  </si>
  <si>
    <t>10.1016/j.mayocp.2011.12.008</t>
  </si>
  <si>
    <t>910MO</t>
  </si>
  <si>
    <t>WOS:000301642000014</t>
  </si>
  <si>
    <t>Casadio, M; Ranganathan, R; Mussa-Ivaldi, FA</t>
  </si>
  <si>
    <t>Casadio, Maura; Ranganathan, Rajiv; Mussa-Ivaldi, Ferdinando A.</t>
  </si>
  <si>
    <t>The Body-Machine Interface: A New Perspective on an Old Theme</t>
  </si>
  <si>
    <t>JOURNAL OF MOTOR BEHAVIOR</t>
  </si>
  <si>
    <t>brain-machine interface; dimensionality reduction; redundancy; rehabilitation; robotics; wheelchair</t>
  </si>
  <si>
    <t>BRAIN-COMPUTER INTERFACES; SENSORY SUBSTITUTION; MUSCLE SYNERGIES; EYE-MOVEMENTS; SHOULDER PAIN; FEEDBACK; EMG; REINNERVATION; PATTERNS; SYSTEM</t>
  </si>
  <si>
    <t>Body-machine interfaces establish a way to interact with a variety of devices, allowing their users to extend the limits of their performance. Recent advances in this field, ranging from computer interfaces to bionic limbs, have had important consequences for people with movement disorders. The authors provide an overview of the basic concepts underlying the body-machine interface with special emphasis on their use for rehabilitation and for operating assistive devices. They outline the steps involved in building such an interface and highlight the critical role of body-machine interfaces in addressing theoretical issues in motor control as well as their utility in movement rehabilitation.</t>
  </si>
  <si>
    <t>[Casadio, Maura; Ranganathan, Rajiv; Mussa-Ivaldi, Ferdinando A.] Rehabil Inst Chicago, Sensory Motor Performance Program, Chicago, IL 60611 USA; [Casadio, Maura] Univ Genoa, Dept Informat Bioengn Robot &amp; Syst Engn, Genoa, Italy; [Mussa-Ivaldi, Ferdinando A.] Northwestern Univ, Dept Physiol, Chicago, IL 60611 USA</t>
  </si>
  <si>
    <t>Shirley Ryan AbilityLab; University of Genoa; Northwestern University</t>
  </si>
  <si>
    <t>Mussa-Ivaldi, FA (corresponding author), Rehabil Inst Chicago, Sensory Motor Performance Program, 345 E Super St,Room 1304, Chicago, IL 60611 USA.</t>
  </si>
  <si>
    <t>sandro@northwestern.edu</t>
  </si>
  <si>
    <t>Ranganathan, Rajiv/ABI-2927-2020; Casadio, Maura/AFM-0496-2022; Ranganathan, Rajiv/E-3909-2010</t>
  </si>
  <si>
    <t>Ranganathan, Rajiv/0000-0002-6924-253X</t>
  </si>
  <si>
    <t>National Institutes of Health [1R21HD053608, 1R01NS05358]</t>
  </si>
  <si>
    <t>This work was supported by grants 1R21HD053608 and 1R01NS05358 from the National Institutes of Health.</t>
  </si>
  <si>
    <t>0022-2895</t>
  </si>
  <si>
    <t>1940-1027</t>
  </si>
  <si>
    <t>J MOTOR BEHAV</t>
  </si>
  <si>
    <t>J. Mot. Behav.</t>
  </si>
  <si>
    <t>10.1080/00222895.2012.700968</t>
  </si>
  <si>
    <t>Neurosciences; Psychology; Psychology, Experimental; Sport Sciences</t>
  </si>
  <si>
    <t>Neurosciences &amp; Neurology; Psychology; Sport Sciences</t>
  </si>
  <si>
    <t>055XL</t>
  </si>
  <si>
    <t>WOS:000312451200004</t>
  </si>
  <si>
    <t>Iosa, M; Morone, G; Fusco, A; Bragoni, M; Coiro, P; Multari, M; Venturiero, V; De Angelis, D; Pratesi, L; Paolucci, S</t>
  </si>
  <si>
    <t>Iosa, M.; Morone, G.; Fusco, A.; Bragoni, M.; Coiro, P.; Multari, M.; Venturiero, V.; De Angelis, D.; Pratesi, L.; Paolucci, S.</t>
  </si>
  <si>
    <t>Seven Capital Devices for the Future of Stroke Rehabilitation</t>
  </si>
  <si>
    <t>DIRECT-CURRENT STIMULATION; TRANSCRANIAL MAGNETIC STIMULATION; FUNCTIONAL ELECTRICAL-STIMULATION; UPPER-BODY ACCELERATIONS; NONINVASIVE CORTICAL STIMULATION; RANDOMIZED CLINICAL-TRIAL; VIRTUAL-REALITY; MOTOR IMAGERY; GAIT EVENTS; SUBACUTE</t>
  </si>
  <si>
    <t>Stroke is the leading cause of long-term disability for adults in industrialized societies. Rehabilitation's efforts are tended to avoid long-term impairments, but, actually, the rehabilitative outcomes are still poor. Novel tools based on new technologies have been developed to improve the motor recovery. In this paper, we have taken into account seven promising technologies that can improve rehabilitation of patients with stroke in the early future: (1) robotic devices for lower and upper limb recovery, (2) brain computer interfaces, (3) noninvasive brain stimulators, (4) neuroprostheses, (5) wearable devices for quantitative human movement analysis, (6) virtual reality, and (7) tablet-pc used for neurorehabilitation.</t>
  </si>
  <si>
    <t>[Iosa, M.; Morone, G.; Fusco, A.; Paolucci, S.] Santa Lucia Fdn RCCS, Clin Lab Expt Neurorehabil, Via Ardeatina 306, I-00179 Rome, Italy; [Bragoni, M.; Coiro, P.; Multari, M.; Venturiero, V.; De Angelis, D.; Pratesi, L.; Paolucci, S.] Santa Lucia Fdn RCCS, Operat Unit F, I-00179 Rome, Italy</t>
  </si>
  <si>
    <t>Iosa, M (corresponding author), Santa Lucia Fdn RCCS, Clin Lab Expt Neurorehabil, Via Ardeatina 306, I-00179 Rome, Italy.</t>
  </si>
  <si>
    <t>Fusco, Augusto/K-5794-2012; De Angelis, Domenico/AAB-8203-2019; Morone, Giovanni/AAN-2666-2020; Iosa, Marco/B-9531-2012; Morone, Giovanni/A-9561-2013</t>
  </si>
  <si>
    <t>Fusco, Augusto/0000-0002-8528-7834; Paolucci, Stefano/0000-0002-3105-1148; Iosa, Marco/0000-0003-2434-3887; DE ANGELIS, Domenico/0000-0001-5315-8037; Morone, Giovanni/0000-0003-3602-4197</t>
  </si>
  <si>
    <t>10.1155/2012/187965</t>
  </si>
  <si>
    <t>V17MX</t>
  </si>
  <si>
    <t>WOS:000214689000009</t>
  </si>
  <si>
    <t>Mehrholz, J; Hädrich, A; Platz, T; Kugler, J; Pohl, M</t>
  </si>
  <si>
    <t>Mehrholz, Jan; Haedrich, Anja; Platz, Thomas; Kugler, Joachim; Pohl, Marcus</t>
  </si>
  <si>
    <t>Electromechanical and robot-assisted arm training for improving generic activities of daily living, arm function, and arm muscle strength after stroke</t>
  </si>
  <si>
    <t>*Activities of Daily Living; *Artificial Limbs; *Robotics; Exercise Therapy [instrumentation; methods]; Randomized Controlled Trials as Topic; Recovery of Function; Stroke [*rehabilitation]; Upper Extremity; Humans</t>
  </si>
  <si>
    <t>UPPER-LIMB; AIDED NEUROREHABILITATION; MOTOR IMPAIRMENT; THERAPY; RECOVERY; REHABILITATION; EXERCISE; HEMIPARESIS; RELIABILITY; ACTIVATION</t>
  </si>
  <si>
    <t>Background Electromechanical and robot-assisted arm training devices are used in rehabilitation, and might help to improve arm function after stroke. Objectives To assess the effectiveness of electromechanical and robot-assisted arm training for improving generic activities of daily living, arm function, and arm muscle strength in patients after stroke. We will also assess the acceptability and safety of the therapy. Search methods We searched the Cochrane Stroke Group's Trials Register (last searched July 2011), the Cochrane Central Register of Controlled Trials (CENTRAL) (The Cochrane Library 2011, Issue 7), MEDLINE (1950 to July 2011), EMBASE (1980 to July 2011), CINAHL (1982 to July 2011), AMED(1985 to July 2011), SPORTDiscus (1949 to July 2011), PEDro (searched August 2011), COMPENDEX (1972 to July 2011), and INSPEC (1969 to July 2011). We also handsearched relevant conference proceedings, searched trials and research registers, checked reference lists, and contacted trialists, experts and researchers in our field, as well as manufacturers of commercial devices. Selection criteria Randomised controlled trials (RCTs) comparing electromechanical and robot-assisted arm training for recovery of arm function with other rehabilitation or placebo interventions, or no treatment, for patients after stroke. Data collection and analysis Two review authors independently selected trials for inclusion, assessed trial quality, and extracted data. We contacted trialists for additional information. We analysed the results as standardised mean differences (SMDs) for continuous variables and risk differences (RDs) for dichotomous variables. Main results We included 19 trials (involving 666 participants) in this update of our review. Electromechanical and robot-assisted arm training did improve activities of daily living (SMD 0.43, 95% confidence interval (CI) 0.11 to 0.75, P = 0.009, I-2 = 67%) as well as arm function (SMD 0.45, 95% CI 0.20 to 0.69, P = 0.0004, I-2 = 45%), but arm muscle strength did not improve (SMD 0.48, 95% CI -0.06 to 1.03, P = 0.08, I-2 = 79%). Electromechanical and robot-assisted arm training did not increase the risk of patients to drop out (RD 0.00, 95% CI -0.04 to 0.04, P = 0.82, I-2 = 0.0%), and adverse events were rare. Authors' conclusions Patients who receive electromechanical and robot-assisted arm training after stroke are more likely to improve their generic activities of daily living. Paretic arm function may also improve, but not arm muscle strength. However, the results must be interpreted with caution because there were variations between the trials in the duration and amount of training, type of treatment, and in the patient characteristics.</t>
  </si>
  <si>
    <t>[Mehrholz, Jan] Gesundheit Gera gGmbH, SRH Fachhsch, Sekt Therapiewissensch, D-07548 Gera, Germany; [Platz, Thomas] Greifswald gGmbH, Neurol Rehabil Zentrum, Greifswald, Germany; [Platz, Thomas] Univ Greifswald, Greifswald, Germany; [Kugler, Joachim] Univ Dresden, Dresden Med Sch, Dept Publ Hlth, Dresden, Germany; [Pohl, Marcus] Klin Bavaria Kreischa, Abt Neurol &amp; Fachubergreifende Rehabil, Kreischa, Germany</t>
  </si>
  <si>
    <t>Universitat Greifswald; Technische Universitat Dresden</t>
  </si>
  <si>
    <t>Mehrholz, J (corresponding author), Kreischa GmbH, Klin Bavaria, Private Europa Med Akad, Wissensch Inst, Wolfsschlucht 1-2, D-01731 Kreischa, Germany.</t>
  </si>
  <si>
    <t>Kugler, Joachim/IST-6529-2023; Platz, Thomas/AGF-9881-2022</t>
  </si>
  <si>
    <t>Platz, Thomas/0000-0003-2629-9744; Elsner, Bernhard/0000-0002-2519-5030</t>
  </si>
  <si>
    <t>Internal sources Wissenschaftliches Institut, Klinik Bavaria Kreischa, Germany. Department of Public Health, TU Dresden, Germany. SRH Fachhochschule fur Gesundheit Gera gGmbH, Germany.</t>
  </si>
  <si>
    <t>10.1002/14651858.CD006876.pub3</t>
  </si>
  <si>
    <t>957VD</t>
  </si>
  <si>
    <t>WOS:000305192500017</t>
  </si>
  <si>
    <t>Mohammed, S; Amirat, Y; Rifai, H</t>
  </si>
  <si>
    <t>Mohammed, Samer; Amirat, Yacine; Rifai, Hala</t>
  </si>
  <si>
    <t>Lower-Limb Movement Assistance through Wearable Robots: State of the Art and Challenges</t>
  </si>
  <si>
    <t>ADVANCED ROBOTICS</t>
  </si>
  <si>
    <t>Wearable robots; lower-limb exoskeletons; rehabilitation robotics</t>
  </si>
  <si>
    <t>ANKLE-FOOT ORTHOSIS; PARAPLEGIC PATIENTS; EXOSKELETONS; SUIT; STAND; REHABILITATION; STIMULATION; SUPPORT; DESIGN; PEOPLE</t>
  </si>
  <si>
    <t>Recent technological advances made necessary the use of robots in various types of applications. Unlike traditional robot-like scenarios dedicated to industrial applications with repetitive tasks, the current focus of attention is on applications that require close human interactions. One of the main fields of such applications concerns assisting and rehabilitating of dependent/elderly persons. In this study, the state-of-the-art of the main research advances in lower-limbs human assistance is presented. This includes a review on research covering mainly lower-limb actuated exoskeletons. Some case studies related to full-limb exoskeletons are presented as well. Lower-limb movement restoration using functional electrical stimulation and treadmill-based rehabilitation devices is also investigated. In addition, the seamless integration of wearable robots in ambient intelligence spaces appears as one of the major challenges for ubiquitous environments and ambient assisted living. Some open issues related to this integration are discussed in this paper. (C) Koninklijke Brill NV, Leiden and The Robotics Society of Japan, 2012</t>
  </si>
  <si>
    <t>[Mohammed, Samer; Amirat, Yacine; Rifai, Hala] Univ Paris Est Creteil, Lab Images Signals &amp; Intelligent Syst, F-94400 Vitry Sur Seine, France</t>
  </si>
  <si>
    <t>Universite Paris-Est-Creteil-Val-de-Marne (UPEC)</t>
  </si>
  <si>
    <t>Mohammed, S (corresponding author), Univ Paris Est Creteil, Lab Images Signals &amp; Intelligent Syst, 120-122 Rue Paul Armangot, F-94400 Vitry Sur Seine, France.</t>
  </si>
  <si>
    <t>samer.mohammed@u-pec.fr</t>
  </si>
  <si>
    <t>0169-1864</t>
  </si>
  <si>
    <t>1568-5535</t>
  </si>
  <si>
    <t>ADV ROBOTICS</t>
  </si>
  <si>
    <t>Adv. Robot.</t>
  </si>
  <si>
    <t>10.1163/016918611X607356</t>
  </si>
  <si>
    <t>888XI</t>
  </si>
  <si>
    <t>WOS:000300037500001</t>
  </si>
  <si>
    <t>Swinnen, E; Beckwée, D; Pinte, D; Meeusen, R; Baeyens, JP; Kerckhofs, E</t>
  </si>
  <si>
    <t>Swinnen, Eva; Beckwee, David; Pinte, Droesja; Meeusen, Romain; Baeyens, Jean-Pierre; Kerckhofs, Eric</t>
  </si>
  <si>
    <t>Treadmill Training in Multiple Sclerosis: Can BodyWeight Support or Robot Assistance Provide Added Value? A Systematic Review</t>
  </si>
  <si>
    <t>BODY-WEIGHT SUPPORT; SPINAL-CORD-INJURY; CHRONIC STROKE; GAIT; WALKING; REHABILITATION; PHYSIOTHERAPY; LOCOMOTION; EXERCISE; MOBILITY</t>
  </si>
  <si>
    <t>Purpose. This systematic review critically analyzes the literature on the effectiveness of treadmill training (TT), body-weightsupported TT (BWSTT), and robot-assisted TT (RATT) in persons with multiple sclerosis (MS), with focus on gait-related outcome measurements. Method. Electronic databases (Pubmed, Pedro, Web of Science, and Cochrane Library) and reference lists of articles and narrative reviews were searched. Pre-, quasi-and true-experimental studies were included if adult persons with MS were involved in TT, BWSTT, or RATT intervention studies published before 2012. Descriptive analysis was performed and two researchers scored the methodological quality of the studies. Results. 5 true-and 3 preexperimental studies (mean quality score: 66%) have been included. In total 161 persons with MS were involved (TT, BWSTT, or RATT, 6-42 sessions; 2-5x/ week; 321 weeks). Significant improvements in walking speed and endurance were reported. Furthermore, improvements of step length, double-support time, and Expanded Disability Status Scale were found. Conclusions. There is a limited number of published papers related to TT in persons with MS, concluding that TT, BWSTT, and RATT improve the walking speed and endurance. However, it is not clear what type of TT is most effective. RCTs with larger but more homogeneous populations are needed.</t>
  </si>
  <si>
    <t>[Swinnen, Eva; Beckwee, David; Pinte, Droesja; Meeusen, Romain; Baeyens, Jean-Pierre; Kerckhofs, Eric] Vrije Univ Brussel, Fac Phys Educ &amp; Physiotherapy, Vakgroep KINE, Laarbeeklaan 103, B-1090 Brussels, Belgium; [Swinnen, Eva; Meeusen, Romain; Baeyens, Jean-Pierre; Kerckhofs, Eric] Vrije Univ Brussel, Res Grp Adv Rehabil Technol &amp; Sci ARTS, B-1050 Brussels, Belgium</t>
  </si>
  <si>
    <t>Swinnen, E (corresponding author), Vrije Univ Brussel, Fac Phys Educ &amp; Physiotherapy, Vakgroep KINE, Laarbeeklaan 103, B-1090 Brussels, Belgium.</t>
  </si>
  <si>
    <t>Beckwée, David/A-1323-2009; Swinnen, Eva/GLS-9171-2022; meeusen, romain/B-3909-2011; Swinnen, Eva/H-7964-2014</t>
  </si>
  <si>
    <t>Baeyens, Jean-Pierre/0000-0003-2630-1912; Swinnen, Eva/0000-0002-3771-9479; Beckwee, David/0000-0001-9951-9993</t>
  </si>
  <si>
    <t>10.1155/2012/240274</t>
  </si>
  <si>
    <t>V33DC</t>
  </si>
  <si>
    <t>WOS:000215745100002</t>
  </si>
  <si>
    <t>van Delden, AEQ; Peper, CE; Kwakkel, G; Beek, PJ</t>
  </si>
  <si>
    <t>van Delden, A. (Lex) E. Q.; Peper, C. (Lieke) E.; Kwakkel, Gert; Beek, Peter J.</t>
  </si>
  <si>
    <t>A Systematic Review of Bilateral Upper Limb Training Devices for Poststroke Rehabilitation</t>
  </si>
  <si>
    <t>BLINDED RANDOMIZED-TRIAL; SEVERELY AFFECTED ARM; MOTOR FUNCTION; CHRONIC STROKE; ROBOT THERAPY; RECOVERY; COORDINATION; PERFORMANCE; SIMULATION; MOVEMENTS</t>
  </si>
  <si>
    <t>Introduction. In stroke rehabilitation, bilateral upper limb training is gaining ground. As a result, a growing number of mechanical and robotic bilateral upper limb training devices have been proposed. Objective. To provide an overview and qualitative evaluation of the clinical applicability of bilateral upper limb training devices. Methods. Potentially relevant literature was searched in the PubMed, Web of Science, and Google Scholar databases from 1990 onwards. Devices were categorized as mechanical or robotic (according to the PubMed MeSH term of robotics). Results. In total, 6 mechanical and 14 robotic bilateral upper limb training devices were evaluated in terms of mechanical and electromechanical characteristics, supported movement patterns, targeted part and active involvement of the upper limb, training protocols, outcomes of clinical trials, and commercial availability. Conclusion. Initial clinical results are not yet of such caliber that the devices in question and the concepts on which they are based are firmly established. However, the clinical outcomes do not rule out the possibility that the concept of bilateral training and the accompanied devices may provide a useful extension of currently available forms of therapy. To actually demonstrate their (surplus) value, more research with adequate experimental, dose-matched designs, and sufficient statistical power are required.</t>
  </si>
  <si>
    <t>[van Delden, A. (Lex) E. Q.; Peper, C. (Lieke) E.; Kwakkel, Gert; Beek, Peter J.] Vrije Univ Amsterdam, Fac Human Movement Sci, Res Inst MOVE, NL-1081 BT Amsterdam, Netherlands; [Kwakkel, Gert] Vrije Univ Amsterdam, Med Ctr, Res Inst MOVE, Dept Rehabil Med, NL-1081 HV Amsterdam, Netherlands</t>
  </si>
  <si>
    <t>van Delden, AEQ (corresponding author), Vrije Univ Amsterdam, Fac Human Movement Sci, Res Inst MOVE, NL-1081 BT Amsterdam, Netherlands.</t>
  </si>
  <si>
    <t>l.van.delden@vu.nl</t>
  </si>
  <si>
    <t>Kwakkel, Gert/0000-0002-4041-4043; Beek, Peter/0000-0002-0917-8548</t>
  </si>
  <si>
    <t>10.1155/2012/972069</t>
  </si>
  <si>
    <t>WOS:000214689000068</t>
  </si>
  <si>
    <t>Wiederhold, BK; Riva, G</t>
  </si>
  <si>
    <t>ANNUAL REVIEW OF CYBERTHERAPY AND TELEMEDICINE 2012: ADVANCED TECHNOLOGIES IN THE BEHAVIORAL, SOCIAL AND NEUROSCIENCES</t>
  </si>
  <si>
    <t>Studies in Health Technology and Informatics</t>
  </si>
  <si>
    <t>[Viaud-Delmon, Isabelle] 1IRCAM CNRS UPMC UMR 9912, Paris, France; [Gaggioli, Andrea] Univ Cattolica Sacro Cuore, I-20123 Milan, Italy; [Ferscha, Alois] Johannes Kepler Univ Linz, Inst Pervas Comp, Linz, Austria; [Dunne, Stephen] Starlab, Barcelona, Spain</t>
  </si>
  <si>
    <t>Sorbonne Universite; Centre National de la Recherche Scientifique (CNRS); Catholic University of the Sacred Heart; Johannes Kepler University Linz</t>
  </si>
  <si>
    <t>Viaud-Delmon, I (corresponding author), 1IRCAM CNRS UPMC UMR 9912, Paris, France.</t>
  </si>
  <si>
    <t>Viaud-Delmon, Isabelle/0000-0002-8664-3941; Gaggioli, Andrea/0000-0001-7818-7598</t>
  </si>
  <si>
    <t>0926-9630</t>
  </si>
  <si>
    <t>978-1-61499-121-2</t>
  </si>
  <si>
    <t>STUD HEALTH TECHNOL</t>
  </si>
  <si>
    <t>10.3233/978-1-61499-121-2-42</t>
  </si>
  <si>
    <t>Computer Science, Cybernetics; Health Care Sciences &amp; Services; Medical Informatics</t>
  </si>
  <si>
    <t>BA9IV</t>
  </si>
  <si>
    <t>WOS:000339449900010</t>
  </si>
  <si>
    <t>Ahamed, NU; Sundaraj, K; Ahmad, RB; Nadarajah, S; Shi, PT; Rahman, SM</t>
  </si>
  <si>
    <t>Ahamed, Nizam Uddin; Sundaraj, Kenneth; Ahmad, R. Badlishah; Nadarajah, Sivadev; Shi, Poo Tarn; Rahman, Sam Matiur</t>
  </si>
  <si>
    <t>Recent Survey of Automated Rehabilitation Systems Using EMG Biosensors</t>
  </si>
  <si>
    <t>JOURNAL OF PHYSICAL THERAPY SCIENCE</t>
  </si>
  <si>
    <t>EMG; Rehabilitation; Biosensor</t>
  </si>
  <si>
    <t>[Purpose] In this paper, we present a survey of some recently developed techniques in the field of automatic rehabilitation systems assisted by electromyography (EMG) biosensors and their application in physically disabled patients. We also include a discussion about the implementation of several hardware and software models for rehabilitation to make the full process dynamics. [Methods] A systematic search for articles published from 2000 to March 2011 was conducted in the IEEE, Springer Link, Pub Med and ACM digital library databases. The search plan was developed using different terms referring to rehabilitation, EMG sensors and automatic systems as well as we used number of keywords related to the subject of our survey along with their synonyms. The entire survey was performed in the automatic rehabilitation lab (Biomedical Engineering) of the Universiti Malaysia Perils (UniMAP) from December 2010 to March 2011. [Result] A total of 22 articles were analyzed in our study. Of these, 17 articles were about EMG-aided recovery systems developed for the impaired human body. Finally, we confirmed that all of the EMG-supported rehabilitation systems are noninvasive, assisted by a computer or robot and most of them are real-time processes. [Conclusion] Obviously, it is difficult to complete a survey within a single article of all possible EMG- generated rehabilitation systems. However, we expect that the references cited will cover the main theoretical and practical issues, guiding the researcher in interesting research and suggesting promising EMG-aided rehabilitation techniques that have yet to be explored.</t>
  </si>
  <si>
    <t>[Ahamed, Nizam Uddin] Univ Malaysia Perlis, Sch Comp Engn, Kangar 02000, Perlis, Malaysia; [Sundaraj, Kenneth; Nadarajah, Sivadev; Shi, Poo Tarn] Univ Malaysia Perlis, Sch Mechatron Engn, Kangar 02000, Perlis, Malaysia; [Ahmad, R. Badlishah] Univ Malaysia Perlis, Sch Comp &amp; Commun Engn, Kangar 02000, Perlis, Malaysia; [Rahman, Sam Matiur] Najran Univ, Coll Comp Sci &amp; Informat Syst, Najran, Saudi Arabia</t>
  </si>
  <si>
    <t>Universiti Malaysia Perlis; Universiti Malaysia Perlis; Universiti Malaysia Perlis; Najran University</t>
  </si>
  <si>
    <t>Ahamed, NU (corresponding author), Univ Malaysia Perlis, Sch Comp Engn, 12 &amp; 14 Jalan Satu,Taman Seberang Jaya Fasa 3, Kangar 02000, Perlis, Malaysia.</t>
  </si>
  <si>
    <t>ahamed1557@hotmail.com</t>
  </si>
  <si>
    <t>Ahmad, RB/U-3211-2019; Sundaraj, Kenneth/AAD-1783-2019; Rahman, Matiur/AAS-8586-2021; Nadarajah, Sivadev/C-4170-2012; Ahmad, R.Badlishah/A-4703-2019; Ahamed, Nizam/J-6248-2012</t>
  </si>
  <si>
    <t>Nadarajah, Sivadev/0000-0003-4574-4735; Ahmad, R.Badlishah/0000-0002-4862-2728; Sundaraj, Kenneth/0000-0001-7221-0072; Ahamed, Nizam/0000-0003-0497-7356</t>
  </si>
  <si>
    <t>SOC PHYSICAL THERAPY SCIENCE</t>
  </si>
  <si>
    <t>C/O PUBLICATION CENTER, 1-24-12 SUGAMO, TOSHIMA-KU, TOKYO, 170-0002, JAPAN</t>
  </si>
  <si>
    <t>0915-5287</t>
  </si>
  <si>
    <t>2187-5626</t>
  </si>
  <si>
    <t>J PHYS THER SCI</t>
  </si>
  <si>
    <t>J. Phys. Ther. Sci.</t>
  </si>
  <si>
    <t>10.1589/jpts.23.945</t>
  </si>
  <si>
    <t>871YU</t>
  </si>
  <si>
    <t>WOS:000298774400027</t>
  </si>
  <si>
    <t>Arya, KN; Pandian, S; Verma, R; Garg, RK</t>
  </si>
  <si>
    <t>Arya, Kamal Narayan; Pandian, Shanta; Verma, Rajesh; Garg, R. K.</t>
  </si>
  <si>
    <t>Movement therapy induced neural reorganization and motor recovery in stroke: A review</t>
  </si>
  <si>
    <t>Stroke; Neurorehabilitation; Cortical reorganization; Neuroplasticity</t>
  </si>
  <si>
    <t>This paper is a review conducted to provide an overview of accumulated evidence on contemporary rehabilitation methods for stroke survivors. Loss of functional movement is a common consequence of stroke for which a wide range of interventions has been developed. Traditional therapeutic approaches have shown limited results for motor deficits as well as lack evidence for their effectiveness. Stroke rehabilitation is now based on the evidence of neuroplasticity, which is responsible for recovery following stroke. The neuroplastic changes in the structure and function of relevant brain areas are induced primarily by specific rehabilitation methods. The therapeutic method which induces neuroplastic changes, leads to greater motor and functional recovery than traditional methods. Further, the recovery is permanent in nature. During the last decade various novel stroke rehabilitative methods for motor recovery have been developed. This review focuses on the methods that have evidence of associated cortical level reorganization, namely task-specific training, constraint-induced movement therapy, robotic training, mental imaging, and virtual training. All of these methods utilize principles of motor learning. The findings from this review demonstrated convincing evidence both at the neural and functional level in response to such therapies. The main aim of the review was to determine the evidence for these methods and their application into clinical practice. (C) 2011 Elsevier Ltd. All rights reserved.</t>
  </si>
  <si>
    <t>[Arya, Kamal Narayan; Verma, Rajesh; Garg, R. K.] CSM Med Univ KGMU, Dept Neurol, Lucknow 226003, Uttar Pradesh, India; [Arya, Kamal Narayan; Pandian, Shanta] Univ Delhi, Minist Social Justice &amp; Empowerment, Pt Deendayal Upadhyaya Inst Physically Handicappe, New Delhi 110002, India</t>
  </si>
  <si>
    <t>King George's Medical University; University of Delhi</t>
  </si>
  <si>
    <t>Arya, KN (corresponding author), CSM Med Univ KGMU, Dept Neurol, Lucknow 226003, Uttar Pradesh, India.</t>
  </si>
  <si>
    <t>Garg, Ravindra Kumar/H-3030-2019; Arya, Kamal/E-7029-2014</t>
  </si>
  <si>
    <t>Garg, Ravindra Kumar/0000-0003-0044-7083; Arya, Kamal/0000-0001-7276-3726; PANDIAN, SHANTA/0000-0002-2520-9703</t>
  </si>
  <si>
    <t>J.Bodyw. Mov. Ther.</t>
  </si>
  <si>
    <t>10.1016/j.jbmt.2011.01.023</t>
  </si>
  <si>
    <t>V02NI</t>
  </si>
  <si>
    <t>WOS:000213676100019</t>
  </si>
  <si>
    <t>Harwin, WS; Murgia, A; Stokes, EK</t>
  </si>
  <si>
    <t>Harwin, W. S.; Murgia, A.; Stokes, E. K.</t>
  </si>
  <si>
    <t>Assessing the effectiveness of robot facilitated neurorehabilitation for relearning motor skills following a stroke</t>
  </si>
  <si>
    <t>Outcome assessment; Rehabilitation; Robotics; Stroke; Machine mediated neurorehabilitation; Mechanical impedance</t>
  </si>
  <si>
    <t>HUMAN ELBOW JOINT; ASSISTED THERAPY; IDENTIFICATION; STIFFNESS; FEEDBACK; REFLEX; DYNAMICS; RECOVERY; SYSTEM; FORCES</t>
  </si>
  <si>
    <t>A growing awareness of the potential for machine-mediated neurorehabilitation has led to several novel concepts for delivering these therapies. To get from laboratory demonstrators and prototypes to the point where the concepts can be used by clinicians in practice still requires significant additional effort, not least in the requirement to assess and measure the impact of any proposed solution. To be widely accepted a study is required to use validated clinical measures but these tend to be subjective, costly to administer and may be insensitive to the effect of the treatment. Although this situation will not change, there is good reason to consider both clinical and mechanical assessments of recovery. This article outlines the problems in measuring the impact of an intervention and explores the concept of providing more mechanical assessment techniques and ultimately the possibility of combining the assessment process with aspects of the intervention.</t>
  </si>
  <si>
    <t>[Harwin, W. S.] Univ Reading, Sch Syst Engn, Cybernet Res Grp, Reading RG6 6AY, Berks, England; [Murgia, A.] Maastricht Univ, Dept Human Movement Sci, Maastricht, Netherlands; [Stokes, E. K.] Trin Coll, Sch Med, Dept Physiotherapy, Dublin, Ireland</t>
  </si>
  <si>
    <t>University of Reading; Maastricht University; Trinity College Dublin</t>
  </si>
  <si>
    <t>Harwin, WS (corresponding author), Univ Reading, Sch Syst Engn, Cybernet Res Grp, Reading RG6 6AY, Berks, England.</t>
  </si>
  <si>
    <t>w.s.harwin@reading.ac.uk; alemurg@yahoo.co.uk; estokes@tcd.ie</t>
  </si>
  <si>
    <t>Harwin, William/N-1148-2014</t>
  </si>
  <si>
    <t>Harwin, William/0000-0002-3928-3381</t>
  </si>
  <si>
    <t>10.1007/s11517-011-0799-y</t>
  </si>
  <si>
    <t>843SZ</t>
  </si>
  <si>
    <t>WOS:000296694200002</t>
  </si>
  <si>
    <t>Loureiro, RCV; Harwin, WS; Nagai, K; Johnson, M</t>
  </si>
  <si>
    <t>Loureiro, Rui C. V.; Harwin, William S.; Nagai, Kiyoshi; Johnson, Michelle</t>
  </si>
  <si>
    <t>Advances in upper limb stroke rehabilitation: a technology push</t>
  </si>
  <si>
    <t>Stroke; Neurorehabilitation; Sensorimotor control; Upper limb; Rehabilitation robotics</t>
  </si>
  <si>
    <t>ARM TRAINING IMPROVES; EXERCISE THERAPY; ASSISTED REHABILITATION; ROBOTIC THERAPY; RECOVERY; MOTIVATION; MOVEMENTS; DURATION; PATIENT; DESIGN</t>
  </si>
  <si>
    <t>Strokes affect thousands of people worldwide leaving sufferers with severe disabilities affecting their daily activities. In recent years, new rehabilitation techniques have emerged such as constraint-induced therapy, biofeedback therapy and robot-aided therapy. In particular, robotic techniques allow precise recording of movements and application of forces to the affected limb, making it a valuable tool for motor rehabilitation. In addition, robot-aided therapy can utilise visual cues conveyed on a computer screen to convert repetitive movement practice into an engaging task such as a game. Visual cues can also be used to control the information sent to the patient about exercise performance and to potentially address psychosomatic variables influencing therapy. This paper overviews the current state-of-the-art on upper limb robot-mediated therapy with a focal point on the technical requirements of robotic therapy devices leading to the development of upper limb rehabilitation techniques that facilitate reach-to-touch, fine motor control, whole-arm movements and promote rehabilitation beyond hospital stay. The reviewed literature suggest that while there is evidence supporting the use of this technology to reduce functional impairment, besides the technological push, the challenge ahead lies on provision of effective assessment of outcome and modalities that have a stronger impact transferring functional gains into functional independence.</t>
  </si>
  <si>
    <t>[Loureiro, Rui C. V.] Middlesex Univ, Sch Engn &amp; Informat Sci, London NW4 4BT, England; [Harwin, William S.] Univ Reading, Sch Syst Engn, Reading RG6 6AY, Berks, England; [Nagai, Kiyoshi] Ritsumeikan Univ, Coll Sci &amp; Engn, Dept Robot, Shiga 5258577, Japan; [Johnson, Michelle] Med Coll Wisconsin, Milwaukee, WI 53226 USA; [Johnson, Michelle] Marquette Univ, Olin Engn Ctr, Milwaukee, WI 53233 USA</t>
  </si>
  <si>
    <t>Middlesex University; University of Reading; Ritsumeikan University; Medical College of Wisconsin; Marquette University</t>
  </si>
  <si>
    <t>Loureiro, RCV (corresponding author), Middlesex Univ, Sch Engn &amp; Informat Sci, London NW4 4BT, England.</t>
  </si>
  <si>
    <t>R.Loureiro@mdx.ac.uk</t>
  </si>
  <si>
    <t>10.1007/s11517-011-0797-0</t>
  </si>
  <si>
    <t>WOS:000296694200003</t>
  </si>
  <si>
    <t>Moreno, JC; del Ama, AJ; de los Reyes-Guzmán, A; Gil-Agudo, A; Ceres, RN; Pons, JL</t>
  </si>
  <si>
    <t>Moreno, Juan C.; del Ama, Antonio J.; de los Reyes-Guzman, Ana; Gil-Agudo, Angel; Ceres, Ramon; Pons, Jose L.</t>
  </si>
  <si>
    <t>Neurorobotic and hybrid management of lower limb motor disorders: a review</t>
  </si>
  <si>
    <t>Neurorobot; Exoskeleton; Functional electrical stimulation; Gait; Neurological diseases</t>
  </si>
  <si>
    <t>BODY-WEIGHT SUPPORT; FUNCTIONAL ELECTRICAL-STIMULATION; SPINAL-CORD-INJURY; CONTROLLED-BRAKE ORTHOSIS; UPPER-EXTREMITY; STROKE REHABILITATION; NEURAL PLASTICITY; EXOSKELETON ROBOT; GAIT; WALKING</t>
  </si>
  <si>
    <t>A neurobot (NR) is a mechatronic wearable robot that can be applied to drive a paralyzed limb. Through the application of controllable forces, a NR can assist, replace, or retrain a certain motor function. Robotic intervention in rehabilitation of motor disorders has a potential to improve traditional therapeutic interventions. Because of its flexibility, repeatability and quantifiability, NRs have been more and more applied in neurorehabilitation. Furthermore, combination of NRs with functional electrical stimulation/therapy constitutes a trend to overcome a number of practical limitations to widespread the application of NRs in clinical settings and motor control studies. In this review, we examine the motor learning principles, robotic control approaches and novel developments from studies with NRs and hybrid systems, with a focus on rehabilitation of the lower limbs.</t>
  </si>
  <si>
    <t>[Moreno, Juan C.; Ceres, Ramon; Pons, Jose L.] Natl Res Council CSIC, Bioengn Grp, Madrid 28500, Spain; [del Ama, Antonio J.; de los Reyes-Guzman, Ana; Gil-Agudo, Angel] Hosp Nacl Paraplejicos, SESCAM, Toledo, Spain</t>
  </si>
  <si>
    <t>Consejo Superior de Investigaciones Cientificas (CSIC); Hospital Nacional de Paraplejicos</t>
  </si>
  <si>
    <t>Moreno, JC (corresponding author), Natl Res Council CSIC, Bioengn Grp, Carretera Campo Real,Km 0-200, Madrid 28500, Spain.</t>
  </si>
  <si>
    <t>de los Reyes Guzmán, Ana/K-9960-2014; Gil-Agudo, Ángel/ABD-3065-2021; Moreno, Juan/G-3622-2016; del-Ama, Antonio J./G-3141-2016; Ceres, Ramon/H-3676-2017</t>
  </si>
  <si>
    <t>Pons, Jose L./0000-0003-0265-0181; del-Ama, Antonio J./0000-0001-6215-2593; Ceres, Ramon/0000-0001-9634-2256; Moreno, Juan C./0000-0001-9561-7764</t>
  </si>
  <si>
    <t>Spanish Ministry of Science and Innovation [CSD2009-00067]</t>
  </si>
  <si>
    <t>The research for this manuscript has been partially funded by grant from the Spanish Ministry of Science and Innovation CONSOLIDER INGENIO, project HYPER (Hybrid NeuroProsthetic and NeuroRobotic Devices for Functional Compensation and Rehabilitation of Motor Disorders, CSD2009-00067).</t>
  </si>
  <si>
    <t>10.1007/s11517-011-0821-4</t>
  </si>
  <si>
    <t>WOS:000296694200004</t>
  </si>
  <si>
    <t>Silvoni, S; Ramos-Murguialday, A; Cavinato, M; Volpato, C; Cisotto, G; Turolla, A; Piccione, F; Birbaumer, N</t>
  </si>
  <si>
    <t>Silvoni, Stefano; Ramos-Murguialday, Ander; Cavinato, Marianna; Volpato, Chiara; Cisotto, Giulia; Turolla, Andrea; Piccione, Francesco; Birbaumer, Niels</t>
  </si>
  <si>
    <t>Brain-Computer Interface in Stroke: a Review of Progress</t>
  </si>
  <si>
    <t>Brain-Computer Interlace; Brain-Machine Interface; Neuro-Forcefeedback; Neuroplasticity; Progress; Stroke</t>
  </si>
  <si>
    <t>FUNCTIONAL ELECTRICAL-STIMULATION; UPPER-LIMB; MOTOR IMAGERY; NEUROLOGICAL REHABILITATION; BCI; PARALYSIS; MOVEMENT; RECOVERY; PEOPLE; CORTEX</t>
  </si>
  <si>
    <t>Brain-computer interface (BCI) technology has been used for rehabilitation after stroke and there are a number of reports involving stroke patients in BCI-feedback training. Most publications have demonstrated the efficacy of BC! technology in post-stroke rehabilitation using output devices such as Functional Electrical Stimulation, robot, and orthosis. The aim of this review is to focus on the progress of BCI-based rehabilitation strategies and to underline future challenges. A brief history of clinical BCI-approaches is presented focusing on stroke motor rehabilitation. A context for three approaches of a BCI-based motor rehabilitation program is outlined: the substitutive strategy, classical conditioning and operant conditioning. Furthermore, we include an overview of a pilot study concerning a new neuro-forcefeedback strategy. This pilot study involved healthy participants. Finally we address some challenges for future BCI-based rehabilitation.</t>
  </si>
  <si>
    <t>[Silvoni, Stefano; Cavinato, Marianna; Volpato, Chiara; Cisotto, Giulia; Turolla, Andrea; Piccione, Francesco; Birbaumer, Niels] S Camillo Hosp Fdn IRRCS, Dept Neurophysiol, I-30126 Venice, Italy; [Ramos-Murguialday, Ander; Birbaumer, Niels] Univ Tubingen, Inst Med Psychol &amp; Behav Neurobiol, Tubingen, Germany; [Ramos-Murguialday, Ander] Fatron Tecnalia Germany, Tubingen, Germany</t>
  </si>
  <si>
    <t>IRCCS Ospedale San Camillo; Eberhard Karls University of Tubingen; Eberhard Karls University Hospital</t>
  </si>
  <si>
    <t>Silvoni, S (corresponding author), S Camillo Hosp Fdn IRRCS, Dept Neurophysiol, Via Alberoni 70, I-30126 Venice, Italy.</t>
  </si>
  <si>
    <t>stefano.silvoni@ospedalesancamillo.net</t>
  </si>
  <si>
    <t>Cisotto, Giulia/GRA-7650-2022; Cavinato, Marianna/JFL-0924-2023; Turolla, Andrea/IAR-5542-2023; Volpato, Chiara/AAY-7975-2020; silvoni, stefano/LTF-6027-2024; Ramos, Ander/JOZ-4341-2023; Turolla, Andrea/K-7599-2016; Piccione, Francesco/K-7214-2016</t>
  </si>
  <si>
    <t>Ramos-Murguialday, Dr. Ander/0000-0002-1549-4029; Turolla, Andrea/0000-0002-1609-8060; Birbaumer, Niels/0000-0002-6786-5127; Piccione, Francesco/0000-0002-0173-903X; Cavinato, Marianna/0000-0003-4158-9766; Cisotto, Giulia/0000-0002-9554-9367</t>
  </si>
  <si>
    <t>Fondazione Ospedale S. Camillo; Deutsche Forschungsgemeinschaft (DFG); European Research Council (ERC); Bernstein Center for Computational Neuroscience; German Ministry of Education and Research (BMBF)</t>
  </si>
  <si>
    <t>Fondazione Ospedale S. Camillo; Deutsche Forschungsgemeinschaft (DFG)(German Research Foundation (DFG)); European Research Council (ERC)(European Research Council (ERC)); Bernstein Center for Computational Neuroscience; German Ministry of Education and Research (BMBF)(Federal Ministry of Education &amp; Research (BMBF))</t>
  </si>
  <si>
    <t>Supported by Fondazione Ospedale S. Camillo, Deutsche Forschungsgemeinschaft (DFG), European Research Council (ERC), Bernstein Center for Computational Neuroscience, German Ministry of Education and Research (BMBF). We are grateful to the contribution of Jurgen Mellinger and Ernesto Soares in developing the BMI system.</t>
  </si>
  <si>
    <t>10.1177/155005941104200410</t>
  </si>
  <si>
    <t>849RJ</t>
  </si>
  <si>
    <t>WOS:000297142500008</t>
  </si>
  <si>
    <t>Knecht, S; Hesse, S; Oster, P</t>
  </si>
  <si>
    <t>Knecht, Stefan; Hesse, Stefan; Oster, Peter</t>
  </si>
  <si>
    <t>Rehabilitation After Stroke</t>
  </si>
  <si>
    <t>DEUTSCHES ARZTEBLATT INTERNATIONAL</t>
  </si>
  <si>
    <t>UPPER-LIMB; MOTOR RECOVERY; DOUBLE-BLIND; SEVERITY; THERAPY; PHYSIOTHERAPY; APHASIA; IMPACT; RETURN; CARE</t>
  </si>
  <si>
    <t>Background: Stroke is becoming more common in Germany as the population ages. Its long-term sequelae can be alleviated by early reperfusion in stroke units and by complication management and functional restoration in early-rehabilitation and rehabilitation centers. Methods: Selective review of the literature. Results: Successful rehabilitation depends on systematic treatment by an interdisciplinary team of experienced specialists. In the area of functional restoration, there has been major progress in our understanding of the physiology of learning, relearning, training, and neuroenhancement. There have also been advances in supportive pharmacotherapy and robot technology. Conclusion: Well-organized acute and intermediate rehabilitation after stroke can provide patients with the best functional results attainable on the basis of our current scientific understanding. Further experimental and clinical studies will be needed to expand our knowledge and improve the efficacy of rehabilitation.</t>
  </si>
  <si>
    <t>[Knecht, Stefan] Neurol Univ Klin Munster, D-48129 Munster, Germany; [Hesse, Stefan] Charite Univ Med Berlin, Berlin, Germany; [Oster, Peter] Agaples Bethanien Krankenhaus Heidelberg, Geriatr Zentrum, Heidelberg, Germany</t>
  </si>
  <si>
    <t>Knecht, S (corresponding author), Neurol Univ Klin Munster, D-48129 Munster, Germany.</t>
  </si>
  <si>
    <t>knecht@uni-muenster.de</t>
  </si>
  <si>
    <t>Knecht, Stefan/0000-0003-1056-9228</t>
  </si>
  <si>
    <t>DEUTSCHER AERZTE-VERLAG GMBH</t>
  </si>
  <si>
    <t>COLOGNE</t>
  </si>
  <si>
    <t>DIESELSTRABE 2, POSTFACH 400265, D-50859 COLOGNE, GERMANY</t>
  </si>
  <si>
    <t>1866-0452</t>
  </si>
  <si>
    <t>DTSCH ARZTEBL INT</t>
  </si>
  <si>
    <t>Dtsch. Arztebl. Int.</t>
  </si>
  <si>
    <t>SEP 9</t>
  </si>
  <si>
    <t>U29</t>
  </si>
  <si>
    <t>10.3238/arztebl.2011.0600</t>
  </si>
  <si>
    <t>846KL</t>
  </si>
  <si>
    <t>WOS:000296896500004</t>
  </si>
  <si>
    <t>Péter, O; Fazekas, G; Zsiga, K; Dénes, Z</t>
  </si>
  <si>
    <t>Peter, Orsolya; Fazekas, Gabor; Zsiga, Katalin; Denes, Zoltan</t>
  </si>
  <si>
    <t>Robot-mediated upper limb physiotherapy: review and recommendations for future clinical trials</t>
  </si>
  <si>
    <t>arm; hemiparesis; rehabilitation; robot-assisted therapy; robotics; stroke; upper extremity</t>
  </si>
  <si>
    <t>CHRONIC STROKE PATIENTS; ASSISTED THERAPY; FUNCTIONAL RECOVERY; MOTOR FUNCTION; ARM; REHABILITATION; NEUROREHABILITATION; EXERCISE; SYSTEM; HEMIPARESIS</t>
  </si>
  <si>
    <t>Robot-mediated physiotherapy provides a new possibility for improving the outcome of rehabilitation of patients who are recovering from stroke. This study is a review of robot-supported upper limb physiotherapy focusing on the shoulder, elbow, and wrist. A literature search was carried out in PubMed, OVID, and EBSCO for clinical trials with robots providing shoulder, elbow, or wrist therapy. Results concerning motor control, spasticity, functional outcome, and the main features of the studies were evaluated. A total of 178 papers were found. On the basis of inclusion/exclusion criteria, 30 studies remained for evaluation. In these trials, a total of 493 patients received robot-aided therapy. The Fugl-Meyer assessment was the most commonly used motor scale, and in 24 of 27 trials, motor function improved significantly. The application of the Modified Ashworth Scale showed that spasticity decreased significantly in nine of 21 trials. Functional scales were only examined in one-third of the studies with significant changes being found in half of them. The intensity and duration of the interventions as well as the elapsed time poststroke were varied. There are several scales, which were used in only a few trials. Unifying the methodology in robotic trials is desirable. Clarification of the acute/subacute/chronic categories, standardizing the application of certain scales for outcome measure in each trial, use of functional scales, and a clearer description of the interventions are recommended. International Journal of Rehabilitation Research 34:196-202 (C) 2011 Wolters Kluwer Health | Lippincott Williams &amp; Wilkins.</t>
  </si>
  <si>
    <t>[Peter, Orsolya; Fazekas, Gabor; Zsiga, Katalin; Denes, Zoltan] Natl Inst Med Rehabil, H-1528 Budapest, Hungary; [Peter, Orsolya; Fazekas, Gabor; Zsiga, Katalin] Szent Janos Hosp, Budapest, Hungary</t>
  </si>
  <si>
    <t>Fazekas, G (corresponding author), Natl Inst Med Rehabil, Szanatorium Str 19, H-1528 Budapest, Hungary.</t>
  </si>
  <si>
    <t>Denes, Zoltan/ABD-3470-2021; Fazekas, Gabor/HLG-5968-2023</t>
  </si>
  <si>
    <t>530 WALNUT ST, PHILADELPHIA, PA 19106-3621 USA</t>
  </si>
  <si>
    <t>10.1097/MRR.0b013e328346e8ad</t>
  </si>
  <si>
    <t>805MS</t>
  </si>
  <si>
    <t>WOS:000293731700002</t>
  </si>
  <si>
    <t>Wang, CJ; Wang, CX; Zhang, LQ; Wang, YL; Wang, YJ</t>
  </si>
  <si>
    <t>Wang, Chun-Juan; Wang, Chun-Xue; Zhang, Liqun; Wang, Yi-Long; Wang, Yong-Jun</t>
  </si>
  <si>
    <t>Advances in stroke care and research in 2010</t>
  </si>
  <si>
    <t>CLINICAL AND EXPERIMENTAL PHARMACOLOGY AND PHYSIOLOGY</t>
  </si>
  <si>
    <t>advances; management; prevention; rehabilitation; stroke</t>
  </si>
  <si>
    <t>TRANSIENT ISCHEMIC ATTACK; ACUTE INTRACEREBRAL HEMORRHAGE; SYMPTOMATIC CAROTID STENOSIS; HIGH-DENSITY-LIPOPROTEIN; RISK PATIENTS MATCH; GUIDELINES-STROKE; BLOOD-PRESSURE; PLASMINOGEN-ACTIVATOR; INTRAVENOUS ALTEPLASE; INTRACRANIAL ANEURYSM</t>
  </si>
  <si>
    <t>1. There have been many advances in stroke research and care over the past year. The aim of the present review is to highlight the significant advances that are likely to have considerable impact on the direction of future investigations and models of clinical practice. 2. In terms of the acute treatment of stroke, there is now Level I evidence for the use of thrombolysis in the treatment of ischaemic stroke. The results of clinical trials suggest potential new treatments for stroke of inherited origin, whereas other potential treatments have been suggested following the identification of a novel mechanism of emboli clearance by extravasation. Clinical guidelines have also been updated, with tight blood pressure control advocated in cases of acute intracerebral haemorrhage. 3. In terms of stroke prevention, new information has been added to the long-standing debate regarding the value of carotid stenosis management: the predictive value of asymptomatic carotid emboli may enable the identification of individuals at high risk of stroke. Furthermore, the identification of novel risk factors for stroke opens up new avenues for stroke prevention. 4. Robot-assisted therapy has heralded a new era in stroke rehabilitation and the 'Get With The Guidelines' programme has set a milestone in the quality control of stroke care. 5. Undoubtedly these advances will have a marked impact on future research and clinical practice.</t>
  </si>
  <si>
    <t>[Wang, Chun-Juan; Wang, Chun-Xue; Wang, Yi-Long; Wang, Yong-Jun] Capital Med Univ, Dept Neurol, Beijing Tiantan Hosp, Beijing 100050, Peoples R China; [Zhang, Liqun] St George Hosp, Dept Neurol, London, England</t>
  </si>
  <si>
    <t>Capital Medical University; City St Georges, University of London</t>
  </si>
  <si>
    <t>Wang, YJ (corresponding author), Capital Med Univ, Dept Neurol, Beijing Tiantan Hosp, 6 Tiantan Xili, Beijing 100050, Peoples R China.</t>
  </si>
  <si>
    <t>yongjunwang111@yahoo.com.cn</t>
  </si>
  <si>
    <t>Liu, Xiangjun/KDO-0791-2024; Zhang, Liqun/JDN-3523-2023</t>
  </si>
  <si>
    <t>zhang, liqun/0000-0001-6983-7915</t>
  </si>
  <si>
    <t>Ministry of Science and Technology; Ministry of Health of the People's Republic of China [2008ZX09312-008, 2009CB521905]</t>
  </si>
  <si>
    <t>Ministry of Science and Technology(Spanish Government); Ministry of Health of the People's Republic of China</t>
  </si>
  <si>
    <t>The authors are grateful to Dr Wan-Liang Du (Department of Neurology, Beijing Tiantan Hospital, Capital Medical University, Beijing, China) for help with the preparation of this manuscript. The authors' work reported herein was funded by the Ministry of Science and Technology and the Ministry of Health of the People's Republic of China (grant no. 2008ZX09312-008 and 2009CB521905). The authors thank Dr Natalie Korszniak for English language editing of the paper.</t>
  </si>
  <si>
    <t>0305-1870</t>
  </si>
  <si>
    <t>1440-1681</t>
  </si>
  <si>
    <t>CLIN EXP PHARMACOL P</t>
  </si>
  <si>
    <t>Clin. Exp. Pharmacol. Physiol.</t>
  </si>
  <si>
    <t>10.1111/j.1440-1681.2011.05566.x</t>
  </si>
  <si>
    <t>Pharmacology &amp; Pharmacy; Physiology</t>
  </si>
  <si>
    <t>815XP</t>
  </si>
  <si>
    <t>WOS:000294563600003</t>
  </si>
  <si>
    <t>Baker, K; Cano, SJ; Playford, ED</t>
  </si>
  <si>
    <t>Baker, Karen; Cano, Stefan J.; Playford, E. Diane</t>
  </si>
  <si>
    <t>Outcome Measurement in Stroke A Scale Selection Strategy</t>
  </si>
  <si>
    <t>cerebrovascular disorders; outcomes; rehabilitation; scales; upper extremity</t>
  </si>
  <si>
    <t>UPPER-LIMB; CLINICAL-TRIALS; RATING-SCALES; REHABILITATION; VALIDITY; PATIENT</t>
  </si>
  <si>
    <t>Background and Purpose-Evaluating the impact of new treatments requires the use of reliable, valid, and responsive outcome measures. However, given the wide range of instruments currently available, it is not always straightforward for healthcare professionals to select the most appropriate tool. In this review, we propose a potential approach to scale selection. Methods-In designing a new study of the impact of a robotic device in stroke rehabilitation, we developed a three-stage scale selection strategy. First, two guidance documents (Medical Outcome Trust and Food and Drug Administration PRO Guidance) were reviewed to identify key scale assessment criteria. Second, consideration was given at a theoretical level of the concepts and domains relevant to the goals our study. Third, a comprehensive literature search strategy and review were developed in conjunction with healthcare professionals and psychometricians. Identified scales were appraised regarding their psychometric properties and clinical content. Results-Forty-five measures were initially identified and appraised. From a clinical content perspective, none of the measures were considered to be sufficient on their own to capture all the important outcome domains in this study. However, 3 measures were identified that best met our review criteria: Stroke Rehabilitation Assessment of Movement, Chedoke Arm and Hand Inventory, and ABILHAND. After the final stage of scale appraisal, two further upper limb scales (Fugl-Meyer and Action Research Arm Test) were included based on clinical content and study design issues. Conclusions-Our three-stage review process appears to be a potentially useful approach for evidence-based scale selection in stroke rehabilitation studies. (Stroke. 2011; 42: 1787-1794.)</t>
  </si>
  <si>
    <t>[Cano, Stefan J.] Peninsula Coll Med &amp; Dent, Clin Neurol Res Grp, Plymouth PL6 8BX, Devon, England; [Baker, Karen; Cano, Stefan J.; Playford, E. Diane] UCL Inst Neurol, Dept Brain Repair &amp; Rehabil, London, England</t>
  </si>
  <si>
    <t>University of Plymouth; University of London; University College London</t>
  </si>
  <si>
    <t>Cano, SJ (corresponding author), Peninsula Coll Med &amp; Dent, Clin Neurol Res Grp, Room N13 ITTC Bldg 1,Tamar Sci Pk,Davy Rd, Plymouth PL6 8BX, Devon, England.</t>
  </si>
  <si>
    <t>stefan.cano@pcmd.ac.uk</t>
  </si>
  <si>
    <t>Playford, Diane/F-1467-2010</t>
  </si>
  <si>
    <t>Playford, E Diane/0000-0001-7314-787X</t>
  </si>
  <si>
    <t>The research referred to in this article is funded by the Stroke Association.</t>
  </si>
  <si>
    <t>10.1161/STROKEAHA.110.608505</t>
  </si>
  <si>
    <t>769QH</t>
  </si>
  <si>
    <t>WOS:000291032700069</t>
  </si>
  <si>
    <t>Hussain, S; Xie, SQ; Liu, GY</t>
  </si>
  <si>
    <t>Hussain, Shahid; Xie, Sheng Quan; Liu, Guangyu</t>
  </si>
  <si>
    <t>Robot assisted treadmill training: Mechanisms and training strategies</t>
  </si>
  <si>
    <t>Active orthosis; Compliance; Gait rehabilitation; Treadmill training; Robotics; Training strategies; Neurologic injuries</t>
  </si>
  <si>
    <t>BODY-WEIGHT SUPPORT; IMPEDANCE CONTROL; STROKE PATIENTS; MUSCLE-ACTIVITY; FLOOR WALKING; GAIT; REHABILITATION; INDIVIDUALS; LOCOMOTION; DEVICE</t>
  </si>
  <si>
    <t>The rehabilitation engineering community is working towards the development of robotic devices that can assist during gait training of patients suffering from neurologic injuries such as stroke and spinal cord injuries (SCI). The field of robot assisted treadmill training has rapidly evolved during the last decade. The robotic devices can provide repetitive, systematic and prolonged gait training sessions. This paper presents a review of the treadmill based robotic gait training devices. An overview of design configurations and actuation methods used for these devices is provided. Training strategies designed to actively involve the patient in robot assisted treadmill training are studied. These training strategies assist the patient according to the level of disability and type of neurologic injury. Although the efficacy of these training strategies is not clinically proven, adaptive strategies may result in substantial improvements. We end our review with a discussion covering major advancements made at device design and training strategies level and potential challenges to the field. (C) 2010 IPEM. Published by Elsevier Ltd. All rights reserved.</t>
  </si>
  <si>
    <t>[Hussain, Shahid; Xie, Sheng Quan; Liu, Guangyu] Univ Auckland, Dept Mech Engn, Auckland 1142, New Zealand</t>
  </si>
  <si>
    <t>Hussain, S (corresponding author), Univ Auckland, Dept Mech Engn, 20 Symonds St, Auckland 1142, New Zealand.</t>
  </si>
  <si>
    <t>shus045@aucklanduni.ac.nz</t>
  </si>
  <si>
    <t>Liu, Guangyu/KHU-0387-2024; Xie, Sheng/AAU-3957-2021; Hussain, Shahid/AAP-5065-2021</t>
  </si>
  <si>
    <t>Liu, Guangyu/0000-0001-7393-5497; Xie, Sheng Quan/0000-0003-2641-2620</t>
  </si>
  <si>
    <t>The authors would like to acknowledge the support of the Faculty Research Development Fund from the Faculty of Engineering, The University of Auckland, New Zealand.</t>
  </si>
  <si>
    <t>10.1016/j.medengphy.2010.12.010</t>
  </si>
  <si>
    <t>776HM</t>
  </si>
  <si>
    <t>WOS:000291525100001</t>
  </si>
  <si>
    <t>Naik, GR; Arjunan, S; Kumar, D</t>
  </si>
  <si>
    <t>Naik, Ganesh R.; Arjunan, Sridhar; Kumar, Dinesh</t>
  </si>
  <si>
    <t>Applications of ICA and fractal dimension in sEMG signal processing for subtle movement analysis: a review</t>
  </si>
  <si>
    <t>AUSTRALASIAN PHYSICAL &amp; ENGINEERING SCIENCES IN MEDICINE</t>
  </si>
  <si>
    <t>Independent component analysis; Blind source separation; Fractal theory; Fractal dimension; Surface electromyography</t>
  </si>
  <si>
    <t>INDEPENDENT COMPONENT ANALYSIS; ELECTROMYOGRAPHIC SIGNALS; EMG SIGNALS; SURFACE EMG; WAVELET TRANSFORM; TIME-SERIES; CLASSIFICATION; ARTIFACTS; EEG; SEPARATION</t>
  </si>
  <si>
    <t>The surface electromyography (sEMG) signal separation and decphompositions has always been an interesting research topic in the field of rehabilitation and medical research. Subtle myoelectric control is an advanced technique concerned with the detection, processing, classification, and application of myoelectric signals to control human-assisting robots or rehabilitation devices. This paper reviews recent research and development in independent component analysis and Fractal dimensional analysis for sEMG pattern recognition, and presents state-of-the-art achievements in terms of their type, structure, and potential application. Directions for future research are also briefly outlined.</t>
  </si>
  <si>
    <t>[Naik, Ganesh R.; Arjunan, Sridhar; Kumar, Dinesh] RMIT Univ, Sch Elect &amp; Comp Engn, Melbourne, Australia</t>
  </si>
  <si>
    <t>Naik, GR (corresponding author), RMIT Univ, Sch Elect &amp; Comp Engn, Melbourne, Australia.</t>
  </si>
  <si>
    <t>ganesh.naik@rmit.edu.au</t>
  </si>
  <si>
    <t>Kumar, Dinesh/AAW-5583-2020; P. Arjunan, Sridhar/F-5966-2012; Naik, Ganesh/G-5538-2011</t>
  </si>
  <si>
    <t>Kumar, Dinesh/0000-0003-3602-4023; P. Arjunan, Sridhar/0000-0002-7288-0380; Naik, Ganesh/0000-0003-1790-9838</t>
  </si>
  <si>
    <t>0158-9938</t>
  </si>
  <si>
    <t>1879-5447</t>
  </si>
  <si>
    <t>AUSTRALAS PHYS ENG S</t>
  </si>
  <si>
    <t>Australas. Phys. Eng. Sci. Med.</t>
  </si>
  <si>
    <t>10.1007/s13246-011-0066-4</t>
  </si>
  <si>
    <t>782VG</t>
  </si>
  <si>
    <t>WOS:000292040100002</t>
  </si>
  <si>
    <t>Galvin, J; McDonald, R; Catroppa, C; Anderson, V</t>
  </si>
  <si>
    <t>Galvin, Jane; McDonald, Rachael; Catroppa, Cathy; Anderson, Vicki</t>
  </si>
  <si>
    <t>Does intervention using virtual reality improve upper limb function in children with neurological impairment: A systematic review of the evidence</t>
  </si>
  <si>
    <t>Virtual reality; pediatrics; brain injury; cerebral palsy; rehabilitation</t>
  </si>
  <si>
    <t>TRAUMATIC BRAIN-INJURY; CEREBRAL-PALSY; REHABILITATION; FEASIBILITY; THERAPY</t>
  </si>
  <si>
    <t>Background: Virtual reality (VR) is an emerging area of paediatric clinical and research practice, however the majority of research to date has focused on outcomes for adults following stroke. This paper appraises and describes current evidence for use of virtual reality interventions to improve upper limb function of children with neurological impairment. Methods: A comprehensive database search was undertaken to explore literature on the use of VR systems for rehabilitation of upper limb skills of children with neurological impairment. Studies investigating the use of robotics or other mechanical devices were excluded. Five studies were found and were critiqued using the Downs and Black scale for measuring study quality. Results: One randomized control trial and four case studies were found. No study scored over 50% on the Downs and Black scale, indicating methodological limitations that limit generalizability. Conclusions: Current evidence for the use of VR to improve hand and arm skills is at an emerging stage. Small sample sizes and inconsistencies in outcome measurement limit the ability to generalize findings. Further studies are required to investigate the ability to maintain gains made in VR over time and to determine whether gains transfer from the VR to real life tasks and activities.</t>
  </si>
  <si>
    <t>[Galvin, Jane] Royal Childrens Hosp, Victorian Paediat Rehabil Serv, Melbourne, Vic, Australia; [Galvin, Jane; Catroppa, Cathy; Anderson, Vicki] Murdoch Childrens Res Inst, Melbourne, Vic, Australia; [Galvin, Jane; Catroppa, Cathy; Anderson, Vicki] Univ Melbourne, Melbourne, Vic, Australia; [McDonald, Rachael] Monash Univ, Melbourne, Vic 3004, Australia</t>
  </si>
  <si>
    <t>Royal Children's Hospital Melbourne; Murdoch Children's Research Institute; University of Melbourne; Monash University</t>
  </si>
  <si>
    <t>Galvin, J (corresponding author), Royal Childrens Hosp, Victorian Paediat Rehabil Serv, Flemington Rd, Parkville, Vic 3052, Australia.</t>
  </si>
  <si>
    <t>jane.galvin@rch.org.au</t>
  </si>
  <si>
    <t>Catroppa, Cathy/AAX-9458-2021</t>
  </si>
  <si>
    <t>McDonald, Rachael/0000-0002-9991-1255</t>
  </si>
  <si>
    <t>Victorian Neurotrauma Initiative</t>
  </si>
  <si>
    <t>This project was supported by a project grant from the Victorian Neurotrauma Initiative.</t>
  </si>
  <si>
    <t>10.3109/02699052.2011.558047</t>
  </si>
  <si>
    <t>745KQ</t>
  </si>
  <si>
    <t>WOS:000289164700001</t>
  </si>
  <si>
    <t>Sharma, SC; Kumar, R; Sagar, P</t>
  </si>
  <si>
    <t>Sharma, S. C.; Kumar, Rajeev; Sagar, Prem</t>
  </si>
  <si>
    <t>ENT surgery-current scope, problems and perspective</t>
  </si>
  <si>
    <t>TRENDS IN ANAESTHESIA AND CRITICAL CARE</t>
  </si>
  <si>
    <t>Sialology; FESS; Skull-base; Navigation system; Balloon sinuplasty</t>
  </si>
  <si>
    <t>ENT surgery as a speciality has evolved rapidly in recent times. The concept of conservative surgery in each sub-speciality is the trend now-a-days. In Sialology, salivary gland preservation is the new concept. Similarly FESS and transoral laser surgery for laryngeal pathology aim to conserve the functional aspects of paranasal sinuses and larynx respectively. Computer aided image guidance and robotic surgery are the technological advances in the recent times, which are helping the surgeons to deal with difficult cases. The current problems of ENT as a whole lie in the post-operative morbidity in terms of lower cranial nerve palsies in skull-base surgery, speech and swallowing problems in laryngeal and oral cavity resections. The rehabilitation of this subset of patients need special attention. The future of ENT lies in the conservative surgery, robotic surgery and image guidance surgery. (C) 2011 Elsevier Ltd. All rights reserved.</t>
  </si>
  <si>
    <t>[Sharma, S. C.] AIIMS, Dept ENT Head &amp; Neck Surg, New Delhi, India; [Kumar, Rajeev; Sagar, Prem] AIIMS, Dept ENT, New Delhi, India</t>
  </si>
  <si>
    <t>All India Institute of Medical Sciences (AIIMS) New Delhi; All India Institute of Medical Sciences (AIIMS) New Delhi</t>
  </si>
  <si>
    <t>Sharma, SC (corresponding author), AIIMS, Dept ENT Head &amp; Neck Surg, New Delhi, India.</t>
  </si>
  <si>
    <t>suresh6sharma@yahoo.com</t>
  </si>
  <si>
    <t>2210-8440</t>
  </si>
  <si>
    <t>2210-8467</t>
  </si>
  <si>
    <t>TRENDS ANAESTH CRIT</t>
  </si>
  <si>
    <t>Trends Anaesth. Crit. Care</t>
  </si>
  <si>
    <t>10.1016/j.tacc.2011.01.005</t>
  </si>
  <si>
    <t>V6J6G</t>
  </si>
  <si>
    <t>WOS:000420343700002</t>
  </si>
  <si>
    <t>Ellaway, PH; Kuppuswamy, A; Balasubramaniam, AV; Maksimovic, R; Gall, A; Craggs, MD; Mathias, CJ; Bacon, M; Prochazka, A; Kowalczewski, J; Conway, BA; Galen, S; Catton, CJ; Allan, DB; Curt, A; Wirth, B; van Hedel, HJA</t>
  </si>
  <si>
    <t>Ellaway, P. H.; Kuppuswamy, A.; Balasubramaniam, A. V.; Maksimovic, R.; Gall, A.; Craggs, M. D.; Mathias, C. J.; Bacon, M.; Prochazka, A.; Kowalczewski, J.; Conway, B. A.; Galen, S.; Catton, C. J.; Allan, D. B.; Curt, A.; Wirth, B.; van Hedel, H. J. A.</t>
  </si>
  <si>
    <t>Development of quantitative and sensitive assessments of physiological and functional outcome during recovery from spinal cord injury: A Clinical Initiative</t>
  </si>
  <si>
    <t>BRAIN RESEARCH BULLETIN</t>
  </si>
  <si>
    <t>Spinal cord injury; Outcome measures; Sensorimotor function; Rehabilitation</t>
  </si>
  <si>
    <t>TRANSCRANIAL MAGNETIC STIMULATION; MOTOR-EVOKED-POTENTIALS; CUTANEOUS ELECTRICAL-STIMULATION; ICCP PANEL; PERCEPTUAL THRESHOLD; CORTICOSPINAL FUNCTION; PARKINSONS-DISEASE; ANKLE DEXTERITY; UPPER-EXTREMITY; STROKE PATIENTS</t>
  </si>
  <si>
    <t>The ability to detect physiological changes associated with treatments to effect axonal regeneration, or novel rehabilitation strategies, for spinal cord injury will be challenging using the widely employed American Spinal Injuries Association (ASIA) impairment scales (AIS) for sensory and motor function. Despite many revisions to the AIS standard neurological assessment, there remains a perceived need for more sensitive, quantitative and objective outcome measures. The purpose of Stage 1 of the Clinical Initiative was to develop these tools and then, in Stage 2 to test them for reliability against natural recovery and treatments expected to produce functional improvements in those with complete or incomplete spinal cord injury (SCI). Here we review aspects of the progress made by four teams involved in Stage 2. The strategies employed by the individual teams were (1) application of repetitive transcranial magnetic stimulation (rTMS) to the motor cortex in stable (chronic) SCI with intent to induce functional improvement of upper limb function, (2) a tele-rehabilitation approach using functional electrical stimulation to provide hand opening and grip allowing incomplete SCI subjects to deploy an instrumented manipulandum for hand and arm exercises and to play computer games, (3) weight-assisted treadmill walking therapy (WAT) comparing outcomes in acute and chronic groups of incomplete SCI patients receiving robotic assisted treadmill therapy, and (4) longitudinal monitoring of the natural progress of recovery in incomplete SCI subjects using motor tests for the lower extremity to investigate strength and coordination. (C) 2010 Elsevier Inc. All rights reserved.</t>
  </si>
  <si>
    <t>[Ellaway, P. H.; Kuppuswamy, A.; Balasubramaniam, A. V.; Maksimovic, R.; Mathias, C. J.] Univ London Imperial Coll Sci Technol &amp; Med, Dept Clin Neurosci, London W6 8RP, England; [Gall, A.; Craggs, M. D.] Royal Natl Orthopaed Hosp NHS Trust, London Spinal Cord Injuries Ctr, Stanmore HA7 4LP, Middx, England; [Craggs, M. D.] UCL, Div Surg &amp; Intervent Sci, Inst Orthopaed &amp; Musculoskeletal Sci, London WC1E 6BT, England; [Bacon, M.] Int Spinal Res Trust, Bramley GU5 0AZ, England; [Prochazka, A.; Kowalczewski, J.] Univ Alberta, Ctr Neurosci, Edmonton, AB T6G 2S2, Canada; [Conway, B. A.; Galen, S.; Catton, C. J.] Univ Strathclyde, Bioengn Unit, Glasgow G4 0NW, Lanark, Scotland; [Conway, B. A.; Galen, S.; Allan, D. B.] So Gen Hosp, Queen Elizabeth Natl Spinal Injuries Unit, Glasgow, Lanark, Scotland; [Curt, A.; Wirth, B.; van Hedel, H. J. A.] Univ Zurich, Spinal Cord Injury Ctr, CH-8008 Zurich, Switzerland; [Curt, A.; Wirth, B.; van Hedel, H. J. A.] Balgrist Univ Hosp, CH-8008 Zurich, Switzerland; [Wirth, B.] Swiss Fed Inst Technol, Inst Human Movement Sci &amp; Sport, CH-8092 Zurich, Switzerland</t>
  </si>
  <si>
    <t>Imperial College London; University of London; University College London; Royal National Orthopaedic Hospital NHS Trust; University of London; University College London; University of Alberta; University of Strathclyde; University of Glasgow; University of Zurich; University of Zurich; Swiss Federal Institutes of Technology Domain; ETH Zurich</t>
  </si>
  <si>
    <t>Ellaway, PH (corresponding author), Univ London Imperial Coll Sci Technol &amp; Med, Dept Clin Neurosci, Charing Cross Campus,St Dunstans Rd, London W6 8RP, England.</t>
  </si>
  <si>
    <t>p.ellaway@imperial.ac.uk</t>
  </si>
  <si>
    <t>van Hedel, Hubertus/AAL-3818-2021; Conway, Bernard/A-9625-2016</t>
  </si>
  <si>
    <t>Conway, Bernard A/0000-0002-0069-0131; van Hedel, Hubertus/0000-0002-9577-5049; Kuppuswamy, Annapoorna/0000-0002-4288-0814; Galen, Sujay/0009-0001-8809-2960</t>
  </si>
  <si>
    <t>International Spinal Research Trust</t>
  </si>
  <si>
    <t>This work was supported by the International Spinal Research Trust.</t>
  </si>
  <si>
    <t>0361-9230</t>
  </si>
  <si>
    <t>1873-2747</t>
  </si>
  <si>
    <t>BRAIN RES BULL</t>
  </si>
  <si>
    <t>Brain Res. Bull.</t>
  </si>
  <si>
    <t>4-5</t>
  </si>
  <si>
    <t>10.1016/j.brainresbull.2010.08.007</t>
  </si>
  <si>
    <t>741PR</t>
  </si>
  <si>
    <t>WOS:000288876500010</t>
  </si>
  <si>
    <t>Sivan, M; O'Connor, RJ; Makower, S; Levesley, M; Bhakta, B</t>
  </si>
  <si>
    <t>Sivan, Manoj; O'Connor, Rory J.; Makower, Sophie; Levesley, Martin; Bhakta, Bipinchandra</t>
  </si>
  <si>
    <t>SYSTEMATIC REVIEW OF OUTCOME MEASURES USED IN THE EVALUATION OF ROBOT-ASSISTED UPPER LIMB EXERCISE IN STROKE</t>
  </si>
  <si>
    <t>rehabilitation; robotic devices; scales; ICF; psychometrics</t>
  </si>
  <si>
    <t>FUGL-MEYER ASSESSMENT; MODIFIED ASHWORTH SCALE; BLINDED RANDOMIZED-TRIAL; SEVERELY AFFECTED ARM; MOTOR RECOVERY; BARTHEL INDEX; FUNCTIONAL RECOVERY; HEMIPLEGIC PATIENT; MEDIATED THERAPY; POST-STROKE</t>
  </si>
  <si>
    <t>Objective: To classify and evaluate outcome measures currently used in robot-assisted exercise trials (RAET) in stroke, and to determine selection criteria for outcome measures in future trials. Methods: Outcome measures used in RAET were identified from MEDLINE, EMBASE, CINAHL, Pub Med and PsychINFO databases. The scale items were categorized into International Classification of Functioning Disability and Health (ICF) domains. The psychometric properties of scale were rated using a standardized pro forma. Results: Thirty outcome measures were identified from 28 published RAET. Commonly used ICF body function scales were: Fugl-Meyer (FM) (24 studies), Modified Ashworth Scale (13 studies), Medical Research Council (11 studies), Kinematic measures (8 studies) and Motor Status Score (6 studies); ICF activity scale was Functional Independence Measure (FIMTM) (9 studies); ICF participation, personal and environmental factors scales were rarely used. Standardized rating identified that FM, kinematic measures, Action Research Arm Test, Wolf Motor Function Test, FIMTM, and ABILHAND have adequate measurement properties for use in RAET. Conclusion: Some of the currently used outcome measures seem appropriate for RAET. The use of the ICF framework enables selection of an appropriate combination of outcome measures depending on patient characteristics, such as severity of weakness and chronicity of stroke impairments.</t>
  </si>
  <si>
    <t>[Sivan, Manoj] Univ Leeds, Acad Dept Rehabil Med, Leeds Gen Infirm, Leeds LS1 3EX, W Yorkshire, England; [Sivan, Manoj; O'Connor, Rory J.; Bhakta, Bipinchandra] Univ Leeds, Leeds Teaching Hosp NHS Trust, Natl Demonstrat Ctr Rehabil Med, Leeds LS1 3EX, W Yorkshire, England; [O'Connor, Rory J.; Makower, Sophie] Univ Leeds, NHS Leeds Community Healthcare, Community Rehabil Unit, Leeds LS1 3EX, W Yorkshire, England; [Levesley, Martin] Univ Leeds, Dept Mech Engn, Leeds LS1 3EX, W Yorkshire, England</t>
  </si>
  <si>
    <t>Leeds General Infirmary; University of Leeds; University of Leeds; University of Leeds; University of Leeds</t>
  </si>
  <si>
    <t>M.Sivan@leeds.ac.uk</t>
  </si>
  <si>
    <t>O'Connor, Rory/0000-0002-4643-9794; Sivan, Prof Manoj/0000-0002-0334-2968</t>
  </si>
  <si>
    <t>10.2340/16501977-0674</t>
  </si>
  <si>
    <t>721WL</t>
  </si>
  <si>
    <t>WOS:000287388400001</t>
  </si>
  <si>
    <t>Díaz, I; Gil, JJ; Sánchez, E</t>
  </si>
  <si>
    <t>Diaz, Inaki; Juan Gil, Jorge; Sanchez, Emilio</t>
  </si>
  <si>
    <t>Lower-Limb Robotic Rehabilitation: Literature Review and Challenges</t>
  </si>
  <si>
    <t>ANKLE-FOOT ORTHOSIS; BODY-WEIGHT SUPPORT; SPINAL-CORD; GAIT REHABILITATION; STROKE PATIENTS; WALKING; THERAPY; TRAINER; SYSTEM; EXOSKELETON</t>
  </si>
  <si>
    <t>This paper presents a survey of existing robotic systems for lower-limb rehabilitation. It is a general assumption that robotics will play an important role in therapy activities within rehabilitation treatment. In the last decade, the interest in the field has grown exponentially mainly due to the initial success of the early systems and the growing demand caused by increasing numbers of stroke patients and their associate rehabilitation costs. As a result, robot therapy systems have been developed worldwide for training of both the upper and lower extremities. This work reviews all current robotic systems to date for lower-limb rehabilitation, as well as main clinical tests performed with them, with the aim of showing a clear starting point in the field. It also remarks some challenges that current systems still have to meet in order to obtain a broad clinical and market acceptance.</t>
  </si>
  <si>
    <t>[Diaz, Inaki; Juan Gil, Jorge; Sanchez, Emilio] CEIT, Appl Mech Dept, Paseo Manuel Lardizabal 15, San Sebastian 20018, Spain</t>
  </si>
  <si>
    <t>University of Navarra</t>
  </si>
  <si>
    <t>Díaz, I (corresponding author), CEIT, Appl Mech Dept, Paseo Manuel Lardizabal 15, San Sebastian 20018, Spain.</t>
  </si>
  <si>
    <t>idiaz@ceit.es</t>
  </si>
  <si>
    <t>Diaz, Iñaki/C-6467-2016; Sanchez Tapia, Emilio/KBD-0374-2024; Gil, Jorge Juan/M-6728-2019</t>
  </si>
  <si>
    <t>Diaz, Inaki/0000-0003-0523-7405; Gil, Jorge Juan/0000-0002-1091-5381</t>
  </si>
  <si>
    <t>10.1155/2011/759764</t>
  </si>
  <si>
    <t>WOS:000215714400035</t>
  </si>
  <si>
    <t>Hogan, N; Krebs, HI</t>
  </si>
  <si>
    <t>Green, AM; Chapman, CE; Kalaska, JF; Lepore, F</t>
  </si>
  <si>
    <t>Hogan, Neville; Krebs, Hermano I.</t>
  </si>
  <si>
    <t>Physically interactive robotic technology for neuromotor rehabilitation</t>
  </si>
  <si>
    <t>ENHANCING PERFORMANCE FOR ACTION AND PERCEPTION: MULTISENSORY INTEGRATION, NEUROPLASTICITY AND NEUROPROSTHETICS, PT II</t>
  </si>
  <si>
    <t>Progress in Brain Research</t>
  </si>
  <si>
    <t>robotics; sensory; motor; rehabilitation; therapy; neurorehabilitation; prosthetics; assistive technology</t>
  </si>
  <si>
    <t>ASSISTED THERAPY; STROKE REHABILITATION; INTERFACE; RECOVERY; CARE</t>
  </si>
  <si>
    <t>Robotic technology can provide innovative responses to the severe challenges of providing cost-effective care to restore sensory-motor function following neurological and biomechanical injury. It may be deployed at several points on a continuum of care, to provide precisely controlled sensory-motor therapy to ameliorate disability and promote recovery of function, or to provide assistance to compensate for functions that cannot be recovered, or to replace limbs lost irretrievably. This chapter reviews recent progress using robotic technology to capitalize on neural plasticity and promote recovery after neurological injury such as stroke (cerebral vascular accident), research on brain-computer interfaces as a source of control signals for assistive technologies, and research on high-performance multiple-degree-of-freedom upper-extremity prosthetic limbs.</t>
  </si>
  <si>
    <t>[Hogan, Neville; Krebs, Hermano I.] MIT, Dept Mech Engn, Cambridge, MA 02139 USA; [Hogan, Neville] MIT, Dept Brain &amp; Cognit Sci, Cambridge, MA 02139 USA; [Krebs, Hermano I.] Univ Maryland, Dept Neurol, Sch Med, Baltimore, MD 21201 USA</t>
  </si>
  <si>
    <t>Massachusetts Institute of Technology (MIT); Massachusetts Institute of Technology (MIT); University System of Maryland; University of Maryland Baltimore</t>
  </si>
  <si>
    <t>Hogan, N (corresponding author), MIT, Dept Mech Engn, Cambridge, MA 02139 USA.</t>
  </si>
  <si>
    <t>neville@mit.edu</t>
  </si>
  <si>
    <t>NICHD NIH HHS [R01-HD-045343] Funding Source: Medline</t>
  </si>
  <si>
    <t>NICHD NIH HHS(United States Department of Health &amp; Human ServicesNational Institutes of Health (NIH) - USANIH Eunice Kennedy Shriver National Institute of Child Health &amp; Human Development (NICHD))</t>
  </si>
  <si>
    <t>SARA BURGERHARTSTRAAT 25, PO BOX 211, 1000 AE AMSTERDAM, NETHERLANDS</t>
  </si>
  <si>
    <t>0079-6123</t>
  </si>
  <si>
    <t>978-0-08-088535-3; 978-0-44-453355-5</t>
  </si>
  <si>
    <t>PROG BRAIN RES</t>
  </si>
  <si>
    <t>Prog. Brain Res.</t>
  </si>
  <si>
    <t>10.1016/B978-0-444-53355-5.00004-X</t>
  </si>
  <si>
    <t>BCQ21</t>
  </si>
  <si>
    <t>WOS:000310992900005</t>
  </si>
  <si>
    <t>Kowalczewski, J; Prochazka, A</t>
  </si>
  <si>
    <t>Kowalczewski, Jan; Prochazka, Arthur</t>
  </si>
  <si>
    <t>Technology improves upper extremity rehabilitation</t>
  </si>
  <si>
    <t>stroke; spinal cord injury; multiple sclerosis; upper extremity; telerehabilitation; in-home teletherapy; functional electrical stimulation; upper extremity rehabilitation</t>
  </si>
  <si>
    <t>FUNCTIONAL ELECTRICAL-STIMULATION; SPINAL-CORD-INJURY; TRIGGERED NEUROMUSCULAR STIMULATION; ROBOT-ASSISTED THERAPY; UPPER-LIMB; TELE-REHABILITATION; STROKE; TELEREHABILITATION; RECOVERY; FATIGUE</t>
  </si>
  <si>
    <t>Stroke survivors with hemiparesis and spinal cord injury (SCI) survivors with tetraplegia find it difficult or impossible to perform many activities of daily life. There is growing evidence that intensive exercise therapy, especially when supplemented with functional electrical stimulation (FES), can improve upper extremity function, but delivering the treatment can be costly, particularly after recipients leave rehabilitation facilities. Recently, there has been a growing level of interest among researchers and healthcare policymakers to deliver upper extremity treatments to people in their homes using in-home teletherapy (IHT). The few studies that have been carried out so far have encountered a variety of logistical and technical problems, not least the difficulty of conducting properly controlled and blinded protocols that satisfy the requirements of high-level evidence-based research. In most cases, the equipment and communications technology were not designed for individuals with upper extremity disability. It is clear that exercise therapy combined with interventions such as FES, supervised over the Internet, will soon be adopted worldwide in one form or another. Therefore it is timely that researchers, clinicians, and healthcare planners interested in assessing IHT be aware of the pros and cons of the new technology and the factors involved in designing appropriate studies of it. It is crucial to understand the technical barriers, the role of telesupervisors, the motor improvements that participants can reasonably expect and the process of optimizing IHT-exercise therapy protocols to maximize the benefits of the emerging technology.</t>
  </si>
  <si>
    <t>[Kowalczewski, Jan; Prochazka, Arthur] Univ Alberta, Ctr Neurosci, Sch Mol &amp; Syst Med, Edmonton, AB, Canada</t>
  </si>
  <si>
    <t>University of Alberta</t>
  </si>
  <si>
    <t>Prochazka, A (corresponding author), Univ Alberta, Ctr Neurosci, Sch Mol &amp; Syst Med, Edmonton, AB, Canada.</t>
  </si>
  <si>
    <t>arthur.prochazka@ualberta.ca</t>
  </si>
  <si>
    <t>Canadian Institutes of Health Research Funding Source: Medline</t>
  </si>
  <si>
    <t>Canadian Institutes of Health Research(Canadian Institutes of Health Research (CIHR))</t>
  </si>
  <si>
    <t>10.1016/B978-0-444-53355-5.00010-5</t>
  </si>
  <si>
    <t>WOS:000310992900011</t>
  </si>
  <si>
    <t>Mouri, T; Endo, T; Kawasaki, H</t>
  </si>
  <si>
    <t>Mouri, Tetsuya; Endo, Takahiro; Kawasaki, Haruhisa</t>
  </si>
  <si>
    <t>Review of Gifu Hand and Its Application</t>
  </si>
  <si>
    <t>MECHANICS BASED DESIGN OF STRUCTURES AND MACHINES</t>
  </si>
  <si>
    <t>Haptic interface; Rehabilitation; Robot hand; Virtual reality</t>
  </si>
  <si>
    <t>ROBOT; OBJECT</t>
  </si>
  <si>
    <t>In this paper, an attempt at summarizing the state of the art in the field of robot hands is described. The survey is focused on the Gifu Hand series and its application. To create a standard robot hand that is used to study grasping and dexterous manipulation, the Gifu Hand has been developed. Authors study not only a mechanical structure of the robot hand but also control methods for dexterous and autonomous work that human hands perform. The robotics technology is applied to a haptic interface and to a hand rehabilitation systems and medical care.</t>
  </si>
  <si>
    <t>[Mouri, Tetsuya; Endo, Takahiro; Kawasaki, Haruhisa] Gifu Univ, Dept Human &amp; Informat Syst, Fac Engn, Gifu 5011193, Japan</t>
  </si>
  <si>
    <t>Mouri, T (corresponding author), Gifu Univ, Dept Human &amp; Informat Syst, Fac Engn, 1-1 Yanagido, Gifu 5011193, Japan.</t>
  </si>
  <si>
    <t>mouri@gifu-u.ac.jp</t>
  </si>
  <si>
    <t>Endo, Takahiro/IZE-8644-2023</t>
  </si>
  <si>
    <t>Endo, Takahiro/0000-0002-2231-5359</t>
  </si>
  <si>
    <t>Gifu Robot Hand Group</t>
  </si>
  <si>
    <t>We would like to express our thanks to the Gifu Robot Hand Group for its support.</t>
  </si>
  <si>
    <t>1539-7734</t>
  </si>
  <si>
    <t>1539-7742</t>
  </si>
  <si>
    <t>MECH BASED DES STRUC</t>
  </si>
  <si>
    <t>Mech. Based Des. Struct. Mech.</t>
  </si>
  <si>
    <t>PII 936093881</t>
  </si>
  <si>
    <t>10.1080/15397734.2011.550857</t>
  </si>
  <si>
    <t>751KF</t>
  </si>
  <si>
    <t>WOS:000289615400005</t>
  </si>
  <si>
    <t>Brose, SW; Weber, DJ; Salatin, BA; Grindle, GG; Wang, H; Vazquez, JJ; Cooper, RA</t>
  </si>
  <si>
    <t>Brose, Steven W.; Weber, Douglas J.; Salatin, Ben A.; Grindle, Garret G.; Wang, Hongwu; Vazquez, Juan J.; Cooper, Rory A.</t>
  </si>
  <si>
    <t>The Role of Assistive Robotics in the Lives of Persons with Disability</t>
  </si>
  <si>
    <t>Robotics; Rehabilitation; Assistive Devices; Disabled Persons</t>
  </si>
  <si>
    <t>ENERGY-EXPENDITURE; POWER WHEELCHAIR; MOBILITY DEVICE; REHABILITATION; FEEDBACK; SYSTEM; INTERFACES; AMPUTEES; DESIGN; USERS</t>
  </si>
  <si>
    <t>Robotic assistive devices are used increasingly to improve the independence and quality of life of persons with disabilities. Devices as varied as robotic feeders, smart-powered wheelchairs, independent mobile robots, and socially assistive robots are becoming more clinically relevant. There is a growing importance for the rehabilitation professional to be aware of available systems and ongoing research efforts. The aim of this article is to describe the advances in assistive robotics that are relevant to professionals serving persons with disabilities. This review breaks down relevant advances into categories of Assistive Robotic Systems, User Interfaces and Control Systems, Sensory and Feedback Systems, and User Perspectives. An understanding of the direction that assistive robotics is taking is important for the clinician and researcher alike; this review is intended to address this need.</t>
  </si>
  <si>
    <t>[Salatin, Ben A.; Grindle, Garret G.; Wang, Hongwu; Vazquez, Juan J.; Cooper, Rory A.] VA Pittsburgh Healthcare Syst, Human Engn Res Labs, VA Ctr Excellence, Pittsburgh, PA 15206 USA; [Brose, Steven W.; Weber, Douglas J.; Cooper, Rory A.] Univ Pittsburgh, Dept Phys Med &amp; Rehabil, Med Ctr, Pittsburgh, PA 15260 USA; [Salatin, Ben A.; Grindle, Garret G.; Wang, Hongwu; Vazquez, Juan J.; Cooper, Rory A.] Univ Pittsburgh, Dept Rehabil Sci &amp; Technol, Sch Hlth &amp; Rehabil Sci, Pittsburgh, PA USA</t>
  </si>
  <si>
    <t>US Department of Veterans Affairs; Veterans Health Administration (VHA); VA Pittsburgh Healthcare System; Pennsylvania Commonwealth System of Higher Education (PCSHE); University of Pittsburgh; Pennsylvania Commonwealth System of Higher Education (PCSHE); University of Pittsburgh</t>
  </si>
  <si>
    <t>Cooper, RA (corresponding author), VA Pittsburgh Healthcare Syst, Human Engn Res Labs, VA Ctr Excellence, 7180 Highland Dr,Bldg 4,2nd Floor E,151R-1, Pittsburgh, PA 15206 USA.</t>
  </si>
  <si>
    <t>Weber, Douglas/E-7554-2011; Wang, Hongwu/AEZ-3848-2022; Wang, Hongwu/J-6133-2013</t>
  </si>
  <si>
    <t>National Science Foundation Quality of Life Technology Engineering Research Center [EEC-0540865]; VA Center of Excellence for Wheelchairs and Associated Rehabilitation [B6789C]; National Science Foundation Integrative Graduate Education and Research Traineeship [DGE0333420]; Paralyzed Veterans of America</t>
  </si>
  <si>
    <t>National Science Foundation Quality of Life Technology Engineering Research Center; VA Center of Excellence for Wheelchairs and Associated Rehabilitation; National Science Foundation Integrative Graduate Education and Research Traineeship(National Science Foundation (NSF)); Paralyzed Veterans of America</t>
  </si>
  <si>
    <t>Supported by the National Science Foundation Quality of Life Technology Engineering Research Center (grant no. EEC-0540865), VA Center of Excellence for Wheelchairs and Associated Rehabilitation (grant no. B6789C), the National Science Foundation Integrative Graduate Education and Research Traineeship, Interdisciplinary Research Training in Assistive Technology (grant no. DGE0333420), and the Paralyzed Veterans of America. Financial disclosure statements have been obtained, and no conflicts of interest have been reported by the authors or by any individuals in control of the content of this article.</t>
  </si>
  <si>
    <t>10.1097/PHM.0b013e3181cf569b</t>
  </si>
  <si>
    <t>605GY</t>
  </si>
  <si>
    <t>WOS:000278337100009</t>
  </si>
  <si>
    <t>Swinnen, E; Duerinck, S; Baeyens, JP; Meeusen, R; Kerckhofs, E</t>
  </si>
  <si>
    <t>Swinnen, Eva; Duerinck, Saartje; Baeyens, Jean-Pierre; Meeusen, Romain; Kerckhofs, Eric</t>
  </si>
  <si>
    <t>EFFECTIVENESS OF ROBOT-ASSISTED GAIT TRAINING IN PERSONS WITH SPINAL CORD INJURY: A SYSTEMATIC REVIEW</t>
  </si>
  <si>
    <t>spinal cord injury; robot-assisted gait training; locomotion training</t>
  </si>
  <si>
    <t>MULTIPLE-SCLEROSIS; LIFE</t>
  </si>
  <si>
    <t>Objective: To assess the quality of current evidence as to the effectiveness of robot-assisted gait training in spinal cord injured patients, focusing on walking ability and performance. Methods: A search was conducted in MEDLINE, Web of Knowledge, Cochrane Library, Physiotherapy Evidence Database (PEDro) and Digital Academic Repositories (DAREnet) (1990-2009). Key words included spinal cord injury, (robot-assisted) gait rehabilitation and driven gait orthosis. Articles were included when complete and incomplete adult spinal cord injured patients participated in robot-assisted gait training intervention studies. The methodological quality was rated independently by 2 researchers using van Tulder criteria list and evaluation of quality of an intervention study. Descriptive analyses were performed using the Population Intervention Comparison Outcome (PICO) method. Results: Two randomized controlled trials (mean quality score: 11.5/19) and 4 pre-experimental trials (mean quality score: 24.25 (standard deviation; SD 0.28)/48) involving 43 patients with incomplete, acute or chronic lesions between C3 and L1 were analysed. Five studies used the Lokomat and one used the LokoHelp. Although some improvements were reported related to body functions and activities, there is insufficient evidence to draw firm conclusions, due to small samples sizes, methodological flaws and heterogeneity of training procedures. Conclusion: There is currently no evidence that robot-assisted gait training improves walking function more than other locomotor training strategies. Well-designed randomized controlled trials are needed.</t>
  </si>
  <si>
    <t>[Swinnen, Eva; Duerinck, Saartje; Baeyens, Jean-Pierre; Meeusen, Romain; Kerckhofs, Eric] Vrije Univ Brussel, Fac Phys Educ &amp; Physiotherapy, Res Team Adv Rehabil Technol &amp; Sci, BE-1090 Brussels, Belgium</t>
  </si>
  <si>
    <t>Swinnen, E (corresponding author), Vrije Univ Brussel, Fac Phys Educ &amp; Physiotherapy, Res Team Adv Rehabil Technol &amp; Sci, Laarbeeklaan 103, BE-1090 Brussels, Belgium.</t>
  </si>
  <si>
    <t>Swinnen, Eva/GLS-9171-2022; meeusen, romain/B-3909-2011; Swinnen, Eva/H-7964-2014</t>
  </si>
  <si>
    <t>Swinnen, Eva/0000-0002-3771-9479; Baeyens, Jean-Pierre/0000-0003-2630-1912</t>
  </si>
  <si>
    <t>10.2340/16501977-0538</t>
  </si>
  <si>
    <t>613SQ</t>
  </si>
  <si>
    <t>WOS:000279001000002</t>
  </si>
  <si>
    <t>Wessels, M; Lucas, C; Eriks, I; de Groot, S</t>
  </si>
  <si>
    <t>Wessels, Monique; Lucas, Cees; Eriks, Inge; de Groot, Sonja</t>
  </si>
  <si>
    <t>BODY WEIGHT-SUPPORTED GAIT TRAINING FOR RESTORATION OF WALKING IN PEOPLE WITH AN INCOMPLETE SPINAL CORD INJURY: A SYSTEMATIC REVIEW</t>
  </si>
  <si>
    <t>spinal cord injuries; gait; weight-bearing; robotics; systematic review</t>
  </si>
  <si>
    <t>QUALITY-OF-LIFE; METHOD GUIDELINES; OUTCOME MEASURES; CLINICAL-TRIALS; ICCP PANEL; FOLLOW-UP; TREADMILL; REHABILITATION; THERAPY; RECOVERY</t>
  </si>
  <si>
    <t>Objective: To evaluate the effect of body weight-supported gait training on restoration of walking, activities of daily living, and quality of life in persons with an incomplete spinal cord injury by a systematic review of the literature. Methods: Cochrane, MEDLINE, EM BASE, CINAHL, PEDro, DocOnline were searched and identified studies were assessed for eligibility and methodological quality and described regarding population, training protocol, and effects on walking ability, activities of daily living and quality of life. A descriptive and quantitative synthesis was conducted. Results: Eighteen articles (17 studies) were included. Two randomized controlled trials showed that subjects with injuries of less than one year duration reached higher scores on the locomotor item of the Functional Independence Measure (range 1-7) in the over-ground training group compared with the body weight-supported treadmill training group. Only for persons with an American Spinal Injury Association Impairment Scale C or D was the mean difference significant, with 0.80 (95% confidence interval 0.04-1.56). No differences were found regarding walking velocity, activities of daily living or quality of life. Conclusion: Subjects with subacute motor incomplete spinal cord injury reached a higher level of independent walking after over-ground training, compared with body weight-supported treadmill training. More randomized controlled trials are needed to clarify the effectiveness of body weight-supported gait training on walking, activities of daily living, and quality of life for subgroups of persons with an incomplete spinal cord injury.</t>
  </si>
  <si>
    <t>[Wessels, Monique; Eriks, Inge; de Groot, Sonja] Univ Amsterdam, Rehabil Ctr Amsterdam, NL-1040 HG Amsterdam, Netherlands; [Lucas, Cees] Univ Amsterdam, Acad Med Ctr, Dept Clin Epidemiol &amp; Biostat, NL-1040 HG Amsterdam, Netherlands; [Eriks, Inge] Swiss Parapleg Res, Nottwil, Switzerland; [de Groot, Sonja] Univ Groningen, Univ Med Ctr Groningen, Ctr Human Movement Sci, NL-9700 AB Groningen, Netherlands</t>
  </si>
  <si>
    <t>University of Amsterdam; University of Amsterdam; Academic Medical Center Amsterdam; Swiss Paraplegic Research; University of Groningen</t>
  </si>
  <si>
    <t>de Groot, S (corresponding author), Univ Amsterdam, Rehabil Ctr Amsterdam, DNO POB 58271, NL-1040 HG Amsterdam, Netherlands.</t>
  </si>
  <si>
    <t>s.d.groot@rcamsterdam.nl</t>
  </si>
  <si>
    <t>Wessels, Monique/P-2226-2019</t>
  </si>
  <si>
    <t>de Groot, Sonja/0000-0001-8463-2563</t>
  </si>
  <si>
    <t>10.2340/16501977-0525</t>
  </si>
  <si>
    <t>WOS:000279001000001</t>
  </si>
  <si>
    <t>Carter, AR; Connor, LT; Dromerick, AW</t>
  </si>
  <si>
    <t>Carter, Alex R.; Connor, Lisa T.; Dromerick, Alexander W.</t>
  </si>
  <si>
    <t>Rehabilitation After Stroke: Current State of the Science</t>
  </si>
  <si>
    <t>Rehabilitation; Clinical trials; Cerebrovascular disease; Recovery</t>
  </si>
  <si>
    <t>CONSTRAINT-INDUCED MOVEMENT; SUBACUTE STROKE; CHRONIC APHASIA; MOTOR RECOVERY; SHOULDER PAIN; THERAPY; STIMULATION; INTENSITY; LOCOMOTOR; HAND</t>
  </si>
  <si>
    <t>Stroke rehabilitation is evolving into a clinical field based on the neuroscience of recovery and restoration. There has been substantial growth in the number and quality of clinical trials performed. Much effort now is directed toward motor restoration and is being led by trials of constraint-induced movement therapy. Although the results do not necessarily support that constraint-induced movement therapy is superior to other training methods, this treatment has become an important vehicle for developing clinical trial methods and studying the physiology underlying activity-based rehabilitation strategies. Other promising interventions include robotic therapy delivery, magnetic and electrical cortical stimulation, visualization, and constraint-driven aphasia therapies. Amphetamine has not been demonstrated to be effective, and studies of other pharmacologic agents are still preliminary. Future studies will incorporate refinements in clinical trial methods and improved activity-and technology-based interventions.</t>
  </si>
  <si>
    <t>[Dromerick, Alexander W.] Georgetown Univ, Sch Med, Natl Rehabil Hosp, Washington, DC 20010 USA; [Connor, Lisa T.] Washington Univ, Sch Med, Program Occupat Therapy, St Louis, MO USA; [Carter, Alex R.] Washington Univ, Sch Med, Dept Neurol, St Louis, MO 63110 USA</t>
  </si>
  <si>
    <t>Georgetown University; Washington University (WUSTL); Washington University (WUSTL)</t>
  </si>
  <si>
    <t>Dromerick, AW (corresponding author), Georgetown Univ, Sch Med, Natl Rehabil Hosp, 102 Irving St NW, Washington, DC 20010 USA.</t>
  </si>
  <si>
    <t>cartera@neuro.wustl.edu; lconnor@wustl.edu; Alexander.w.dromerick@medstar.net</t>
  </si>
  <si>
    <t>Connor, Lisa/0000-0002-9776-8328</t>
  </si>
  <si>
    <t>NINDS NIH HHS [K08 NS064365] Funding Source: Medline</t>
  </si>
  <si>
    <t>NINDS NIH HHS(United States Department of Health &amp; Human ServicesNational Institutes of Health (NIH) - USANIH National Institute of Neurological Disorders &amp; Stroke (NINDS))</t>
  </si>
  <si>
    <t>10.1007/s11910-010-0091-9</t>
  </si>
  <si>
    <t>602AY</t>
  </si>
  <si>
    <t>WOS:000278111700001</t>
  </si>
  <si>
    <t>Duret, C</t>
  </si>
  <si>
    <t>Duret, C.</t>
  </si>
  <si>
    <t>Contributions of robotic devices to upper limb poststroke rehabilitation</t>
  </si>
  <si>
    <t>Hemiparesis; Stroke; Neurorehabilitation; Robotic devices; Brain plasticity</t>
  </si>
  <si>
    <t>UPPER EXTREMITY FUNCTION; INDUCED MOVEMENT THERAPY; STROKE PATIENTS; AIDED NEUROREHABILITATION; FUNCTIONAL RECOVERY; HEMIPLEGIC STROKE; ASSISTED THERAPY; MOTOR IMPAIRMENT; ARM; REORGANIZATION</t>
  </si>
  <si>
    <t>Introduction. - Poststroke rehabilitation care has evolved considerably over the last decade. The emergence of the concepts of brain plasticity and motor learning has led to the development of new therapeutic approaches. Most of the new strategies are based on movement therapy, which can have a real impact on neurological recovery, sometimes with significant functional benefit for the patient. State of the Art. - In this context of evolving practices, the hemiplegic arm is the subject of special attention. Considering the often unfavorable natural prognosis and the relatively limited impact of conventional therapies; researchers have focused work on new alternatives. Cooperation between developers of technological advances and the medical community has led to the development of innovative therapeutic options often based on the use of specific technological tools (functional electric stimulation, virtual reality, transcranial magnetic stimulation...) to solicit or facilitate movement. Perspectives/conclusion. - Robot-assisted rehabilitation lies within this scope. The positive results reported in the most recent publications and the growing interest for this type of therapy in the fields of medical and engineering research should open the way for extremely promising prospects. The technological performance of new robots has nevertheless raised a large number of unanswered questions, implying a significant amount of further research. (C) 2009 Elsevier Masson SAS. All rights reserved.</t>
  </si>
  <si>
    <t>CRF Les Trois Soleils, Unite Reeduc Neurol Med Phys &amp; Readaptat, F-77310 Boissise Le Roi, France</t>
  </si>
  <si>
    <t>Duret, C (corresponding author), CRF Les Trois Soleils, Unite Reeduc Neurol Med Phys &amp; Readaptat, Rue Chateau, F-77310 Boissise Le Roi, France.</t>
  </si>
  <si>
    <t>10.1016/j.neurol.2009.10.004</t>
  </si>
  <si>
    <t>615ZF</t>
  </si>
  <si>
    <t>WOS:000279176600003</t>
  </si>
  <si>
    <t>Ada, L; Dean, CM; Vargas, J; Ennis, S</t>
  </si>
  <si>
    <t>Ada, Louise; Dean, Catherine M.; Vargas, Janine; Ennis, Samantha</t>
  </si>
  <si>
    <t>Mechanically assisted walking with body weight support results in more independent walking than assisted overground walking in non-ambulatory patients early after stroke: a systematic review</t>
  </si>
  <si>
    <t>Stroke; Treadmill; Walking; Systematic review; Meta-analysis; Randomised controlled trials</t>
  </si>
  <si>
    <t>ELECTROMECHANICAL GAIT TRAINER; SUBACUTE STROKE; MOTOR REHABILITATION; CONTROLLED-TRIAL; FLOOR WALKING; TREADMILL; THERAPY; PHYSIOTHERAPY; RECOVERY; STIMULATION</t>
  </si>
  <si>
    <t>Question: Does mechanically assisted walking with body weight support result in more independent walking and is it detrimental to walking speed or capacity in non-ambulatory patients early after stroke? Design: Systematic review with meta-analysis of randomised trials. Participants: Non-ambulatory adult patients undergoing inpatient rehabilitation up to 3 months after stroke. Intervention: Mechanically assisted walking (eg, treadmill, electromechanical gait trainer, robotic device, servo-motor) with body weight support (eg, harness with or without handrail, but not handrail alone) versus assisted overground walking of longer than 15 min duration. Outcome measures: The primary outcome was the proportion of participants achieving independent walking. Secondary outcomes were walking speed measured as m/s during the 10-m Walk Test and walking capacity measured as distance in m during the 6-min Walk Test. Results: Six studies comprising 549 participants were identified and included in meta-analyses. Mechanically assisted walking with body weight support resulted in more people walking independently at 4 weeks (RD 0.23, 95% CI 0.15 to 0.30) and at 6 months (RD 0.23, 95% CI 0.07 to 0.39), faster walking at 6 months (MD 0.12 m/s, 95% CI 0.02 to 0.21), and further walking at 6 months (MD 55 m, 95% CI 15 to 96) than assisted overground walking. Conclusion: Mechanically assisted walking with body weight support is more effective than overground walking at increasing independent walking in non-ambulatory patients early after stroke. Furthermore, it is not detrimental to walking speed or capacity and clinicians should therefore be confident about implementing this intervention. [Ada L, Dean CM, Vargas J, Ennis S (2010) Mechanically assisted walking with body weight support results in more independent walking than assisted overground walking in non-ambulatory patients early after stroke: a systematic review. Journal of Physiotherapy 56: 153-161]</t>
  </si>
  <si>
    <t>[Ada, Louise] Univ Sydney, Fac Hlth Sci, Discipline Physiotherapy, Sydney, NSW 2006, Australia</t>
  </si>
  <si>
    <t>Ada, L (corresponding author), Univ Sydney, Fac Hlth Sci, Discipline Physiotherapy, Sydney, NSW 2006, Australia.</t>
  </si>
  <si>
    <t>louise.ada@sydney.edu.au</t>
  </si>
  <si>
    <t>Dean, Catherine/H-2115-2011</t>
  </si>
  <si>
    <t>Dean, Catherine/0000-0001-7502-1138; Ada, Louise/0000-0003-1369-5721; Prestes Vargas, Janine/0000-0001-8719-6795</t>
  </si>
  <si>
    <t>10.1016/S1836-9553(10)70020-5</t>
  </si>
  <si>
    <t>645LK</t>
  </si>
  <si>
    <t>WOS:000281458900003</t>
  </si>
  <si>
    <t>Hayward, K; Barker, R; Brauer, S</t>
  </si>
  <si>
    <t>Hayward, Kathryn; Barker, Ruth; Brauer, Sandra</t>
  </si>
  <si>
    <t>Interventions to promote upper limb recovery in stroke survivors with severe paresis: a systematic review</t>
  </si>
  <si>
    <t>Stroke; upper limb; robotic therapy; electrical stimulation</t>
  </si>
  <si>
    <t>BLINDED RANDOMIZED-TRIAL; ROBOT-ASSISTED THERAPY; UPPER-EXTREMITY; MOTOR RECOVERY; NEUROMUSCULAR STIMULATION; CLINICAL-TRIALS; SINGLE-BLIND; AFFECTED ARM; REHABILITATION; FEEDBACK</t>
  </si>
  <si>
    <t>Purpose. To investigate the effect of interventions that promote upper limb (UL) recovery in stroke survivors with severe paresis. Methods. A systematic search of the scientific literature from January 1970 to March 2009 was conducted using CINAHL, Cochrane, PEDro, Pubmed and Web of Science. keywords used included stroke, severe, hemiplegia, UL, task-oriented, robot, non-robot and electrical stimulation. Methodological quality of the studies was assessed using the PEDro rating scale. Studies were grouped into one of three intervention categories: robotic therapy, electrical stimulation or 'other' therapy. Results. Seventeen randomised controlled trials met the inclusion criteria. A 'best evidence synthesis' indicated strong evidence that robotic therapy provides a large beneficial effect and limited evidence that electrical stimulation and 'other' interventions provide a large beneficial effect on function. There is no evidence that these interventions influence use of the arm in everyday tasks. Conclusion. There are a number of newly developed interventions that enable stroke survivors with severe paresis to actively participate in task-oriented practice to promote UL recovery. While these interventions offer some promise for stroke survivors with severe paresis, ultimately, the effectiveness of these interventions will be dependent on whether they lead to restoration of function to the point at which the stroke survivor can practice everyday tasks.</t>
  </si>
  <si>
    <t>[Hayward, Kathryn; Brauer, Sandra] Univ Queensland, Sch Hlth &amp; Rehabil Sci, Div Physiotherapy, Brisbane, Qld 4072, Australia; [Barker, Ruth] James Cook Univ, Discipline Physiotherapy, Sch Publ Hlth Trop Med &amp; Rehabil Sci, Townsville, Qld 4811, Australia</t>
  </si>
  <si>
    <t>University of Queensland; James Cook University</t>
  </si>
  <si>
    <t>Hayward, K (corresponding author), Univ Queensland, Sch Hlth &amp; Rehabil Sci, Div Physiotherapy, Brisbane, Qld 4072, Australia.</t>
  </si>
  <si>
    <t>k.hayward@uq.edu.au</t>
  </si>
  <si>
    <t>Brauer, Sandra/D-4519-2011; Barker, Ruth/JBI-9914-2023; Hayward, Kate/AAU-7253-2020; Hayward, Kathryn/C-5235-2014</t>
  </si>
  <si>
    <t>Hayward, Kathryn/0000-0001-5240-3264; Barker, Ruth/0000-0002-2546-2581; Brauer, Sandra/0000-0001-9961-4739</t>
  </si>
  <si>
    <t>10.3109/09638288.2010.481027</t>
  </si>
  <si>
    <t>669RM</t>
  </si>
  <si>
    <t>WOS:000283367900001</t>
  </si>
  <si>
    <t>Kríz, J; Káfunková, P; Schreier, B; Kolár, P</t>
  </si>
  <si>
    <t>Kriz, J.; Kafunkova, P.; Schreier, B.; Kolar, P.</t>
  </si>
  <si>
    <t>Body Weight Support Locomotion Training in Spinal Cord Injured Patients</t>
  </si>
  <si>
    <t>spinal cord injury; plasticity; locomotion; rehabilitation; robotic device; treadmill</t>
  </si>
  <si>
    <t>GAIT REHABILITATION; PARAPLEGIC PATIENTS; PLASTICITY; WALKING; FEASIBILITY; INDIVIDUALS; PATTERN; HUMANS</t>
  </si>
  <si>
    <t>Body weight support locomotion training is a classical rehabilitation method in patients who have suffered injury to the spinal cord. It is based on the discovery that repetitive cyclic passive movements can stimulate locomotor centres in the spinal cord. Numerous studies have documented motor recovery in vertebrate animals and in incomplete spinal-cord-injured humans. Manual-assisted, body-weight support treadmill training requires a large number of physiotherapists working in an ergonomically inconvenient position. New approaches to robotic locomotion training are therefore being developed. The aim is to design a device that provides minimal necessary locomotion assistance depending on the severity of the motor impairment.</t>
  </si>
  <si>
    <t>[Kriz, J.; Kafunkova, P.; Schreier, B.; Kolar, P.] UK 2 LF &amp; FN Motole, Klin Rehabilitace &amp; Telovychovneho Lekarstvi, Spinalni Jednotka, Prague 15006 5, Czech Republic</t>
  </si>
  <si>
    <t>Charles University Prague</t>
  </si>
  <si>
    <t>Kríz, J (corresponding author), UK 2 LF &amp; FN Motole, Klin Rehabilitace &amp; Telovychovneho Lekarstvi, Spinalni Jednotka, Praha Ovalu 84, Prague 15006 5, Czech Republic.</t>
  </si>
  <si>
    <t>jiri.kriz@fnmotol.cz</t>
  </si>
  <si>
    <t>593AC</t>
  </si>
  <si>
    <t>WOS:000277422500002</t>
  </si>
  <si>
    <t>Millán, JDR; Rupp, R; Müller-Putz, GR; Murray-Smith, R; Giugliemma, C; Tangermann, M; Vidaurre, C; Cincotti, F; Kübler, A; Leeb, R; Neuper, C; Müller, KR; Mattia, D</t>
  </si>
  <si>
    <t>Millan, J. D. R.; Rupp, R.; Mueller-Putz, G. R.; Murray-Smith, R.; Giugliemma, C.; Tangermann, M.; Vidaurre, C.; Cincotti, F.; Kubler, A.; Leeb, R.; Neuper, C.; Mueller, K. -R.; Mattia, D.</t>
  </si>
  <si>
    <t>Combining brain-computer interfaces and assistive technologies: state-of-the-art and challenges</t>
  </si>
  <si>
    <t>assistive technology; BCI; communication and control; entertainment; motor recovery; motor substitution</t>
  </si>
  <si>
    <t>FUNCTIONAL ELECTRICAL-STIMULATION; MOTOR IMAGERY; MENTAL PRACTICE; STROKE REHABILITATION; UPPER EXTREMITY; VIRTUAL-REALITY; SUBCORTICAL STROKE; MOBILE ROBOT; RECOVERY; COMMUNICATION</t>
  </si>
  <si>
    <t>In recent years, new research has brought the field of electroencephalogram (EEG)-based brain-computer interfacing (BCI) out of its infancy and into a phase of relative maturity through many demonstrated prototypes such as brain-controlled wheelchairs, keyboards, and computer games. With this proof-of-concept phase in the past, the time is now ripe to focus on the development of practical BCI technologies that can be brought out of the lab and into real-world applications. In particular, we focus on the prospect of improving the lives of countless disabled individuals through a combination of BCI technology with existing assistive technologies (AT). In pursuit of more practical BCIs for use outside of the lab, in this paper, we identify four application areas where disabled individuals could greatly benefit from advancements in BCI technology, namely, Communication and Control, Motor Substitution, Entertainment, and Motor Recovery. We review the current state of the art and possible future developments, while discussing the main research issues in these four areas. In particular, we expect the most progress in the development of technologies such as hybrid BCI architectures, user-machine adaptation algorithms, the exploitation of users' mental states for BCI reliability and confidence measures, the incorporation of principles in human-computer interaction (HCI) to improve BCI usability, and the development of novel BCI technology including better EEG devices.</t>
  </si>
  <si>
    <t>[Millan, J. D. R.; Leeb, R.] Ecole Polytech Fed Lausanne, Sch Engn, Ctr Neuroprosthet, Defitech Chair Noninvas Brain Machine Interface, Lausanne, Switzerland; [Rupp, R.] Stiftung Orthopad Univ Klin Heidelberg, Heidelberg, Germany; [Mueller-Putz, G. R.; Neuper, C.] Graz Univ Technol, Inst Knowledge Discovery, Lab Brain Comp Interfaces, Graz, Austria; [Murray-Smith, R.] Glasgow Univ, Dept Comp Sci, Glasgow, Lanark, Scotland; [Giugliemma, C.] QualiLife SA, Paradiso Lugano, Switzerland; [Tangermann, M.; Vidaurre, C.; Mueller, K. -R.] Tech Univ Berlin, Chair Machine Learning, Berlin, Germany; [Cincotti, F.; Mattia, D.] Fdn Santa Lucia, Clin Neurophysiol, Rome, Italy; [Kubler, A.] Univ Wurzburg, Lehrstuhl Psychol 1, Wurzburg, Germany</t>
  </si>
  <si>
    <t>Swiss Federal Institutes of Technology Domain; Ecole Polytechnique Federale de Lausanne; Ruprecht Karls University Heidelberg; Graz University of Technology; University of Glasgow; Technical University of Berlin; IRCCS Santa Lucia; University of Wurzburg</t>
  </si>
  <si>
    <t>Millán, JDR (corresponding author), Ecole Polytech Fed Lausanne, Sch Engn, Ctr Neuroprosthet, Defitech Chair Noninvas Brain Machine Interface, Lausanne, Switzerland.</t>
  </si>
  <si>
    <t>jose.millan@epfl.ch</t>
  </si>
  <si>
    <t>Rupp, Ruediger/ABE-6871-2022; Tangermann, Michael/HPF-1421-2023; Murray-Smith, Roderick/AAF-9987-2020; Mueller, Klaus-Robert/C-3196-2013; Millan, Jose del R./F-1696-2011; Mattia, Donatella/D-7569-2012; Cincotti, Febo/C-3664-2008</t>
  </si>
  <si>
    <t>Millan, Jose del R./0000-0001-5819-1522; Murray-Smith, Roderick/0000-0003-4228-7962; Muller-Putz, Gernot/0000-0002-0087-3720; Kubler, Andrea/0000-0003-4876-0415; Mattia, Donatella/0000-0002-3092-2511; Cincotti, Febo/0000-0003-1898-6480; Mueller, Klaus-Robert/0000-0002-3861-7685; Vidaurre, Carmen/0000-0003-3740-049X</t>
  </si>
  <si>
    <t>European ICT Programme [FP7-224631]</t>
  </si>
  <si>
    <t>European ICT Programme</t>
  </si>
  <si>
    <t>This work is supported by the European ICT Programme Project FP7-224631. This paper only reflects the authors' views and funding agencies are not liable for any use that may be made of the information contained herein.</t>
  </si>
  <si>
    <t>10.3389/fnins.2010.00161</t>
  </si>
  <si>
    <t>VB8SO</t>
  </si>
  <si>
    <t>Green Published, gold, Green Accepted</t>
  </si>
  <si>
    <t>WOS:000419790500058</t>
  </si>
  <si>
    <t>Volpe, BT; Huerta, PT; Zipse, JL; Rykman, A; Edwards, D; Dipietro, L; Hogan, N; Krebs, HI</t>
  </si>
  <si>
    <t>Volpe, Bruce T.; Huerta, Patricio T.; Zipse, Johanna L.; Rykman, Avrielle; Edwards, Dylan; Dipietro, Laura; Hogan, Neville; Krebs, Hermano I.</t>
  </si>
  <si>
    <t>Robotic Devices as Therapeutic and Diagnostic Tools for Stroke Recovery</t>
  </si>
  <si>
    <t>ARCHIVES OF NEUROLOGY</t>
  </si>
  <si>
    <t>MOTOR RECOVERY; NEUROMUSCULAR STIMULATION; ASSISTED THERAPY; BRAIN-INJURY; ARM; NEUROREHABILITATION; REHABILITATION; TRIAL; VARIABILITY; EXPERIENCE</t>
  </si>
  <si>
    <t>The understanding that recovery of brain function after stroke is imperfect has prompted decades of effort to engender speedier and better recovery through environmental manipulation. Clinical evidence has shown that the performance plateau exhibited by patients with chronic stroke, usually signaling an end of standard rehabilitation, might represent a period of consolidation rather than a performance optimum. These results highlight the difficulty of translating pertinent neurological data into pragmatic changes in clinical programs. This opinion piece focuses on upper limb impairment reduction after robotic training. We propose that robotic devices be considered as novel tools that might be used alone or in combination with novel pharmacology and other bioengineered devices. Additionally, robotic devices can measure motor performance objectively and will contribute to a detailed phenotype of stroke recovery. Arch Neurol. 2009; 66(9): 1086-1090</t>
  </si>
  <si>
    <t>[Volpe, Bruce T.; Huerta, Patricio T.; Zipse, Johanna L.; Rykman, Avrielle; Edwards, Dylan] Cornell Univ, Dept Neurol &amp; Neurosci, Weill Med Coll, Burke Cornell Med Res Inst, White Plains, NY 10605 USA; [Dipietro, Laura; Hogan, Neville; Krebs, Hermano I.] MIT, Newman Lab, Dept Mech Engn, Cambridge, MA 02139 USA; [Hogan, Neville] MIT, Dept Brain &amp; Cognit Sci, Cambridge, MA 02139 USA</t>
  </si>
  <si>
    <t>Cornell University; Weill Cornell Medicine; Massachusetts Institute of Technology (MIT); Massachusetts Institute of Technology (MIT)</t>
  </si>
  <si>
    <t>Volpe, BT (corresponding author), Cornell Univ, Dept Neurol &amp; Neurosci, Weill Med Coll, Burke Cornell Med Res Inst, 785 Mamaroneck Ave, White Plains, NY 10605 USA.</t>
  </si>
  <si>
    <t>btv3@cornell.edu</t>
  </si>
  <si>
    <t>volpe, b/U-8409-2019; di pietro, laura/AAT-6678-2020; Huerta, Patricio/KHC-3475-2024</t>
  </si>
  <si>
    <t>Volpe, Bruce/0000-0002-1098-1848; Huerta, Patricio/0000-0003-0270-2308</t>
  </si>
  <si>
    <t>National Institutes of Health [HD043343]; Skirball Foundation; Burke Medical Research Institute</t>
  </si>
  <si>
    <t>National Institutes of Health(United States Department of Health &amp; Human ServicesNational Institutes of Health (NIH) - USA); Skirball Foundation; Burke Medical Research Institute</t>
  </si>
  <si>
    <t>This work was supported by National Institutes of Health grant HD043343, Skirball Foundation, and Burke Medical Research Institute.</t>
  </si>
  <si>
    <t>AMER MEDICAL ASSOC</t>
  </si>
  <si>
    <t>CHICAGO</t>
  </si>
  <si>
    <t>330 N WABASH AVE, STE 39300, CHICAGO, IL 60611-5885 USA</t>
  </si>
  <si>
    <t>0003-9942</t>
  </si>
  <si>
    <t>1538-3687</t>
  </si>
  <si>
    <t>ARCH NEUROL-CHICAGO</t>
  </si>
  <si>
    <t>Arch. Neurol.</t>
  </si>
  <si>
    <t>493UY</t>
  </si>
  <si>
    <t>Bronze, Green Accepted</t>
  </si>
  <si>
    <t>WOS:000269765000005</t>
  </si>
  <si>
    <t>Marchal-Crespo, L; Reinkensmeyer, DJ</t>
  </si>
  <si>
    <t>Marchal-Crespo, Laura; Reinkensmeyer, David J.</t>
  </si>
  <si>
    <t>Review of control strategies for robotic movement training after neurologic injury</t>
  </si>
  <si>
    <t>SPINAL-CORD-INJURY; UPPER-LIMB NEUROREHABILITATION; ANKLE-FOOT ORTHOSIS; ARM MOVEMENT; AIDED NEUROREHABILITATION; STROKE PATIENTS; GAIT REHABILITATION; MUSCLE ACTIVATION; ASSISTED THERAPY; HEMIPARETIC ARM</t>
  </si>
  <si>
    <t>There is increasing interest in using robotic devices to assist in movement training following neurologic injuries such as stroke and spinal cord injury. This paper reviews control strategies for robotic therapy devices. Several categories of strategies have been proposed, including, assistive, challenge-based, haptic simulation, and coaching. The greatest amount of work has been done on developing assistive strategies, and thus the majority of this review summarizes techniques for implementing assistive strategies, including impedance-, counterbalance-, and EMG-based controllers, as well as adaptive controllers that modify control parameters based on ongoing participant performance. Clinical evidence regarding the relative effectiveness of different types of robotic therapy controllers is limited, but there is initial evidence that some control strategies are more effective than others. It is also now apparent there may be mechanisms by which some robotic control approaches might actually decrease the recovery possible with comparable, non-robotic forms of training. In future research, there is a need for head-to-head comparison of control algorithms in randomized, controlled clinical trials, and for improved models of human motor recovery to provide a more rational framework for designing robotic therapy control strategies.</t>
  </si>
  <si>
    <t>[Marchal-Crespo, Laura; Reinkensmeyer, David J.] Univ Calif Irvine, Dept Mech &amp; Aerosp Engn, Irvine, CA 92717 USA; [Reinkensmeyer, David J.] Univ Calif Irvine, Dept Biomed Engn, Irvine, CA 92717 USA</t>
  </si>
  <si>
    <t>University of California System; University of California Irvine; University of California System; University of California Irvine</t>
  </si>
  <si>
    <t>Marchal-Crespo, L (corresponding author), Univ Calif Irvine, Dept Mech &amp; Aerosp Engn, Irvine, CA 92717 USA.</t>
  </si>
  <si>
    <t>lmarchal@uci.edu; dreinken@uci.edu</t>
  </si>
  <si>
    <t>Marchal-Crespo, Laura/AAA-1373-2019</t>
  </si>
  <si>
    <t>Marchal-Crespo, Laura/0000-0002-8008-5803</t>
  </si>
  <si>
    <t>NIH [N01-HD-3-3352]; NCRR [M01RR00827]</t>
  </si>
  <si>
    <t>NIH(United States Department of Health &amp; Human ServicesNational Institutes of Health (NIH) - USA); NCRR(United States Department of Health &amp; Human ServicesNational Institutes of Health (NIH) - USANIH National Center for Research Resources (NCRR))</t>
  </si>
  <si>
    <t>We acknowledge the support of NIH N01-HD-3-3352 and NCRR M01RR00827</t>
  </si>
  <si>
    <t>10.1186/1743-0003-6-20</t>
  </si>
  <si>
    <t>478FO</t>
  </si>
  <si>
    <t>WOS:000268573400001</t>
  </si>
  <si>
    <t>Bonnefoy, A; Louis, N; Gorce, P</t>
  </si>
  <si>
    <t>Bonnefoy, A.; Louis, N.; Gorce, P.</t>
  </si>
  <si>
    <t>Muscle activation during a reach-to-grasp movement in sitting position: Influence of the distance</t>
  </si>
  <si>
    <t>Reach-to-grasp movement; Muscle activation; EMG surface; Repeatability; ICC; SEM</t>
  </si>
  <si>
    <t>TEST-RETEST RELIABILITY; TRAPEZIUS MUSCLE; PEAK TORQUE; COORDINATION; EMG; FORCES; ARM; ELECTROMYOGRAPHY; POSTURE; TENDON</t>
  </si>
  <si>
    <t>The purpose of this study was to examine the influence of the reach distance on the muscle activation during a reach-to-grasp movement in the sitting position, Ten healthy male volunteers were tested. Surface EMG were recorded for the deltoid scapular, the deltoid clavicular, the triceps brachii, the biceps brachii and the brachoradialis. These muscles have been selected for their contribution to the cylindrical palmar prehension motion in the sagittal plane. Three distances have been tested: 20, 30 and 40 cm. For each distance, ten repeated measures have been recorded. From this in vivo data, the repeatability of the protocol has been tested. For this, relative (ICC) and absolute (SEM) reliabilities are determined in order to evaluate the intra operator repeatability of this protocol. It appears that the ICC values obtained are between 0.78 and 0.99 in all the conditions (15 conditions corresponding to tilt-cc distances and five muscles). The intra operator repeatability is thus confirmed. From these surface EMG recordings the muscle activations have been calculated as the iEMG value. It appears that the muscle activation is greater with increased distances. The results contribute to the identification of the levels of muscle activation amplitude during a simple reach-to-grasp movement that is common in prehension research. This knowledge is essential in order to calculate the muscle forces and to integrate these forces in the prehension models developed nowadays in the robotic, rehabilitation, ergonomics field of research. (c) 2008 Elsevier Ltd. All rights reserved.</t>
  </si>
  <si>
    <t>[Bonnefoy, A.; Louis, N.; Gorce, P.] Univ Toulon Var, Lab Handibio, F-83957 La Garde, France</t>
  </si>
  <si>
    <t>Universite de Toulon</t>
  </si>
  <si>
    <t>Bonnefoy, A (corresponding author), Univ Toulon Var, Lab Handibio, Ave Univ,BP20132, F-83957 La Garde, France.</t>
  </si>
  <si>
    <t>albonnefoy@yahoo.fr; nicolas.louis@orange.fr; gorce@univ-tln.fr</t>
  </si>
  <si>
    <t>GORCE, Philippe/JDD-0079-2023</t>
  </si>
  <si>
    <t>Gorce, Philippe/0000-0003-4992-8443; Alice, Bonnefoy-Mazure/0000-0003-2603-3145</t>
  </si>
  <si>
    <t>10.1016/j.jelekin.2008.04.010</t>
  </si>
  <si>
    <t>420DC</t>
  </si>
  <si>
    <t>WOS:000264267600010</t>
  </si>
  <si>
    <t>Ljzerman, MJ; Renzenbrink, GJ; Geurts, ACH</t>
  </si>
  <si>
    <t>Ljzerman, Maarten J.; Renzenbrink, Gerbert J.; Geurts, Alexander C. H.</t>
  </si>
  <si>
    <t>Neuromuscular stimulation after stroke: from technology to clinical deployment</t>
  </si>
  <si>
    <t>drop-foot implant; medical technology assessment; motor relearning; neural prostheses; neuromodulation; neuromuscular electrical stimulation; outcomes research; pain; stroke</t>
  </si>
  <si>
    <t>FUNCTIONAL ELECTRICAL-STIMULATION; RANDOMIZED CONTROLLED-TRIAL; POSTSTROKE SHOULDER PAIN; LIMB MOTOR FUNCTION; PERONEAL NERVE STIMULATOR; DROPPED FOOT STIMULATOR; QUALITY-OF-LIFE; UPPER EXTREMITY; DEPENDENT PLASTICITY; REHABILITATION CARE</t>
  </si>
  <si>
    <t>Since the early 1960s, electrical or neuromuscular electrical stimulation (NMES) has been used to support the rehabilitation of stroke patients. One of the earliest applications of NMES included the use of external muscle stimulation to correct drop-foot after stroke. During the last few decades various clinical applications have been used for the upper and lower limb. Despite a growing body of literature on the use of NMES, its application in stroke is still limited to a few clinical groups that provide dedicated clinical services. Some explanations for the limited use are the sometimes conflicting clinical evidence, the size of the effects or the complicated use of the technology itself. This review points out three directions for future research. First, we need to expand our knowledge on brain plasticity and the use of different electrical stimulation strategies to modulate the neural system. Second, we foresee an increase in therapies combining different training principles, for example, the combination of NMES and robotics or neuromodulating drugs. Finally, with the ever-increasing pressure on healthcare budgets, it is expected that clinical and economic evidence will become more relevant in transferring these interventions to a wider community.</t>
  </si>
  <si>
    <t>[Ljzerman, Maarten J.] Univ Twente, Sch Management &amp; Governance, Dept Hlth Technol &amp; Serv Res, NL-7500 AE Enschede, Netherlands; [Renzenbrink, Gerbert J.] Roessingh Rehabil Ctr, Stroke Unit, NL-7500 AH Enschede, Netherlands; [Geurts, Alexander C. H.] Radboud Univ Nijmegen Med Ctr, Dept Phys Med &amp; Rehabil, NL-6500 GM Nijmegen, Netherlands</t>
  </si>
  <si>
    <t>University of Twente; Radboud University Nijmegen</t>
  </si>
  <si>
    <t>Ljzerman, MJ (corresponding author), Univ Twente, Sch Management &amp; Governance, Dept Hlth Technol &amp; Serv Res, POB 217, NL-7500 AE Enschede, Netherlands.</t>
  </si>
  <si>
    <t>m.j.ijzerman@utwente.nl; b.renzenbrink@roessingh.nl; a.geurts@reval.umcn.nl</t>
  </si>
  <si>
    <t>Geurts, Alexander/H-8032-2014; IJzerman, Maarten/Q-8963-2016</t>
  </si>
  <si>
    <t>IJzerman, Maarten/0000-0001-5788-5805</t>
  </si>
  <si>
    <t>Otto Bock; Neurocontrol Inc.; NESS Ltd</t>
  </si>
  <si>
    <t>The authors have no direct relation with any of the companies and/or commercial products mentioned in the manuscript, except for discounts in purchase of devices for clinical and research purposes and small amounts of funding (&lt;(sic)30,000) obtained from Otto Bock (Alexander CH Geurts), Neurocontrol Inc. (Maarten J IJzerman and Gerbert J Renzenbrink) and NESS Ltd (Alexander CH Geurts and Maarten J IJzerman) to carry out independent research on neuroprosthetic and NMES devices. The authors have no other relevant affiliations or financial involvement with any organization or entity with a financial interest in or financial conflict with the subject matter or materials discussed in the manuscript apart from those disclosed.</t>
  </si>
  <si>
    <t>10.1586/ERN.09.6</t>
  </si>
  <si>
    <t>V39ZP</t>
  </si>
  <si>
    <t>WOS:000209449200017</t>
  </si>
  <si>
    <t>Huang, VS; Krakauer, JW</t>
  </si>
  <si>
    <t>Huang, Vincent S.; Krakauer, John W.</t>
  </si>
  <si>
    <t>Robotic neurorehabilitation: a computational motor learning perspective</t>
  </si>
  <si>
    <t>FUGL-MEYER ASSESSMENT; RESEARCH ARM TEST; CHRONIC HEMIPARETIC STROKE; UPPER-LIMB PHYSIOTHERAPY; UPPER-EXTREMITY MOTOR; INTERLIMB TRANSFER; FUNCTIONAL RECOVERY; NEUROMUSCULAR STIMULATION; REACHING MOVEMENTS; MUSCLE SYNERGIES</t>
  </si>
  <si>
    <t>Conventional neurorehabilitation appears to have little impact on impairment over and above that of spontaneous biological recovery. Robotic neurorehabilitation has the potential for a greater impact on impairment due to easy deployment, its applicability across of a wide range of motor impairment, its high measurement reliability, and the capacity to deliver high dosage and high intensity training protocols. We first describe current knowledge of the natural history of arm recovery after stroke and of outcome prediction in individual patients. Rehabilitation strategies and outcome measures for impairment versus function are compared. The topics of dosage, intensity, and time of rehabilitation are then discussed. Robots are particularly suitable for both rigorous testing and application of motor learning principles to neurorehabilitation. Computational motor control and learning principles derived from studies in healthy subjects are introduced in the context of robotic neurorehabilitation. Particular attention is paid to the idea of context, task generalization and training schedule. The assumptions that underlie the choice of both movement trajectory programmed into the robot and the degree of active participation required by subjects are examined. We consider rehabilitation as a general learning problem, and examine it from the perspective of theoretical learning frameworks such as supervised and unsupervised learning. We discuss the limitations of current robotic neurorehabilitation paradigms and suggest new research directions from the perspective of computational motor learning.</t>
  </si>
  <si>
    <t>[Huang, Vincent S.; Krakauer, John W.] Columbia Univ Coll Phys &amp; Surg, Inst Neurol, Dept Neurol, Motor Performance Lab, New York, NY 10032 USA</t>
  </si>
  <si>
    <t>Huang, VS (corresponding author), Columbia Univ Coll Phys &amp; Surg, Inst Neurol, Dept Neurol, Motor Performance Lab, New York, NY 10032 USA.</t>
  </si>
  <si>
    <t>vh2181@columbia.edu; jwk18@columbia.edu</t>
  </si>
  <si>
    <t>10.1186/1743-0003-6-5</t>
  </si>
  <si>
    <t>419BN</t>
  </si>
  <si>
    <t>WOS:000264194200001</t>
  </si>
  <si>
    <t>Al Shaiji, T; Domes, T; Brock, G</t>
  </si>
  <si>
    <t>Al Shaiji, Tariq; Domes, Trustin; Brock, Gerald</t>
  </si>
  <si>
    <t>Penile rehabilitation following treatment for prostate cancer: an analysis of the current state of the art</t>
  </si>
  <si>
    <t>CUAJ-CANADIAN UROLOGICAL ASSOCIATION JOURNAL</t>
  </si>
  <si>
    <t>SPARING RADICAL PROSTATECTOMY; SPONTANEOUS ERECTILE FUNCTION; ON-DEMAND VARDENAFIL; SILDENAFIL CITRATE; EARLIER RETURN; TRANSURETHRAL ALPROSTADIL; RETROPUBIC PROSTATECTOMY; CAVERNOUS NEUROTOMY; NOCTURNAL ERECTIONS; COMBINATION THERAPY</t>
  </si>
  <si>
    <t>Despite recent advances in surgical technique using laparoscopic and robotic approaches for the management of early organ-confined prostate cancer, most contemporary reports demonstrate significant rates of erectile dysfunction comparable to standard open approaches. Controversy remains related to many of the pre- and postoperative management strategies, including agents to enhance nerve recovery, erectogenic drugs, antioxidants, vasoactive injectables, vacuum erection devices and nerve grafting procedures. Additionally, the optimal timing of these interventions and their duration, dose, frequency and Outcome thresholds remain ill-defined. In Our paper, we provide a comprehensive literature review involving both the basic and clinical data Surrounding rehabilitative approaches.</t>
  </si>
  <si>
    <t>[Al Shaiji, Tariq; Domes, Trustin; Brock, Gerald] Univ Western Ontario, Div Urol, Dept Surg, London, ON N6A 4V2, Canada</t>
  </si>
  <si>
    <t>Western University (University of Western Ontario)</t>
  </si>
  <si>
    <t>Brock, G (corresponding author), Univ Western Ontario, Div Urol, Dept Surg, London, ON N6A 4V2, Canada.</t>
  </si>
  <si>
    <t>gebrock@sympatico.ca</t>
  </si>
  <si>
    <t>Brock, Gerald/T-8835-2019; Al-Shaiji, Tariq/AAS-4738-2020</t>
  </si>
  <si>
    <t>Al-Shaiji, Tariq/0000-0002-9416-8116</t>
  </si>
  <si>
    <t>CANADIAN UROLOGICAL ASSOCIATION</t>
  </si>
  <si>
    <t>DORVAL</t>
  </si>
  <si>
    <t>185 DORVAL AVENUE, STE 401, DORVAL, QC H9S 5J9, CANADA</t>
  </si>
  <si>
    <t>1911-6470</t>
  </si>
  <si>
    <t>1920-1214</t>
  </si>
  <si>
    <t>CUAJ-CAN UROL ASSOC</t>
  </si>
  <si>
    <t>CUAJ-Can. Urol. Assoc. J.</t>
  </si>
  <si>
    <t>410RV</t>
  </si>
  <si>
    <t>WOS:000263596700008</t>
  </si>
  <si>
    <t>Edgerton, VR; Roy, RR</t>
  </si>
  <si>
    <t>Edgerton, V. Reggie; Roy, Roland R.</t>
  </si>
  <si>
    <t>Robotic training and spinal cord plasticity</t>
  </si>
  <si>
    <t>Spinal cord injury; Rehabilitation; Robotic motor training; Sensory input; Central pattern generation; Spinal cord plasticity</t>
  </si>
  <si>
    <t>EPIDURAL STIMULATION; TREADMILL WALKING; MOTOR POOLS; INJURY; CATS; RATS; STEP; LOCOMOTION; RECOVERY; GAIT</t>
  </si>
  <si>
    <t>What is the potential for recovery of locomotor ability after a spinal cord injury? Both human and animal studies show that the spinal cord has the potential to reorganize and/or readjust to the loss of supraspinal input and utilize the remaining peripheral input to actually control stepping and standing. Motor training can be used to provide sensory ensembles within the spinal circuitry that are task-specific, i.e., step training improves stepping and stand training improves standing. A large component of this learning is a function of improved coordination of motor pools within and among limbs. The most successful type of training includes variability in the performed task, i.e., monotonous repetition of the exact same sensorimotor pattern results in learned disuse. The use of robotics for training specific motor tasks has become more prevalent recently and we report here that using an assist-as-needed approach for step training after a severe spinal cord injury provides a high probability of successful rehabilitation. The assist-as-needed paradigm allows variability in the step trajectory within specific boundaries such that the robotic arms constrain the deviations in a manner mimicking that observed under normal, intact conditions. Another critical feature of robotic devices or step training seems to be the ability to integrate normal hip and leg motion as occurs during normal stepping. These types of robotic devices have the potential to aid therapists in the clinical setting and to enhance the ability of spinal cord injured individuals to regain the maximum locomotor ability possible. (c) 2008 Elsevier Inc. All rights reserved.</t>
  </si>
  <si>
    <t>[Edgerton, V. Reggie; Roy, Roland R.] Univ Calif Los Angeles, Dept Physiol Sci, Los Angeles, CA 90095 USA; [Edgerton, V. Reggie] Univ Calif Los Angeles, Dept Neurobiol, Los Angeles, CA 90095 USA; [Edgerton, V. Reggie; Roy, Roland R.] Univ Calif Los Angeles, Dept Brain, Res Inst, Los Angeles, CA 90095 USA</t>
  </si>
  <si>
    <t>University of California System; University of California Los Angeles; University of California System; University of California Los Angeles; University of California System; University of California Los Angeles</t>
  </si>
  <si>
    <t>Edgerton, VR (corresponding author), Univ Calif Los Angeles, Dept Physiol Sci, Los Angeles, CA 90095 USA.</t>
  </si>
  <si>
    <t>vre@ucla.edu</t>
  </si>
  <si>
    <t>Christopher and Dana Reeve Foundation; [NIH NS16333]; [NIH HD44830]; [NIH NS42951]</t>
  </si>
  <si>
    <t>Christopher and Dana Reeve Foundation; ; ;</t>
  </si>
  <si>
    <t>This work was supported by NIH NS16333, NIH HD44830, NIH NS42951, and the Christopher and Dana Reeve Foundation.</t>
  </si>
  <si>
    <t>10.1016/j.brainresbull.2008.09.018</t>
  </si>
  <si>
    <t>395VR</t>
  </si>
  <si>
    <t>WOS:000262552100003</t>
  </si>
  <si>
    <t>Fong, AJ; Roy, RR; Ichiyama, RM; Lavrov, I; Courtine, G; Gerasimenko, Y; Tai, YC; Burdick, J; Edgerton, VR</t>
  </si>
  <si>
    <t>Verhaagen, J; Hol, EM; Huitenga, I; Wijnholds, J; Bergen, AB; Boer, GJ; Swaab, DF</t>
  </si>
  <si>
    <t>Fong, Andy J.; Roy, Roland R.; Ichiyama, Ronaldo M.; Lavrov, Igor; Courtine, Gregoire; Gerasimenko, Yury; Tai, Y. C.; Burdick, Joel; Edgerton, V. Reggie</t>
  </si>
  <si>
    <t>Recovery of control of posture and locomotion after a spinal cord injury: solutions staring us in the face</t>
  </si>
  <si>
    <t>NEUROTHERAPY: PROGRESS IN RESTORATIVE NEUROSCIENCE AND NEUROLOGY</t>
  </si>
  <si>
    <t>25th International Summer School of Brain Research</t>
  </si>
  <si>
    <t>AUG 25-28, 2008</t>
  </si>
  <si>
    <t>Royal Netherlands Acad Arts &amp; Sci (KNAW), Amsterdam, NETHERLANDS</t>
  </si>
  <si>
    <t>Netherlands Inst Neurosci (NIN),Abcam,Alzheimer Nederland,Amsterdam Mol Therapeut (AMT),Appl Biosyst,Bio-Connect BV,Boehringer Ingelheim,Bristol-Myers Squibb BV,Corning,Curatis Pharma GmbH,Eurogentec BV,Elsevier Sci Publishers,Genzyme Europe BV,GlaxoSmithKline,Grad Sch Neurosci Amsterdam (ONWA),Hersenstichting Nederland,Invitrogen,Leica Microsyst BV,Landelijke Stichting Blinden Slechtzienden (LSBS),Merck Res Labs,ZonMw,Solvay Pharmaceut BV,Stichting Blindenhulp,Stichting Blinden-penning,Stichting Glaucoomfonds,Stichting MD Fonds,Stichting MS Res,Stichting Van den Houtenfonds,Tebu-Bio,Uitgeverij Nieuwezijds,Zeiss</t>
  </si>
  <si>
    <t>Royal Netherlands Acad Arts &amp; Sci (KNAW)</t>
  </si>
  <si>
    <t>spinal cord injury; rehabilitation; robotic motor training; pharmacological intervention; skeletal muscle adaptation; proprioception; epidural stimulation; locomotion</t>
  </si>
  <si>
    <t>CENTRAL PATTERN GENERATOR; ELECTRICAL-STIMULATION; INTRASPINAL MICROSTIMULATION; CONTRACTILE PROPERTIES; SKELETAL-MUSCLE; GENE-EXPRESSION; EPIDURAL STIMULATION; METABOLIC PROPERTIES; SYNAPTIC PLASTICITY; FUNCTIONAL RECOVERY</t>
  </si>
  <si>
    <t>Over the past 20 years, tremendous advances have been made in the field of spinal cord injury research. Yet, consumed with individual pieces of the puzzle, we have failed as a community to grasp the magnitude of the sum of our findings. Our current knowledge should allow us to improve the lives of patients suffering from spinal cord injury. Advances in multiple areas have provided tools for pursuing effective combination of strategies for recovering stepping and standing after a severe spinal cord injury. Muscle physiology research has provided insight into how to maintain functional muscle properties after a spinal cord injury. Understanding the role of the spinal networks in processing sensory information that is important for the generation of motor functions has focused research on developing treatments that sharpen the sensitivity of the locomotor circuitry and that carefully manage the presentation of proprioceptive and cutaneous stimuli to favor recovery. Pharmacological facilitation or inhibition of neurotransmitter systems, spinal cord stimulation, and rehabilitative motor training, which all function by modulating the physiological state of the spinal circuitry, have emerged as promising approaches. Early technological developments, such as robotic training systems and high-density electrode arrays for stimulating the spinal cord, can significantly enhance the precision and minimize the invasiveness of treatment after an injury. Strategies that seek out the complementary effects of combination treatments and that efficiently integrate relevant technical advances in bioengineering represent an untapped potential and are likely to have an immediate impact. Herein, we review key findings in each of these areas of research and present a unified vision for moving forward. Much work remains, but we already have the capability, and more importantly, the responsibility, to help spinal cord injury patients now.</t>
  </si>
  <si>
    <t>[Roy, Roland R.; Lavrov, Igor; Gerasimenko, Yury; Edgerton, V. Reggie] Univ Calif Los Angeles, Dept Physiol Sci, Los Angeles, CA 90024 USA; [Edgerton, V. Reggie] Univ Calif Los Angeles, Dept Neurobiol, Los Angeles, CA USA; [Roy, Roland R.; Edgerton, V. Reggie] Univ Calif Los Angeles, Brain Res Inst, Los Angeles, CA 90024 USA; [Ichiyama, Ronaldo M.] Univ Leeds, Inst Membrane &amp; Syst Biol, Leeds, W Yorkshire, England; [Courtine, Gregoire] Univ Zurich, Dept Neurobiol, Zurich, Switzerland; [Gerasimenko, Yury] IP Pavlov Physiol Inst, St Petersburg 199034, Russia; [Tai, Y. C.; Burdick, Joel] CALTECH, Div Engn, Pasadena, CA USA</t>
  </si>
  <si>
    <t>University of California System; University of California Los Angeles; University of California System; University of California Los Angeles; University of California System; University of California Los Angeles; University of Leeds; University of Zurich; Russian Academy of Sciences; St. Petersburg Scientific Centre of the Russian Academy of Sciences; Pavlov Institute of Physiology Russian Academy of Sciences; California Institute of Technology</t>
  </si>
  <si>
    <t>Edgerton, VR (corresponding author), Univ Calif Los Angeles, Dept Physiol Sci, Los Angeles, CA 90024 USA.</t>
  </si>
  <si>
    <t>Gerasimenko, Yury/A-3655-2017; courtine, gregoire/AAJ-1694-2020; Ichiyama, Ronaldo/B-7856-2009; Lavrov, Igor/E-4334-2016</t>
  </si>
  <si>
    <t>courtine, gregoire/0000-0002-5744-4142; Ichiyama, Ronaldo M/0000-0002-7640-8032; Lavrov, Igor/0000-0002-3885-4509</t>
  </si>
  <si>
    <t>National Institutes of Health [NS16333, NS42291]; Russian Foundation for Basic Research - US Civilian Research and Development Foundation [07-04-91106]; Christopher and Diana Reeve Paralysis Foundation; Roman Reed Spinal Cord Injury Research Fund of California</t>
  </si>
  <si>
    <t>National Institutes of Health(United States Department of Health &amp; Human ServicesNational Institutes of Health (NIH) - USA); Russian Foundation for Basic Research - US Civilian Research and Development Foundation; Christopher and Diana Reeve Paralysis Foundation; Roman Reed Spinal Cord Injury Research Fund of California</t>
  </si>
  <si>
    <t>The work presented in this paper was supported by the National Institutes of Health Grants NS16333 and NS42291, the Russian Foundation for Basic Research - US Civilian Research and Development Foundation Grant 07-04-91106, the Christopher and Diana Reeve Paralysis Foundation, and the Roman Reed Spinal Cord Injury Research Fund of California.</t>
  </si>
  <si>
    <t>978-0-12-374511-8</t>
  </si>
  <si>
    <t>10.1016/S0079-6123(09)17526-X</t>
  </si>
  <si>
    <t>Conference Proceedings Citation Index - Science (CPCI-S); Science Citation Index Expanded (SCI-EXPANDED)</t>
  </si>
  <si>
    <t>BDJ56</t>
  </si>
  <si>
    <t>WOS:000313549600026</t>
  </si>
  <si>
    <t>O'Dell, MW; Lin, CCD; Harrison, V</t>
  </si>
  <si>
    <t>O'Dell, Michael W.; Lin, Chi-Chang David; Harrison, Victoria</t>
  </si>
  <si>
    <t>Stroke Rehabilitation: Strategies to Enhance Motor Recovery</t>
  </si>
  <si>
    <t>ANNUAL REVIEW OF MEDICINE</t>
  </si>
  <si>
    <t>Annual Review of Medicine</t>
  </si>
  <si>
    <t>technology; disability</t>
  </si>
  <si>
    <t>INDUCED MOVEMENT THERAPY; TRANSCRANIAL MAGNETIC STIMULATION; DOUBLE-BLIND; BOTULINUM TOXIN; PHARMACOLOGICAL-TREATMENT; VIRTUAL-REALITY; POSTSTROKE; AMPHETAMINE; GAIT; PHYSIOTHERAPY</t>
  </si>
  <si>
    <t>Recent evidence indicates that the brain can remodel after stroke, primarily through synaptogenesis. Task-specific and repetitive exercise appear to be key factors in promoting synaptogenesis and are central elements in rehabilitation of motor weakness following stroke. Expert medical management ensures a patient is well enough to participate in rehabilitation with minimal distractions due to pain or depression. Contraint-induced motor therapy and body-weight-supported ambulation are forms of exercise that force use of an impaired upper extremity. Technologies now in common use include robotics, functional electrical stimulation, and, to a lesser degree, transcranial magnetic stimulation and virtual reality. The data on pharmacological interventions are mixed but encouraging; it is hoped such treatments will directly Stimulate brain tissue to recovery. Mitigation of factors preventing movement, such as spasticity, might also play a role. Research evaluating these motor recovery strategies finds them generally good at the movement level but somewhat less robust when looking at functional performance. It remains unclear whether inconsistent evidence for functional improvement is a matter of poor treatment efficacy or insensitive outcome measures.</t>
  </si>
  <si>
    <t>[O'Dell, Michael W.; Lin, Chi-Chang David; Harrison, Victoria] NewYork Presbyterian Hosp, Weill Cornell Med Ctr, Dept Rehabil Med, New York, NY 10021 USA</t>
  </si>
  <si>
    <t>NewYork-Presbyterian Hospital; Cornell University; Weill Cornell Medical Center; Weill Cornell Medicine</t>
  </si>
  <si>
    <t>O'Dell, MW (corresponding author), NewYork Presbyterian Hosp, Weill Cornell Med Ctr, Dept Rehabil Med, New York, NY 10021 USA.</t>
  </si>
  <si>
    <t>mio2005@med.cornell.edu</t>
  </si>
  <si>
    <t>0066-4219</t>
  </si>
  <si>
    <t>ANNU REV MED</t>
  </si>
  <si>
    <t>Annu. Rev. Med.</t>
  </si>
  <si>
    <t>10.1146/annurev.med.60.042707.104248</t>
  </si>
  <si>
    <t>471PS</t>
  </si>
  <si>
    <t>WOS:000268071100005</t>
  </si>
  <si>
    <t>Reinkensmeyer, DJ; Patton, JL</t>
  </si>
  <si>
    <t>Reinkensmeyer, David J.; Patton, James L.</t>
  </si>
  <si>
    <t>Can Robots Help the Learning of Skilled Actions?</t>
  </si>
  <si>
    <t>EXERCISE AND SPORT SCIENCES REVIEWS</t>
  </si>
  <si>
    <t>motor control; robotics; adaptation; movement; training</t>
  </si>
  <si>
    <t>MOTOR; ARM; ADAPTATION; GUIDANCE; DYNAMICS; WALKING</t>
  </si>
  <si>
    <t>REIN KENSMEYER, D.J., and J.L. PATTON. Can robots help the learning of skilled actions? Exerc. Sport Sci. Rev., Vol. 37, No. 1, pp. 43-51, 2009. Learning to move skillfully requires that the motor system adjusts muscle commands based on ongoing performance errors, a process influenced by the dynamics of the task beam; practiced. Recent experiments from our laboratories show how robotic devices can temporarily alter task dynamics in ways that contribute to the motor learning experience, suggesting possible applications in rehabilitation and sports training.</t>
  </si>
  <si>
    <t>[Reinkensmeyer, David J.] Univ Calif Irvine, Dept Mech &amp; Aerosp Engn, Irvine, CA 92697 USA; [Reinkensmeyer, David J.] Univ Calif Irvine, Dept Biomed Engn, Irvine, CA 92697 USA; [Patton, James L.] Univ Illinois, Dept Bioengn, Rehabil Inst Chicago, Sensory Motor Performance Program, Chicago, IL USA</t>
  </si>
  <si>
    <t>University of California System; University of California Irvine; University of California System; University of California Irvine; University of Illinois System; University of Illinois Chicago; University of Illinois Chicago Hospital; Shirley Ryan AbilityLab</t>
  </si>
  <si>
    <t>Reinkensmeyer, DJ (corresponding author), Univ Calif Irvine, Dept Mech &amp; Aerosp Engn, Irvine, CA 92697 USA.</t>
  </si>
  <si>
    <t>Department of Education National Institute on Disability and Rehabilitation [H133E070013]; NIH [R01 NS053606, N01-HD-3-3352]</t>
  </si>
  <si>
    <t>Department of Education National Institute on Disability and Rehabilitation; NIH(United States Department of Health &amp; Human ServicesNational Institutes of Health (NIH) - USA)</t>
  </si>
  <si>
    <t>This study was supported by the Department of Education National Institute on Disability and Rehabilitation Research grant number H133E070013, NIH R01 NS053606, and NIH N01-HD-3-3352.</t>
  </si>
  <si>
    <t>0091-6331</t>
  </si>
  <si>
    <t>1538-3008</t>
  </si>
  <si>
    <t>EXERC SPORT SCI REV</t>
  </si>
  <si>
    <t>Exerc. Sport Sci. Rev.</t>
  </si>
  <si>
    <t>10.1097/JES.0b013e3181912108</t>
  </si>
  <si>
    <t>389DA</t>
  </si>
  <si>
    <t>Green Accepted, Bronze</t>
  </si>
  <si>
    <t>WOS:000262069500009</t>
  </si>
  <si>
    <t>Casals, A; Amat, J; Frigola, M; Rodriguez-Cheu, LE; Torrens, C; Ginés, A</t>
  </si>
  <si>
    <t>Casals, Alicia; Amat, Josep; Frigola, Manel; Rodriguez-Cheu, L. E.; Torrens, Carlos; Gines, Albert</t>
  </si>
  <si>
    <t>Monitoring and robotizing shoulder arthroplasty for training and optimization of suturing techniques</t>
  </si>
  <si>
    <t>INTERNATIONAL JOURNAL OF COMPUTER ASSISTED RADIOLOGY AND SURGERY</t>
  </si>
  <si>
    <t>Surgical robots; Shoulder arthroplasty training; Surgical arthroplasty optimization</t>
  </si>
  <si>
    <t>Objective Shoulder arthroplasty with a humeral head prosthesis is used to treat complex proximal humeral fractures, and the outcome depends on the placement and integrity of sutures. The object of this research is to determine the forces supported by sutural filaments that bind the tuberosities to the prosthesis in proximal humeral fractures. Knowledge of these forces facilitates comparison of different suturing strategies that may improve the surgical procedure and provide better outcomes. Method A robotic workstation and a set of sensor modules were designed and built to emulate post-surgery rehabilitation geometry and forces with the required precision and repeatability. This system allows monitoring the forces supported by each sutural thread, as well as measurement of the millimeter scale displacements between the bone fragments produced postoperatively during rehabilitation movements. Several common suturing strategies carried out by orthopedists in shoulder arthroplasty with placement of a humeral head prosthesis were emulated using the robotic system. Results Based on in vitro laboratory experiments, the shoulder arthroplasty suture that supports higher strains was identified. The sutural band with maximum stress was not the same when the humerus is immobilized after surgery and in the postoperative rehabilitation phase. Conclusion The robotic system for shoulder arthroplasty with humeral head prosthesis placement provides biomechanical insight with quantitative analysis of the force distribution regarding the suturing strategy used in the procedure. The suture most likely to fail early when increasing tension in the rotator cuff muscles is the one passed through both tuberosities. The clinical significance of these findings is identification of the need to avoid shortening the humeral height or increasing retroversion in this procedure.</t>
  </si>
  <si>
    <t>[Casals, Alicia; Amat, Josep; Frigola, Manel; Rodriguez-Cheu, L. E.] Tech Univ Catalonia UPC, Dept Automat Control &amp; Comp Engn, Barcelona 08028, Spain; [Casals, Alicia; Amat, Josep; Frigola, Manel; Rodriguez-Cheu, L. E.] Tech Univ Catalonia UPC, Biomed Engn Res Ctr, Barcelona 08028, Spain; [Torrens, Carlos; Gines, Albert] Dept Orthoped, Barcelona 08003, Spain; [Torrens, Carlos; Gines, Albert] Hosp del Mar IMAS, Barcelona 08003, Spain</t>
  </si>
  <si>
    <t>Universitat Politecnica de Catalunya; Universitat Politecnica de Catalunya; Hospital del Mar Research Institute; Hospital del Mar</t>
  </si>
  <si>
    <t>Casals, A (corresponding author), Tech Univ Catalonia UPC, Dept Automat Control &amp; Comp Engn, Pau Gargallo 5, Barcelona 08028, Spain.</t>
  </si>
  <si>
    <t>alicia.casals@upc.edu; CTorrens@imas.imim.es</t>
  </si>
  <si>
    <t>Torrens, Carlos/AAS-3268-2020; Casals, Ariadna/C-7006-2009</t>
  </si>
  <si>
    <t>Torrens, Carlos/0000-0002-6690-1632; AMAT, Josep/0000-0002-8769-7706; Frigola, Manel/0000-0001-8838-1562; Casals, Alicia/0000-0003-4706-5533</t>
  </si>
  <si>
    <t>1861-6410</t>
  </si>
  <si>
    <t>1861-6429</t>
  </si>
  <si>
    <t>INT J COMPUT ASS RAD</t>
  </si>
  <si>
    <t>Int. J. Comput. Assist. Radiol. Surg.</t>
  </si>
  <si>
    <t>10.1007/s11548-008-0200-2</t>
  </si>
  <si>
    <t>Engineering, Biomedical; Radiology, Nuclear Medicine &amp; Medical Imaging; Surgery</t>
  </si>
  <si>
    <t>Engineering; Radiology, Nuclear Medicine &amp; Medical Imaging; Surgery</t>
  </si>
  <si>
    <t>V32ZZ</t>
  </si>
  <si>
    <t>WOS:000208990400007</t>
  </si>
  <si>
    <t>Hughes, AM; Burridge, J; Freeman, C; Chappell, P; Lewin, P; Rogers, E</t>
  </si>
  <si>
    <t>Hughes, Ann-Marie; Burridge, Jane; Freeman, Chris; Chappell, Paul; Lewin, Paul; Rogers, Eric</t>
  </si>
  <si>
    <t>Robotic trajectory tracking for neurological rehabilitation</t>
  </si>
  <si>
    <t>PROGRESS IN NEUROLOGY AND PSYCHIATRY</t>
  </si>
  <si>
    <t>The authors describe the initial phase of their work at the University of Southampton on testing an improved technique to help stroke patients regain the use of their arms. Useful arm movement is regarded as one of the most important factors for regaining functional independence among stroke patients.</t>
  </si>
  <si>
    <t>[Hughes, Ann-Marie; Burridge, Jane] Sch Hlth Professions, Dallas, TX 75203 USA; [Freeman, Chris; Chappell, Paul; Lewin, Paul; Rogers, Eric] Univ Southampton, Sch Elect &amp; Comp Sci, Southampton, NY USA</t>
  </si>
  <si>
    <t>Hughes, AM (corresponding author), Sch Hlth Professions, Dallas, TX 75203 USA.</t>
  </si>
  <si>
    <t>; Lewin, Paul/F-5872-2017</t>
  </si>
  <si>
    <t>Rogers, Eric/0000-0003-0179-9398; Freeman, Chris/0000-0003-0305-9246; Hughes, Ann-Marie/0000-0002-3958-8206; Lewin, Paul/0000-0002-2343-7059; Lewin, Paul/0000-0002-3299-2556</t>
  </si>
  <si>
    <t>JOHN WILEY &amp; SONS LTD</t>
  </si>
  <si>
    <t>THE ATRIUM, SOUTHERN GATE, CHICHESTER PO19 8SQ, W SUSSEX, ENGLAND</t>
  </si>
  <si>
    <t>1367-7543</t>
  </si>
  <si>
    <t>1931-227X</t>
  </si>
  <si>
    <t>PROG NEUROL PSYCHIAT</t>
  </si>
  <si>
    <t>Prog. Neurol. Psychiatry</t>
  </si>
  <si>
    <t>10.1002/pnp.68</t>
  </si>
  <si>
    <t>V2S6J</t>
  </si>
  <si>
    <t>WOS:000217874000005</t>
  </si>
  <si>
    <t>Kwakkel, G; Kollen, BJ; Krebs, HI</t>
  </si>
  <si>
    <t>Kwakkel, Gert; Kollen, Boudewijn J.; Krebs, Hermano I.</t>
  </si>
  <si>
    <t>Effects of robot-assisted therapy on upper limb recovery after stroke: A systematic review</t>
  </si>
  <si>
    <t>robotics; cerebrovascular accident; activities of daily living; upper limb; review; systematic</t>
  </si>
  <si>
    <t>UPPER EXTREMITY FUNCTION; ARM TRAINING IMPROVES; FUGL-MEYER ASSESSMENT; NEURO-REHABILITATION; FUNCTIONAL RECOVERY; MOTOR IMPAIRMENT; BRAIN-INJURY; MOVEMENT; NEUROREHABILITATION; IMPACT</t>
  </si>
  <si>
    <t>Objective. The aim of the study was to present a systematic review of studies that investigate the effects of robot-assisted therapy on motor and functional recovery in patients with stroke. Methods. A database of articles published up to October 2006 was compiled using the following Medline key words: cerebral vascular accident, cerebral vascular disorders, stroke, paresis, hemiplegia, upper extremity, arm, and robot. References listed in relevant publications were also screened. Studies that satisfied the following selection criteria were included: (1) patients were diagnosed with cerebral vascular accident; (2) effects of robot-assisted therapy for the upper limb were investigated; (3) the outcome was measured in terms of motor and/or functional recovery of the upper paretic limb; and (4) the study was a randomized clinical trial (RCT). For each outcome measure, the estimated effect size (ES) and the summary effect size (SES) expressed in standard deviation units (SDU) were calculated for motor recovery and functional ability (activities of daily living [ADLs]) using fixed and random effect models. Ten studies, involving 218 patients, were included in the synthesis. Their methodological quality ranged from 4 to 8 on a (maximum) 10-point scale. Results. Meta-analysis showed a nonsignificant heterogeneous SES in terms of upper limb motor recovery. Sensitivity analysis of studies involving only shoulder-elbow robotics subsequently demonstrated a significant homogeneous SES for motor recovery of the upper paretic limb. No significant SES was observed for functional ability (ADL). Conclusion. As a result of marked heterogeneity in studies between distal and proximal arm robotics, no overall significant effect in favor of robot-assisted therapy was found in the present meta-analysis. However, subsequent sensitivity analysis showed a significant improvement in upper limb motor function after stroke for upper arm robotics. No significant improvement was found in ADL function. However, the administered ADL scales in the reviewed studies fail to adequately reflect recovery of the paretic upper limb, whereas valid instruments that measure outcome of dexterity of the paretic arm and hand are mostly absent in selected studies. Future research into the effects of robot-assisted therapy should therefore distinguish between upper and lower robotics arm training and concentrate on kinematical analysis to differentiate between genuine upper limb motor recovery and functional recovery due to compensation strategies by proximal control of the trunk and upper limb.</t>
  </si>
  <si>
    <t>[Kwakkel, Gert] Vrije Univ Amsterdam, Med Ctr, Dept Rehabil Med, NL-1081 HV Amsterdam, Netherlands; [Kwakkel, Gert] Vrije Univ Amsterdam, Med Ctr, Res Inst MOVE, NL-1081 HV Amsterdam, Netherlands; [Kwakkel, Gert] Univ Med Ctr Utrecht, Rudolf Magnus Inst Neurosci, Dept Rehabil Med, Utrecht, Netherlands; [Kollen, Boudewijn J.] Isla Kliniken Zwolle, Res Bur, Utrecht, Netherlands; [Krebs, Hermano I.] MIT, Dept Mech Engn, Cambridge, MA 02139 USA; [Krebs, Hermano I.] Cornell Univ, Dept Neurol &amp; Neurosci, Burke Med Res Inst, Weill Med Coll, White Plains, NY USA; [Krebs, Hermano I.] Univ Maryland, Sch Med, Dept Neurol, Baltimore, MD 21201 USA</t>
  </si>
  <si>
    <t>Vrije Universiteit Amsterdam; Vrije Universiteit Amsterdam; Utrecht University; Utrecht University Medical Center; Massachusetts Institute of Technology (MIT); Cornell University; Weill Cornell Medicine; University System of Maryland; University of Maryland Baltimore</t>
  </si>
  <si>
    <t>Kwakkel, G (corresponding author), Vrije Univ Amsterdam, Med Ctr, Dept Rehabil Med, De Boelelaan 1117,POB 7057, NL-1081 HV Amsterdam, Netherlands.</t>
  </si>
  <si>
    <t>Kwakkel, Gert/0000-0002-4041-4043</t>
  </si>
  <si>
    <t>NICHD NIH HHS [R01-HD045343, R01 HD045343] Funding Source: Medline</t>
  </si>
  <si>
    <t>10.1177/1545968307305457</t>
  </si>
  <si>
    <t>265PZ</t>
  </si>
  <si>
    <t>WOS:000253374700002</t>
  </si>
  <si>
    <t>Dobkin, BH</t>
  </si>
  <si>
    <t>Dobkin, Bruce H.</t>
  </si>
  <si>
    <t>Training and exercise to drive poststroke recovery</t>
  </si>
  <si>
    <t>NATURE CLINICAL PRACTICE NEUROLOGY</t>
  </si>
  <si>
    <t>exercise; functional MRI; motor control; muscle strength; stroke rehabilitation</t>
  </si>
  <si>
    <t>RANDOMIZED CONTROLLED-TRIAL; INDUCED MOVEMENT THERAPY; PRIMARY MOTOR CORTEX; CHRONIC STROKE; FUNCTIONAL RECOVERY; MULTICENTER TRIAL; EXCITE TRIAL; REHABILITATION; PLASTICITY; STIMULATION</t>
  </si>
  <si>
    <t>To make practical recommendations regarding therapeutic strategies for the rehabilitation of patients with hemiparetic stroke, it is important to have a general understanding of the fundamental mechanisms underlying the neuroplasticity that is induced by skills training and by exercise programs designed to increase muscle strength and cardiovascular fitness. Recent clinical trials have provided insights into methods that promote adaptations within the nervous system that correlate with improved walking and upper extremity function, and that can be instigated at any time after stroke onset. Data obtained to date indicate that patients who have mild to moderate levels of impairment and disability can benefit from interventions that depend on repetitive task-oriented practice at the intensity and duration necessary to reach a plateau in a reacquired skill. Studies are underway to lessen the consequences of more-severe motor deficits by drawing on medications that augment plasticity, biological interventions that promote neural repair, and strategies that employ electrical stimulation and robotics.</t>
  </si>
  <si>
    <t>[Dobkin, Bruce H.] Univ Calif Los Angeles, Dept Neurol, Los Angeles, CA 90024 USA</t>
  </si>
  <si>
    <t>University of California System; University of California Los Angeles</t>
  </si>
  <si>
    <t>Dobkin, BH (corresponding author), Univ Calif Los Angeles, 710 Westwood Plaza, Los Angeles, CA 90095 USA.</t>
  </si>
  <si>
    <t>bdobkin@mednet.ucla.edu</t>
  </si>
  <si>
    <t>NICHD NIH HHS [R01 HD046740, R24 HD039629] Funding Source: Medline; NINDS NIH HHS [R01 NS050506, T32 NS007479] Funding Source: Medline</t>
  </si>
  <si>
    <t>NICHD NIH HHS(United States Department of Health &amp; Human ServicesNational Institutes of Health (NIH) - USANIH Eunice Kennedy Shriver National Institute of Child Health &amp; Human Development (NICHD)); NINDS NIH HHS(United States Department of Health &amp; Human ServicesNational Institutes of Health (NIH) - USANIH National Institute of Neurological Disorders &amp; Stroke (NINDS))</t>
  </si>
  <si>
    <t>1745-834X</t>
  </si>
  <si>
    <t>NAT CLIN PRACT NEURO</t>
  </si>
  <si>
    <t>Nat. Clin. Pract. Neurol.</t>
  </si>
  <si>
    <t>10.1038/ncpneuro0709</t>
  </si>
  <si>
    <t>258FT</t>
  </si>
  <si>
    <t>WOS:000252854500008</t>
  </si>
  <si>
    <t>Dollar, AM; Herr, H</t>
  </si>
  <si>
    <t>Dollar, Aaron M.; Herr, Hugh</t>
  </si>
  <si>
    <t>Lower extremity exoskeletons and active orthoses: Challenges and state-of-the-art</t>
  </si>
  <si>
    <t>exoskeleton; lower extremity; orthosis; orthotics; rehabilitation; robotics; walking; wearable</t>
  </si>
  <si>
    <t>RECIPROCATING GAIT ORTHOSIS; ANKLE-FOOT ORTHOSIS; ELECTRICAL MUSCLE STIMULATION; POWER ASSISTING SUIT; ENERGY-EXPENDITURE; METABOLIC COST; DESIGN; WALKING; SYSTEM; AMBULATION</t>
  </si>
  <si>
    <t>In the nearly six decades since researchers began to explore methods of creating them, exoskeletons have progressed from the stuff of science fiction to nearly commercialized products. While there are still many challenges associated with exoskeleton development that have yet to be perfected, the advances in the field have been enormous. In this paper, we review the history and discuss the state-of-the-art of lower. limb exoskeletons and active orthoses. We provide a design overview of hardware, actuation, sensory, and control systems for most of the devices that have been described in the literature, and end with a discussion of the major advances that have been made and hurdles yet to be overcome.</t>
  </si>
  <si>
    <t>[Dollar, Aaron M.; Herr, Hugh] Harvard Univ, MIT, Div Hlth Sci &amp; Technol, Cambridge, MA 02139 USA; [Dollar, Aaron M.; Herr, Hugh] MIT Media Lab, Cambridge, MA 02139 USA</t>
  </si>
  <si>
    <t>Harvard University; Massachusetts Institute of Technology (MIT); Massachusetts Institute of Technology (MIT)</t>
  </si>
  <si>
    <t>Dollar, AM (corresponding author), Harvard Univ, MIT, Div Hlth Sci &amp; Technol, Cambridge, MA 02139 USA.</t>
  </si>
  <si>
    <t>adollar@mit.edu; hherr@media.mit.edu</t>
  </si>
  <si>
    <t>10.1109/TRO.2008.915453</t>
  </si>
  <si>
    <t>271LM</t>
  </si>
  <si>
    <t>WOS:000253789900014</t>
  </si>
  <si>
    <t>Takahashi, CD; Der-Yeghiaian, L; Le, V; Motiwala, RR; Cramer, SC</t>
  </si>
  <si>
    <t>Takahashi, Craig D.; Der-Yeghiaian, Lucy; Le, Vu; Motiwala, Rehan R.; Cramer, Steven C.</t>
  </si>
  <si>
    <t>Robot-based hand motor therapy after stroke</t>
  </si>
  <si>
    <t>stroke; motor therapy; functional MRI; generalization</t>
  </si>
  <si>
    <t>ARM TRAINING IMPROVES; ENVIRONMENTAL ENRICHMENT; REHABILITATION TREATMENT; REACHING PERFORMANCE; FUNCTIONAL RECOVERY; HEMIPARETIC STROKE; MUSCLE RESPONSES; UPPER EXTREMITY; BRAIN-INJURY; ADULT NORMS</t>
  </si>
  <si>
    <t>Robots can improve motor status after stroke with certain advantages, but there has been less emphasis to date on robotic developments for the hand. The goal of this study was to determine whether a hand-wrist robot would improve motor function, and to evaluate the specificity of therapy effects on brain reorganization. Subjects with chronic stroke producing moderate right arm/ hand weakness received 3 weeks therapy that emphasized intense active movement repetition as well as attention, speed, force, precision and timing, and included virtual reality games. Subjects initiated hand movements. If necessary, the robot completed movements, a feature available at all visits for seven of the subjects and at the latter half of visits for six of the subjects. Significant behavioural gains were found at end of treatment, for example, in Action Research Arm Test ( 34 +/- 20 to 38 +/- 19, P&lt; 0.0005) and arm motor Fugl-Meyer score ( 45 +/- 10 to 52 +/- 10, P&lt;0.0001). Results suggest greater gains for subjects receiving robotic assistance in all sessions as compared to those receiving robotic assistance in half of sessions. The grasp task practiced during robotic therapy, when performed during functional MRI, showed increased sensorimotor cortex activation across the period of therapy, while a non-practiced task, supination/ pronation, did not. A robot-based therapy showed improvements in hand motor function after chronic stroke. Reorganization of motor maps during the current therapy was task-specific, a finding useful when considering generalization of rehabilitation therapy.</t>
  </si>
  <si>
    <t>[Takahashi, Craig D.; Der-Yeghiaian, Lucy; Le, Vu; Motiwala, Rehan R.; Cramer, Steven C.] Univ Calif Irvine, Irvine Med Ctr, Dept Neurol, Orange, CA 92868 USA; [Takahashi, Craig D.; Der-Yeghiaian, Lucy; Le, Vu; Motiwala, Rehan R.; Cramer, Steven C.] Univ Calif Irvine, Irvine Med Ctr, Dept Anat, Orange, CA 92868 USA</t>
  </si>
  <si>
    <t>Cramer, SC (corresponding author), Univ Calif Irvine, Irvine Med Ctr, Dept Neurol, 101 City Dr S,Bldg 53 Room 203, Orange, CA 92868 USA.</t>
  </si>
  <si>
    <t>NCRR NIH HHS [5M011 RR-00827-29] Funding Source: Medline</t>
  </si>
  <si>
    <t>NCRR NIH HHS(United States Department of Health &amp; Human ServicesNational Institutes of Health (NIH) - USANIH National Center for Research Resources (NCRR))</t>
  </si>
  <si>
    <t>10.1093/brain/awm311</t>
  </si>
  <si>
    <t>258XO</t>
  </si>
  <si>
    <t>Bronze, Green Submitted, Green Published</t>
  </si>
  <si>
    <t>WOS:000252903900014</t>
  </si>
  <si>
    <t>Tonet, O; Marinelli, M; Citi, L; Rossini, PM; Rossini, L; Megali, G; Dario, P</t>
  </si>
  <si>
    <t>Tonet, Oliver; Marinelli, Martina; Citi, Luca; Rossini, Paolo Maria; Rossini, Luca; Megali, Giuseppe; Dario, Paolo</t>
  </si>
  <si>
    <t>Defining brain-machine interface applications by matching interface performance with device requirements</t>
  </si>
  <si>
    <t>JOURNAL OF NEUROSCIENCE METHODS</t>
  </si>
  <si>
    <t>brain-computer interface; brain-machine interface; human-machine interface; hybrid bilonic system; throughput; information transfer rate</t>
  </si>
  <si>
    <t>REAL-TIME CONTROL; THOUGHT TRANSLATION DEVICE; BCI COMPETITION 2003; COMPUTER-INTERFACE; MAGNETIC STIMULATION; MENTAL PROSTHESIS; EEG; COMMUNICATION; MOVEMENT; CURSOR</t>
  </si>
  <si>
    <t>Interaction with machines is mediated by human-machine interfaces (HMIs). Brain-machine interfaces (BMIs) are a particular class of HMIs and have so far been studied as a communication means for people who have little or no voluntary control of muscle activity. In this context, low-performing interfaces can be considered as prosthetic applications. On the other hand, for able-bodied users, a BMI would only be practical if conceived as an augmenting interface. In this paper, a method is introduced for pointing out effective combinations of interfaces and devices for creating real-world applications. First, devices for domotics, rehabilitation and assistive robotics, and their requirements, in terms of throughput and latency, are described. Second, HMIs are classified and their performance described, still in terms of throughput and latency. Then device requirements are matched with performance of available interfaces. Simple rehabilitation and domotics devices can be easily controlled by means of BMI technology. Prosthetic hands and wheelchairs are suitable applications but do not attain optimal interactivity. Regarding humanoid robotics, the head and the trunk can be controlled by means of BMIs, while other parts require too much throughput. Robotic arms, which have been controlled by means of cortical invasive interfaces in animal studies, could be the,next frontier for non-invasive BMIs. Combining smart controllers with BMIs could improve interactivity and boost BMI applications. (C) 2007 Elsevier B.V. All rights reserved.</t>
  </si>
  <si>
    <t>[Tonet, Oliver; Marinelli, Martina; Citi, Luca; Megali, Giuseppe; Dario, Paolo] Scuola Super Sant Anna, CRIM Lab, Pisa, Italy; [Citi, Luca] IMT Sch Adv Studies, Lucca, Italy; [Rossini, Paolo Maria; Rossini, Luca] Univ Campus Biomed, Rome, Italy; [Rossini, Luca] ESA Adv Concepts Team, Noordwijk, Netherlands</t>
  </si>
  <si>
    <t>Scuola Superiore Sant'Anna; IMT School for Advanced Studies Lucca; University Campus Bio-Medico - Rome Italy</t>
  </si>
  <si>
    <t>Tonet, O (corresponding author), Scuola Super Sant Anna, CRIM Lab, Pisa, Italy.</t>
  </si>
  <si>
    <t>oliver.tonet@sssup.it</t>
  </si>
  <si>
    <t>Rossini, Paolo/D-4994-2013; Citi, Luca/G-2270-2011</t>
  </si>
  <si>
    <t>Citi, Luca/0000-0001-8702-5654</t>
  </si>
  <si>
    <t>0165-0270</t>
  </si>
  <si>
    <t>1872-678X</t>
  </si>
  <si>
    <t>J NEUROSCI METH</t>
  </si>
  <si>
    <t>J. Neurosci. Methods</t>
  </si>
  <si>
    <t>10.1016/j.jneumeth.2007.03.015</t>
  </si>
  <si>
    <t>Biochemical Research Methods; Neurosciences</t>
  </si>
  <si>
    <t>Biochemistry &amp; Molecular Biology; Neurosciences &amp; Neurology</t>
  </si>
  <si>
    <t>248OU</t>
  </si>
  <si>
    <t>WOS:000252164300010</t>
  </si>
  <si>
    <t>Blanton, S; Wilsey, H; Wolf, SL</t>
  </si>
  <si>
    <t>Blanton, Sarah; Wilsey, Heather; Wolf, Steven L.</t>
  </si>
  <si>
    <t>Constraint-induced movement therapy in stroke rehabilitation: Perspectives on future clinical applications</t>
  </si>
  <si>
    <t>TRANSCRANIAL MAGNETIC STIMULATION; PLACEBO-CONTROLLED TRIAL; TOXIN TYPE-A; UPPER EXTREMITY FUNCTION; MOTOR FUNCTION-TEST; MYOGRAPHIC BIOFEEDBACK APPLICATIONS; WEIGHT-SUPPORTED TREADMILL; SPINAL-CORD-INJURY; QUALITY-OF-LIFE; BOTULINUM-TOXIN</t>
  </si>
  <si>
    <t>Results from studies supporting the application of constraint-induced movement therapy (CI therapy) in patients with stroke have steadily increased over the past decade. The exploration of this intervention has provided a broad foundation from which to build further development of evidence-based practice in neurorehabilitation. This article first provides an update on CI therapy efficacy based on the relative chronicity of stroke and the functional levels of participants from whom data have been acquired. A review of current considerations is discussed, including guidelines for screening criteria, the role of the patient and family during the intervention, options for various delivery modes and suggestions to monitor outcomes. Finally, future directions are explored through identification of integrated approaches with CI therapy including: robotics, virtual environments, mental imagery, pharmaceutical manipulations and cortical stimulation. Clinical application of a research based intervention should not occur in isolation. CI therapy researchers should be charged to define the critical aspects of this therapy and appropriate adjunctive interventions that augment its applicability and effectiveness.</t>
  </si>
  <si>
    <t>[Blanton, Sarah; Wolf, Steven L.] Emory Univ, Sch Med, Div Phys Therapy, Ctr Rehabil Med, Atlanta, GA 30322 USA; [Wilsey, Heather] Habersham Cty Med Ctr, Demorest, GA 30535 USA</t>
  </si>
  <si>
    <t>Emory University</t>
  </si>
  <si>
    <t>Blanton, S (corresponding author), Emory Univ, Sch Med, Div Phys Therapy, Ctr Rehabil Med, 1441 Clifton Rd, Atlanta, GA 30322 USA.</t>
  </si>
  <si>
    <t>Sarah.Blanton@emoryhealthcare.org</t>
  </si>
  <si>
    <t>Wolf, Steve/F-6588-2010; Blanton, Sarah/AAF-4702-2020</t>
  </si>
  <si>
    <t>blanton, sarah/0000-0002-0137-1925</t>
  </si>
  <si>
    <t>NICHD NIH HHS [R01 HD37606] Funding Source: Medline</t>
  </si>
  <si>
    <t>284XE</t>
  </si>
  <si>
    <t>WOS:000254739800003</t>
  </si>
  <si>
    <t>Giszter, SF</t>
  </si>
  <si>
    <t>Giszter, Simon F.</t>
  </si>
  <si>
    <t>Spinal cord injury: Present and future therapeutic devices and prostheses</t>
  </si>
  <si>
    <t>spinal cord; neuroprostheses; plasticity; rehabilitation; motor function</t>
  </si>
  <si>
    <t>FUNCTIONAL ELECTRICAL-STIMULATION; PENETRATING MICROELECTRODE ARRAY; PERIPHERAL-NERVE STIMULATION; INTRASPINAL MICROSTIMULATION; PATTERN GENERATION; IMPLANTED NEUROPROSTHESIS; MOTOR PATTERNS; LOCOMOTION; MOVEMENTS; HINDLIMB</t>
  </si>
  <si>
    <t>A range of passive and active devices are under development or are already in clinical use to partially restore function after spinal cord injury (SCI). Prosthetic devices to promote host tissue regeneration and plasticity and reconnection are under development, comprising bioengineered bridging materials free of cells. Alternatively, artificial electrical stimulation and robotic bridges may be used, which is our focus here. A range of neuroprostheses interfacing either with CNS or peripheral nervous system both above and below the lesion are under investigation and are at different stages of development or translation to the clinic. In addition, there are orthotic and robotic devices which are being developed and tested in the laboratory and clinic that can provide mechanical assistance, training or substitution after SCI. The range of different approaches used draw on many different aspects of our current but limited understanding of neural regeneration and plasticity, and spinal cord function and interactions with the cortex. The best therapeutic practice will ultimately likely depend on combinations of these approaches and technologies and on balancing the combined effects of these on the biological mechanisms and their interactions after injury. An increased understanding of plasticity of brain and spinal cord, and of the behavior of innate modular mechanisms in intact and injured systems, will likely assist in future developments. We review the range of device designs under development and in use, the basic understanding of spinal cord organization and plasticity, the problems and design issues in device interactions with the nervous system, and the possible benefits of active motor devices.</t>
  </si>
  <si>
    <t>[Giszter, Simon F.] Drexel Univ, Coll Med, Philadelphia, PA 19129 USA; [Giszter, Simon F.] Drexel Univ, Sch Bioengn &amp; Hlth Sci, Philadelphia, PA 19129 USA</t>
  </si>
  <si>
    <t>Drexel University; Drexel University</t>
  </si>
  <si>
    <t>Giszter, SF (corresponding author), Drexel Univ, Coll Med, 2900 Queen Lane, Philadelphia, PA 19129 USA.</t>
  </si>
  <si>
    <t>sg33@drexel.edu</t>
  </si>
  <si>
    <t>NINDS NIH HHS [P50 NS024707, NS40412, R01 NS044564, R01 NS040412, R01 NS054894, NS44564] Funding Source: Medline</t>
  </si>
  <si>
    <t>10.1016/j.nurt.2007.10.062</t>
  </si>
  <si>
    <t>253QI</t>
  </si>
  <si>
    <t>Green Published, Green Accepted, Bronze</t>
  </si>
  <si>
    <t>WOS:000252532300017</t>
  </si>
  <si>
    <t>Mehrholz, J.; Kugler, J.; Pohl, M.</t>
  </si>
  <si>
    <t>WEIGHT-SUPPORTED TREADMILL; FUNCTIONAL ELECTRICAL-STIMULATION; II HYBRID ORTHOSIS; PARAPLEGIC PATIENTS; CLINICAL-TRIALS; ICCP PANEL; FOLLOW-UP; THERAPY; MOTOR; GAIT</t>
  </si>
  <si>
    <t>Background Locomotor training for walking is used in rehabilitation after spinal cord injury (SCI) and might help to improve walking. Objectives To assess the effects of locomotor training on improvement in walking for people with traumatic SCI. Search strategy We searched the Cochrane Injuries Group Specialised Register (last searched June 2007); the Cochrane Central Register of Controlled Trials (CENTRAL) (The Cochrane Library 2007, Issue 2); MEDLINE (1966 to June 2007); EMBASE (1980 to June 2007); National Research Register (2007, Issue 2); CINAHL (1982 to June 2007); AMED (Allied and Complementary Medicine Database) (1985 to June 2007); SPORTDiscus (1949 to June 2007); PEDro (the Physiotherapy Evidence database) (searched June 2007); COMPENDEX (engineering databases) (1972 to June 2007); INSPEC (1969 to June 2007); and the National Research Register, Zetoc, and Current Controlled Trials research and trials registers. We also handsearched relevant conference proceedings, checked reference lists and contacted study authors in an effort to identify published, unpublished and ongoing trials. Selection criteria We included randomised controlled trials (RCT) that compared locomotor training to any other exercise provided with the goal of improving walking function after SCI or to a no-treatment control group. Data collection and analysis Two review authors independently selected trials for inclusion, assessed trial quality and extracted the data. The primary outcomes were the speed of walking and walking capacity at follow up. Main results Four RCTs involving 222 patients were included in this review. Overall, the results were inconclusive. There was no statistically significant effect of locomotor training on walking function after SCI comparing bodyweight supported treadmill training with or without functional electrical stimulation or robotic-assisted locomotor training. Authors' conclusions There is insufficient evidence from RCTs to conclude that any one locomotor training strategy improves walking function more than another for people with SCI. Research in the form of large RCTs is needed to address specific questions about the type of locomotor training which might be most effective in improving walking function of people with SCI.</t>
  </si>
  <si>
    <t>[Mehrholz, J.] Klin Bavaria Kreischa, D-01731 Kreischa, Germany</t>
  </si>
  <si>
    <t>Mehrholz, J (corresponding author), Klin Bavaria Kreischa, Wolfsschlucht 1-2, D-01731 Kreischa, Germany.</t>
  </si>
  <si>
    <t>10.1002/14651858.CD006676.pub2</t>
  </si>
  <si>
    <t>290JU</t>
  </si>
  <si>
    <t>WOS:000255119900062</t>
  </si>
  <si>
    <t>Mehrholz, J; Platz, T; Kugler, J; Pohl, M</t>
  </si>
  <si>
    <t>Mehrholz, Jan; Platz, Thomas; Kugler, Joachim; Pohl, Marcus</t>
  </si>
  <si>
    <t>Electromechanical and robot-assisted arm training for improving arm function and activities of daily living after stroke</t>
  </si>
  <si>
    <t>CHRONIC HEMIPARETIC STROKE; UPPER-LIMB; AIDED NEUROREHABILITATION; MOTOR RECOVERY; REHABILITATION; THERAPY; RELIABILITY; TRIAL; STIMULATION; MULTICENTER</t>
  </si>
  <si>
    <t>Background Electromechanical and robot-assisted arm training devices are used in rehabilitation and might help to improve arm function after stroke. Objectives To assess the effectiveness of electromechanical and robot-assisted arm training for improving activities of daily living and arm function and motor strength of patients after stroke, and the acceptability and safety of the therapy. Search strategy We searched the Cochrane Stroke Group Trials Register (last searched October 2007), the Cochrane Central Register of Controlled Trials (The Cochrane Library, Issue 3, 2007), MEDLINE (1950 to October 2007), EMBASE (1980 to October 2007), CINAHL (1982 to October 2007), AMED (1985 to October 2007), SPORTDiscus (1949 to October 2007), PEDro ( searched October 2007), COMPENDEX (1972 to October 2007) and INSPEC(1969 to October 2007). We also handsearched relevant conference proceedings, searched trials and research registers, checked reference lists, and contacted trialists, experts and researchers in our field, and manufacturers of commercial devices. Selection criteria Randomised controlled trials comparing electromechanical and robot-assisted arm training for recovery of arm function with other rehabilitation interventions or no treatment for patients after stroke. Data collection and analysis Two review authors independently selected trials for inclusion, assessed trial quality and extracted data. We contacted trialists for additional information. We analysed the results as standardised mean differences (SMDs) for continuous variables and relative risk differences (RD) for dichotomous variables. Main results We included 11 trials ( 328 participants) in this review. Electromechanical and robot-assisted arm training did not improve activities of daily living (SMD = 0.29; 95% confidence interval (CI) - 0.47 to 1.06; P = 0.45; I-2= 85%). Arm motor function and arm motor strength improved ( SMD = 0.68, 95% CI 0.24 to 1.11; P = 0.002; I-2 = 56% and SMD = 01.03, 95% CI 0.29 to 1.78; P = 0.007; I-2= 79% respectively). Electromechanical and robot-assisted arm training did not increase the risk of patients to drop out (RD) (fixed-effect model) = 0.01; 95% CI -0.05 to 0.06; P = 0.77; I-2= 0.0%) and adverse events were rare. Authors' conclusions Patients who receive electromechanical and robot-assisted arm training after stroke are not more likely to improve their activities of daily living, but arm motor function and strength of the paretic arm may improve. However, the results must be interpreted with caution because there were variations between the trials in the duration, amount of training and type of treatment, and in the patient characteristics.</t>
  </si>
  <si>
    <t>[Mehrholz, Jan] Klin Bavaria Kreischa GmbH, Private Europa Med Akad, Wissensch Inst, D-01731 Kreischa, Germany; [Mehrholz, Jan; Kugler, Joachim] TU Dresden Carl Gustav Carus, Fac Med, Dresden, Germany; [Platz, Thomas] Greifswald gGmbH Karl Liebknecht Ring 26a, Neurol Rehabil Zentrum, Greifswald, Germany; [Platz, Thomas] Ernst Moritz Arndt Univ Greifswald, Greifswald, Germany; [Pohl, Marcus] Klin Bavaria Kreischa, Dept Early Rehabil, Kreischa, Germany</t>
  </si>
  <si>
    <t>Technische Universitat Dresden; Carl Gustav Carus University Hospital; Universitat Greifswald</t>
  </si>
  <si>
    <t>Platz, Thomas/AGF-9881-2022; Kugler, Joachim/IST-6529-2023</t>
  </si>
  <si>
    <t>10.1002/14651858.CD006876.pub2</t>
  </si>
  <si>
    <t>358CU</t>
  </si>
  <si>
    <t>WOS:000259895000076</t>
  </si>
  <si>
    <t>Simpson, RC; LoPresti, EF; Cooper, RA</t>
  </si>
  <si>
    <t>Simpson, Richard C.; LoPresti, Edmund F.; Cooper, Rory A.</t>
  </si>
  <si>
    <t>How many people would benefit from a smart wheelchair?</t>
  </si>
  <si>
    <t>assistive technology; cognitive impairment; human-machine systems; physical impairment; rehabilitation; robotics; smart wheelchairs; wheelchairs; wheeled mobility; veterans; visual impairment</t>
  </si>
  <si>
    <t>MULTIPLE SYSTEM ATROPHY; SPINAL-CORD-INJURY; AMYOTROPHIC-LATERAL-SCLEROSIS; PROGRESSIVE SUPRANUCLEAR PALSY; TRAUMATIC BRAIN-INJURY; ALZHEIMERS-DISEASE; CEREBRAL-PALSY; CLINICAL-FEATURES; NATURAL-HISTORY; UNITED-STATES</t>
  </si>
  <si>
    <t>Independent mobility is important, but some wheelchair users find operating existing manual or powered wheelchairs difficult or impossible. Challenges to safe, independent wheelchair use can result from various overlapping physical, perceptual, or cognitive symptoms of diagnoses such as spinal cord injury, cerebrovascular accident, multiple sclerosis, amyotrophic lateral sclerosis, and cerebral palsy. Persons with different symptom combinations can benefit from different types of assistance from a smart wheelchair and different wheelchair form factors. The sizes of these user populations have been estimated based on published estimates of the number of individuals with each of several diseases who (1) also need a wheeled mobility device and (2) have specific symptoms that could interfere with mobility device use.</t>
  </si>
  <si>
    <t>[Simpson, Richard C.; Cooper, Rory A.] Univ Pittsburgh, Dept Rehabil Sci &amp; Technol, Pittsburgh, PA 15238 USA; [Simpson, Richard C.; Cooper, Rory A.] Dept Vet Affairs Pittsburgh Healthcare Syst, Human Engn Res Labs, Pittsburgh, PA USA; [LoPresti, Edmund F.] AT Sci, Pittsburgh, PA USA</t>
  </si>
  <si>
    <t>Simpson, RC (corresponding author), Univ Pittsburgh, Dept Rehabil Sci &amp; Technol, Forbes Tower,Suite 5044, Pittsburgh, PA 15238 USA.</t>
  </si>
  <si>
    <t>ris20@pitt.edu</t>
  </si>
  <si>
    <t>Simpson, Richard/G-5683-2015</t>
  </si>
  <si>
    <t>Simpson, Richard/0000-0002-6306-9393</t>
  </si>
  <si>
    <t>10.1682/JRRD.2007.01.0015</t>
  </si>
  <si>
    <t>290PB</t>
  </si>
  <si>
    <t>WOS:000255133600006</t>
  </si>
  <si>
    <t>Brewer, BR; McDowell, SK; Worthen-Chaudhari, LC</t>
  </si>
  <si>
    <t>Brewer, Bambi R.; McDowell, Sharon K.; Worthen-Chaudhari, Lise C.</t>
  </si>
  <si>
    <t>Poststroke upper extremity rehabilitation: A review of robotic systems and clinical results</t>
  </si>
  <si>
    <t>INDUCED MOVEMENT THERAPY; ARM TRAINING IMPROVES; UPPER-LIMB; MOTOR RECOVERY; VIRTUAL-REALITY; STROKE REHABILITATION; REACHING MOVEMENTS; MOTION ANALYSIS; ENVIRONMENT; FEEDBACK</t>
  </si>
  <si>
    <t>Although the use of robotic devices to address neuromuscular rehabilitative goals represents a promising technological advance in medical care, the large number of systems being developed and varying levels of clinical study of the devices make it difficult to follow and interpret the results in this new field. This article is a review of the current state-of-the-art in robotic applications in poststroke therapy for the upper extremity, written specifically to help clinicians determine the differences between various systems. We concentrate primarily on systems that have been tested clinically. Robotic systems are grouped by rehabilitation application (e.g., gross motor movement, bilateral training, etc.), and, where possible, the neurorehabilitation strategies employed by each system are described. We close with a discussion of the benefits and concerns of using robotics in rehabilitation and an indication of challenges that must be addressed for therapeutic robots to be applied practically in the clinic.</t>
  </si>
  <si>
    <t>Univ Pittsburgh, Dept Rehabil Sci &amp; Technol, Pittsburgh, PA 15260 USA; Dodd Hall Rehabil Hosp, Columbus, OH USA; Ohio State Univ, Dept Phys Med &amp; Rehabil, Columbus, OH 43210 USA</t>
  </si>
  <si>
    <t>Pennsylvania Commonwealth System of Higher Education (PCSHE); University of Pittsburgh; University System of Ohio; Ohio State University</t>
  </si>
  <si>
    <t>Brewer, BR (corresponding author), Univ Pittsburgh, Dept Rehabil Sci &amp; Technol, Pittsburgh, PA 15260 USA.</t>
  </si>
  <si>
    <t>Worthen-Chaudhari, Lise/B-5618-2012</t>
  </si>
  <si>
    <t>Worthen-Chaudhari, Lise/0000-0003-1826-0380</t>
  </si>
  <si>
    <t>10.1310/tsr1406-22</t>
  </si>
  <si>
    <t>233RX</t>
  </si>
  <si>
    <t>WOS:000251109100004</t>
  </si>
  <si>
    <t>Oskoei, MA; Hu, HS</t>
  </si>
  <si>
    <t>Oskoei, Mohammadreza Asghari; Hu, Huosheng</t>
  </si>
  <si>
    <t>Myoelectric control systems-A survey</t>
  </si>
  <si>
    <t>Myoelectric control; EMG-based control; Myoelectric signals; Feature extraction; Classification; Pattern recognition</t>
  </si>
  <si>
    <t>CLASSIFICATION SCHEME; PATTERN-RECOGNITION; EMG; SIGNALS; CONTRACTIONS; MOTION</t>
  </si>
  <si>
    <t>The development of an advanced human-machine interface has always been an interesting research topic in the field of rehabilitation, in which biomedical signals, such as myoelectric signals, have a key role to play. Myoelectric control is an advanced technique concerned with the detection, processing, classification, and application of myoelectric signals to control human-assisting robots or rehabilitation devices. This paper reviews recent research and development in pattern recognition- and non-pattern recognition-based myoelectric control, and presents state-of-the-art achievements in terms of their type, structure, and potential application. Directions for future research are also briefly outlined. (C) 2007 Elsevier Ltd. All rights reserved.</t>
  </si>
  <si>
    <t>[Oskoei, Mohammadreza Asghari; Hu, Huosheng] Univ Essex, Colchester CO4 3SQ, Essex, England</t>
  </si>
  <si>
    <t>University of Essex</t>
  </si>
  <si>
    <t>Oskoei, MA (corresponding author), Univ Essex, Wivenhoe Pk, Colchester CO4 3SQ, Essex, England.</t>
  </si>
  <si>
    <t>masgha@essex.ac.uk; hhu@essex.ac.uk</t>
  </si>
  <si>
    <t>Hu, Huosheng/G-1758-2010; Asghari Oskoei, Mohammadreza/J-1023-2014</t>
  </si>
  <si>
    <t>Hu, Huosheng/0000-0001-5797-1412; Asghari Oskoei, Mohammadreza/0000-0001-7847-3455</t>
  </si>
  <si>
    <t>10.1016/j.bspc.2007.07.009</t>
  </si>
  <si>
    <t>V83KF</t>
  </si>
  <si>
    <t>WOS:000205637300001</t>
  </si>
  <si>
    <t>Scivoletto, G; Ivanenko, Y; Morganti, B; Grasso, R; Zago, M; Lacquaniti, F; Ditunno, J; Molinari, M</t>
  </si>
  <si>
    <t>Scivoletto, Giorgio; Ivanenko, Yuri; Morganti, Barbara; Grasso, Renato; Zago, Mirka; Lacquaniti, Francesco; Ditunno, John; Molinari, Marco</t>
  </si>
  <si>
    <t>Plasticity of spinal centers in spinal cord injury patients: New concepts for gait evaluation and training</t>
  </si>
  <si>
    <t>spinal cord injury; neuronal plasticity; central pattern generator; walking rehabilitation</t>
  </si>
  <si>
    <t>WEIGHT-SUPPORTED TREADMILL; GROUND CONTACT FORCES; PARAPLEGIC PATIENTS; LOCOMOTOR-ACTIVITY; AFFERENT INPUT; LUMBOSACRAL MOTONEURONS; PATTERN GENERATORS; MOTOR PATTERNS; RECOVERY; WALKING</t>
  </si>
  <si>
    <t>Recent data on spinal cord plasticity after spinal cord injury (SCI) were reviewed to analyze the influence of training on the neurophysiological organization of locomotor spinal circuits in SCI patients. In particular, the authors studied the relationship between central pattern generators (CPGs) and motor neuron pool activation during gait. An analysis of the relations between locomotor recovery and compensatory mechanisms focuses on the hierarchical organization of gait parameters and allows characterizing kinematic parameters that are highly stable during different gait conditions and in recovered gait after SCI. The importance of training characteristics and the use of robotic/automated devices in gait recovery is analyzed and discussed. The role of CPG in defining kinematic gait parameters is summarized, and spatio-temporal maps of EMG activity during gait are used to clarify the role of CPG plasticity in sustaining gait recovery.</t>
  </si>
  <si>
    <t>IRCCS, Fdn S Lucia, Spinal Cord Unit, I-00179 Rome, Italy; Univ Roma Tor Vergata, Dept Neurosci, Rome, Italy; Thomas Jefferson Univ, Philadelphia, PA 19107 USA</t>
  </si>
  <si>
    <t>IRCCS Santa Lucia; University of Rome Tor Vergata; Thomas Jefferson University</t>
  </si>
  <si>
    <t>Scivoletto, G (corresponding author), IRCCS, Fdn S Lucia, Spinal Cord Unit, Via Ardeatina 306, I-00179 Rome, Italy.</t>
  </si>
  <si>
    <t>g.scivoletto@hsantalucia.it</t>
  </si>
  <si>
    <t>Scivoletto, Giorgio/J-3030-2018; LACQUANITI, FRANCESCO/J-9842-2016; Molinari, Marco/A-9624-2010; Ivanenko, Yury/L-1599-2018; Zago, Myrka/B-3669-2012</t>
  </si>
  <si>
    <t>Scivoletto, Giorgio/0000-0001-5766-6952; LACQUANITI, FRANCESCO/0000-0003-0896-7315; Molinari, Marco/0000-0001-9808-9688; Ivanenko, Yury/0000-0001-9363-9548; Zago, Myrka/0000-0001-7100-7582</t>
  </si>
  <si>
    <t>10.1177/1545968306295561</t>
  </si>
  <si>
    <t>179UC</t>
  </si>
  <si>
    <t>WOS:000247314600009</t>
  </si>
  <si>
    <t>Randomized clinical stroke rehabilitation trials in 2005</t>
  </si>
  <si>
    <t>NEUROCHEMICAL RESEARCH</t>
  </si>
  <si>
    <t>randomized control trials; stroke rehabilitation</t>
  </si>
  <si>
    <t>EARLY SUPPORTED DISCHARGE; TRANSCRANIAL MAGNETIC STIMULATION; FOLLOW-UP; MOTOR RECOVERY; HIP-FRACTURES; SINGLE-BLIND; ARM; EXERCISE; IMPROVES; THERAPY</t>
  </si>
  <si>
    <t>This article reviews randomized control trials (RCTs) undertaken in stroke rehabilitation in the year 2005. A Medline search generated 31 RCTs in stroke rehabilitation in the year 2005 in the English language. These trials were primarily efficacy studies of a number of treatments: medications such as folate, vitamin B12 and bisphosphonates in preventing osteoporotic related hip fractures, compression stockings in preventing deep vein thrombosis (DVT), use of mechanical robots and positioning of the upper limb to help improve function; and, transcranial magnetic coil stimulation, acupuncture and neural tissue transplant to enhance motor recovery in post-stroke patients.</t>
  </si>
  <si>
    <t>Cornell Univ, Weill Med Coll, Burke Rehabiol Hosp, White Plains, NY 10605 USA</t>
  </si>
  <si>
    <t>Rabadi, MH (corresponding author), Cornell Univ, Weill Med Coll, Burke Rehabiol Hosp, 785 Mamaroneck Ave, White Plains, NY 10605 USA.</t>
  </si>
  <si>
    <t>mrabadi@burke.org</t>
  </si>
  <si>
    <t>0364-3190</t>
  </si>
  <si>
    <t>NEUROCHEM RES</t>
  </si>
  <si>
    <t>Neurochem. Res.</t>
  </si>
  <si>
    <t>10.1007/s11064-006-9211-y</t>
  </si>
  <si>
    <t>Biochemistry &amp; Molecular Biology; Neurosciences</t>
  </si>
  <si>
    <t>149GG</t>
  </si>
  <si>
    <t>WOS:000245134500027</t>
  </si>
  <si>
    <t>Tsekos, NV; Khanicheh, A; Christoforou, E; Mavroidis, C</t>
  </si>
  <si>
    <t>Tsekos, Nikolaos V.; Khanicheh, Azadeh; Christoforou, Eftychios; Mavroidis, Constantinos</t>
  </si>
  <si>
    <t>Magnetic resonance - Compatible robotic and mechatronics systems for image-guided interventions and rehabilitation: A review study</t>
  </si>
  <si>
    <t>medical robotics; MR-compatible actuators; MR-compatible sensors; functional MRI</t>
  </si>
  <si>
    <t>MOTOR CORTEX ACTIVATION; FUNCTIONAL MRI; INTRAOPERATIVE MRI; THERMAL ABLATION; FMRI; BRAIN; STROKE; DEVICES; BIOPSY; MANIPULATOR</t>
  </si>
  <si>
    <t>The continuous technological progress of magnetic resonance imaging (MRI), as well as its widespread clinical use as a highly sensitive tool in diagnostics and advanced brain research, has brought a high demand for the development of magnetic resonance (MR)-compatible robotic/mechatronic systems. Revolutionary robots guided by real-time three-dimensional (3-D)-MRI allow reliable and precise minimally invasive interventions with relatively short recovery times. Dedicated robotic interfaces used in conjunction with MRT allow neuroscientists to investigate the brain mechanisms of manipulation and motor learning, as well as to improve rehabilitation therapies. This paper gives an overview of the motivation, advantages, technical challenges, and existing prototypes for MR-compatible robotic/mechatronic devices.</t>
  </si>
  <si>
    <t>Washington Univ, Med Ctr, Mallinckrodt Inst Radiol, Cardiovasc Imaging Lab, St Louis, MO 63110 USA; Northeastern Univ, Dept Mech &amp; Ind Engn, Robot &amp; Mechatron Lab, Boston, MA 02115 USA</t>
  </si>
  <si>
    <t>Washington University (WUSTL); Northeastern University</t>
  </si>
  <si>
    <t>Tsekos, NV (corresponding author), Washington Univ, Med Ctr, Mallinckrodt Inst Radiol, Cardiovasc Imaging Lab, St Louis, MO 63110 USA.</t>
  </si>
  <si>
    <t>tsekosn@mir.wustl.edu; mavro@coe.neu.edu</t>
  </si>
  <si>
    <t>Robert, Nina/S-4345-2018</t>
  </si>
  <si>
    <t>Christoforou, Eftychios/0000-0001-9414-8169; Tsekos, Nikolaos/0000-0002-4327-9895</t>
  </si>
  <si>
    <t>NCI NIH HHS [CA81817] Funding Source: Medline; NHLBI NIH HHS [HL067924] Funding Source: Medline; NIBIB NIH HHS [5R21EB004665-02] Funding Source: Medline</t>
  </si>
  <si>
    <t>NCI NIH HHS(United States Department of Health &amp; Human ServicesNational Institutes of Health (NIH) - USANIH National Cancer Institute (NCI)); NHLBI NIH HHS(United States Department of Health &amp; Human ServicesNational Institutes of Health (NIH) - USANIH National Heart Lung &amp; Blood Institute (NHLBI)); NIBIB NIH HHS(United States Department of Health &amp; Human ServicesNational Institutes of Health (NIH) - USANIH National Institute of Biomedical Imaging &amp; Bioengineering (NIBIB))</t>
  </si>
  <si>
    <t>10.1146/annurev.bioeng.9.121806.160642</t>
  </si>
  <si>
    <t>208RN</t>
  </si>
  <si>
    <t>WOS:000249337000012</t>
  </si>
  <si>
    <t>O'Malley, MK; Ro, T; Levin, HS</t>
  </si>
  <si>
    <t>O'Malley, Marcia K.; Ro, Tony; Levin, Harvey S.</t>
  </si>
  <si>
    <t>Assessing and inducing neuroplasticity with transcranial magnetic stimulation and robotics for motor function</t>
  </si>
  <si>
    <t>brain; motor cortex; neuronal plasticity; rehabilitation; robotics</t>
  </si>
  <si>
    <t>CONSTRAINT-INDUCED THERAPY; INDUCED MOVEMENT THERAPY; HAND AREA; STROKE; REORGANIZATION; RECOVERY; CORTEX; REHABILITATION; PLASTICITY; BRAIN</t>
  </si>
  <si>
    <t>Objectives: To describe 2 new ways of assessing and inducing neuroplasticity in the human brain-transcranial magnetic stimulation (TMS) and robotics-and to investigate and promote the recovery of motor function after brain damage. Data Sources: We identified recent articles and books directly bearing on TMS and robotics. Articles using these tools for purposes other than rehabilitation were excluded. From these studies, we emphasize the methodologic and technical details of these tools as applicable for assessing and inducing plasticity. Study Selection: Because both tools have only recently been used for rehabilitation, the majority of the articles selected for this review have been published only within the last 10 years. Data Extraction: We used the PubMed and Compendex databases to find relevant peer-reviewed studies for this review. The studies were required to be relevant to rehabilitation and to use TMS or robotics methodologies. Guidelines were applied via independent extraction by multiple observers. Data Synthesis: Despite the limited amount of research using these procedures for assessing and inducing neuroplasficity, there is growing evidence that both TMS and robotics can be very effective, inexpensive, and convenient ways for assessing and inducing rehabilitation. Although TMS has primarily been used as an assessment tool for motor function, an increasing number of studies are using TMS as a tool to directly induce plasticity and improve motor function. Similarly, robotic devices have been used for rehabilitation because of their suitability for delivery of highly repeatable training. New directions in robotics-assisted rehabilitation are taking advantage of novel measurements that can be acquired via the devices, enabling unique methods of assessment of motor recovery. Conclusions: As refinements in technology and advances in our knowledge continue, TMS and robotics should play an increasing role in assessing and promoting the recovery of function. Ongoing and future studies combining TMS and robotics within the same populations may prove fruitful for a more detailed and comprehensive assessment of the central and peripheral changes in the nervous system during precisely induced recovery.</t>
  </si>
  <si>
    <t>Rice Univ, Dept Mech Engn &amp; Mat Sci, Houston, TX 77005 USA; Rice Univ, Dept Psychol, Houston, TX 77251 USA; Baylor Coll Med, Dept Phys Med &amp; Rehabil, Cognit Neurosci Lab, Houston, TX 77030 USA</t>
  </si>
  <si>
    <t>Rice University; Rice University; Baylor College of Medicine</t>
  </si>
  <si>
    <t>O'Malley, MK (corresponding author), Rice Univ, Dept Mech Engn &amp; Mat Sci, 6100 Main St,MS 321, Houston, TX 77005 USA.</t>
  </si>
  <si>
    <t>omalleym@rice.edu</t>
  </si>
  <si>
    <t>O'Malley, Marcia/0000-0002-3563-1051</t>
  </si>
  <si>
    <t>NINDS NIH HHS [NS42772] Funding Source: Medline; PHS HHS [21889, 21772] Funding Source: Medline</t>
  </si>
  <si>
    <t>NINDS NIH HHS(United States Department of Health &amp; Human ServicesNational Institutes of Health (NIH) - USANIH National Institute of Neurological Disorders &amp; Stroke (NINDS)); PHS HHS(United States Department of Health &amp; Human ServicesUnited States Public Health Service)</t>
  </si>
  <si>
    <t>S59</t>
  </si>
  <si>
    <t>S66</t>
  </si>
  <si>
    <t>10.1016/j.apmr.2006.08.332</t>
  </si>
  <si>
    <t>115ZV</t>
  </si>
  <si>
    <t>WOS:000242773200009</t>
  </si>
  <si>
    <t>Taylor, RH</t>
  </si>
  <si>
    <t>Taylor, Russell H.</t>
  </si>
  <si>
    <t>A perspective on medical robotics</t>
  </si>
  <si>
    <t>PROCEEDINGS OF THE IEEE</t>
  </si>
  <si>
    <t>computer-integrated surgery; human-machine cooperative systems; medical robotics; rehabilitation robotics; robotic assistive systems; surgical assistants; telerobotics; telesurgery</t>
  </si>
  <si>
    <t>LAPAROSCOPIC SURGERY; SYSTEM</t>
  </si>
  <si>
    <t>This paper provides an overview of medical robotics, from the perspective of a researcher who has been actively involved in the field for 17 years. Like all robot systems, medical robots fundamentally couple information to physical action to significantly enhance humans' ability to perform important tasks-in this case surgical interventions, rehabilitation, or simply helping handicapped people in daily living tasks. Research areas include modeling and analysis of anatomy and task environments, interface technology between the data world and the physical world, and study of how complex systems are put together. This paper will discuss these research areas and illustrate their interrelationship with application examples. Although the main focus will be on robotic systems for surgery, it will also discuss the relationship of these research areas to rehabilitation and assistance robots. Finally, it will include some thoughts on the factors driving the acceptance of medical robotics and of how research can be most effectively organized.</t>
  </si>
  <si>
    <t>Johns Hopkins Univ, Dept Comp Sci, Baltimore, MD 21218 USA</t>
  </si>
  <si>
    <t>Taylor, RH (corresponding author), Johns Hopkins Univ, Dept Comp Sci, Baltimore, MD 21218 USA.</t>
  </si>
  <si>
    <t>rht@jhu.edu</t>
  </si>
  <si>
    <t>Taylor, Russell/A-3268-2010</t>
  </si>
  <si>
    <t>Taylor, Russell/0000-0001-6272-1100</t>
  </si>
  <si>
    <t>0018-9219</t>
  </si>
  <si>
    <t>1558-2256</t>
  </si>
  <si>
    <t>P IEEE</t>
  </si>
  <si>
    <t>Proc. IEEE</t>
  </si>
  <si>
    <t>10.1109/JPROC.2006.880669</t>
  </si>
  <si>
    <t>101ZK</t>
  </si>
  <si>
    <t>WOS:000241780000002</t>
  </si>
  <si>
    <t>Kahn, LE; Zygman, ML; Rymer, WZ; Reinkensmeyer, DJ</t>
  </si>
  <si>
    <t>Kahn, Leonard E.; Zygman, Michele L.; Rymer, W. Zev; Reinkensmeyer, David J.</t>
  </si>
  <si>
    <t>Robot-assisted reaching exercise promotes arm movement recovery in chronic hemiparetic stroke: a randomized controlled pilot study</t>
  </si>
  <si>
    <t>REHABILITATION; IMPAIRMENT; THERAPY; REPRESENTATION; COORDINATION; INTENSITY; STRETCH</t>
  </si>
  <si>
    <t>Background and purpose: Providing active assistance to complete desired arm movements is a common technique in upper extremity rehabilitation after stroke. Such active assistance may improve recovery by affecting somatosensory input, motor planning, spasticity or soft tissue properties, but it is labor intensive and has not been validated in controlled trials. The purpose of this study was to investigate the effects of robotically administered active-assistive exercise and compare those with free reaching voluntary exercise in improving arm movement ability after chronic stroke. Methods: Nineteen individuals at least one year post-stroke were randomized into one of two groups. One group performed 24 sessions of active-assistive reaching exercise with a simple robotic device, while a second group performed a task-matched amount of unassisted reaching. The main outcome measures were range and speed of supported arm movement, range, straightness and smoothness of unsupported reaching, and the Rancho Los Amigos Functional Test of Upper Extremity Function. Results and discussion: There were significant improvements with training for range of motion and velocity of supported reaching, straightness of unsupported reaching, and functional movement ability. These improvements were not significantly different between the two training groups. The group that performed unassisted reaching exercise improved the smoothness of their reaching movements more than the robot-assisted group. Conclusion: Improvements with both forms of exercise confirmed that repeated, task-related voluntary activation of the damaged motor system is a key stimulus to motor recovery following chronic stroke. Robotically assisting in reaching successfully improved arm movement ability, although it did not provide any detectable, additional value beyond the movement practice that occurred concurrently with it. The inability to detect any additional value of robot-assisted reaching may have been due to this pilot study's limited sample size, the specific diagnoses of the participants, or the inclusion of only individuals with chronic stroke.</t>
  </si>
  <si>
    <t>Rehabil Inst Chicago, Sensory Motor Performance Program, Chicago, IL 60611 USA; Northwestern Univ, Dept Biomed Engn, Evanston, IL 60208 USA; Northwestern Univ, Feinberg Sch Med, Dept Phys Med &amp; Rehabil, Chicago, IL USA; Univ Calif Irvine, Dept Mech &amp; Aerosp Engn, Ctr Biomed Engn, Irvine, CA 92717 USA</t>
  </si>
  <si>
    <t>Shirley Ryan AbilityLab; Northwestern University; Northwestern University; Feinberg School of Medicine; University of California System; University of California Irvine</t>
  </si>
  <si>
    <t>Kahn, LE (corresponding author), Rehabil Inst Chicago, Sensory Motor Performance Program, Chicago, IL 60611 USA.</t>
  </si>
  <si>
    <t>l-kahn@northwestern.edu; m_zygman@hotmail.com; w-rymer@northwestern.edu; dreinken@uci.edu</t>
  </si>
  <si>
    <t>10.1186/1743-0003-3-12</t>
  </si>
  <si>
    <t>235FP</t>
  </si>
  <si>
    <t>WOS:000251219200002</t>
  </si>
  <si>
    <t>Pasquina, PF; Bryant, PR; Huang, ME; Roberts, TL; Nelson, VS; Flood, KM</t>
  </si>
  <si>
    <t>Advances in amputee care</t>
  </si>
  <si>
    <t>amputation; prosthetics and implants; rehabilitation; review [publication type]</t>
  </si>
  <si>
    <t>TRANS-FEMORAL AMPUTEE; ENERGY-EXPENDITURE; INTELLIGENT PROSTHESIS; LIMB DEFICIENCY; TRANSFEMORAL AMPUTEES; HAND TRANSPLANTATION; BRAIN-MACHINE; LONG-TERM; REHABILITATION; AMPUTATION</t>
  </si>
  <si>
    <t>This self-directed learning module highlights the recent in novations in amputee care. It is part of the study guide on limb deficiency in the Self-Directed Physiatric Education Program for practitioners and trainees in physical medicine and rehabilitation. This focused review article describes the key elements of a successful comprehensive amputee program, the basic surgical considerations for upper- and lower-extremity amputation, and some of the more recent advances in prosthetic components. Further, an update is given on issues such as hand transplantation and the integration of robotics and artificial muscles for people with limb loss. Overall Article Objective: (a) To discuss current issues and advances in the care of patients with amputation, (b) to describe the key elements in designing a comprehensive amputee care program, and (c) to discuss surgical considerations of limb preservation and amputation levels.</t>
  </si>
  <si>
    <t>Walter Reed Army Med Ctr, Sect 3J, Phys Med &amp; Rehabil Serv, Washington, DC 20307 USA; Good Shepherd Rehabil Hosp, Allentown, PA USA; Northwestern Univ, Feinberg Sch Med, Dept Phys Med &amp; Rehabil, Chicago, IL 60611 USA; George E Wahlen Dept Vet Affairs, Med Ctr, Salt Lake City, UT USA; Univ Michigan, Sch Med, Dept Phys Med &amp; Rehabil, Ann Arbor, MI 48109 USA; Vet Affairs Pittsburgh Healthcare Syst, Phys Med &amp; Rehabil Program, Pittsburgh, PA USA</t>
  </si>
  <si>
    <t>United States Department of Defense; United States Army; Walter Reed National Military Medical Center; Northwestern University; Feinberg School of Medicine; US Department of Veterans Affairs; University of Michigan System; University of Michigan; US Department of Veterans Affairs; Veterans Health Administration (VHA); VA Pittsburgh Healthcare System</t>
  </si>
  <si>
    <t>Walter Reed Army Med Ctr, Sect 3J, Phys Med &amp; Rehabil Serv, Bldg 2,6900 Georgia Ave, Washington, DC 20307 USA.</t>
  </si>
  <si>
    <t>Paul.Pasquina@NA.AMEDD.ARMY.MIL</t>
  </si>
  <si>
    <t>S34</t>
  </si>
  <si>
    <t>S43</t>
  </si>
  <si>
    <t>10.1016/j.apmr.2005.11.026</t>
  </si>
  <si>
    <t>024PK</t>
  </si>
  <si>
    <t>WOS:000236208200006</t>
  </si>
  <si>
    <t>Prange, GB; Jannink, MJA; Groothuis-Oudshoorn, CGM; Hermens, HJ; IJzerman, MJ</t>
  </si>
  <si>
    <t>Prange, Gerdienke B.; Jannink, Michiel J. A.; Groothuis-Oudshoorn, Catharina G. M.; Hermens, Hermie J.; IJzerman, Maarten J.</t>
  </si>
  <si>
    <t>Systematic review of the effect of robot-aided therapy on recovery of the hemiparetic arm after stroke</t>
  </si>
  <si>
    <t>cerebrovascular accident; exercise therapy; motor recovery; proximal upper limb; rehabilitation; robot-aided therapy; robotics; stroke; systematic review; upper limb</t>
  </si>
  <si>
    <t>MOTOR RECOVERY; UPPER-LIMB; ELECTRICAL-STIMULATION; TRAINING IMPROVES; REHABILITATION; MOVEMENTS; IMPAIRMENT; AUTOCITE; DEFICITS</t>
  </si>
  <si>
    <t>A limited number of clinical studies have examined the effect of poststroke rehabilitation with robotic devices on hemiparetic arm function. We systematically reviewed the literature to assess the effect of robot-aided therapy on stroke patients' upper-limb motor control and functional abilities. Eight clinical trials were identified and reviewed. For four of these studies, we also pooled short-term mean changes in Fugl-Meyer scores before and after robot-aided therapy. We found that robot-aided therapy of the proximal upper limb improves short- and long-term motor control of the paretic shoulder and elbow in subacute and chronic patients; however, we found no consistent influence on functional abilities. In addition, robotaided therapy appears to improve motor control more than conventional therapy.</t>
  </si>
  <si>
    <t>Roessingh Res &amp; Dev, NL-7500 AH Enschede, Netherlands; Univ Twente, Dept Biosignals &amp; Syst, Enschede, Netherlands; Univ Twente, Biomed Technol Inst, Enschede, Netherlands</t>
  </si>
  <si>
    <t>Prange, GB (corresponding author), Roessingh Res &amp; Dev, POB 310, NL-7500 AH Enschede, Netherlands.</t>
  </si>
  <si>
    <t>G.Prange@rrd.nl</t>
  </si>
  <si>
    <t>; IJzerman, Maarten/Q-8963-2016</t>
  </si>
  <si>
    <t>Groothuis-Oudshoorn, Catharina/0000-0002-4875-5379; IJzerman, Maarten/0000-0001-5788-5805</t>
  </si>
  <si>
    <t>10.1682/JRRD.2005.04.0076</t>
  </si>
  <si>
    <t>070TT</t>
  </si>
  <si>
    <t>WOS:000239548200006</t>
  </si>
  <si>
    <t>Kirby, RL; Smith, C; Seaman, R; Macleod, DA; Parker, K</t>
  </si>
  <si>
    <t>Kirby, R. Lee; Smith, Cher; Seaman, Roxanne; Macleod, Donald A.; Parker, Kim</t>
  </si>
  <si>
    <t>The manual wheelchair wheelie: A review of our current understanding of an important motor skill</t>
  </si>
  <si>
    <t>Rehabilitation; wheelchair; motor skill</t>
  </si>
  <si>
    <t>STATIC REAR STABILITY; OCCUPIED WHEELCHAIRS; TRAINING-PROGRAM; CONTROLLED-TRIAL; POSITION; VERSION; SAFETY; USERS</t>
  </si>
  <si>
    <t>Purpose. To review the current understanding of the manual wheelchair wheelie. Method. Review of the literature. Results. A rear wheelchair wheelie occurs when the front wheels, ordinarily in contact with the support surface, are intentionally caused, by means of a transient or sustainable rear pitch, to lift from the surface while the rear wheels remain on the surface. Pitch control (partial or full) is the foundation of many wheelchair skills (e.g., negotiating thresholds, potholes, curbs, steep inclines and gravel). Yet, most wheelchair users never learn to perform this valuable skill. Wheelie capability is affected by the characteristics of the clinician, the wheelchair user, the wheelchair and the environment. Although our understanding of wheelie biomechanics and training methods is evolving, much remains to be learned. Three recent wheelchair developments have wheelie-related implications: a new type of rear anti-tip device (Arc-RAD) that permits wheelie-like function, pushrim-activated power-assisted wheelchairs (PAPAWs) that make wheelie-dependent skills more dangerous and difficult, and a powered wheelchair that has robotic wheelie capabilities (the IBOT). Conclusions. Improvements in our understanding of the nature of wheelies, formalization of training protocols and innovations in wheelchair design hold promise for improved activities and participation by wheelchair users.</t>
  </si>
  <si>
    <t>[Kirby, R. Lee] Dalhousie Univ, Dept Med, Div Phys Med &amp; Rehabil, Halifax, NS, Canada; [Smith, Cher] Queen Elizabeth 2 Hlth Sci Ctr, Dept Occupat Therapy, Halifax, NS, Canada; [Seaman, Roxanne] Acad Univ, Sch Kinesiol, Wolfville, NS, Canada; [Macleod, Donald A.] Queen Elizabeth 2 Hlth Sci Ctr, Clin Locomotor Funct Lab, Halifax, NS, Canada; [Parker, Kim] Queen Elizabeth 2 Hlth Sci Ctr, Dept Orthot &amp; Prosthet, Halifax, NS, Canada</t>
  </si>
  <si>
    <t>Dalhousie University; Queen Elizabeth II Health Sciences Centre; Acadia University; Queen Elizabeth II Health Sciences Centre; Queen Elizabeth II Health Sciences Centre</t>
  </si>
  <si>
    <t>Kirby, RL (corresponding author), Queen Elizabeth 2 Hlth Sci Ctr, Nova Scotia Rehabil Ctr Site, 1341 Summer St, Halifax, NS B3H 4K4, Canada.</t>
  </si>
  <si>
    <t>kirby@dal.ca</t>
  </si>
  <si>
    <t>10.1080/09638280500167605</t>
  </si>
  <si>
    <t>V06CF</t>
  </si>
  <si>
    <t>WOS:000213917600014</t>
  </si>
  <si>
    <t>Liebermann, DG; Buchman, AS; Franks, IM</t>
  </si>
  <si>
    <t>Enhancement of motor rehabilitation through the use of information technologies</t>
  </si>
  <si>
    <t>information technology; virtual reality; neuro-robotics; rehabilitation; feedback</t>
  </si>
  <si>
    <t>AMYOTROPHIC-LATERAL-SCLEROSIS; CORD-INJURED PERSONS; AGE-RELATED-CHANGES; SPINAL-CORD; ARM MOVEMENTS; INSULIN-LIKE; HINDLIMB MOTONEURONS; NEUROTROPHIC FACTOR; SENSORY NEUROPATHY; NEURAL ADAPTATIONS</t>
  </si>
  <si>
    <t>The recent development of information technologies has dramatically increased the tools available for facilitating motor rehabilitation. This review focuses on technologies which can be used to augment movement-related information both to patients as well as to their therapists. A brief outline of the motor system emphasizes the role of spinal motor neurons in the control of voluntary movement and rehabilitative efforts. Technologies which induce passive motion to stimulate spinal motor output as well as technologies that stimulate active voluntary movements are discussed. Finally, we review technologies and notational methods that can be used to quantify and assess the quality of movement for evaluating the efficacy of motor rehabilitation efforts. We conclude that stronger evidence is necessary to determine the applicability of the wide range of technologies now available to clinical rehabilitation efforts. (c) 2005 Elsevier Ltd. All rights reserved.</t>
  </si>
  <si>
    <t>Tel Aviv Univ, Sackler Fac Med, Dept Phys Therapy, IL-69978 Tel Aviv, Israel; Rush Univ, Med Ctr, Dept Neurol Sci, Chicago, IL 60612 USA; Univ British Columbia, Sch Human Kinet, Vancouver, BC V6T 1Z1, Canada</t>
  </si>
  <si>
    <t>Tel Aviv University; Sackler Faculty of Medicine; Rush University; University of British Columbia</t>
  </si>
  <si>
    <t>Tel Aviv Univ, Sackler Fac Med, Dept Phys Therapy, IL-69978 Tel Aviv, Israel.</t>
  </si>
  <si>
    <t>dlieberm@post.tau.ac.il</t>
  </si>
  <si>
    <t>Franks, Ian/0000-0001-8687-5892</t>
  </si>
  <si>
    <t>NIA NIH HHS [R01 AG 24480] Funding Source: Medline</t>
  </si>
  <si>
    <t>NIA NIH HHS(United States Department of Health &amp; Human ServicesNational Institutes of Health (NIH) - USANIH National Institute on Aging (NIA))</t>
  </si>
  <si>
    <t>10.1016/j.clinbiomech.2005.08.006</t>
  </si>
  <si>
    <t>994CX</t>
  </si>
  <si>
    <t>WOS:000234009000002</t>
  </si>
  <si>
    <t>Strategies for stroke rehabilitation</t>
  </si>
  <si>
    <t>BODY-WEIGHT SUPPORT; INDUCED MOVEMENT THERAPY; FUNCTIONAL MOTOR RECOVERY; USE-DEPENDENT PLASTICITY; DOUBLE-BLIND; CORTICAL PLASTICITY; MUSCLE-ACTIVITY; WALKING SPEED; HUMAN BRAIN; ADULT RATS</t>
  </si>
  <si>
    <t>Rehabilitation after hemiplegic stroke has typically relied on the training of patients in compensatory strategies. The translation of neuroscientific research into care has led to new approaches and renewed promise for better outcomes. Improved motor control can progress with task-specific training incorporating increased use of proximal and distal movements during intensive practice of real-world activities. Functional gains are incorrectly said to plateau by 3-6 months. Many patients retain latent sensorimotor function that can be realised any time after stroke with a pulse of goal-directed therapy. The amount of practice probably best determines gains for a given level of residual movement ability. Clinicians should encourage patients to build greater strength, speed, endurance, and precision of multijoint movements on tasks that increase independence and enrich daily activity. Imaging tools may help clinicians determine the capacity of residual networks to respond to a therapeutic approach and help establish optimal dose-response curves for training. Promising adjunct approaches include practice with robotic devices or in a virtual environment, electrical stimulation to increase cortical excitability during training, and drugs to optimise molecular mechanisms for learning. Biological strategies for neural repair may augment rehabilitation in the next decade.</t>
  </si>
  <si>
    <t>Univ Calif Los Angeles, David Geffen Sch Med, Dept Neurol, Neurol Rehab &amp; Res Program, Los Angeles, CA USA</t>
  </si>
  <si>
    <t>University of California System; University of California Los Angeles; University of California Los Angeles Medical Center; David Geffen School of Medicine at UCLA</t>
  </si>
  <si>
    <t>Univ Calif Los Angeles, Reed Neurol Res Ctr, Dept Neurol, 710 Westwood Pl, Los Angeles, CA USA.</t>
  </si>
  <si>
    <t>NICHD NIH HHS [HD39629, HD0741, R24 HD039629] Funding Source: Medline</t>
  </si>
  <si>
    <t>10.1016/S1474-4422(04)00851-8</t>
  </si>
  <si>
    <t>849VD</t>
  </si>
  <si>
    <t>WOS:000223568300017</t>
  </si>
  <si>
    <t>Woo, SLY; Thomas, M; Saw, SSC</t>
  </si>
  <si>
    <t>Contribution of biomechanics, orthopaedics and rehabilitation: The past, present and future</t>
  </si>
  <si>
    <t>SURGEON-JOURNAL OF THE ROYAL COLLEGES OF SURGEONS OF EDINBURGH AND IRELAND</t>
  </si>
  <si>
    <t>MCL; ACL; functional tissue engineering; biomechanics</t>
  </si>
  <si>
    <t>ANTERIOR CRUCIATE LIGAMENT; MEDIAL COLLATERAL LIGAMENT; IN-SITU FORCES; PATELLAR-TENDON AUTOGRAFT; INTERFERENCE SCREW FIXATION; NON-OPERATIVE TREATMENT; GROWTH-FACTOR-BETA; LONG-TERM; ARTHROSCOPIC RECONSTRUCTION; VISCOELASTIC PROPERTIES</t>
  </si>
  <si>
    <t>Biomechanics is a field that has a very long history. From its beginnings in ancient Chinese and Greek literature, the field of orthopaedic biomechanics has grown in the areas of biomechanics of bone, articular cartilage, soft tissues, upper extremities, spine and so on. Bioengineers in collaboration with orthopaedic surgeons have applied biomechanical principles to study clinically relevant problems, improving patient treatment and outcome. In the past 30 years, my colleagues and I have focused our research on the biomechanics of musculoskeletal soft tissues, ligaments and tendons in particular. Therefore, in this review article, the function of the knee ligaments and the associated homeostatic responses secondary to immobilisation and exercise will be described. Research on healing of the medial collateral ligament (MCL) of the knee and possible future approaches in improving the healing of the knee ligaments will be presented. Finally, improvement of the understanding of ligament reconstruction, specifically of the anterior cruciate ligament (ACL), through the use of robotics technology will be included. Throughout the manuscript, specific scientific findings that have guided or changed the clinical management of injury to these soft tissues will be emphasised.</t>
  </si>
  <si>
    <t>Univ Pittsburgh, Dept Bioengn, Musculoskeletal Res Ctr, Pittsburgh, PA USA</t>
  </si>
  <si>
    <t>Univ Pittsburgh, Dept Bioengn Surg, Muscoskeletal Res Ctr, E1641 Biomed Sci Tower,210 Lothrop St,POB 71199, Pittsburgh, PA 15213 USA.</t>
  </si>
  <si>
    <t>Woo, Savio/ABD-1278-2022</t>
  </si>
  <si>
    <t>Saw, Serena/0000-0003-2198-3264</t>
  </si>
  <si>
    <t>NIADDK NIH HHS [AM00304, AM14918] Funding Source: Medline; NIAMS NIH HHS [AR-41820, AR-39683] Funding Source: Medline; NIGMS NIH HHS [GM24900] Funding Source: Medline</t>
  </si>
  <si>
    <t>NIADDK NIH HHS(United States Department of Health &amp; Human ServicesNational Institutes of Health (NIH) - USANIH National Institute of Diabetes &amp; Digestive &amp; Kidney Diseases (NIDDK)); NIAMS NIH HHS(United States Department of Health &amp; Human ServicesNational Institutes of Health (NIH) - USANIH National Institute of Arthritis &amp; Musculoskeletal &amp; Skin Diseases (NIAMS)); NIGMS NIH HHS(United States Department of Health &amp; Human ServicesNational Institutes of Health (NIH) - USANIH National Institute of General Medical Sciences (NIGMS))</t>
  </si>
  <si>
    <t>ROYAL COLLEGE SURGEONS EDINBURGH</t>
  </si>
  <si>
    <t>EDINBURGH</t>
  </si>
  <si>
    <t>NICOLSON ST, EDINBURGH EH8 9DW, SCOTLAND</t>
  </si>
  <si>
    <t>1479-666X</t>
  </si>
  <si>
    <t>SURG-J R COLL SURG E</t>
  </si>
  <si>
    <t>Surg. J. R. Coll. Surg. Edinb. Irel.</t>
  </si>
  <si>
    <t>10.1016/S1479-666X(04)80072-6</t>
  </si>
  <si>
    <t>832LP</t>
  </si>
  <si>
    <t>WOS:000222269300001</t>
  </si>
  <si>
    <t>Reinkensmeyer, DJ; Emken, JL; Cramer, SC</t>
  </si>
  <si>
    <t>Robotics, motor learning, and neurologic recovery</t>
  </si>
  <si>
    <t>rehabilitation; neural systems; motor adaptation; neuroplasticity; neuromuscular control</t>
  </si>
  <si>
    <t>REACHING MOVEMENTS; INTERNAL-MODELS; STROKE PATIENTS; PARAPLEGIC PATIENTS; FORCE ADAPTATION; ADAPTIVE-CONTROL; ARM MOVEMENTS; DYNAMICS; THERAPY; REHABILITATION</t>
  </si>
  <si>
    <t>Robotic devices are helping shed light on human motor control in health and injury. By using robots to apply novel force fields to the arm, investigators are gaining insight into how the nervous system models its external dynamic environment. The nervous system builds internal models gradually by experience and uses them in combination with impedance and feedback control strategies. Internal models are robust to environmental and neural noise, generalized across space, implemented in multiple brain regions, and developed in childhood. Robots are also being used to assist in repetitive movement practice following neurologic injury, providing insight into movement recovery. Robots can haptically assess sensorimotor performance, administer training, quantify amount of training, and improve motor recovery. In addition to providing insight into motor control, robotic paradigms may eventually enhance motor learning and rehabilitation beyond the levels possible with conventional training techniques.</t>
  </si>
  <si>
    <t>Univ Calif Irvine, Dept Mech &amp; Aerosp Engn, Irvine, CA 92697 USA; Univ Calif Irvine, Dept Biomed Engn, Irvine, CA 92697 USA; Univ Calif Irvine, Dept Neurol, Irvine, CA 92697 USA</t>
  </si>
  <si>
    <t>Univ Calif Irvine, Dept Mech &amp; Aerosp Engn, Irvine, CA 92697 USA.</t>
  </si>
  <si>
    <t>dreinken@uci.edu; jemken@uci.edu; scramer@uci.edu</t>
  </si>
  <si>
    <t>10.1146/annurev.bioeng.6.040803.140223</t>
  </si>
  <si>
    <t>852ZM</t>
  </si>
  <si>
    <t>WOS:000223795500019</t>
  </si>
  <si>
    <t>Lancioni, GE; O'Reilly, MF; Basili, G</t>
  </si>
  <si>
    <t>An overview of technological resources used in rehabilitation research with people with severe/profound and multiple disabilities</t>
  </si>
  <si>
    <t>SELF-INJURIOUS-BEHAVIOR; PROFOUND DEVELOPMENTAL-DISABILITIES; VOICE OUTPUT COMMUNICATION; INDEPENDENT INDOOR TRAVEL; SEVERE INTELLECTUAL DISABILITY; ACOUSTIC ORIENTATION SYSTEM; MENTAL-RETARDATION; ALTERNATIVE COMMUNICATION; ASSISTIVE TECHNOLOGY; OBJECT MANIPULATION</t>
  </si>
  <si>
    <t>Purpose: This paper provides an outline of technological resources used in rehabilitation research with persons with severe/profound and multiple disabilities, and discusses the practicality of such resources. Method: Research articles published during the last 8 years (1993-2000) are considered. With regard to each of the technological resources used in the articles (i.e. microswitches, speech output devices, computer-aided instruction systems, audio recording systems, orientation systems, mobile robot, and SIBIS). accessibility. cost and implementation issues are examined. Results and Conclusions: Some technological resources are easily accessible and affordable (i.e. microswitches. speech output devices, audio-recording systems and SIBIS). Other resources are still at the prototype level (i.e. computer-aided instruction systems, orientation systems and robot) and are much more complex and costly. In spite of this, the latter resources might still have an important role in daily contexts.</t>
  </si>
  <si>
    <t>Leiden Univ, Dept Psychol, NL-2333 AK Leiden, Netherlands; Natl Univ Ireland Univ Coll Dublin, Dept Psychol, Dublin 4, Ireland; Senigallia Gen Hosp, Dept Paediat, I-60019 Senigallia, AN, Italy</t>
  </si>
  <si>
    <t>Leiden University - Excl LUMC; Leiden University; University College Dublin</t>
  </si>
  <si>
    <t>Lancioni, GE (corresponding author), Leiden Univ, Dept Psychol, Wassenaarseweg 52, NL-2333 AK Leiden, Netherlands.</t>
  </si>
  <si>
    <t>Lancioni, Giulio/0000-0002-6515-5690</t>
  </si>
  <si>
    <t>11 NEW FETTER LANE, LONDON EC4P 4EE, ENGLAND</t>
  </si>
  <si>
    <t>446ZL</t>
  </si>
  <si>
    <t>WOS:000169544000001</t>
  </si>
  <si>
    <t>Edgerton, VR; de Leon, RD; Harkema, SJ; Hodgson, JA; London, N; Reinkensmeyer, DJ; Roy, RN; Talmadge, RJ; Tillakaratne, NJ; Timoszyk, W; Tobin, A</t>
  </si>
  <si>
    <t>Retraining the injured spinal cord</t>
  </si>
  <si>
    <t>JOURNAL OF PHYSIOLOGY-LONDON</t>
  </si>
  <si>
    <t>MOTOR FUNCTION; RECOVERY; CATS; LOCOMOTOR; THERAPY</t>
  </si>
  <si>
    <t>The present review presents a series of concepts that may be useful in developing rehabilitative strategies to enhance recovery of posture and locomotion following spinal cord injury. First, the loss of supraspinal input results in a marked change in the functional efficacy of the remaining synapses and neurons of intraspinal and peripheral afferent (dorsal root ganglion) origin. Second, following a complete transection the lumbosacral spinal cord can recover greater levels of motor performance if it has been exposed to the efferent and intraspinal activation patterns that are associated with standing and stepping. Third, the spinal cord can more readily reacquire the ability to stand and step following spinal cord transection with repetitive exposure to standing and stepping. Fourth, robotic assistive devices can be used to guide the kinematics of the limbs and thus expose the spinal cord to the new normal activity patterns associated with a particular motor task following spinal cord injury. In addition, such robotic assistive devices can provide immediate quantification of the limb kinematics. Fifth, the behavioural and physiological effects of spinal cord transection are reflected in adaptations in most, if not all, neurotransmitter systems in the lumbosacral spinal cord. Evidence is presented that both the GABAergic and glycinergic inhibitory systems are up-regulated following complete spinal cord transection and that step training results in some aspects of these transmitter systems being down-regulated towards control levels. These concepts and observations demonstrate that (a) the spinal cord can interpret complex afferent information and generate the appropriate motor task; and (b) motor ability can be defined to a large degree by training.</t>
  </si>
  <si>
    <t>Univ Calif Los Angeles, Dept Physiol Sci, Brain Res Inst, Los Angeles, CA 90095 USA; Univ Calif Los Angeles, Dept Neurobiol, Brain Res Inst, Los Angeles, CA 90095 USA; Univ Calif Los Angeles, Dept Neurol, Brain Res Inst, Los Angeles, CA 90095 USA; Univ Calif Irvine, Dept Mech &amp; Aerosp Engn, Irvine, CA 92697 USA</t>
  </si>
  <si>
    <t>University of California System; University of California Los Angeles; University of California System; University of California Los Angeles; University of California System; University of California Los Angeles; University of California System; University of California Irvine</t>
  </si>
  <si>
    <t>Edgerton, VR (corresponding author), Univ Calif Los Angeles, Dept Physiol Sci, Brain Res Inst, 1804 Life Sci,621 Charles E Young Dr S, Los Angeles, CA 90095 USA.</t>
  </si>
  <si>
    <t>PORT CHESTER</t>
  </si>
  <si>
    <t>110 MIDLAND AVE, PORT CHESTER, NY 10573-9863 USA</t>
  </si>
  <si>
    <t>0022-3751</t>
  </si>
  <si>
    <t>J PHYSIOL-LONDON</t>
  </si>
  <si>
    <t>J. Physiol.-London</t>
  </si>
  <si>
    <t>MAY 15</t>
  </si>
  <si>
    <t>10.1111/j.1469-7793.2001.0015b.x</t>
  </si>
  <si>
    <t>433JT</t>
  </si>
  <si>
    <t>WOS:000168756800004</t>
  </si>
  <si>
    <t>Tejima, N</t>
  </si>
  <si>
    <t>Rehabilitation robotics: a review</t>
  </si>
  <si>
    <t>assistive device; disabilities; health care; literature survey</t>
  </si>
  <si>
    <t>RESEARCH-AND-DEVELOPMENT; HEALTH-CARE; TRAVEL AID; MOBILE ROBOTICS; WHEELCHAIR; DESIGN; SYSTEM; PEOPLE; ASSIST; THERAPY</t>
  </si>
  <si>
    <t>This article reviews various selected literature on rehabilitation robotics. The literature was obtained mainly from journals and conference proceedings of the robotic, rehabilitative or biomedical engineering associations. It has been classified into three categories. rehabilitation rebut systems, evaluation and key technologies. Commercially available robots, new projects, users' experiences and requirements, and fundamental research are introduced. A comprehensive list of references is provided.</t>
  </si>
  <si>
    <t>Ritsumeikan Univ, Dept Robot, Shiga, Japan</t>
  </si>
  <si>
    <t>Ritsumeikan University</t>
  </si>
  <si>
    <t>Ritsumeikan Univ, Dept Robot, 1-1-1 Noji Higashi, Shiga, Japan.</t>
  </si>
  <si>
    <t>10.1163/156855301742003</t>
  </si>
  <si>
    <t>414CH</t>
  </si>
  <si>
    <t>WOS:000167648000001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</si>
</sst>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D9207-B0E2-4897-81B4-8E2236071B0B}">
  <dimension ref="A1:BT1282"/>
  <sheetViews>
    <sheetView tabSelected="1" topLeftCell="T1" workbookViewId="0">
      <selection activeCell="T1" sqref="T1"/>
    </sheetView>
  </sheetViews>
  <sheetFormatPr defaultRowHeight="12.5" x14ac:dyDescent="0.25"/>
  <cols>
    <col min="20" max="21" width="255.6328125" bestFit="1" customWidth="1"/>
  </cols>
  <sheetData>
    <row r="1" spans="1:7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row>
    <row r="2" spans="1:72" x14ac:dyDescent="0.25">
      <c r="A2" t="s">
        <v>72</v>
      </c>
      <c r="B2" t="s">
        <v>73</v>
      </c>
      <c r="C2" t="s">
        <v>74</v>
      </c>
      <c r="D2" t="s">
        <v>74</v>
      </c>
      <c r="E2" t="s">
        <v>74</v>
      </c>
      <c r="F2" t="s">
        <v>75</v>
      </c>
      <c r="G2" t="s">
        <v>74</v>
      </c>
      <c r="H2" t="s">
        <v>74</v>
      </c>
      <c r="I2" t="s">
        <v>76</v>
      </c>
      <c r="J2" t="s">
        <v>77</v>
      </c>
      <c r="K2" t="s">
        <v>74</v>
      </c>
      <c r="L2" t="s">
        <v>74</v>
      </c>
      <c r="M2" t="s">
        <v>78</v>
      </c>
      <c r="N2" t="s">
        <v>79</v>
      </c>
      <c r="O2" t="s">
        <v>74</v>
      </c>
      <c r="P2" t="s">
        <v>74</v>
      </c>
      <c r="Q2" t="s">
        <v>74</v>
      </c>
      <c r="R2" t="s">
        <v>74</v>
      </c>
      <c r="S2" t="s">
        <v>74</v>
      </c>
      <c r="T2" t="s">
        <v>80</v>
      </c>
      <c r="U2" t="s">
        <v>81</v>
      </c>
      <c r="V2" t="s">
        <v>82</v>
      </c>
      <c r="W2" t="s">
        <v>83</v>
      </c>
      <c r="X2" t="s">
        <v>84</v>
      </c>
      <c r="Y2" t="s">
        <v>85</v>
      </c>
      <c r="Z2" t="s">
        <v>86</v>
      </c>
      <c r="AA2" t="s">
        <v>87</v>
      </c>
      <c r="AB2" t="s">
        <v>88</v>
      </c>
      <c r="AC2" t="s">
        <v>89</v>
      </c>
      <c r="AD2" t="s">
        <v>90</v>
      </c>
      <c r="AE2" t="s">
        <v>91</v>
      </c>
      <c r="AF2" t="s">
        <v>74</v>
      </c>
      <c r="AG2">
        <v>49</v>
      </c>
      <c r="AH2">
        <v>21</v>
      </c>
      <c r="AI2">
        <v>24</v>
      </c>
      <c r="AJ2">
        <v>1</v>
      </c>
      <c r="AK2">
        <v>41</v>
      </c>
      <c r="AL2" t="s">
        <v>92</v>
      </c>
      <c r="AM2" t="s">
        <v>93</v>
      </c>
      <c r="AN2" t="s">
        <v>94</v>
      </c>
      <c r="AO2" t="s">
        <v>95</v>
      </c>
      <c r="AP2" t="s">
        <v>96</v>
      </c>
      <c r="AQ2" t="s">
        <v>74</v>
      </c>
      <c r="AR2" t="s">
        <v>97</v>
      </c>
      <c r="AS2" t="s">
        <v>98</v>
      </c>
      <c r="AT2" t="s">
        <v>99</v>
      </c>
      <c r="AU2">
        <v>2020</v>
      </c>
      <c r="AV2">
        <v>42</v>
      </c>
      <c r="AW2">
        <v>7</v>
      </c>
      <c r="AX2" t="s">
        <v>74</v>
      </c>
      <c r="AY2" t="s">
        <v>74</v>
      </c>
      <c r="AZ2" t="s">
        <v>74</v>
      </c>
      <c r="BA2" t="s">
        <v>74</v>
      </c>
      <c r="BB2">
        <v>902</v>
      </c>
      <c r="BC2">
        <v>917</v>
      </c>
      <c r="BD2" t="s">
        <v>74</v>
      </c>
      <c r="BE2" t="s">
        <v>100</v>
      </c>
      <c r="BF2" t="str">
        <f>HYPERLINK("http://dx.doi.org/10.1080/09638288.2018.1511755","http://dx.doi.org/10.1080/09638288.2018.1511755")</f>
        <v>http://dx.doi.org/10.1080/09638288.2018.1511755</v>
      </c>
      <c r="BG2" t="s">
        <v>74</v>
      </c>
      <c r="BH2" t="s">
        <v>74</v>
      </c>
      <c r="BI2">
        <v>16</v>
      </c>
      <c r="BJ2" t="s">
        <v>101</v>
      </c>
      <c r="BK2" t="s">
        <v>102</v>
      </c>
      <c r="BL2" t="s">
        <v>101</v>
      </c>
      <c r="BM2" t="s">
        <v>103</v>
      </c>
      <c r="BN2">
        <v>30451539</v>
      </c>
      <c r="BO2" t="s">
        <v>104</v>
      </c>
      <c r="BP2" t="s">
        <v>74</v>
      </c>
      <c r="BQ2" t="s">
        <v>74</v>
      </c>
      <c r="BR2" t="s">
        <v>105</v>
      </c>
      <c r="BS2" t="s">
        <v>106</v>
      </c>
      <c r="BT2" t="str">
        <f>HYPERLINK("https%3A%2F%2Fwww.webofscience.com%2Fwos%2Fwoscc%2Ffull-record%2FWOS:000522831300002","View Full Record in Web of Science")</f>
        <v>View Full Record in Web of Science</v>
      </c>
    </row>
    <row r="3" spans="1:72" x14ac:dyDescent="0.25">
      <c r="A3" t="s">
        <v>72</v>
      </c>
      <c r="B3" t="s">
        <v>107</v>
      </c>
      <c r="C3" t="s">
        <v>74</v>
      </c>
      <c r="D3" t="s">
        <v>74</v>
      </c>
      <c r="E3" t="s">
        <v>74</v>
      </c>
      <c r="F3" t="s">
        <v>108</v>
      </c>
      <c r="G3" t="s">
        <v>74</v>
      </c>
      <c r="H3" t="s">
        <v>74</v>
      </c>
      <c r="I3" t="s">
        <v>109</v>
      </c>
      <c r="J3" t="s">
        <v>110</v>
      </c>
      <c r="K3" t="s">
        <v>74</v>
      </c>
      <c r="L3" t="s">
        <v>74</v>
      </c>
      <c r="M3" t="s">
        <v>78</v>
      </c>
      <c r="N3" t="s">
        <v>79</v>
      </c>
      <c r="O3" t="s">
        <v>74</v>
      </c>
      <c r="P3" t="s">
        <v>74</v>
      </c>
      <c r="Q3" t="s">
        <v>74</v>
      </c>
      <c r="R3" t="s">
        <v>74</v>
      </c>
      <c r="S3" t="s">
        <v>74</v>
      </c>
      <c r="T3" t="s">
        <v>111</v>
      </c>
      <c r="U3" t="s">
        <v>112</v>
      </c>
      <c r="V3" t="s">
        <v>113</v>
      </c>
      <c r="W3" t="s">
        <v>114</v>
      </c>
      <c r="X3" t="s">
        <v>115</v>
      </c>
      <c r="Y3" t="s">
        <v>116</v>
      </c>
      <c r="Z3" t="s">
        <v>117</v>
      </c>
      <c r="AA3" t="s">
        <v>118</v>
      </c>
      <c r="AB3" t="s">
        <v>119</v>
      </c>
      <c r="AC3" t="s">
        <v>74</v>
      </c>
      <c r="AD3" t="s">
        <v>74</v>
      </c>
      <c r="AE3" t="s">
        <v>74</v>
      </c>
      <c r="AF3" t="s">
        <v>74</v>
      </c>
      <c r="AG3">
        <v>100</v>
      </c>
      <c r="AH3">
        <v>3</v>
      </c>
      <c r="AI3">
        <v>5</v>
      </c>
      <c r="AJ3">
        <v>1</v>
      </c>
      <c r="AK3">
        <v>24</v>
      </c>
      <c r="AL3" t="s">
        <v>120</v>
      </c>
      <c r="AM3" t="s">
        <v>121</v>
      </c>
      <c r="AN3" t="s">
        <v>122</v>
      </c>
      <c r="AO3" t="s">
        <v>74</v>
      </c>
      <c r="AP3" t="s">
        <v>123</v>
      </c>
      <c r="AQ3" t="s">
        <v>74</v>
      </c>
      <c r="AR3" t="s">
        <v>124</v>
      </c>
      <c r="AS3" t="s">
        <v>125</v>
      </c>
      <c r="AT3" t="s">
        <v>126</v>
      </c>
      <c r="AU3">
        <v>2020</v>
      </c>
      <c r="AV3">
        <v>9</v>
      </c>
      <c r="AW3">
        <v>11</v>
      </c>
      <c r="AX3" t="s">
        <v>74</v>
      </c>
      <c r="AY3" t="s">
        <v>74</v>
      </c>
      <c r="AZ3" t="s">
        <v>74</v>
      </c>
      <c r="BA3" t="s">
        <v>74</v>
      </c>
      <c r="BB3" t="s">
        <v>74</v>
      </c>
      <c r="BC3" t="s">
        <v>74</v>
      </c>
      <c r="BD3">
        <v>3413</v>
      </c>
      <c r="BE3" t="s">
        <v>127</v>
      </c>
      <c r="BF3" t="str">
        <f>HYPERLINK("http://dx.doi.org/10.3390/jcm9113413","http://dx.doi.org/10.3390/jcm9113413")</f>
        <v>http://dx.doi.org/10.3390/jcm9113413</v>
      </c>
      <c r="BG3" t="s">
        <v>74</v>
      </c>
      <c r="BH3" t="s">
        <v>74</v>
      </c>
      <c r="BI3">
        <v>25</v>
      </c>
      <c r="BJ3" t="s">
        <v>128</v>
      </c>
      <c r="BK3" t="s">
        <v>102</v>
      </c>
      <c r="BL3" t="s">
        <v>129</v>
      </c>
      <c r="BM3" t="s">
        <v>130</v>
      </c>
      <c r="BN3">
        <v>33114424</v>
      </c>
      <c r="BO3" t="s">
        <v>131</v>
      </c>
      <c r="BP3" t="s">
        <v>74</v>
      </c>
      <c r="BQ3" t="s">
        <v>74</v>
      </c>
      <c r="BR3" t="s">
        <v>105</v>
      </c>
      <c r="BS3" t="s">
        <v>132</v>
      </c>
      <c r="BT3" t="str">
        <f>HYPERLINK("https%3A%2F%2Fwww.webofscience.com%2Fwos%2Fwoscc%2Ffull-record%2FWOS:000593354700001","View Full Record in Web of Science")</f>
        <v>View Full Record in Web of Science</v>
      </c>
    </row>
    <row r="4" spans="1:72" x14ac:dyDescent="0.25">
      <c r="A4" t="s">
        <v>72</v>
      </c>
      <c r="B4" t="s">
        <v>133</v>
      </c>
      <c r="C4" t="s">
        <v>74</v>
      </c>
      <c r="D4" t="s">
        <v>74</v>
      </c>
      <c r="E4" t="s">
        <v>74</v>
      </c>
      <c r="F4" t="s">
        <v>134</v>
      </c>
      <c r="G4" t="s">
        <v>74</v>
      </c>
      <c r="H4" t="s">
        <v>74</v>
      </c>
      <c r="I4" t="s">
        <v>135</v>
      </c>
      <c r="J4" t="s">
        <v>136</v>
      </c>
      <c r="K4" t="s">
        <v>74</v>
      </c>
      <c r="L4" t="s">
        <v>74</v>
      </c>
      <c r="M4" t="s">
        <v>78</v>
      </c>
      <c r="N4" t="s">
        <v>79</v>
      </c>
      <c r="O4" t="s">
        <v>74</v>
      </c>
      <c r="P4" t="s">
        <v>74</v>
      </c>
      <c r="Q4" t="s">
        <v>74</v>
      </c>
      <c r="R4" t="s">
        <v>74</v>
      </c>
      <c r="S4" t="s">
        <v>74</v>
      </c>
      <c r="T4" t="s">
        <v>137</v>
      </c>
      <c r="U4" t="s">
        <v>138</v>
      </c>
      <c r="V4" t="s">
        <v>139</v>
      </c>
      <c r="W4" t="s">
        <v>140</v>
      </c>
      <c r="X4" t="s">
        <v>74</v>
      </c>
      <c r="Y4" t="s">
        <v>141</v>
      </c>
      <c r="Z4" t="s">
        <v>142</v>
      </c>
      <c r="AA4" t="s">
        <v>143</v>
      </c>
      <c r="AB4" t="s">
        <v>74</v>
      </c>
      <c r="AC4" t="s">
        <v>74</v>
      </c>
      <c r="AD4" t="s">
        <v>74</v>
      </c>
      <c r="AE4" t="s">
        <v>74</v>
      </c>
      <c r="AF4" t="s">
        <v>74</v>
      </c>
      <c r="AG4">
        <v>118</v>
      </c>
      <c r="AH4">
        <v>0</v>
      </c>
      <c r="AI4">
        <v>0</v>
      </c>
      <c r="AJ4">
        <v>2</v>
      </c>
      <c r="AK4">
        <v>2</v>
      </c>
      <c r="AL4" t="s">
        <v>144</v>
      </c>
      <c r="AM4" t="s">
        <v>145</v>
      </c>
      <c r="AN4" t="s">
        <v>146</v>
      </c>
      <c r="AO4" t="s">
        <v>147</v>
      </c>
      <c r="AP4" t="s">
        <v>148</v>
      </c>
      <c r="AQ4" t="s">
        <v>74</v>
      </c>
      <c r="AR4" t="s">
        <v>149</v>
      </c>
      <c r="AS4" t="s">
        <v>150</v>
      </c>
      <c r="AT4" t="s">
        <v>151</v>
      </c>
      <c r="AU4">
        <v>2024</v>
      </c>
      <c r="AV4">
        <v>67</v>
      </c>
      <c r="AW4">
        <v>13</v>
      </c>
      <c r="AX4" t="s">
        <v>74</v>
      </c>
      <c r="AY4" t="s">
        <v>74</v>
      </c>
      <c r="AZ4" t="s">
        <v>152</v>
      </c>
      <c r="BA4" t="s">
        <v>74</v>
      </c>
      <c r="BB4">
        <v>2245</v>
      </c>
      <c r="BC4">
        <v>2257</v>
      </c>
      <c r="BD4" t="s">
        <v>74</v>
      </c>
      <c r="BE4" t="s">
        <v>153</v>
      </c>
      <c r="BF4" t="str">
        <f>HYPERLINK("http://dx.doi.org/10.21608/ejchem.2025.344348.10982","http://dx.doi.org/10.21608/ejchem.2025.344348.10982")</f>
        <v>http://dx.doi.org/10.21608/ejchem.2025.344348.10982</v>
      </c>
      <c r="BG4" t="s">
        <v>74</v>
      </c>
      <c r="BH4" t="s">
        <v>74</v>
      </c>
      <c r="BI4">
        <v>13</v>
      </c>
      <c r="BJ4" t="s">
        <v>154</v>
      </c>
      <c r="BK4" t="s">
        <v>155</v>
      </c>
      <c r="BL4" t="s">
        <v>156</v>
      </c>
      <c r="BM4" t="s">
        <v>157</v>
      </c>
      <c r="BN4" t="s">
        <v>74</v>
      </c>
      <c r="BO4" t="s">
        <v>74</v>
      </c>
      <c r="BP4" t="s">
        <v>74</v>
      </c>
      <c r="BQ4" t="s">
        <v>74</v>
      </c>
      <c r="BR4" t="s">
        <v>105</v>
      </c>
      <c r="BS4" t="s">
        <v>158</v>
      </c>
      <c r="BT4" t="str">
        <f>HYPERLINK("https%3A%2F%2Fwww.webofscience.com%2Fwos%2Fwoscc%2Ffull-record%2FWOS:001460874400020","View Full Record in Web of Science")</f>
        <v>View Full Record in Web of Science</v>
      </c>
    </row>
    <row r="5" spans="1:72" x14ac:dyDescent="0.25">
      <c r="A5" t="s">
        <v>72</v>
      </c>
      <c r="B5" t="s">
        <v>159</v>
      </c>
      <c r="C5" t="s">
        <v>74</v>
      </c>
      <c r="D5" t="s">
        <v>74</v>
      </c>
      <c r="E5" t="s">
        <v>74</v>
      </c>
      <c r="F5" t="s">
        <v>160</v>
      </c>
      <c r="G5" t="s">
        <v>74</v>
      </c>
      <c r="H5" t="s">
        <v>74</v>
      </c>
      <c r="I5" t="s">
        <v>161</v>
      </c>
      <c r="J5" t="s">
        <v>162</v>
      </c>
      <c r="K5" t="s">
        <v>74</v>
      </c>
      <c r="L5" t="s">
        <v>74</v>
      </c>
      <c r="M5" t="s">
        <v>78</v>
      </c>
      <c r="N5" t="s">
        <v>79</v>
      </c>
      <c r="O5" t="s">
        <v>74</v>
      </c>
      <c r="P5" t="s">
        <v>74</v>
      </c>
      <c r="Q5" t="s">
        <v>74</v>
      </c>
      <c r="R5" t="s">
        <v>74</v>
      </c>
      <c r="S5" t="s">
        <v>74</v>
      </c>
      <c r="T5" t="s">
        <v>163</v>
      </c>
      <c r="U5" t="s">
        <v>164</v>
      </c>
      <c r="V5" t="s">
        <v>165</v>
      </c>
      <c r="W5" t="s">
        <v>166</v>
      </c>
      <c r="X5" t="s">
        <v>167</v>
      </c>
      <c r="Y5" t="s">
        <v>168</v>
      </c>
      <c r="Z5" t="s">
        <v>169</v>
      </c>
      <c r="AA5" t="s">
        <v>170</v>
      </c>
      <c r="AB5" t="s">
        <v>74</v>
      </c>
      <c r="AC5" t="s">
        <v>167</v>
      </c>
      <c r="AD5" t="s">
        <v>167</v>
      </c>
      <c r="AE5" t="s">
        <v>171</v>
      </c>
      <c r="AF5" t="s">
        <v>74</v>
      </c>
      <c r="AG5">
        <v>141</v>
      </c>
      <c r="AH5">
        <v>1</v>
      </c>
      <c r="AI5">
        <v>1</v>
      </c>
      <c r="AJ5">
        <v>21</v>
      </c>
      <c r="AK5">
        <v>50</v>
      </c>
      <c r="AL5" t="s">
        <v>172</v>
      </c>
      <c r="AM5" t="s">
        <v>173</v>
      </c>
      <c r="AN5" t="s">
        <v>174</v>
      </c>
      <c r="AO5" t="s">
        <v>175</v>
      </c>
      <c r="AP5" t="s">
        <v>176</v>
      </c>
      <c r="AQ5" t="s">
        <v>74</v>
      </c>
      <c r="AR5" t="s">
        <v>177</v>
      </c>
      <c r="AS5" t="s">
        <v>178</v>
      </c>
      <c r="AT5" t="s">
        <v>179</v>
      </c>
      <c r="AU5">
        <v>2024</v>
      </c>
      <c r="AV5">
        <v>37</v>
      </c>
      <c r="AW5">
        <v>1</v>
      </c>
      <c r="AX5" t="s">
        <v>74</v>
      </c>
      <c r="AY5" t="s">
        <v>74</v>
      </c>
      <c r="AZ5" t="s">
        <v>74</v>
      </c>
      <c r="BA5" t="s">
        <v>74</v>
      </c>
      <c r="BB5" t="s">
        <v>74</v>
      </c>
      <c r="BC5" t="s">
        <v>74</v>
      </c>
      <c r="BD5">
        <v>69</v>
      </c>
      <c r="BE5" t="s">
        <v>180</v>
      </c>
      <c r="BF5" t="str">
        <f>HYPERLINK("http://dx.doi.org/10.1186/s10033-024-01056-y","http://dx.doi.org/10.1186/s10033-024-01056-y")</f>
        <v>http://dx.doi.org/10.1186/s10033-024-01056-y</v>
      </c>
      <c r="BG5" t="s">
        <v>74</v>
      </c>
      <c r="BH5" t="s">
        <v>74</v>
      </c>
      <c r="BI5">
        <v>24</v>
      </c>
      <c r="BJ5" t="s">
        <v>181</v>
      </c>
      <c r="BK5" t="s">
        <v>182</v>
      </c>
      <c r="BL5" t="s">
        <v>183</v>
      </c>
      <c r="BM5" t="s">
        <v>184</v>
      </c>
      <c r="BN5" t="s">
        <v>74</v>
      </c>
      <c r="BO5" t="s">
        <v>185</v>
      </c>
      <c r="BP5" t="s">
        <v>74</v>
      </c>
      <c r="BQ5" t="s">
        <v>74</v>
      </c>
      <c r="BR5" t="s">
        <v>105</v>
      </c>
      <c r="BS5" t="s">
        <v>186</v>
      </c>
      <c r="BT5" t="str">
        <f>HYPERLINK("https%3A%2F%2Fwww.webofscience.com%2Fwos%2Fwoscc%2Ffull-record%2FWOS:001273099300001","View Full Record in Web of Science")</f>
        <v>View Full Record in Web of Science</v>
      </c>
    </row>
    <row r="6" spans="1:72" x14ac:dyDescent="0.25">
      <c r="A6" t="s">
        <v>72</v>
      </c>
      <c r="B6" t="s">
        <v>187</v>
      </c>
      <c r="C6" t="s">
        <v>74</v>
      </c>
      <c r="D6" t="s">
        <v>74</v>
      </c>
      <c r="E6" t="s">
        <v>74</v>
      </c>
      <c r="F6" t="s">
        <v>188</v>
      </c>
      <c r="G6" t="s">
        <v>74</v>
      </c>
      <c r="H6" t="s">
        <v>74</v>
      </c>
      <c r="I6" t="s">
        <v>189</v>
      </c>
      <c r="J6" t="s">
        <v>190</v>
      </c>
      <c r="K6" t="s">
        <v>74</v>
      </c>
      <c r="L6" t="s">
        <v>74</v>
      </c>
      <c r="M6" t="s">
        <v>78</v>
      </c>
      <c r="N6" t="s">
        <v>79</v>
      </c>
      <c r="O6" t="s">
        <v>74</v>
      </c>
      <c r="P6" t="s">
        <v>74</v>
      </c>
      <c r="Q6" t="s">
        <v>74</v>
      </c>
      <c r="R6" t="s">
        <v>74</v>
      </c>
      <c r="S6" t="s">
        <v>74</v>
      </c>
      <c r="T6" t="s">
        <v>191</v>
      </c>
      <c r="U6" t="s">
        <v>192</v>
      </c>
      <c r="V6" t="s">
        <v>193</v>
      </c>
      <c r="W6" t="s">
        <v>194</v>
      </c>
      <c r="X6" t="s">
        <v>195</v>
      </c>
      <c r="Y6" t="s">
        <v>196</v>
      </c>
      <c r="Z6" t="s">
        <v>197</v>
      </c>
      <c r="AA6" t="s">
        <v>74</v>
      </c>
      <c r="AB6" t="s">
        <v>198</v>
      </c>
      <c r="AC6" t="s">
        <v>199</v>
      </c>
      <c r="AD6" t="s">
        <v>200</v>
      </c>
      <c r="AE6" t="s">
        <v>201</v>
      </c>
      <c r="AF6" t="s">
        <v>74</v>
      </c>
      <c r="AG6">
        <v>82</v>
      </c>
      <c r="AH6">
        <v>61</v>
      </c>
      <c r="AI6">
        <v>64</v>
      </c>
      <c r="AJ6">
        <v>1</v>
      </c>
      <c r="AK6">
        <v>112</v>
      </c>
      <c r="AL6" t="s">
        <v>202</v>
      </c>
      <c r="AM6" t="s">
        <v>203</v>
      </c>
      <c r="AN6" t="s">
        <v>204</v>
      </c>
      <c r="AO6" t="s">
        <v>205</v>
      </c>
      <c r="AP6" t="s">
        <v>206</v>
      </c>
      <c r="AQ6" t="s">
        <v>74</v>
      </c>
      <c r="AR6" t="s">
        <v>207</v>
      </c>
      <c r="AS6" t="s">
        <v>208</v>
      </c>
      <c r="AT6" t="s">
        <v>151</v>
      </c>
      <c r="AU6">
        <v>2015</v>
      </c>
      <c r="AV6">
        <v>51</v>
      </c>
      <c r="AW6">
        <v>6</v>
      </c>
      <c r="AX6" t="s">
        <v>74</v>
      </c>
      <c r="AY6" t="s">
        <v>74</v>
      </c>
      <c r="AZ6" t="s">
        <v>74</v>
      </c>
      <c r="BA6" t="s">
        <v>74</v>
      </c>
      <c r="BB6">
        <v>693</v>
      </c>
      <c r="BC6">
        <v>704</v>
      </c>
      <c r="BD6" t="s">
        <v>74</v>
      </c>
      <c r="BE6" t="s">
        <v>74</v>
      </c>
      <c r="BF6" t="s">
        <v>74</v>
      </c>
      <c r="BG6" t="s">
        <v>74</v>
      </c>
      <c r="BH6" t="s">
        <v>74</v>
      </c>
      <c r="BI6">
        <v>12</v>
      </c>
      <c r="BJ6" t="s">
        <v>101</v>
      </c>
      <c r="BK6" t="s">
        <v>182</v>
      </c>
      <c r="BL6" t="s">
        <v>101</v>
      </c>
      <c r="BM6" t="s">
        <v>209</v>
      </c>
      <c r="BN6">
        <v>26138090</v>
      </c>
      <c r="BO6" t="s">
        <v>74</v>
      </c>
      <c r="BP6" t="s">
        <v>74</v>
      </c>
      <c r="BQ6" t="s">
        <v>74</v>
      </c>
      <c r="BR6" t="s">
        <v>105</v>
      </c>
      <c r="BS6" t="s">
        <v>210</v>
      </c>
      <c r="BT6" t="str">
        <f>HYPERLINK("https%3A%2F%2Fwww.webofscience.com%2Fwos%2Fwoscc%2Ffull-record%2FWOS:000369559500004","View Full Record in Web of Science")</f>
        <v>View Full Record in Web of Science</v>
      </c>
    </row>
    <row r="7" spans="1:72" x14ac:dyDescent="0.25">
      <c r="A7" t="s">
        <v>72</v>
      </c>
      <c r="B7" t="s">
        <v>211</v>
      </c>
      <c r="C7" t="s">
        <v>74</v>
      </c>
      <c r="D7" t="s">
        <v>74</v>
      </c>
      <c r="E7" t="s">
        <v>74</v>
      </c>
      <c r="F7" t="s">
        <v>212</v>
      </c>
      <c r="G7" t="s">
        <v>74</v>
      </c>
      <c r="H7" t="s">
        <v>74</v>
      </c>
      <c r="I7" t="s">
        <v>213</v>
      </c>
      <c r="J7" t="s">
        <v>214</v>
      </c>
      <c r="K7" t="s">
        <v>74</v>
      </c>
      <c r="L7" t="s">
        <v>74</v>
      </c>
      <c r="M7" t="s">
        <v>78</v>
      </c>
      <c r="N7" t="s">
        <v>79</v>
      </c>
      <c r="O7" t="s">
        <v>74</v>
      </c>
      <c r="P7" t="s">
        <v>74</v>
      </c>
      <c r="Q7" t="s">
        <v>74</v>
      </c>
      <c r="R7" t="s">
        <v>74</v>
      </c>
      <c r="S7" t="s">
        <v>74</v>
      </c>
      <c r="T7" t="s">
        <v>215</v>
      </c>
      <c r="U7" t="s">
        <v>216</v>
      </c>
      <c r="V7" t="s">
        <v>217</v>
      </c>
      <c r="W7" t="s">
        <v>218</v>
      </c>
      <c r="X7" t="s">
        <v>219</v>
      </c>
      <c r="Y7" t="s">
        <v>220</v>
      </c>
      <c r="Z7" t="s">
        <v>221</v>
      </c>
      <c r="AA7" t="s">
        <v>222</v>
      </c>
      <c r="AB7" t="s">
        <v>74</v>
      </c>
      <c r="AC7" t="s">
        <v>223</v>
      </c>
      <c r="AD7" t="s">
        <v>224</v>
      </c>
      <c r="AE7" t="s">
        <v>225</v>
      </c>
      <c r="AF7" t="s">
        <v>74</v>
      </c>
      <c r="AG7">
        <v>210</v>
      </c>
      <c r="AH7">
        <v>33</v>
      </c>
      <c r="AI7">
        <v>36</v>
      </c>
      <c r="AJ7">
        <v>8</v>
      </c>
      <c r="AK7">
        <v>64</v>
      </c>
      <c r="AL7" t="s">
        <v>226</v>
      </c>
      <c r="AM7" t="s">
        <v>227</v>
      </c>
      <c r="AN7" t="s">
        <v>228</v>
      </c>
      <c r="AO7" t="s">
        <v>229</v>
      </c>
      <c r="AP7" t="s">
        <v>230</v>
      </c>
      <c r="AQ7" t="s">
        <v>74</v>
      </c>
      <c r="AR7" t="s">
        <v>231</v>
      </c>
      <c r="AS7" t="s">
        <v>232</v>
      </c>
      <c r="AT7" t="s">
        <v>151</v>
      </c>
      <c r="AU7">
        <v>2021</v>
      </c>
      <c r="AV7">
        <v>102</v>
      </c>
      <c r="AW7">
        <v>12</v>
      </c>
      <c r="AX7" t="s">
        <v>74</v>
      </c>
      <c r="AY7" t="s">
        <v>74</v>
      </c>
      <c r="AZ7" t="s">
        <v>74</v>
      </c>
      <c r="BA7" t="s">
        <v>74</v>
      </c>
      <c r="BB7">
        <v>2464</v>
      </c>
      <c r="BC7" t="s">
        <v>233</v>
      </c>
      <c r="BD7" t="s">
        <v>74</v>
      </c>
      <c r="BE7" t="s">
        <v>234</v>
      </c>
      <c r="BF7" t="str">
        <f>HYPERLINK("http://dx.doi.org/10.1016/j.apmr.2021.10.002","http://dx.doi.org/10.1016/j.apmr.2021.10.002")</f>
        <v>http://dx.doi.org/10.1016/j.apmr.2021.10.002</v>
      </c>
      <c r="BG7" t="s">
        <v>74</v>
      </c>
      <c r="BH7" t="s">
        <v>235</v>
      </c>
      <c r="BI7">
        <v>51</v>
      </c>
      <c r="BJ7" t="s">
        <v>236</v>
      </c>
      <c r="BK7" t="s">
        <v>102</v>
      </c>
      <c r="BL7" t="s">
        <v>236</v>
      </c>
      <c r="BM7" t="s">
        <v>237</v>
      </c>
      <c r="BN7">
        <v>34653376</v>
      </c>
      <c r="BO7" t="s">
        <v>238</v>
      </c>
      <c r="BP7" t="s">
        <v>74</v>
      </c>
      <c r="BQ7" t="s">
        <v>74</v>
      </c>
      <c r="BR7" t="s">
        <v>105</v>
      </c>
      <c r="BS7" t="s">
        <v>239</v>
      </c>
      <c r="BT7" t="str">
        <f>HYPERLINK("https%3A%2F%2Fwww.webofscience.com%2Fwos%2Fwoscc%2Ffull-record%2FWOS:000726577100020","View Full Record in Web of Science")</f>
        <v>View Full Record in Web of Science</v>
      </c>
    </row>
    <row r="8" spans="1:72" x14ac:dyDescent="0.25">
      <c r="A8" t="s">
        <v>72</v>
      </c>
      <c r="B8" t="s">
        <v>240</v>
      </c>
      <c r="C8" t="s">
        <v>74</v>
      </c>
      <c r="D8" t="s">
        <v>74</v>
      </c>
      <c r="E8" t="s">
        <v>74</v>
      </c>
      <c r="F8" t="s">
        <v>241</v>
      </c>
      <c r="G8" t="s">
        <v>74</v>
      </c>
      <c r="H8" t="s">
        <v>74</v>
      </c>
      <c r="I8" t="s">
        <v>242</v>
      </c>
      <c r="J8" t="s">
        <v>243</v>
      </c>
      <c r="K8" t="s">
        <v>74</v>
      </c>
      <c r="L8" t="s">
        <v>74</v>
      </c>
      <c r="M8" t="s">
        <v>78</v>
      </c>
      <c r="N8" t="s">
        <v>79</v>
      </c>
      <c r="O8" t="s">
        <v>74</v>
      </c>
      <c r="P8" t="s">
        <v>74</v>
      </c>
      <c r="Q8" t="s">
        <v>74</v>
      </c>
      <c r="R8" t="s">
        <v>74</v>
      </c>
      <c r="S8" t="s">
        <v>74</v>
      </c>
      <c r="T8" t="s">
        <v>244</v>
      </c>
      <c r="U8" t="s">
        <v>245</v>
      </c>
      <c r="V8" t="s">
        <v>246</v>
      </c>
      <c r="W8" t="s">
        <v>247</v>
      </c>
      <c r="X8" t="s">
        <v>248</v>
      </c>
      <c r="Y8" t="s">
        <v>249</v>
      </c>
      <c r="Z8" t="s">
        <v>250</v>
      </c>
      <c r="AA8" t="s">
        <v>251</v>
      </c>
      <c r="AB8" t="s">
        <v>252</v>
      </c>
      <c r="AC8" t="s">
        <v>74</v>
      </c>
      <c r="AD8" t="s">
        <v>74</v>
      </c>
      <c r="AE8" t="s">
        <v>74</v>
      </c>
      <c r="AF8" t="s">
        <v>74</v>
      </c>
      <c r="AG8">
        <v>71</v>
      </c>
      <c r="AH8">
        <v>30</v>
      </c>
      <c r="AI8">
        <v>32</v>
      </c>
      <c r="AJ8">
        <v>1</v>
      </c>
      <c r="AK8">
        <v>30</v>
      </c>
      <c r="AL8" t="s">
        <v>253</v>
      </c>
      <c r="AM8" t="s">
        <v>227</v>
      </c>
      <c r="AN8" t="s">
        <v>254</v>
      </c>
      <c r="AO8" t="s">
        <v>255</v>
      </c>
      <c r="AP8" t="s">
        <v>256</v>
      </c>
      <c r="AQ8" t="s">
        <v>74</v>
      </c>
      <c r="AR8" t="s">
        <v>257</v>
      </c>
      <c r="AS8" t="s">
        <v>258</v>
      </c>
      <c r="AT8" t="s">
        <v>74</v>
      </c>
      <c r="AU8">
        <v>2016</v>
      </c>
      <c r="AV8">
        <v>11</v>
      </c>
      <c r="AW8">
        <v>2</v>
      </c>
      <c r="AX8" t="s">
        <v>74</v>
      </c>
      <c r="AY8" t="s">
        <v>74</v>
      </c>
      <c r="AZ8" t="s">
        <v>74</v>
      </c>
      <c r="BA8" t="s">
        <v>74</v>
      </c>
      <c r="BB8">
        <v>103</v>
      </c>
      <c r="BC8">
        <v>116</v>
      </c>
      <c r="BD8" t="s">
        <v>74</v>
      </c>
      <c r="BE8" t="s">
        <v>259</v>
      </c>
      <c r="BF8" t="str">
        <f>HYPERLINK("http://dx.doi.org/10.3109/17483107.2015.1079268","http://dx.doi.org/10.3109/17483107.2015.1079268")</f>
        <v>http://dx.doi.org/10.3109/17483107.2015.1079268</v>
      </c>
      <c r="BG8" t="s">
        <v>74</v>
      </c>
      <c r="BH8" t="s">
        <v>74</v>
      </c>
      <c r="BI8">
        <v>14</v>
      </c>
      <c r="BJ8" t="s">
        <v>101</v>
      </c>
      <c r="BK8" t="s">
        <v>155</v>
      </c>
      <c r="BL8" t="s">
        <v>101</v>
      </c>
      <c r="BM8" t="s">
        <v>260</v>
      </c>
      <c r="BN8">
        <v>26330097</v>
      </c>
      <c r="BO8" t="s">
        <v>74</v>
      </c>
      <c r="BP8" t="s">
        <v>74</v>
      </c>
      <c r="BQ8" t="s">
        <v>74</v>
      </c>
      <c r="BR8" t="s">
        <v>105</v>
      </c>
      <c r="BS8" t="s">
        <v>261</v>
      </c>
      <c r="BT8" t="str">
        <f>HYPERLINK("https%3A%2F%2Fwww.webofscience.com%2Fwos%2Fwoscc%2Ffull-record%2FWOS:000386454400002","View Full Record in Web of Science")</f>
        <v>View Full Record in Web of Science</v>
      </c>
    </row>
    <row r="9" spans="1:72" x14ac:dyDescent="0.25">
      <c r="A9" t="s">
        <v>72</v>
      </c>
      <c r="B9" t="s">
        <v>262</v>
      </c>
      <c r="C9" t="s">
        <v>74</v>
      </c>
      <c r="D9" t="s">
        <v>74</v>
      </c>
      <c r="E9" t="s">
        <v>74</v>
      </c>
      <c r="F9" t="s">
        <v>263</v>
      </c>
      <c r="G9" t="s">
        <v>74</v>
      </c>
      <c r="H9" t="s">
        <v>74</v>
      </c>
      <c r="I9" t="s">
        <v>264</v>
      </c>
      <c r="J9" t="s">
        <v>265</v>
      </c>
      <c r="K9" t="s">
        <v>74</v>
      </c>
      <c r="L9" t="s">
        <v>74</v>
      </c>
      <c r="M9" t="s">
        <v>78</v>
      </c>
      <c r="N9" t="s">
        <v>79</v>
      </c>
      <c r="O9" t="s">
        <v>74</v>
      </c>
      <c r="P9" t="s">
        <v>74</v>
      </c>
      <c r="Q9" t="s">
        <v>74</v>
      </c>
      <c r="R9" t="s">
        <v>74</v>
      </c>
      <c r="S9" t="s">
        <v>74</v>
      </c>
      <c r="T9" t="s">
        <v>266</v>
      </c>
      <c r="U9" t="s">
        <v>267</v>
      </c>
      <c r="V9" t="s">
        <v>268</v>
      </c>
      <c r="W9" t="s">
        <v>269</v>
      </c>
      <c r="X9" t="s">
        <v>270</v>
      </c>
      <c r="Y9" t="s">
        <v>271</v>
      </c>
      <c r="Z9" t="s">
        <v>272</v>
      </c>
      <c r="AA9" t="s">
        <v>74</v>
      </c>
      <c r="AB9" t="s">
        <v>273</v>
      </c>
      <c r="AC9" t="s">
        <v>74</v>
      </c>
      <c r="AD9" t="s">
        <v>74</v>
      </c>
      <c r="AE9" t="s">
        <v>74</v>
      </c>
      <c r="AF9" t="s">
        <v>74</v>
      </c>
      <c r="AG9">
        <v>221</v>
      </c>
      <c r="AH9">
        <v>35</v>
      </c>
      <c r="AI9">
        <v>35</v>
      </c>
      <c r="AJ9">
        <v>8</v>
      </c>
      <c r="AK9">
        <v>68</v>
      </c>
      <c r="AL9" t="s">
        <v>274</v>
      </c>
      <c r="AM9" t="s">
        <v>275</v>
      </c>
      <c r="AN9" t="s">
        <v>276</v>
      </c>
      <c r="AO9" t="s">
        <v>74</v>
      </c>
      <c r="AP9" t="s">
        <v>277</v>
      </c>
      <c r="AQ9" t="s">
        <v>74</v>
      </c>
      <c r="AR9" t="s">
        <v>278</v>
      </c>
      <c r="AS9" t="s">
        <v>279</v>
      </c>
      <c r="AT9" t="s">
        <v>280</v>
      </c>
      <c r="AU9">
        <v>2021</v>
      </c>
      <c r="AV9">
        <v>20</v>
      </c>
      <c r="AW9">
        <v>1</v>
      </c>
      <c r="AX9" t="s">
        <v>74</v>
      </c>
      <c r="AY9" t="s">
        <v>74</v>
      </c>
      <c r="AZ9" t="s">
        <v>74</v>
      </c>
      <c r="BA9" t="s">
        <v>74</v>
      </c>
      <c r="BB9" t="s">
        <v>74</v>
      </c>
      <c r="BC9" t="s">
        <v>74</v>
      </c>
      <c r="BD9">
        <v>89</v>
      </c>
      <c r="BE9" t="s">
        <v>281</v>
      </c>
      <c r="BF9" t="str">
        <f>HYPERLINK("http://dx.doi.org/10.1186/s12938-021-00920-5","http://dx.doi.org/10.1186/s12938-021-00920-5")</f>
        <v>http://dx.doi.org/10.1186/s12938-021-00920-5</v>
      </c>
      <c r="BG9" t="s">
        <v>74</v>
      </c>
      <c r="BH9" t="s">
        <v>74</v>
      </c>
      <c r="BI9">
        <v>33</v>
      </c>
      <c r="BJ9" t="s">
        <v>282</v>
      </c>
      <c r="BK9" t="s">
        <v>102</v>
      </c>
      <c r="BL9" t="s">
        <v>183</v>
      </c>
      <c r="BM9" t="s">
        <v>283</v>
      </c>
      <c r="BN9">
        <v>34488777</v>
      </c>
      <c r="BO9" t="s">
        <v>131</v>
      </c>
      <c r="BP9" t="s">
        <v>74</v>
      </c>
      <c r="BQ9" t="s">
        <v>74</v>
      </c>
      <c r="BR9" t="s">
        <v>105</v>
      </c>
      <c r="BS9" t="s">
        <v>284</v>
      </c>
      <c r="BT9" t="str">
        <f>HYPERLINK("https%3A%2F%2Fwww.webofscience.com%2Fwos%2Fwoscc%2Ffull-record%2FWOS:000693244000001","View Full Record in Web of Science")</f>
        <v>View Full Record in Web of Science</v>
      </c>
    </row>
    <row r="10" spans="1:72" x14ac:dyDescent="0.25">
      <c r="A10" t="s">
        <v>72</v>
      </c>
      <c r="B10" t="s">
        <v>285</v>
      </c>
      <c r="C10" t="s">
        <v>74</v>
      </c>
      <c r="D10" t="s">
        <v>74</v>
      </c>
      <c r="E10" t="s">
        <v>74</v>
      </c>
      <c r="F10" t="s">
        <v>286</v>
      </c>
      <c r="G10" t="s">
        <v>74</v>
      </c>
      <c r="H10" t="s">
        <v>74</v>
      </c>
      <c r="I10" t="s">
        <v>287</v>
      </c>
      <c r="J10" t="s">
        <v>288</v>
      </c>
      <c r="K10" t="s">
        <v>74</v>
      </c>
      <c r="L10" t="s">
        <v>74</v>
      </c>
      <c r="M10" t="s">
        <v>78</v>
      </c>
      <c r="N10" t="s">
        <v>79</v>
      </c>
      <c r="O10" t="s">
        <v>74</v>
      </c>
      <c r="P10" t="s">
        <v>74</v>
      </c>
      <c r="Q10" t="s">
        <v>74</v>
      </c>
      <c r="R10" t="s">
        <v>74</v>
      </c>
      <c r="S10" t="s">
        <v>74</v>
      </c>
      <c r="T10" t="s">
        <v>289</v>
      </c>
      <c r="U10" t="s">
        <v>290</v>
      </c>
      <c r="V10" t="s">
        <v>291</v>
      </c>
      <c r="W10" t="s">
        <v>292</v>
      </c>
      <c r="X10" t="s">
        <v>293</v>
      </c>
      <c r="Y10" t="s">
        <v>294</v>
      </c>
      <c r="Z10" t="s">
        <v>295</v>
      </c>
      <c r="AA10" t="s">
        <v>296</v>
      </c>
      <c r="AB10" t="s">
        <v>74</v>
      </c>
      <c r="AC10" t="s">
        <v>74</v>
      </c>
      <c r="AD10" t="s">
        <v>74</v>
      </c>
      <c r="AE10" t="s">
        <v>74</v>
      </c>
      <c r="AF10" t="s">
        <v>74</v>
      </c>
      <c r="AG10">
        <v>166</v>
      </c>
      <c r="AH10">
        <v>5</v>
      </c>
      <c r="AI10">
        <v>5</v>
      </c>
      <c r="AJ10">
        <v>9</v>
      </c>
      <c r="AK10">
        <v>9</v>
      </c>
      <c r="AL10" t="s">
        <v>297</v>
      </c>
      <c r="AM10" t="s">
        <v>298</v>
      </c>
      <c r="AN10" t="s">
        <v>299</v>
      </c>
      <c r="AO10" t="s">
        <v>300</v>
      </c>
      <c r="AP10" t="s">
        <v>301</v>
      </c>
      <c r="AQ10" t="s">
        <v>74</v>
      </c>
      <c r="AR10" t="s">
        <v>302</v>
      </c>
      <c r="AS10" t="s">
        <v>303</v>
      </c>
      <c r="AT10" t="s">
        <v>304</v>
      </c>
      <c r="AU10">
        <v>2024</v>
      </c>
      <c r="AV10">
        <v>2024</v>
      </c>
      <c r="AW10" t="s">
        <v>74</v>
      </c>
      <c r="AX10" t="s">
        <v>74</v>
      </c>
      <c r="AY10" t="s">
        <v>74</v>
      </c>
      <c r="AZ10" t="s">
        <v>74</v>
      </c>
      <c r="BA10" t="s">
        <v>74</v>
      </c>
      <c r="BB10" t="s">
        <v>74</v>
      </c>
      <c r="BC10" t="s">
        <v>74</v>
      </c>
      <c r="BD10">
        <v>9554590</v>
      </c>
      <c r="BE10" t="s">
        <v>305</v>
      </c>
      <c r="BF10" t="str">
        <f>HYPERLINK("http://dx.doi.org/10.1155/bmri/9554590","http://dx.doi.org/10.1155/bmri/9554590")</f>
        <v>http://dx.doi.org/10.1155/bmri/9554590</v>
      </c>
      <c r="BG10" t="s">
        <v>74</v>
      </c>
      <c r="BH10" t="s">
        <v>74</v>
      </c>
      <c r="BI10">
        <v>19</v>
      </c>
      <c r="BJ10" t="s">
        <v>306</v>
      </c>
      <c r="BK10" t="s">
        <v>155</v>
      </c>
      <c r="BL10" t="s">
        <v>307</v>
      </c>
      <c r="BM10" t="s">
        <v>308</v>
      </c>
      <c r="BN10">
        <v>39720127</v>
      </c>
      <c r="BO10" t="s">
        <v>309</v>
      </c>
      <c r="BP10" t="s">
        <v>74</v>
      </c>
      <c r="BQ10" t="s">
        <v>74</v>
      </c>
      <c r="BR10" t="s">
        <v>105</v>
      </c>
      <c r="BS10" t="s">
        <v>310</v>
      </c>
      <c r="BT10" t="str">
        <f>HYPERLINK("https%3A%2F%2Fwww.webofscience.com%2Fwos%2Fwoscc%2Ffull-record%2FWOS:001386043300001","View Full Record in Web of Science")</f>
        <v>View Full Record in Web of Science</v>
      </c>
    </row>
    <row r="11" spans="1:72" x14ac:dyDescent="0.25">
      <c r="A11" t="s">
        <v>72</v>
      </c>
      <c r="B11" t="s">
        <v>311</v>
      </c>
      <c r="C11" t="s">
        <v>74</v>
      </c>
      <c r="D11" t="s">
        <v>74</v>
      </c>
      <c r="E11" t="s">
        <v>74</v>
      </c>
      <c r="F11" t="s">
        <v>312</v>
      </c>
      <c r="G11" t="s">
        <v>74</v>
      </c>
      <c r="H11" t="s">
        <v>74</v>
      </c>
      <c r="I11" t="s">
        <v>313</v>
      </c>
      <c r="J11" t="s">
        <v>314</v>
      </c>
      <c r="K11" t="s">
        <v>74</v>
      </c>
      <c r="L11" t="s">
        <v>74</v>
      </c>
      <c r="M11" t="s">
        <v>78</v>
      </c>
      <c r="N11" t="s">
        <v>79</v>
      </c>
      <c r="O11" t="s">
        <v>74</v>
      </c>
      <c r="P11" t="s">
        <v>74</v>
      </c>
      <c r="Q11" t="s">
        <v>74</v>
      </c>
      <c r="R11" t="s">
        <v>74</v>
      </c>
      <c r="S11" t="s">
        <v>74</v>
      </c>
      <c r="T11" t="s">
        <v>315</v>
      </c>
      <c r="U11" t="s">
        <v>316</v>
      </c>
      <c r="V11" t="s">
        <v>317</v>
      </c>
      <c r="W11" t="s">
        <v>318</v>
      </c>
      <c r="X11" t="s">
        <v>74</v>
      </c>
      <c r="Y11" t="s">
        <v>319</v>
      </c>
      <c r="Z11" t="s">
        <v>320</v>
      </c>
      <c r="AA11" t="s">
        <v>74</v>
      </c>
      <c r="AB11" t="s">
        <v>321</v>
      </c>
      <c r="AC11" t="s">
        <v>322</v>
      </c>
      <c r="AD11" t="s">
        <v>322</v>
      </c>
      <c r="AE11" t="s">
        <v>171</v>
      </c>
      <c r="AF11" t="s">
        <v>74</v>
      </c>
      <c r="AG11">
        <v>119</v>
      </c>
      <c r="AH11">
        <v>2</v>
      </c>
      <c r="AI11">
        <v>2</v>
      </c>
      <c r="AJ11">
        <v>2</v>
      </c>
      <c r="AK11">
        <v>5</v>
      </c>
      <c r="AL11" t="s">
        <v>120</v>
      </c>
      <c r="AM11" t="s">
        <v>121</v>
      </c>
      <c r="AN11" t="s">
        <v>122</v>
      </c>
      <c r="AO11" t="s">
        <v>323</v>
      </c>
      <c r="AP11" t="s">
        <v>324</v>
      </c>
      <c r="AQ11" t="s">
        <v>74</v>
      </c>
      <c r="AR11" t="s">
        <v>314</v>
      </c>
      <c r="AS11" t="s">
        <v>325</v>
      </c>
      <c r="AT11" t="s">
        <v>326</v>
      </c>
      <c r="AU11">
        <v>2024</v>
      </c>
      <c r="AV11">
        <v>60</v>
      </c>
      <c r="AW11">
        <v>5</v>
      </c>
      <c r="AX11" t="s">
        <v>74</v>
      </c>
      <c r="AY11" t="s">
        <v>74</v>
      </c>
      <c r="AZ11" t="s">
        <v>74</v>
      </c>
      <c r="BA11" t="s">
        <v>74</v>
      </c>
      <c r="BB11" t="s">
        <v>74</v>
      </c>
      <c r="BC11" t="s">
        <v>74</v>
      </c>
      <c r="BD11">
        <v>711</v>
      </c>
      <c r="BE11" t="s">
        <v>327</v>
      </c>
      <c r="BF11" t="str">
        <f>HYPERLINK("http://dx.doi.org/10.3390/medicina60050711","http://dx.doi.org/10.3390/medicina60050711")</f>
        <v>http://dx.doi.org/10.3390/medicina60050711</v>
      </c>
      <c r="BG11" t="s">
        <v>74</v>
      </c>
      <c r="BH11" t="s">
        <v>74</v>
      </c>
      <c r="BI11">
        <v>17</v>
      </c>
      <c r="BJ11" t="s">
        <v>128</v>
      </c>
      <c r="BK11" t="s">
        <v>182</v>
      </c>
      <c r="BL11" t="s">
        <v>129</v>
      </c>
      <c r="BM11" t="s">
        <v>328</v>
      </c>
      <c r="BN11">
        <v>38792894</v>
      </c>
      <c r="BO11" t="s">
        <v>131</v>
      </c>
      <c r="BP11" t="s">
        <v>74</v>
      </c>
      <c r="BQ11" t="s">
        <v>74</v>
      </c>
      <c r="BR11" t="s">
        <v>105</v>
      </c>
      <c r="BS11" t="s">
        <v>329</v>
      </c>
      <c r="BT11" t="str">
        <f>HYPERLINK("https%3A%2F%2Fwww.webofscience.com%2Fwos%2Fwoscc%2Ffull-record%2FWOS:001233211200001","View Full Record in Web of Science")</f>
        <v>View Full Record in Web of Science</v>
      </c>
    </row>
    <row r="12" spans="1:72" x14ac:dyDescent="0.25">
      <c r="A12" t="s">
        <v>72</v>
      </c>
      <c r="B12" t="s">
        <v>330</v>
      </c>
      <c r="C12" t="s">
        <v>74</v>
      </c>
      <c r="D12" t="s">
        <v>74</v>
      </c>
      <c r="E12" t="s">
        <v>74</v>
      </c>
      <c r="F12" t="s">
        <v>331</v>
      </c>
      <c r="G12" t="s">
        <v>74</v>
      </c>
      <c r="H12" t="s">
        <v>74</v>
      </c>
      <c r="I12" t="s">
        <v>332</v>
      </c>
      <c r="J12" t="s">
        <v>333</v>
      </c>
      <c r="K12" t="s">
        <v>74</v>
      </c>
      <c r="L12" t="s">
        <v>74</v>
      </c>
      <c r="M12" t="s">
        <v>78</v>
      </c>
      <c r="N12" t="s">
        <v>79</v>
      </c>
      <c r="O12" t="s">
        <v>74</v>
      </c>
      <c r="P12" t="s">
        <v>74</v>
      </c>
      <c r="Q12" t="s">
        <v>74</v>
      </c>
      <c r="R12" t="s">
        <v>74</v>
      </c>
      <c r="S12" t="s">
        <v>74</v>
      </c>
      <c r="T12" t="s">
        <v>334</v>
      </c>
      <c r="U12" t="s">
        <v>335</v>
      </c>
      <c r="V12" t="s">
        <v>336</v>
      </c>
      <c r="W12" t="s">
        <v>337</v>
      </c>
      <c r="X12" t="s">
        <v>338</v>
      </c>
      <c r="Y12" t="s">
        <v>339</v>
      </c>
      <c r="Z12" t="s">
        <v>340</v>
      </c>
      <c r="AA12" t="s">
        <v>341</v>
      </c>
      <c r="AB12" t="s">
        <v>342</v>
      </c>
      <c r="AC12" t="s">
        <v>343</v>
      </c>
      <c r="AD12" t="s">
        <v>344</v>
      </c>
      <c r="AE12" t="s">
        <v>345</v>
      </c>
      <c r="AF12" t="s">
        <v>74</v>
      </c>
      <c r="AG12">
        <v>76</v>
      </c>
      <c r="AH12">
        <v>21</v>
      </c>
      <c r="AI12">
        <v>24</v>
      </c>
      <c r="AJ12">
        <v>3</v>
      </c>
      <c r="AK12">
        <v>34</v>
      </c>
      <c r="AL12" t="s">
        <v>346</v>
      </c>
      <c r="AM12" t="s">
        <v>227</v>
      </c>
      <c r="AN12" t="s">
        <v>347</v>
      </c>
      <c r="AO12" t="s">
        <v>348</v>
      </c>
      <c r="AP12" t="s">
        <v>349</v>
      </c>
      <c r="AQ12" t="s">
        <v>74</v>
      </c>
      <c r="AR12" t="s">
        <v>333</v>
      </c>
      <c r="AS12" t="s">
        <v>350</v>
      </c>
      <c r="AT12" t="s">
        <v>351</v>
      </c>
      <c r="AU12">
        <v>2019</v>
      </c>
      <c r="AV12">
        <v>98</v>
      </c>
      <c r="AW12">
        <v>8</v>
      </c>
      <c r="AX12" t="s">
        <v>74</v>
      </c>
      <c r="AY12" t="s">
        <v>74</v>
      </c>
      <c r="AZ12" t="s">
        <v>74</v>
      </c>
      <c r="BA12" t="s">
        <v>74</v>
      </c>
      <c r="BB12" t="s">
        <v>74</v>
      </c>
      <c r="BC12" t="s">
        <v>74</v>
      </c>
      <c r="BD12" t="s">
        <v>352</v>
      </c>
      <c r="BE12" t="s">
        <v>353</v>
      </c>
      <c r="BF12" t="str">
        <f>HYPERLINK("http://dx.doi.org/10.1097/MD.0000000000014501","http://dx.doi.org/10.1097/MD.0000000000014501")</f>
        <v>http://dx.doi.org/10.1097/MD.0000000000014501</v>
      </c>
      <c r="BG12" t="s">
        <v>74</v>
      </c>
      <c r="BH12" t="s">
        <v>74</v>
      </c>
      <c r="BI12">
        <v>10</v>
      </c>
      <c r="BJ12" t="s">
        <v>128</v>
      </c>
      <c r="BK12" t="s">
        <v>102</v>
      </c>
      <c r="BL12" t="s">
        <v>129</v>
      </c>
      <c r="BM12" t="s">
        <v>354</v>
      </c>
      <c r="BN12">
        <v>30813152</v>
      </c>
      <c r="BO12" t="s">
        <v>355</v>
      </c>
      <c r="BP12" t="s">
        <v>74</v>
      </c>
      <c r="BQ12" t="s">
        <v>74</v>
      </c>
      <c r="BR12" t="s">
        <v>105</v>
      </c>
      <c r="BS12" t="s">
        <v>356</v>
      </c>
      <c r="BT12" t="str">
        <f>HYPERLINK("https%3A%2F%2Fwww.webofscience.com%2Fwos%2Fwoscc%2Ffull-record%2FWOS:000462331100032","View Full Record in Web of Science")</f>
        <v>View Full Record in Web of Science</v>
      </c>
    </row>
    <row r="13" spans="1:72" x14ac:dyDescent="0.25">
      <c r="A13" t="s">
        <v>72</v>
      </c>
      <c r="B13" t="s">
        <v>357</v>
      </c>
      <c r="C13" t="s">
        <v>74</v>
      </c>
      <c r="D13" t="s">
        <v>74</v>
      </c>
      <c r="E13" t="s">
        <v>74</v>
      </c>
      <c r="F13" t="s">
        <v>358</v>
      </c>
      <c r="G13" t="s">
        <v>74</v>
      </c>
      <c r="H13" t="s">
        <v>74</v>
      </c>
      <c r="I13" t="s">
        <v>359</v>
      </c>
      <c r="J13" t="s">
        <v>360</v>
      </c>
      <c r="K13" t="s">
        <v>74</v>
      </c>
      <c r="L13" t="s">
        <v>74</v>
      </c>
      <c r="M13" t="s">
        <v>78</v>
      </c>
      <c r="N13" t="s">
        <v>79</v>
      </c>
      <c r="O13" t="s">
        <v>74</v>
      </c>
      <c r="P13" t="s">
        <v>74</v>
      </c>
      <c r="Q13" t="s">
        <v>74</v>
      </c>
      <c r="R13" t="s">
        <v>74</v>
      </c>
      <c r="S13" t="s">
        <v>74</v>
      </c>
      <c r="T13" t="s">
        <v>74</v>
      </c>
      <c r="U13" t="s">
        <v>361</v>
      </c>
      <c r="V13" t="s">
        <v>362</v>
      </c>
      <c r="W13" t="s">
        <v>363</v>
      </c>
      <c r="X13" t="s">
        <v>364</v>
      </c>
      <c r="Y13" t="s">
        <v>365</v>
      </c>
      <c r="Z13" t="s">
        <v>366</v>
      </c>
      <c r="AA13" t="s">
        <v>74</v>
      </c>
      <c r="AB13" t="s">
        <v>74</v>
      </c>
      <c r="AC13" t="s">
        <v>74</v>
      </c>
      <c r="AD13" t="s">
        <v>74</v>
      </c>
      <c r="AE13" t="s">
        <v>74</v>
      </c>
      <c r="AF13" t="s">
        <v>74</v>
      </c>
      <c r="AG13">
        <v>67</v>
      </c>
      <c r="AH13">
        <v>48</v>
      </c>
      <c r="AI13">
        <v>52</v>
      </c>
      <c r="AJ13">
        <v>0</v>
      </c>
      <c r="AK13">
        <v>1</v>
      </c>
      <c r="AL13" t="s">
        <v>367</v>
      </c>
      <c r="AM13" t="s">
        <v>275</v>
      </c>
      <c r="AN13" t="s">
        <v>368</v>
      </c>
      <c r="AO13" t="s">
        <v>369</v>
      </c>
      <c r="AP13" t="s">
        <v>370</v>
      </c>
      <c r="AQ13" t="s">
        <v>74</v>
      </c>
      <c r="AR13" t="s">
        <v>371</v>
      </c>
      <c r="AS13" t="s">
        <v>372</v>
      </c>
      <c r="AT13" t="s">
        <v>74</v>
      </c>
      <c r="AU13">
        <v>2011</v>
      </c>
      <c r="AV13">
        <v>2011</v>
      </c>
      <c r="AW13" t="s">
        <v>74</v>
      </c>
      <c r="AX13" t="s">
        <v>74</v>
      </c>
      <c r="AY13" t="s">
        <v>74</v>
      </c>
      <c r="AZ13" t="s">
        <v>74</v>
      </c>
      <c r="BA13" t="s">
        <v>74</v>
      </c>
      <c r="BB13" t="s">
        <v>74</v>
      </c>
      <c r="BC13" t="s">
        <v>74</v>
      </c>
      <c r="BD13">
        <v>515938</v>
      </c>
      <c r="BE13" t="s">
        <v>373</v>
      </c>
      <c r="BF13" t="str">
        <f>HYPERLINK("http://dx.doi.org/10.1155/2011/515938","http://dx.doi.org/10.1155/2011/515938")</f>
        <v>http://dx.doi.org/10.1155/2011/515938</v>
      </c>
      <c r="BG13" t="s">
        <v>74</v>
      </c>
      <c r="BH13" t="s">
        <v>74</v>
      </c>
      <c r="BI13">
        <v>7</v>
      </c>
      <c r="BJ13" t="s">
        <v>374</v>
      </c>
      <c r="BK13" t="s">
        <v>155</v>
      </c>
      <c r="BL13" t="s">
        <v>375</v>
      </c>
      <c r="BM13" t="s">
        <v>376</v>
      </c>
      <c r="BN13">
        <v>21766024</v>
      </c>
      <c r="BO13" t="s">
        <v>377</v>
      </c>
      <c r="BP13" t="s">
        <v>74</v>
      </c>
      <c r="BQ13" t="s">
        <v>74</v>
      </c>
      <c r="BR13" t="s">
        <v>105</v>
      </c>
      <c r="BS13" t="s">
        <v>378</v>
      </c>
      <c r="BT13" t="str">
        <f>HYPERLINK("https%3A%2F%2Fwww.webofscience.com%2Fwos%2Fwoscc%2Ffull-record%2FWOS:000215746900014","View Full Record in Web of Science")</f>
        <v>View Full Record in Web of Science</v>
      </c>
    </row>
    <row r="14" spans="1:72" x14ac:dyDescent="0.25">
      <c r="A14" t="s">
        <v>72</v>
      </c>
      <c r="B14" t="s">
        <v>379</v>
      </c>
      <c r="C14" t="s">
        <v>74</v>
      </c>
      <c r="D14" t="s">
        <v>74</v>
      </c>
      <c r="E14" t="s">
        <v>74</v>
      </c>
      <c r="F14" t="s">
        <v>380</v>
      </c>
      <c r="G14" t="s">
        <v>74</v>
      </c>
      <c r="H14" t="s">
        <v>74</v>
      </c>
      <c r="I14" t="s">
        <v>381</v>
      </c>
      <c r="J14" t="s">
        <v>382</v>
      </c>
      <c r="K14" t="s">
        <v>74</v>
      </c>
      <c r="L14" t="s">
        <v>74</v>
      </c>
      <c r="M14" t="s">
        <v>78</v>
      </c>
      <c r="N14" t="s">
        <v>79</v>
      </c>
      <c r="O14" t="s">
        <v>74</v>
      </c>
      <c r="P14" t="s">
        <v>74</v>
      </c>
      <c r="Q14" t="s">
        <v>74</v>
      </c>
      <c r="R14" t="s">
        <v>74</v>
      </c>
      <c r="S14" t="s">
        <v>74</v>
      </c>
      <c r="T14" t="s">
        <v>383</v>
      </c>
      <c r="U14" t="s">
        <v>384</v>
      </c>
      <c r="V14" t="s">
        <v>385</v>
      </c>
      <c r="W14" t="s">
        <v>386</v>
      </c>
      <c r="X14" t="s">
        <v>387</v>
      </c>
      <c r="Y14" t="s">
        <v>388</v>
      </c>
      <c r="Z14" t="s">
        <v>389</v>
      </c>
      <c r="AA14" t="s">
        <v>390</v>
      </c>
      <c r="AB14" t="s">
        <v>391</v>
      </c>
      <c r="AC14" t="s">
        <v>74</v>
      </c>
      <c r="AD14" t="s">
        <v>74</v>
      </c>
      <c r="AE14" t="s">
        <v>74</v>
      </c>
      <c r="AF14" t="s">
        <v>74</v>
      </c>
      <c r="AG14">
        <v>45</v>
      </c>
      <c r="AH14">
        <v>0</v>
      </c>
      <c r="AI14">
        <v>0</v>
      </c>
      <c r="AJ14">
        <v>0</v>
      </c>
      <c r="AK14">
        <v>5</v>
      </c>
      <c r="AL14" t="s">
        <v>392</v>
      </c>
      <c r="AM14" t="s">
        <v>393</v>
      </c>
      <c r="AN14" t="s">
        <v>394</v>
      </c>
      <c r="AO14" t="s">
        <v>395</v>
      </c>
      <c r="AP14" t="s">
        <v>74</v>
      </c>
      <c r="AQ14" t="s">
        <v>74</v>
      </c>
      <c r="AR14" t="s">
        <v>396</v>
      </c>
      <c r="AS14" t="s">
        <v>397</v>
      </c>
      <c r="AT14" t="s">
        <v>398</v>
      </c>
      <c r="AU14">
        <v>2023</v>
      </c>
      <c r="AV14">
        <v>14</v>
      </c>
      <c r="AW14" t="s">
        <v>74</v>
      </c>
      <c r="AX14" t="s">
        <v>74</v>
      </c>
      <c r="AY14" t="s">
        <v>74</v>
      </c>
      <c r="AZ14" t="s">
        <v>74</v>
      </c>
      <c r="BA14" t="s">
        <v>74</v>
      </c>
      <c r="BB14" t="s">
        <v>74</v>
      </c>
      <c r="BC14" t="s">
        <v>74</v>
      </c>
      <c r="BD14">
        <v>1292527</v>
      </c>
      <c r="BE14" t="s">
        <v>399</v>
      </c>
      <c r="BF14" t="str">
        <f>HYPERLINK("http://dx.doi.org/10.3389/fneur.2023.1292527","http://dx.doi.org/10.3389/fneur.2023.1292527")</f>
        <v>http://dx.doi.org/10.3389/fneur.2023.1292527</v>
      </c>
      <c r="BG14" t="s">
        <v>74</v>
      </c>
      <c r="BH14" t="s">
        <v>74</v>
      </c>
      <c r="BI14">
        <v>10</v>
      </c>
      <c r="BJ14" t="s">
        <v>400</v>
      </c>
      <c r="BK14" t="s">
        <v>182</v>
      </c>
      <c r="BL14" t="s">
        <v>375</v>
      </c>
      <c r="BM14" t="s">
        <v>401</v>
      </c>
      <c r="BN14">
        <v>38093754</v>
      </c>
      <c r="BO14" t="s">
        <v>185</v>
      </c>
      <c r="BP14" t="s">
        <v>74</v>
      </c>
      <c r="BQ14" t="s">
        <v>74</v>
      </c>
      <c r="BR14" t="s">
        <v>105</v>
      </c>
      <c r="BS14" t="s">
        <v>402</v>
      </c>
      <c r="BT14" t="str">
        <f>HYPERLINK("https%3A%2F%2Fwww.webofscience.com%2Fwos%2Fwoscc%2Ffull-record%2FWOS:001126413200001","View Full Record in Web of Science")</f>
        <v>View Full Record in Web of Science</v>
      </c>
    </row>
    <row r="15" spans="1:72" x14ac:dyDescent="0.25">
      <c r="A15" t="s">
        <v>72</v>
      </c>
      <c r="B15" t="s">
        <v>403</v>
      </c>
      <c r="C15" t="s">
        <v>74</v>
      </c>
      <c r="D15" t="s">
        <v>74</v>
      </c>
      <c r="E15" t="s">
        <v>74</v>
      </c>
      <c r="F15" t="s">
        <v>404</v>
      </c>
      <c r="G15" t="s">
        <v>74</v>
      </c>
      <c r="H15" t="s">
        <v>74</v>
      </c>
      <c r="I15" t="s">
        <v>405</v>
      </c>
      <c r="J15" t="s">
        <v>406</v>
      </c>
      <c r="K15" t="s">
        <v>74</v>
      </c>
      <c r="L15" t="s">
        <v>74</v>
      </c>
      <c r="M15" t="s">
        <v>78</v>
      </c>
      <c r="N15" t="s">
        <v>79</v>
      </c>
      <c r="O15" t="s">
        <v>74</v>
      </c>
      <c r="P15" t="s">
        <v>74</v>
      </c>
      <c r="Q15" t="s">
        <v>74</v>
      </c>
      <c r="R15" t="s">
        <v>74</v>
      </c>
      <c r="S15" t="s">
        <v>74</v>
      </c>
      <c r="T15" t="s">
        <v>407</v>
      </c>
      <c r="U15" t="s">
        <v>408</v>
      </c>
      <c r="V15" t="s">
        <v>409</v>
      </c>
      <c r="W15" t="s">
        <v>410</v>
      </c>
      <c r="X15" t="s">
        <v>411</v>
      </c>
      <c r="Y15" t="s">
        <v>412</v>
      </c>
      <c r="Z15" t="s">
        <v>413</v>
      </c>
      <c r="AA15" t="s">
        <v>414</v>
      </c>
      <c r="AB15" t="s">
        <v>74</v>
      </c>
      <c r="AC15" t="s">
        <v>415</v>
      </c>
      <c r="AD15" t="s">
        <v>415</v>
      </c>
      <c r="AE15" t="s">
        <v>416</v>
      </c>
      <c r="AF15" t="s">
        <v>74</v>
      </c>
      <c r="AG15">
        <v>75</v>
      </c>
      <c r="AH15">
        <v>14</v>
      </c>
      <c r="AI15">
        <v>14</v>
      </c>
      <c r="AJ15">
        <v>12</v>
      </c>
      <c r="AK15">
        <v>30</v>
      </c>
      <c r="AL15" t="s">
        <v>120</v>
      </c>
      <c r="AM15" t="s">
        <v>121</v>
      </c>
      <c r="AN15" t="s">
        <v>122</v>
      </c>
      <c r="AO15" t="s">
        <v>74</v>
      </c>
      <c r="AP15" t="s">
        <v>417</v>
      </c>
      <c r="AQ15" t="s">
        <v>74</v>
      </c>
      <c r="AR15" t="s">
        <v>418</v>
      </c>
      <c r="AS15" t="s">
        <v>419</v>
      </c>
      <c r="AT15" t="s">
        <v>420</v>
      </c>
      <c r="AU15">
        <v>2024</v>
      </c>
      <c r="AV15">
        <v>12</v>
      </c>
      <c r="AW15">
        <v>17</v>
      </c>
      <c r="AX15" t="s">
        <v>74</v>
      </c>
      <c r="AY15" t="s">
        <v>74</v>
      </c>
      <c r="AZ15" t="s">
        <v>74</v>
      </c>
      <c r="BA15" t="s">
        <v>74</v>
      </c>
      <c r="BB15" t="s">
        <v>74</v>
      </c>
      <c r="BC15" t="s">
        <v>74</v>
      </c>
      <c r="BD15">
        <v>1720</v>
      </c>
      <c r="BE15" t="s">
        <v>421</v>
      </c>
      <c r="BF15" t="str">
        <f>HYPERLINK("http://dx.doi.org/10.3390/healthcare12171720","http://dx.doi.org/10.3390/healthcare12171720")</f>
        <v>http://dx.doi.org/10.3390/healthcare12171720</v>
      </c>
      <c r="BG15" t="s">
        <v>74</v>
      </c>
      <c r="BH15" t="s">
        <v>74</v>
      </c>
      <c r="BI15">
        <v>17</v>
      </c>
      <c r="BJ15" t="s">
        <v>422</v>
      </c>
      <c r="BK15" t="s">
        <v>102</v>
      </c>
      <c r="BL15" t="s">
        <v>423</v>
      </c>
      <c r="BM15" t="s">
        <v>424</v>
      </c>
      <c r="BN15">
        <v>39273744</v>
      </c>
      <c r="BO15" t="s">
        <v>131</v>
      </c>
      <c r="BP15" t="s">
        <v>74</v>
      </c>
      <c r="BQ15" t="s">
        <v>74</v>
      </c>
      <c r="BR15" t="s">
        <v>105</v>
      </c>
      <c r="BS15" t="s">
        <v>425</v>
      </c>
      <c r="BT15" t="str">
        <f>HYPERLINK("https%3A%2F%2Fwww.webofscience.com%2Fwos%2Fwoscc%2Ffull-record%2FWOS:001311024700001","View Full Record in Web of Science")</f>
        <v>View Full Record in Web of Science</v>
      </c>
    </row>
    <row r="16" spans="1:72" x14ac:dyDescent="0.25">
      <c r="A16" t="s">
        <v>72</v>
      </c>
      <c r="B16" t="s">
        <v>426</v>
      </c>
      <c r="C16" t="s">
        <v>74</v>
      </c>
      <c r="D16" t="s">
        <v>74</v>
      </c>
      <c r="E16" t="s">
        <v>74</v>
      </c>
      <c r="F16" t="s">
        <v>427</v>
      </c>
      <c r="G16" t="s">
        <v>74</v>
      </c>
      <c r="H16" t="s">
        <v>74</v>
      </c>
      <c r="I16" t="s">
        <v>428</v>
      </c>
      <c r="J16" t="s">
        <v>429</v>
      </c>
      <c r="K16" t="s">
        <v>74</v>
      </c>
      <c r="L16" t="s">
        <v>74</v>
      </c>
      <c r="M16" t="s">
        <v>78</v>
      </c>
      <c r="N16" t="s">
        <v>79</v>
      </c>
      <c r="O16" t="s">
        <v>74</v>
      </c>
      <c r="P16" t="s">
        <v>74</v>
      </c>
      <c r="Q16" t="s">
        <v>74</v>
      </c>
      <c r="R16" t="s">
        <v>74</v>
      </c>
      <c r="S16" t="s">
        <v>74</v>
      </c>
      <c r="T16" t="s">
        <v>430</v>
      </c>
      <c r="U16" t="s">
        <v>431</v>
      </c>
      <c r="V16" t="s">
        <v>432</v>
      </c>
      <c r="W16" t="s">
        <v>433</v>
      </c>
      <c r="X16" t="s">
        <v>434</v>
      </c>
      <c r="Y16" t="s">
        <v>435</v>
      </c>
      <c r="Z16" t="s">
        <v>436</v>
      </c>
      <c r="AA16" t="s">
        <v>437</v>
      </c>
      <c r="AB16" t="s">
        <v>74</v>
      </c>
      <c r="AC16" t="s">
        <v>74</v>
      </c>
      <c r="AD16" t="s">
        <v>74</v>
      </c>
      <c r="AE16" t="s">
        <v>74</v>
      </c>
      <c r="AF16" t="s">
        <v>74</v>
      </c>
      <c r="AG16">
        <v>63</v>
      </c>
      <c r="AH16">
        <v>8</v>
      </c>
      <c r="AI16">
        <v>10</v>
      </c>
      <c r="AJ16">
        <v>1</v>
      </c>
      <c r="AK16">
        <v>7</v>
      </c>
      <c r="AL16" t="s">
        <v>274</v>
      </c>
      <c r="AM16" t="s">
        <v>275</v>
      </c>
      <c r="AN16" t="s">
        <v>276</v>
      </c>
      <c r="AO16" t="s">
        <v>438</v>
      </c>
      <c r="AP16" t="s">
        <v>74</v>
      </c>
      <c r="AQ16" t="s">
        <v>74</v>
      </c>
      <c r="AR16" t="s">
        <v>439</v>
      </c>
      <c r="AS16" t="s">
        <v>440</v>
      </c>
      <c r="AT16" t="s">
        <v>441</v>
      </c>
      <c r="AU16">
        <v>2023</v>
      </c>
      <c r="AV16">
        <v>18</v>
      </c>
      <c r="AW16">
        <v>1</v>
      </c>
      <c r="AX16" t="s">
        <v>74</v>
      </c>
      <c r="AY16" t="s">
        <v>74</v>
      </c>
      <c r="AZ16" t="s">
        <v>74</v>
      </c>
      <c r="BA16" t="s">
        <v>74</v>
      </c>
      <c r="BB16" t="s">
        <v>74</v>
      </c>
      <c r="BC16" t="s">
        <v>74</v>
      </c>
      <c r="BD16">
        <v>60</v>
      </c>
      <c r="BE16" t="s">
        <v>442</v>
      </c>
      <c r="BF16" t="str">
        <f>HYPERLINK("http://dx.doi.org/10.1186/s13018-022-03459-w","http://dx.doi.org/10.1186/s13018-022-03459-w")</f>
        <v>http://dx.doi.org/10.1186/s13018-022-03459-w</v>
      </c>
      <c r="BG16" t="s">
        <v>74</v>
      </c>
      <c r="BH16" t="s">
        <v>74</v>
      </c>
      <c r="BI16">
        <v>13</v>
      </c>
      <c r="BJ16" t="s">
        <v>443</v>
      </c>
      <c r="BK16" t="s">
        <v>182</v>
      </c>
      <c r="BL16" t="s">
        <v>443</v>
      </c>
      <c r="BM16" t="s">
        <v>444</v>
      </c>
      <c r="BN16">
        <v>36683024</v>
      </c>
      <c r="BO16" t="s">
        <v>355</v>
      </c>
      <c r="BP16" t="s">
        <v>74</v>
      </c>
      <c r="BQ16" t="s">
        <v>74</v>
      </c>
      <c r="BR16" t="s">
        <v>105</v>
      </c>
      <c r="BS16" t="s">
        <v>445</v>
      </c>
      <c r="BT16" t="str">
        <f>HYPERLINK("https%3A%2F%2Fwww.webofscience.com%2Fwos%2Fwoscc%2Ffull-record%2FWOS:000921289400002","View Full Record in Web of Science")</f>
        <v>View Full Record in Web of Science</v>
      </c>
    </row>
    <row r="17" spans="1:72" x14ac:dyDescent="0.25">
      <c r="A17" t="s">
        <v>72</v>
      </c>
      <c r="B17" t="s">
        <v>446</v>
      </c>
      <c r="C17" t="s">
        <v>74</v>
      </c>
      <c r="D17" t="s">
        <v>74</v>
      </c>
      <c r="E17" t="s">
        <v>74</v>
      </c>
      <c r="F17" t="s">
        <v>447</v>
      </c>
      <c r="G17" t="s">
        <v>74</v>
      </c>
      <c r="H17" t="s">
        <v>74</v>
      </c>
      <c r="I17" t="s">
        <v>448</v>
      </c>
      <c r="J17" t="s">
        <v>243</v>
      </c>
      <c r="K17" t="s">
        <v>74</v>
      </c>
      <c r="L17" t="s">
        <v>74</v>
      </c>
      <c r="M17" t="s">
        <v>78</v>
      </c>
      <c r="N17" t="s">
        <v>449</v>
      </c>
      <c r="O17" t="s">
        <v>74</v>
      </c>
      <c r="P17" t="s">
        <v>74</v>
      </c>
      <c r="Q17" t="s">
        <v>74</v>
      </c>
      <c r="R17" t="s">
        <v>74</v>
      </c>
      <c r="S17" t="s">
        <v>74</v>
      </c>
      <c r="T17" t="s">
        <v>450</v>
      </c>
      <c r="U17" t="s">
        <v>451</v>
      </c>
      <c r="V17" t="s">
        <v>452</v>
      </c>
      <c r="W17" t="s">
        <v>453</v>
      </c>
      <c r="X17" t="s">
        <v>454</v>
      </c>
      <c r="Y17" t="s">
        <v>455</v>
      </c>
      <c r="Z17" t="s">
        <v>456</v>
      </c>
      <c r="AA17" t="s">
        <v>457</v>
      </c>
      <c r="AB17" t="s">
        <v>458</v>
      </c>
      <c r="AC17" t="s">
        <v>74</v>
      </c>
      <c r="AD17" t="s">
        <v>74</v>
      </c>
      <c r="AE17" t="s">
        <v>74</v>
      </c>
      <c r="AF17" t="s">
        <v>74</v>
      </c>
      <c r="AG17">
        <v>77</v>
      </c>
      <c r="AH17">
        <v>0</v>
      </c>
      <c r="AI17">
        <v>0</v>
      </c>
      <c r="AJ17">
        <v>0</v>
      </c>
      <c r="AK17">
        <v>5</v>
      </c>
      <c r="AL17" t="s">
        <v>253</v>
      </c>
      <c r="AM17" t="s">
        <v>227</v>
      </c>
      <c r="AN17" t="s">
        <v>254</v>
      </c>
      <c r="AO17" t="s">
        <v>255</v>
      </c>
      <c r="AP17" t="s">
        <v>256</v>
      </c>
      <c r="AQ17" t="s">
        <v>74</v>
      </c>
      <c r="AR17" t="s">
        <v>257</v>
      </c>
      <c r="AS17" t="s">
        <v>258</v>
      </c>
      <c r="AT17" t="s">
        <v>459</v>
      </c>
      <c r="AU17">
        <v>2023</v>
      </c>
      <c r="AV17" t="s">
        <v>74</v>
      </c>
      <c r="AW17" t="s">
        <v>74</v>
      </c>
      <c r="AX17" t="s">
        <v>74</v>
      </c>
      <c r="AY17" t="s">
        <v>74</v>
      </c>
      <c r="AZ17" t="s">
        <v>74</v>
      </c>
      <c r="BA17" t="s">
        <v>74</v>
      </c>
      <c r="BB17" t="s">
        <v>74</v>
      </c>
      <c r="BC17" t="s">
        <v>74</v>
      </c>
      <c r="BD17" t="s">
        <v>74</v>
      </c>
      <c r="BE17" t="s">
        <v>460</v>
      </c>
      <c r="BF17" t="str">
        <f>HYPERLINK("http://dx.doi.org/10.1080/17483107.2023.2298825","http://dx.doi.org/10.1080/17483107.2023.2298825")</f>
        <v>http://dx.doi.org/10.1080/17483107.2023.2298825</v>
      </c>
      <c r="BG17" t="s">
        <v>74</v>
      </c>
      <c r="BH17" t="s">
        <v>461</v>
      </c>
      <c r="BI17">
        <v>11</v>
      </c>
      <c r="BJ17" t="s">
        <v>101</v>
      </c>
      <c r="BK17" t="s">
        <v>462</v>
      </c>
      <c r="BL17" t="s">
        <v>101</v>
      </c>
      <c r="BM17" t="s">
        <v>463</v>
      </c>
      <c r="BN17">
        <v>38166593</v>
      </c>
      <c r="BO17" t="s">
        <v>74</v>
      </c>
      <c r="BP17" t="s">
        <v>74</v>
      </c>
      <c r="BQ17" t="s">
        <v>74</v>
      </c>
      <c r="BR17" t="s">
        <v>105</v>
      </c>
      <c r="BS17" t="s">
        <v>464</v>
      </c>
      <c r="BT17" t="str">
        <f>HYPERLINK("https%3A%2F%2Fwww.webofscience.com%2Fwos%2Fwoscc%2Ffull-record%2FWOS:001136402300001","View Full Record in Web of Science")</f>
        <v>View Full Record in Web of Science</v>
      </c>
    </row>
    <row r="18" spans="1:72" x14ac:dyDescent="0.25">
      <c r="A18" t="s">
        <v>72</v>
      </c>
      <c r="B18" t="s">
        <v>465</v>
      </c>
      <c r="C18" t="s">
        <v>74</v>
      </c>
      <c r="D18" t="s">
        <v>74</v>
      </c>
      <c r="E18" t="s">
        <v>74</v>
      </c>
      <c r="F18" t="s">
        <v>466</v>
      </c>
      <c r="G18" t="s">
        <v>74</v>
      </c>
      <c r="H18" t="s">
        <v>74</v>
      </c>
      <c r="I18" t="s">
        <v>467</v>
      </c>
      <c r="J18" t="s">
        <v>468</v>
      </c>
      <c r="K18" t="s">
        <v>74</v>
      </c>
      <c r="L18" t="s">
        <v>74</v>
      </c>
      <c r="M18" t="s">
        <v>78</v>
      </c>
      <c r="N18" t="s">
        <v>79</v>
      </c>
      <c r="O18" t="s">
        <v>74</v>
      </c>
      <c r="P18" t="s">
        <v>74</v>
      </c>
      <c r="Q18" t="s">
        <v>74</v>
      </c>
      <c r="R18" t="s">
        <v>74</v>
      </c>
      <c r="S18" t="s">
        <v>74</v>
      </c>
      <c r="T18" t="s">
        <v>469</v>
      </c>
      <c r="U18" t="s">
        <v>470</v>
      </c>
      <c r="V18" t="s">
        <v>471</v>
      </c>
      <c r="W18" t="s">
        <v>472</v>
      </c>
      <c r="X18" t="s">
        <v>473</v>
      </c>
      <c r="Y18" t="s">
        <v>474</v>
      </c>
      <c r="Z18" t="s">
        <v>475</v>
      </c>
      <c r="AA18" t="s">
        <v>476</v>
      </c>
      <c r="AB18" t="s">
        <v>477</v>
      </c>
      <c r="AC18" t="s">
        <v>478</v>
      </c>
      <c r="AD18" t="s">
        <v>478</v>
      </c>
      <c r="AE18" t="s">
        <v>479</v>
      </c>
      <c r="AF18" t="s">
        <v>74</v>
      </c>
      <c r="AG18">
        <v>59</v>
      </c>
      <c r="AH18">
        <v>17</v>
      </c>
      <c r="AI18">
        <v>17</v>
      </c>
      <c r="AJ18">
        <v>0</v>
      </c>
      <c r="AK18">
        <v>78</v>
      </c>
      <c r="AL18" t="s">
        <v>480</v>
      </c>
      <c r="AM18" t="s">
        <v>481</v>
      </c>
      <c r="AN18" t="s">
        <v>482</v>
      </c>
      <c r="AO18" t="s">
        <v>483</v>
      </c>
      <c r="AP18" t="s">
        <v>484</v>
      </c>
      <c r="AQ18" t="s">
        <v>74</v>
      </c>
      <c r="AR18" t="s">
        <v>485</v>
      </c>
      <c r="AS18" t="s">
        <v>486</v>
      </c>
      <c r="AT18" t="s">
        <v>487</v>
      </c>
      <c r="AU18">
        <v>2016</v>
      </c>
      <c r="AV18">
        <v>48</v>
      </c>
      <c r="AW18">
        <v>4</v>
      </c>
      <c r="AX18" t="s">
        <v>74</v>
      </c>
      <c r="AY18" t="s">
        <v>74</v>
      </c>
      <c r="AZ18" t="s">
        <v>74</v>
      </c>
      <c r="BA18" t="s">
        <v>74</v>
      </c>
      <c r="BB18">
        <v>333</v>
      </c>
      <c r="BC18">
        <v>338</v>
      </c>
      <c r="BD18" t="s">
        <v>74</v>
      </c>
      <c r="BE18" t="s">
        <v>488</v>
      </c>
      <c r="BF18" t="str">
        <f>HYPERLINK("http://dx.doi.org/10.2340/16501977-2073","http://dx.doi.org/10.2340/16501977-2073")</f>
        <v>http://dx.doi.org/10.2340/16501977-2073</v>
      </c>
      <c r="BG18" t="s">
        <v>74</v>
      </c>
      <c r="BH18" t="s">
        <v>74</v>
      </c>
      <c r="BI18">
        <v>6</v>
      </c>
      <c r="BJ18" t="s">
        <v>236</v>
      </c>
      <c r="BK18" t="s">
        <v>182</v>
      </c>
      <c r="BL18" t="s">
        <v>236</v>
      </c>
      <c r="BM18" t="s">
        <v>489</v>
      </c>
      <c r="BN18">
        <v>26936800</v>
      </c>
      <c r="BO18" t="s">
        <v>355</v>
      </c>
      <c r="BP18" t="s">
        <v>74</v>
      </c>
      <c r="BQ18" t="s">
        <v>74</v>
      </c>
      <c r="BR18" t="s">
        <v>105</v>
      </c>
      <c r="BS18" t="s">
        <v>490</v>
      </c>
      <c r="BT18" t="str">
        <f>HYPERLINK("https%3A%2F%2Fwww.webofscience.com%2Fwos%2Fwoscc%2Ffull-record%2FWOS:000372456100002","View Full Record in Web of Science")</f>
        <v>View Full Record in Web of Science</v>
      </c>
    </row>
    <row r="19" spans="1:72" x14ac:dyDescent="0.25">
      <c r="A19" t="s">
        <v>72</v>
      </c>
      <c r="B19" t="s">
        <v>491</v>
      </c>
      <c r="C19" t="s">
        <v>74</v>
      </c>
      <c r="D19" t="s">
        <v>74</v>
      </c>
      <c r="E19" t="s">
        <v>74</v>
      </c>
      <c r="F19" t="s">
        <v>492</v>
      </c>
      <c r="G19" t="s">
        <v>74</v>
      </c>
      <c r="H19" t="s">
        <v>74</v>
      </c>
      <c r="I19" t="s">
        <v>493</v>
      </c>
      <c r="J19" t="s">
        <v>494</v>
      </c>
      <c r="K19" t="s">
        <v>74</v>
      </c>
      <c r="L19" t="s">
        <v>74</v>
      </c>
      <c r="M19" t="s">
        <v>78</v>
      </c>
      <c r="N19" t="s">
        <v>79</v>
      </c>
      <c r="O19" t="s">
        <v>74</v>
      </c>
      <c r="P19" t="s">
        <v>74</v>
      </c>
      <c r="Q19" t="s">
        <v>74</v>
      </c>
      <c r="R19" t="s">
        <v>74</v>
      </c>
      <c r="S19" t="s">
        <v>74</v>
      </c>
      <c r="T19" t="s">
        <v>495</v>
      </c>
      <c r="U19" t="s">
        <v>496</v>
      </c>
      <c r="V19" t="s">
        <v>497</v>
      </c>
      <c r="W19" t="s">
        <v>498</v>
      </c>
      <c r="X19" t="s">
        <v>499</v>
      </c>
      <c r="Y19" t="s">
        <v>500</v>
      </c>
      <c r="Z19" t="s">
        <v>501</v>
      </c>
      <c r="AA19" t="s">
        <v>502</v>
      </c>
      <c r="AB19" t="s">
        <v>503</v>
      </c>
      <c r="AC19" t="s">
        <v>74</v>
      </c>
      <c r="AD19" t="s">
        <v>74</v>
      </c>
      <c r="AE19" t="s">
        <v>74</v>
      </c>
      <c r="AF19" t="s">
        <v>74</v>
      </c>
      <c r="AG19">
        <v>48</v>
      </c>
      <c r="AH19">
        <v>2</v>
      </c>
      <c r="AI19">
        <v>2</v>
      </c>
      <c r="AJ19">
        <v>6</v>
      </c>
      <c r="AK19">
        <v>12</v>
      </c>
      <c r="AL19" t="s">
        <v>504</v>
      </c>
      <c r="AM19" t="s">
        <v>505</v>
      </c>
      <c r="AN19" t="s">
        <v>506</v>
      </c>
      <c r="AO19" t="s">
        <v>507</v>
      </c>
      <c r="AP19" t="s">
        <v>508</v>
      </c>
      <c r="AQ19" t="s">
        <v>74</v>
      </c>
      <c r="AR19" t="s">
        <v>509</v>
      </c>
      <c r="AS19" t="s">
        <v>510</v>
      </c>
      <c r="AT19" t="s">
        <v>151</v>
      </c>
      <c r="AU19">
        <v>2023</v>
      </c>
      <c r="AV19">
        <v>18</v>
      </c>
      <c r="AW19" t="s">
        <v>511</v>
      </c>
      <c r="AX19" t="s">
        <v>74</v>
      </c>
      <c r="AY19">
        <v>1</v>
      </c>
      <c r="AZ19" t="s">
        <v>74</v>
      </c>
      <c r="BA19" t="s">
        <v>74</v>
      </c>
      <c r="BB19" t="s">
        <v>512</v>
      </c>
      <c r="BC19" t="s">
        <v>513</v>
      </c>
      <c r="BD19" t="s">
        <v>74</v>
      </c>
      <c r="BE19" t="s">
        <v>514</v>
      </c>
      <c r="BF19" t="str">
        <f>HYPERLINK("http://dx.doi.org/10.4103/injr.injr_55_22","http://dx.doi.org/10.4103/injr.injr_55_22")</f>
        <v>http://dx.doi.org/10.4103/injr.injr_55_22</v>
      </c>
      <c r="BG19" t="s">
        <v>74</v>
      </c>
      <c r="BH19" t="s">
        <v>74</v>
      </c>
      <c r="BI19">
        <v>10</v>
      </c>
      <c r="BJ19" t="s">
        <v>515</v>
      </c>
      <c r="BK19" t="s">
        <v>155</v>
      </c>
      <c r="BL19" t="s">
        <v>515</v>
      </c>
      <c r="BM19" t="s">
        <v>516</v>
      </c>
      <c r="BN19" t="s">
        <v>74</v>
      </c>
      <c r="BO19" t="s">
        <v>185</v>
      </c>
      <c r="BP19" t="s">
        <v>74</v>
      </c>
      <c r="BQ19" t="s">
        <v>74</v>
      </c>
      <c r="BR19" t="s">
        <v>105</v>
      </c>
      <c r="BS19" t="s">
        <v>517</v>
      </c>
      <c r="BT19" t="str">
        <f>HYPERLINK("https%3A%2F%2Fwww.webofscience.com%2Fwos%2Fwoscc%2Ffull-record%2FWOS:001124762100009","View Full Record in Web of Science")</f>
        <v>View Full Record in Web of Science</v>
      </c>
    </row>
    <row r="20" spans="1:72" x14ac:dyDescent="0.25">
      <c r="A20" t="s">
        <v>72</v>
      </c>
      <c r="B20" t="s">
        <v>518</v>
      </c>
      <c r="C20" t="s">
        <v>74</v>
      </c>
      <c r="D20" t="s">
        <v>74</v>
      </c>
      <c r="E20" t="s">
        <v>74</v>
      </c>
      <c r="F20" t="s">
        <v>519</v>
      </c>
      <c r="G20" t="s">
        <v>74</v>
      </c>
      <c r="H20" t="s">
        <v>74</v>
      </c>
      <c r="I20" t="s">
        <v>520</v>
      </c>
      <c r="J20" t="s">
        <v>521</v>
      </c>
      <c r="K20" t="s">
        <v>74</v>
      </c>
      <c r="L20" t="s">
        <v>74</v>
      </c>
      <c r="M20" t="s">
        <v>78</v>
      </c>
      <c r="N20" t="s">
        <v>79</v>
      </c>
      <c r="O20" t="s">
        <v>74</v>
      </c>
      <c r="P20" t="s">
        <v>74</v>
      </c>
      <c r="Q20" t="s">
        <v>74</v>
      </c>
      <c r="R20" t="s">
        <v>74</v>
      </c>
      <c r="S20" t="s">
        <v>74</v>
      </c>
      <c r="T20" t="s">
        <v>522</v>
      </c>
      <c r="U20" t="s">
        <v>523</v>
      </c>
      <c r="V20" t="s">
        <v>524</v>
      </c>
      <c r="W20" t="s">
        <v>525</v>
      </c>
      <c r="X20" t="s">
        <v>526</v>
      </c>
      <c r="Y20" t="s">
        <v>527</v>
      </c>
      <c r="Z20" t="s">
        <v>528</v>
      </c>
      <c r="AA20" t="s">
        <v>529</v>
      </c>
      <c r="AB20" t="s">
        <v>530</v>
      </c>
      <c r="AC20" t="s">
        <v>74</v>
      </c>
      <c r="AD20" t="s">
        <v>74</v>
      </c>
      <c r="AE20" t="s">
        <v>74</v>
      </c>
      <c r="AF20" t="s">
        <v>74</v>
      </c>
      <c r="AG20">
        <v>90</v>
      </c>
      <c r="AH20">
        <v>12</v>
      </c>
      <c r="AI20">
        <v>12</v>
      </c>
      <c r="AJ20">
        <v>1</v>
      </c>
      <c r="AK20">
        <v>9</v>
      </c>
      <c r="AL20" t="s">
        <v>531</v>
      </c>
      <c r="AM20" t="s">
        <v>532</v>
      </c>
      <c r="AN20" t="s">
        <v>533</v>
      </c>
      <c r="AO20" t="s">
        <v>534</v>
      </c>
      <c r="AP20" t="s">
        <v>535</v>
      </c>
      <c r="AQ20" t="s">
        <v>74</v>
      </c>
      <c r="AR20" t="s">
        <v>536</v>
      </c>
      <c r="AS20" t="s">
        <v>537</v>
      </c>
      <c r="AT20" t="s">
        <v>538</v>
      </c>
      <c r="AU20">
        <v>2023</v>
      </c>
      <c r="AV20">
        <v>69</v>
      </c>
      <c r="AW20" t="s">
        <v>74</v>
      </c>
      <c r="AX20" t="s">
        <v>74</v>
      </c>
      <c r="AY20" t="s">
        <v>74</v>
      </c>
      <c r="AZ20" t="s">
        <v>74</v>
      </c>
      <c r="BA20" t="s">
        <v>74</v>
      </c>
      <c r="BB20" t="s">
        <v>74</v>
      </c>
      <c r="BC20" t="s">
        <v>74</v>
      </c>
      <c r="BD20">
        <v>104460</v>
      </c>
      <c r="BE20" t="s">
        <v>539</v>
      </c>
      <c r="BF20" t="str">
        <f>HYPERLINK("http://dx.doi.org/10.1016/j.msard.2022.104460","http://dx.doi.org/10.1016/j.msard.2022.104460")</f>
        <v>http://dx.doi.org/10.1016/j.msard.2022.104460</v>
      </c>
      <c r="BG20" t="s">
        <v>74</v>
      </c>
      <c r="BH20" t="s">
        <v>540</v>
      </c>
      <c r="BI20">
        <v>12</v>
      </c>
      <c r="BJ20" t="s">
        <v>541</v>
      </c>
      <c r="BK20" t="s">
        <v>182</v>
      </c>
      <c r="BL20" t="s">
        <v>375</v>
      </c>
      <c r="BM20" t="s">
        <v>542</v>
      </c>
      <c r="BN20">
        <v>36535234</v>
      </c>
      <c r="BO20" t="s">
        <v>74</v>
      </c>
      <c r="BP20" t="s">
        <v>74</v>
      </c>
      <c r="BQ20" t="s">
        <v>74</v>
      </c>
      <c r="BR20" t="s">
        <v>105</v>
      </c>
      <c r="BS20" t="s">
        <v>543</v>
      </c>
      <c r="BT20" t="str">
        <f>HYPERLINK("https%3A%2F%2Fwww.webofscience.com%2Fwos%2Fwoscc%2Ffull-record%2FWOS:000909088500001","View Full Record in Web of Science")</f>
        <v>View Full Record in Web of Science</v>
      </c>
    </row>
    <row r="21" spans="1:72" x14ac:dyDescent="0.25">
      <c r="A21" t="s">
        <v>72</v>
      </c>
      <c r="B21" t="s">
        <v>544</v>
      </c>
      <c r="C21" t="s">
        <v>74</v>
      </c>
      <c r="D21" t="s">
        <v>74</v>
      </c>
      <c r="E21" t="s">
        <v>74</v>
      </c>
      <c r="F21" t="s">
        <v>545</v>
      </c>
      <c r="G21" t="s">
        <v>74</v>
      </c>
      <c r="H21" t="s">
        <v>74</v>
      </c>
      <c r="I21" t="s">
        <v>546</v>
      </c>
      <c r="J21" t="s">
        <v>547</v>
      </c>
      <c r="K21" t="s">
        <v>74</v>
      </c>
      <c r="L21" t="s">
        <v>74</v>
      </c>
      <c r="M21" t="s">
        <v>78</v>
      </c>
      <c r="N21" t="s">
        <v>79</v>
      </c>
      <c r="O21" t="s">
        <v>74</v>
      </c>
      <c r="P21" t="s">
        <v>74</v>
      </c>
      <c r="Q21" t="s">
        <v>74</v>
      </c>
      <c r="R21" t="s">
        <v>74</v>
      </c>
      <c r="S21" t="s">
        <v>74</v>
      </c>
      <c r="T21" t="s">
        <v>548</v>
      </c>
      <c r="U21" t="s">
        <v>549</v>
      </c>
      <c r="V21" t="s">
        <v>550</v>
      </c>
      <c r="W21" t="s">
        <v>551</v>
      </c>
      <c r="X21" t="s">
        <v>552</v>
      </c>
      <c r="Y21" t="s">
        <v>553</v>
      </c>
      <c r="Z21" t="s">
        <v>554</v>
      </c>
      <c r="AA21" t="s">
        <v>555</v>
      </c>
      <c r="AB21" t="s">
        <v>556</v>
      </c>
      <c r="AC21" t="s">
        <v>74</v>
      </c>
      <c r="AD21" t="s">
        <v>74</v>
      </c>
      <c r="AE21" t="s">
        <v>74</v>
      </c>
      <c r="AF21" t="s">
        <v>74</v>
      </c>
      <c r="AG21">
        <v>90</v>
      </c>
      <c r="AH21">
        <v>21</v>
      </c>
      <c r="AI21">
        <v>21</v>
      </c>
      <c r="AJ21">
        <v>34</v>
      </c>
      <c r="AK21">
        <v>144</v>
      </c>
      <c r="AL21" t="s">
        <v>557</v>
      </c>
      <c r="AM21" t="s">
        <v>275</v>
      </c>
      <c r="AN21" t="s">
        <v>558</v>
      </c>
      <c r="AO21" t="s">
        <v>559</v>
      </c>
      <c r="AP21" t="s">
        <v>560</v>
      </c>
      <c r="AQ21" t="s">
        <v>74</v>
      </c>
      <c r="AR21" t="s">
        <v>547</v>
      </c>
      <c r="AS21" t="s">
        <v>561</v>
      </c>
      <c r="AT21" t="s">
        <v>351</v>
      </c>
      <c r="AU21">
        <v>2024</v>
      </c>
      <c r="AV21">
        <v>28</v>
      </c>
      <c r="AW21">
        <v>2</v>
      </c>
      <c r="AX21" t="s">
        <v>74</v>
      </c>
      <c r="AY21" t="s">
        <v>74</v>
      </c>
      <c r="AZ21" t="s">
        <v>74</v>
      </c>
      <c r="BA21" t="s">
        <v>74</v>
      </c>
      <c r="BB21">
        <v>276</v>
      </c>
      <c r="BC21">
        <v>300</v>
      </c>
      <c r="BD21" t="s">
        <v>74</v>
      </c>
      <c r="BE21" t="s">
        <v>562</v>
      </c>
      <c r="BF21" t="str">
        <f>HYPERLINK("http://dx.doi.org/10.1177/13623613231169058","http://dx.doi.org/10.1177/13623613231169058")</f>
        <v>http://dx.doi.org/10.1177/13623613231169058</v>
      </c>
      <c r="BG21" t="s">
        <v>74</v>
      </c>
      <c r="BH21" t="s">
        <v>563</v>
      </c>
      <c r="BI21">
        <v>25</v>
      </c>
      <c r="BJ21" t="s">
        <v>564</v>
      </c>
      <c r="BK21" t="s">
        <v>462</v>
      </c>
      <c r="BL21" t="s">
        <v>565</v>
      </c>
      <c r="BM21" t="s">
        <v>566</v>
      </c>
      <c r="BN21">
        <v>37128159</v>
      </c>
      <c r="BO21" t="s">
        <v>74</v>
      </c>
      <c r="BP21" t="s">
        <v>74</v>
      </c>
      <c r="BQ21" t="s">
        <v>74</v>
      </c>
      <c r="BR21" t="s">
        <v>105</v>
      </c>
      <c r="BS21" t="s">
        <v>567</v>
      </c>
      <c r="BT21" t="str">
        <f>HYPERLINK("https%3A%2F%2Fwww.webofscience.com%2Fwos%2Fwoscc%2Ffull-record%2FWOS:000980270200001","View Full Record in Web of Science")</f>
        <v>View Full Record in Web of Science</v>
      </c>
    </row>
    <row r="22" spans="1:72" x14ac:dyDescent="0.25">
      <c r="A22" t="s">
        <v>72</v>
      </c>
      <c r="B22" t="s">
        <v>568</v>
      </c>
      <c r="C22" t="s">
        <v>74</v>
      </c>
      <c r="D22" t="s">
        <v>74</v>
      </c>
      <c r="E22" t="s">
        <v>74</v>
      </c>
      <c r="F22" t="s">
        <v>569</v>
      </c>
      <c r="G22" t="s">
        <v>74</v>
      </c>
      <c r="H22" t="s">
        <v>74</v>
      </c>
      <c r="I22" t="s">
        <v>570</v>
      </c>
      <c r="J22" t="s">
        <v>571</v>
      </c>
      <c r="K22" t="s">
        <v>74</v>
      </c>
      <c r="L22" t="s">
        <v>74</v>
      </c>
      <c r="M22" t="s">
        <v>78</v>
      </c>
      <c r="N22" t="s">
        <v>79</v>
      </c>
      <c r="O22" t="s">
        <v>74</v>
      </c>
      <c r="P22" t="s">
        <v>74</v>
      </c>
      <c r="Q22" t="s">
        <v>74</v>
      </c>
      <c r="R22" t="s">
        <v>74</v>
      </c>
      <c r="S22" t="s">
        <v>74</v>
      </c>
      <c r="T22" t="s">
        <v>74</v>
      </c>
      <c r="U22" t="s">
        <v>572</v>
      </c>
      <c r="V22" t="s">
        <v>573</v>
      </c>
      <c r="W22" t="s">
        <v>574</v>
      </c>
      <c r="X22" t="s">
        <v>575</v>
      </c>
      <c r="Y22" t="s">
        <v>576</v>
      </c>
      <c r="Z22" t="s">
        <v>577</v>
      </c>
      <c r="AA22" t="s">
        <v>578</v>
      </c>
      <c r="AB22" t="s">
        <v>579</v>
      </c>
      <c r="AC22" t="s">
        <v>580</v>
      </c>
      <c r="AD22" t="s">
        <v>581</v>
      </c>
      <c r="AE22" t="s">
        <v>582</v>
      </c>
      <c r="AF22" t="s">
        <v>74</v>
      </c>
      <c r="AG22">
        <v>79</v>
      </c>
      <c r="AH22">
        <v>30</v>
      </c>
      <c r="AI22">
        <v>32</v>
      </c>
      <c r="AJ22">
        <v>4</v>
      </c>
      <c r="AK22">
        <v>27</v>
      </c>
      <c r="AL22" t="s">
        <v>583</v>
      </c>
      <c r="AM22" t="s">
        <v>275</v>
      </c>
      <c r="AN22" t="s">
        <v>584</v>
      </c>
      <c r="AO22" t="s">
        <v>585</v>
      </c>
      <c r="AP22" t="s">
        <v>74</v>
      </c>
      <c r="AQ22" t="s">
        <v>74</v>
      </c>
      <c r="AR22" t="s">
        <v>571</v>
      </c>
      <c r="AS22" t="s">
        <v>586</v>
      </c>
      <c r="AT22" t="s">
        <v>351</v>
      </c>
      <c r="AU22">
        <v>2020</v>
      </c>
      <c r="AV22">
        <v>10</v>
      </c>
      <c r="AW22">
        <v>2</v>
      </c>
      <c r="AX22" t="s">
        <v>74</v>
      </c>
      <c r="AY22" t="s">
        <v>74</v>
      </c>
      <c r="AZ22" t="s">
        <v>74</v>
      </c>
      <c r="BA22" t="s">
        <v>74</v>
      </c>
      <c r="BB22" t="s">
        <v>74</v>
      </c>
      <c r="BC22" t="s">
        <v>74</v>
      </c>
      <c r="BD22" t="s">
        <v>587</v>
      </c>
      <c r="BE22" t="s">
        <v>588</v>
      </c>
      <c r="BF22" t="str">
        <f>HYPERLINK("http://dx.doi.org/10.1136/bmjopen-2019-033642","http://dx.doi.org/10.1136/bmjopen-2019-033642")</f>
        <v>http://dx.doi.org/10.1136/bmjopen-2019-033642</v>
      </c>
      <c r="BG22" t="s">
        <v>74</v>
      </c>
      <c r="BH22" t="s">
        <v>74</v>
      </c>
      <c r="BI22">
        <v>10</v>
      </c>
      <c r="BJ22" t="s">
        <v>128</v>
      </c>
      <c r="BK22" t="s">
        <v>182</v>
      </c>
      <c r="BL22" t="s">
        <v>129</v>
      </c>
      <c r="BM22" t="s">
        <v>589</v>
      </c>
      <c r="BN22">
        <v>32029489</v>
      </c>
      <c r="BO22" t="s">
        <v>131</v>
      </c>
      <c r="BP22" t="s">
        <v>74</v>
      </c>
      <c r="BQ22" t="s">
        <v>74</v>
      </c>
      <c r="BR22" t="s">
        <v>105</v>
      </c>
      <c r="BS22" t="s">
        <v>590</v>
      </c>
      <c r="BT22" t="str">
        <f>HYPERLINK("https%3A%2F%2Fwww.webofscience.com%2Fwos%2Fwoscc%2Ffull-record%2FWOS:000527786700144","View Full Record in Web of Science")</f>
        <v>View Full Record in Web of Science</v>
      </c>
    </row>
    <row r="23" spans="1:72" x14ac:dyDescent="0.25">
      <c r="A23" t="s">
        <v>72</v>
      </c>
      <c r="B23" t="s">
        <v>591</v>
      </c>
      <c r="C23" t="s">
        <v>74</v>
      </c>
      <c r="D23" t="s">
        <v>74</v>
      </c>
      <c r="E23" t="s">
        <v>74</v>
      </c>
      <c r="F23" t="s">
        <v>592</v>
      </c>
      <c r="G23" t="s">
        <v>74</v>
      </c>
      <c r="H23" t="s">
        <v>74</v>
      </c>
      <c r="I23" t="s">
        <v>593</v>
      </c>
      <c r="J23" t="s">
        <v>594</v>
      </c>
      <c r="K23" t="s">
        <v>74</v>
      </c>
      <c r="L23" t="s">
        <v>74</v>
      </c>
      <c r="M23" t="s">
        <v>78</v>
      </c>
      <c r="N23" t="s">
        <v>79</v>
      </c>
      <c r="O23" t="s">
        <v>74</v>
      </c>
      <c r="P23" t="s">
        <v>74</v>
      </c>
      <c r="Q23" t="s">
        <v>74</v>
      </c>
      <c r="R23" t="s">
        <v>74</v>
      </c>
      <c r="S23" t="s">
        <v>74</v>
      </c>
      <c r="T23" t="s">
        <v>595</v>
      </c>
      <c r="U23" t="s">
        <v>596</v>
      </c>
      <c r="V23" t="s">
        <v>597</v>
      </c>
      <c r="W23" t="s">
        <v>598</v>
      </c>
      <c r="X23" t="s">
        <v>599</v>
      </c>
      <c r="Y23" t="s">
        <v>600</v>
      </c>
      <c r="Z23" t="s">
        <v>601</v>
      </c>
      <c r="AA23" t="s">
        <v>602</v>
      </c>
      <c r="AB23" t="s">
        <v>603</v>
      </c>
      <c r="AC23" t="s">
        <v>604</v>
      </c>
      <c r="AD23" t="s">
        <v>604</v>
      </c>
      <c r="AE23" t="s">
        <v>605</v>
      </c>
      <c r="AF23" t="s">
        <v>74</v>
      </c>
      <c r="AG23">
        <v>64</v>
      </c>
      <c r="AH23">
        <v>26</v>
      </c>
      <c r="AI23">
        <v>31</v>
      </c>
      <c r="AJ23">
        <v>8</v>
      </c>
      <c r="AK23">
        <v>60</v>
      </c>
      <c r="AL23" t="s">
        <v>274</v>
      </c>
      <c r="AM23" t="s">
        <v>275</v>
      </c>
      <c r="AN23" t="s">
        <v>276</v>
      </c>
      <c r="AO23" t="s">
        <v>74</v>
      </c>
      <c r="AP23" t="s">
        <v>606</v>
      </c>
      <c r="AQ23" t="s">
        <v>74</v>
      </c>
      <c r="AR23" t="s">
        <v>607</v>
      </c>
      <c r="AS23" t="s">
        <v>608</v>
      </c>
      <c r="AT23" t="s">
        <v>609</v>
      </c>
      <c r="AU23">
        <v>2021</v>
      </c>
      <c r="AV23">
        <v>18</v>
      </c>
      <c r="AW23">
        <v>1</v>
      </c>
      <c r="AX23" t="s">
        <v>74</v>
      </c>
      <c r="AY23" t="s">
        <v>74</v>
      </c>
      <c r="AZ23" t="s">
        <v>74</v>
      </c>
      <c r="BA23" t="s">
        <v>74</v>
      </c>
      <c r="BB23" t="s">
        <v>74</v>
      </c>
      <c r="BC23" t="s">
        <v>74</v>
      </c>
      <c r="BD23">
        <v>65</v>
      </c>
      <c r="BE23" t="s">
        <v>610</v>
      </c>
      <c r="BF23" t="str">
        <f>HYPERLINK("http://dx.doi.org/10.1186/s12984-021-00864-w","http://dx.doi.org/10.1186/s12984-021-00864-w")</f>
        <v>http://dx.doi.org/10.1186/s12984-021-00864-w</v>
      </c>
      <c r="BG23" t="s">
        <v>74</v>
      </c>
      <c r="BH23" t="s">
        <v>74</v>
      </c>
      <c r="BI23">
        <v>21</v>
      </c>
      <c r="BJ23" t="s">
        <v>611</v>
      </c>
      <c r="BK23" t="s">
        <v>102</v>
      </c>
      <c r="BL23" t="s">
        <v>612</v>
      </c>
      <c r="BM23" t="s">
        <v>613</v>
      </c>
      <c r="BN23">
        <v>33879182</v>
      </c>
      <c r="BO23" t="s">
        <v>131</v>
      </c>
      <c r="BP23" t="s">
        <v>74</v>
      </c>
      <c r="BQ23" t="s">
        <v>74</v>
      </c>
      <c r="BR23" t="s">
        <v>105</v>
      </c>
      <c r="BS23" t="s">
        <v>614</v>
      </c>
      <c r="BT23" t="str">
        <f>HYPERLINK("https%3A%2F%2Fwww.webofscience.com%2Fwos%2Fwoscc%2Ffull-record%2FWOS:000641802300001","View Full Record in Web of Science")</f>
        <v>View Full Record in Web of Science</v>
      </c>
    </row>
    <row r="24" spans="1:72" x14ac:dyDescent="0.25">
      <c r="A24" t="s">
        <v>72</v>
      </c>
      <c r="B24" t="s">
        <v>615</v>
      </c>
      <c r="C24" t="s">
        <v>74</v>
      </c>
      <c r="D24" t="s">
        <v>74</v>
      </c>
      <c r="E24" t="s">
        <v>74</v>
      </c>
      <c r="F24" t="s">
        <v>616</v>
      </c>
      <c r="G24" t="s">
        <v>74</v>
      </c>
      <c r="H24" t="s">
        <v>74</v>
      </c>
      <c r="I24" t="s">
        <v>617</v>
      </c>
      <c r="J24" t="s">
        <v>618</v>
      </c>
      <c r="K24" t="s">
        <v>74</v>
      </c>
      <c r="L24" t="s">
        <v>74</v>
      </c>
      <c r="M24" t="s">
        <v>78</v>
      </c>
      <c r="N24" t="s">
        <v>79</v>
      </c>
      <c r="O24" t="s">
        <v>74</v>
      </c>
      <c r="P24" t="s">
        <v>74</v>
      </c>
      <c r="Q24" t="s">
        <v>74</v>
      </c>
      <c r="R24" t="s">
        <v>74</v>
      </c>
      <c r="S24" t="s">
        <v>74</v>
      </c>
      <c r="T24" t="s">
        <v>619</v>
      </c>
      <c r="U24" t="s">
        <v>620</v>
      </c>
      <c r="V24" t="s">
        <v>621</v>
      </c>
      <c r="W24" t="s">
        <v>622</v>
      </c>
      <c r="X24" t="s">
        <v>623</v>
      </c>
      <c r="Y24" t="s">
        <v>624</v>
      </c>
      <c r="Z24" t="s">
        <v>625</v>
      </c>
      <c r="AA24" t="s">
        <v>74</v>
      </c>
      <c r="AB24" t="s">
        <v>626</v>
      </c>
      <c r="AC24" t="s">
        <v>627</v>
      </c>
      <c r="AD24" t="s">
        <v>628</v>
      </c>
      <c r="AE24" t="s">
        <v>629</v>
      </c>
      <c r="AF24" t="s">
        <v>74</v>
      </c>
      <c r="AG24">
        <v>170</v>
      </c>
      <c r="AH24">
        <v>4</v>
      </c>
      <c r="AI24">
        <v>4</v>
      </c>
      <c r="AJ24">
        <v>10</v>
      </c>
      <c r="AK24">
        <v>65</v>
      </c>
      <c r="AL24" t="s">
        <v>583</v>
      </c>
      <c r="AM24" t="s">
        <v>275</v>
      </c>
      <c r="AN24" t="s">
        <v>584</v>
      </c>
      <c r="AO24" t="s">
        <v>630</v>
      </c>
      <c r="AP24" t="s">
        <v>631</v>
      </c>
      <c r="AQ24" t="s">
        <v>74</v>
      </c>
      <c r="AR24" t="s">
        <v>632</v>
      </c>
      <c r="AS24" t="s">
        <v>633</v>
      </c>
      <c r="AT24" t="s">
        <v>634</v>
      </c>
      <c r="AU24">
        <v>2024</v>
      </c>
      <c r="AV24">
        <v>9</v>
      </c>
      <c r="AW24">
        <v>4</v>
      </c>
      <c r="AX24" t="s">
        <v>74</v>
      </c>
      <c r="AY24" t="s">
        <v>74</v>
      </c>
      <c r="AZ24" t="s">
        <v>74</v>
      </c>
      <c r="BA24" t="s">
        <v>74</v>
      </c>
      <c r="BB24">
        <v>328</v>
      </c>
      <c r="BC24">
        <v>343</v>
      </c>
      <c r="BD24" t="s">
        <v>74</v>
      </c>
      <c r="BE24" t="s">
        <v>635</v>
      </c>
      <c r="BF24" t="str">
        <f>HYPERLINK("http://dx.doi.org/10.1136/svn-2022-002285","http://dx.doi.org/10.1136/svn-2022-002285")</f>
        <v>http://dx.doi.org/10.1136/svn-2022-002285</v>
      </c>
      <c r="BG24" t="s">
        <v>74</v>
      </c>
      <c r="BH24" t="s">
        <v>636</v>
      </c>
      <c r="BI24">
        <v>16</v>
      </c>
      <c r="BJ24" t="s">
        <v>541</v>
      </c>
      <c r="BK24" t="s">
        <v>182</v>
      </c>
      <c r="BL24" t="s">
        <v>375</v>
      </c>
      <c r="BM24" t="s">
        <v>637</v>
      </c>
      <c r="BN24">
        <v>37788912</v>
      </c>
      <c r="BO24" t="s">
        <v>131</v>
      </c>
      <c r="BP24" t="s">
        <v>74</v>
      </c>
      <c r="BQ24" t="s">
        <v>74</v>
      </c>
      <c r="BR24" t="s">
        <v>105</v>
      </c>
      <c r="BS24" t="s">
        <v>638</v>
      </c>
      <c r="BT24" t="str">
        <f>HYPERLINK("https%3A%2F%2Fwww.webofscience.com%2Fwos%2Fwoscc%2Ffull-record%2FWOS:001078765100001","View Full Record in Web of Science")</f>
        <v>View Full Record in Web of Science</v>
      </c>
    </row>
    <row r="25" spans="1:72" x14ac:dyDescent="0.25">
      <c r="A25" t="s">
        <v>72</v>
      </c>
      <c r="B25" t="s">
        <v>639</v>
      </c>
      <c r="C25" t="s">
        <v>74</v>
      </c>
      <c r="D25" t="s">
        <v>74</v>
      </c>
      <c r="E25" t="s">
        <v>74</v>
      </c>
      <c r="F25" t="s">
        <v>640</v>
      </c>
      <c r="G25" t="s">
        <v>74</v>
      </c>
      <c r="H25" t="s">
        <v>74</v>
      </c>
      <c r="I25" t="s">
        <v>641</v>
      </c>
      <c r="J25" t="s">
        <v>642</v>
      </c>
      <c r="K25" t="s">
        <v>74</v>
      </c>
      <c r="L25" t="s">
        <v>74</v>
      </c>
      <c r="M25" t="s">
        <v>78</v>
      </c>
      <c r="N25" t="s">
        <v>79</v>
      </c>
      <c r="O25" t="s">
        <v>74</v>
      </c>
      <c r="P25" t="s">
        <v>74</v>
      </c>
      <c r="Q25" t="s">
        <v>74</v>
      </c>
      <c r="R25" t="s">
        <v>74</v>
      </c>
      <c r="S25" t="s">
        <v>74</v>
      </c>
      <c r="T25" t="s">
        <v>643</v>
      </c>
      <c r="U25" t="s">
        <v>644</v>
      </c>
      <c r="V25" t="s">
        <v>645</v>
      </c>
      <c r="W25" t="s">
        <v>646</v>
      </c>
      <c r="X25" t="s">
        <v>647</v>
      </c>
      <c r="Y25" t="s">
        <v>648</v>
      </c>
      <c r="Z25" t="s">
        <v>649</v>
      </c>
      <c r="AA25" t="s">
        <v>650</v>
      </c>
      <c r="AB25" t="s">
        <v>651</v>
      </c>
      <c r="AC25" t="s">
        <v>652</v>
      </c>
      <c r="AD25" t="s">
        <v>653</v>
      </c>
      <c r="AE25" t="s">
        <v>654</v>
      </c>
      <c r="AF25" t="s">
        <v>74</v>
      </c>
      <c r="AG25">
        <v>53</v>
      </c>
      <c r="AH25">
        <v>20</v>
      </c>
      <c r="AI25">
        <v>20</v>
      </c>
      <c r="AJ25">
        <v>0</v>
      </c>
      <c r="AK25">
        <v>7</v>
      </c>
      <c r="AL25" t="s">
        <v>557</v>
      </c>
      <c r="AM25" t="s">
        <v>275</v>
      </c>
      <c r="AN25" t="s">
        <v>558</v>
      </c>
      <c r="AO25" t="s">
        <v>655</v>
      </c>
      <c r="AP25" t="s">
        <v>656</v>
      </c>
      <c r="AQ25" t="s">
        <v>74</v>
      </c>
      <c r="AR25" t="s">
        <v>657</v>
      </c>
      <c r="AS25" t="s">
        <v>658</v>
      </c>
      <c r="AT25" t="s">
        <v>538</v>
      </c>
      <c r="AU25">
        <v>2020</v>
      </c>
      <c r="AV25">
        <v>34</v>
      </c>
      <c r="AW25">
        <v>1</v>
      </c>
      <c r="AX25" t="s">
        <v>74</v>
      </c>
      <c r="AY25" t="s">
        <v>74</v>
      </c>
      <c r="AZ25" t="s">
        <v>74</v>
      </c>
      <c r="BA25" t="s">
        <v>74</v>
      </c>
      <c r="BB25">
        <v>23</v>
      </c>
      <c r="BC25">
        <v>33</v>
      </c>
      <c r="BD25">
        <v>269215519877235</v>
      </c>
      <c r="BE25" t="s">
        <v>659</v>
      </c>
      <c r="BF25" t="str">
        <f>HYPERLINK("http://dx.doi.org/10.1177/0269215519877235","http://dx.doi.org/10.1177/0269215519877235")</f>
        <v>http://dx.doi.org/10.1177/0269215519877235</v>
      </c>
      <c r="BG25" t="s">
        <v>74</v>
      </c>
      <c r="BH25" t="s">
        <v>660</v>
      </c>
      <c r="BI25">
        <v>11</v>
      </c>
      <c r="BJ25" t="s">
        <v>101</v>
      </c>
      <c r="BK25" t="s">
        <v>182</v>
      </c>
      <c r="BL25" t="s">
        <v>101</v>
      </c>
      <c r="BM25" t="s">
        <v>661</v>
      </c>
      <c r="BN25">
        <v>31559853</v>
      </c>
      <c r="BO25" t="s">
        <v>662</v>
      </c>
      <c r="BP25" t="s">
        <v>74</v>
      </c>
      <c r="BQ25" t="s">
        <v>74</v>
      </c>
      <c r="BR25" t="s">
        <v>105</v>
      </c>
      <c r="BS25" t="s">
        <v>663</v>
      </c>
      <c r="BT25" t="str">
        <f>HYPERLINK("https%3A%2F%2Fwww.webofscience.com%2Fwos%2Fwoscc%2Ffull-record%2FWOS:000489384800001","View Full Record in Web of Science")</f>
        <v>View Full Record in Web of Science</v>
      </c>
    </row>
    <row r="26" spans="1:72" x14ac:dyDescent="0.25">
      <c r="A26" t="s">
        <v>72</v>
      </c>
      <c r="B26" t="s">
        <v>664</v>
      </c>
      <c r="C26" t="s">
        <v>74</v>
      </c>
      <c r="D26" t="s">
        <v>74</v>
      </c>
      <c r="E26" t="s">
        <v>74</v>
      </c>
      <c r="F26" t="s">
        <v>665</v>
      </c>
      <c r="G26" t="s">
        <v>74</v>
      </c>
      <c r="H26" t="s">
        <v>74</v>
      </c>
      <c r="I26" t="s">
        <v>666</v>
      </c>
      <c r="J26" t="s">
        <v>667</v>
      </c>
      <c r="K26" t="s">
        <v>74</v>
      </c>
      <c r="L26" t="s">
        <v>74</v>
      </c>
      <c r="M26" t="s">
        <v>78</v>
      </c>
      <c r="N26" t="s">
        <v>79</v>
      </c>
      <c r="O26" t="s">
        <v>74</v>
      </c>
      <c r="P26" t="s">
        <v>74</v>
      </c>
      <c r="Q26" t="s">
        <v>74</v>
      </c>
      <c r="R26" t="s">
        <v>74</v>
      </c>
      <c r="S26" t="s">
        <v>74</v>
      </c>
      <c r="T26" t="s">
        <v>668</v>
      </c>
      <c r="U26" t="s">
        <v>669</v>
      </c>
      <c r="V26" t="s">
        <v>670</v>
      </c>
      <c r="W26" t="s">
        <v>671</v>
      </c>
      <c r="X26" t="s">
        <v>672</v>
      </c>
      <c r="Y26" t="s">
        <v>673</v>
      </c>
      <c r="Z26" t="s">
        <v>674</v>
      </c>
      <c r="AA26" t="s">
        <v>74</v>
      </c>
      <c r="AB26" t="s">
        <v>74</v>
      </c>
      <c r="AC26" t="s">
        <v>74</v>
      </c>
      <c r="AD26" t="s">
        <v>74</v>
      </c>
      <c r="AE26" t="s">
        <v>74</v>
      </c>
      <c r="AF26" t="s">
        <v>74</v>
      </c>
      <c r="AG26">
        <v>25</v>
      </c>
      <c r="AH26">
        <v>3</v>
      </c>
      <c r="AI26">
        <v>3</v>
      </c>
      <c r="AJ26">
        <v>0</v>
      </c>
      <c r="AK26">
        <v>19</v>
      </c>
      <c r="AL26" t="s">
        <v>557</v>
      </c>
      <c r="AM26" t="s">
        <v>275</v>
      </c>
      <c r="AN26" t="s">
        <v>558</v>
      </c>
      <c r="AO26" t="s">
        <v>675</v>
      </c>
      <c r="AP26" t="s">
        <v>676</v>
      </c>
      <c r="AQ26" t="s">
        <v>74</v>
      </c>
      <c r="AR26" t="s">
        <v>677</v>
      </c>
      <c r="AS26" t="s">
        <v>678</v>
      </c>
      <c r="AT26" t="s">
        <v>151</v>
      </c>
      <c r="AU26">
        <v>2019</v>
      </c>
      <c r="AV26">
        <v>37</v>
      </c>
      <c r="AW26">
        <v>6</v>
      </c>
      <c r="AX26" t="s">
        <v>74</v>
      </c>
      <c r="AY26" t="s">
        <v>74</v>
      </c>
      <c r="AZ26" t="s">
        <v>74</v>
      </c>
      <c r="BA26" t="s">
        <v>74</v>
      </c>
      <c r="BB26">
        <v>365</v>
      </c>
      <c r="BC26">
        <v>369</v>
      </c>
      <c r="BD26" t="s">
        <v>74</v>
      </c>
      <c r="BE26" t="s">
        <v>679</v>
      </c>
      <c r="BF26" t="str">
        <f>HYPERLINK("http://dx.doi.org/10.1177/0964528419844264","http://dx.doi.org/10.1177/0964528419844264")</f>
        <v>http://dx.doi.org/10.1177/0964528419844264</v>
      </c>
      <c r="BG26" t="s">
        <v>74</v>
      </c>
      <c r="BH26" t="s">
        <v>74</v>
      </c>
      <c r="BI26">
        <v>5</v>
      </c>
      <c r="BJ26" t="s">
        <v>680</v>
      </c>
      <c r="BK26" t="s">
        <v>182</v>
      </c>
      <c r="BL26" t="s">
        <v>680</v>
      </c>
      <c r="BM26" t="s">
        <v>681</v>
      </c>
      <c r="BN26">
        <v>31032621</v>
      </c>
      <c r="BO26" t="s">
        <v>74</v>
      </c>
      <c r="BP26" t="s">
        <v>74</v>
      </c>
      <c r="BQ26" t="s">
        <v>74</v>
      </c>
      <c r="BR26" t="s">
        <v>105</v>
      </c>
      <c r="BS26" t="s">
        <v>682</v>
      </c>
      <c r="BT26" t="str">
        <f>HYPERLINK("https%3A%2F%2Fwww.webofscience.com%2Fwos%2Fwoscc%2Ffull-record%2FWOS:000505578100006","View Full Record in Web of Science")</f>
        <v>View Full Record in Web of Science</v>
      </c>
    </row>
    <row r="27" spans="1:72" x14ac:dyDescent="0.25">
      <c r="A27" t="s">
        <v>72</v>
      </c>
      <c r="B27" t="s">
        <v>465</v>
      </c>
      <c r="C27" t="s">
        <v>74</v>
      </c>
      <c r="D27" t="s">
        <v>74</v>
      </c>
      <c r="E27" t="s">
        <v>74</v>
      </c>
      <c r="F27" t="s">
        <v>466</v>
      </c>
      <c r="G27" t="s">
        <v>74</v>
      </c>
      <c r="H27" t="s">
        <v>74</v>
      </c>
      <c r="I27" t="s">
        <v>683</v>
      </c>
      <c r="J27" t="s">
        <v>684</v>
      </c>
      <c r="K27" t="s">
        <v>74</v>
      </c>
      <c r="L27" t="s">
        <v>74</v>
      </c>
      <c r="M27" t="s">
        <v>78</v>
      </c>
      <c r="N27" t="s">
        <v>79</v>
      </c>
      <c r="O27" t="s">
        <v>74</v>
      </c>
      <c r="P27" t="s">
        <v>74</v>
      </c>
      <c r="Q27" t="s">
        <v>74</v>
      </c>
      <c r="R27" t="s">
        <v>74</v>
      </c>
      <c r="S27" t="s">
        <v>74</v>
      </c>
      <c r="T27" t="s">
        <v>685</v>
      </c>
      <c r="U27" t="s">
        <v>686</v>
      </c>
      <c r="V27" t="s">
        <v>687</v>
      </c>
      <c r="W27" t="s">
        <v>688</v>
      </c>
      <c r="X27" t="s">
        <v>689</v>
      </c>
      <c r="Y27" t="s">
        <v>690</v>
      </c>
      <c r="Z27" t="s">
        <v>475</v>
      </c>
      <c r="AA27" t="s">
        <v>476</v>
      </c>
      <c r="AB27" t="s">
        <v>477</v>
      </c>
      <c r="AC27" t="s">
        <v>74</v>
      </c>
      <c r="AD27" t="s">
        <v>74</v>
      </c>
      <c r="AE27" t="s">
        <v>74</v>
      </c>
      <c r="AF27" t="s">
        <v>74</v>
      </c>
      <c r="AG27">
        <v>58</v>
      </c>
      <c r="AH27">
        <v>30</v>
      </c>
      <c r="AI27">
        <v>34</v>
      </c>
      <c r="AJ27">
        <v>4</v>
      </c>
      <c r="AK27">
        <v>141</v>
      </c>
      <c r="AL27" t="s">
        <v>557</v>
      </c>
      <c r="AM27" t="s">
        <v>275</v>
      </c>
      <c r="AN27" t="s">
        <v>558</v>
      </c>
      <c r="AO27" t="s">
        <v>691</v>
      </c>
      <c r="AP27" t="s">
        <v>692</v>
      </c>
      <c r="AQ27" t="s">
        <v>74</v>
      </c>
      <c r="AR27" t="s">
        <v>693</v>
      </c>
      <c r="AS27" t="s">
        <v>694</v>
      </c>
      <c r="AT27" t="s">
        <v>151</v>
      </c>
      <c r="AU27">
        <v>2017</v>
      </c>
      <c r="AV27">
        <v>231</v>
      </c>
      <c r="AW27">
        <v>12</v>
      </c>
      <c r="AX27" t="s">
        <v>74</v>
      </c>
      <c r="AY27" t="s">
        <v>74</v>
      </c>
      <c r="AZ27" t="s">
        <v>74</v>
      </c>
      <c r="BA27" t="s">
        <v>74</v>
      </c>
      <c r="BB27">
        <v>1224</v>
      </c>
      <c r="BC27">
        <v>1234</v>
      </c>
      <c r="BD27" t="s">
        <v>74</v>
      </c>
      <c r="BE27" t="s">
        <v>695</v>
      </c>
      <c r="BF27" t="str">
        <f>HYPERLINK("http://dx.doi.org/10.1177/0954411917737584","http://dx.doi.org/10.1177/0954411917737584")</f>
        <v>http://dx.doi.org/10.1177/0954411917737584</v>
      </c>
      <c r="BG27" t="s">
        <v>74</v>
      </c>
      <c r="BH27" t="s">
        <v>74</v>
      </c>
      <c r="BI27">
        <v>11</v>
      </c>
      <c r="BJ27" t="s">
        <v>282</v>
      </c>
      <c r="BK27" t="s">
        <v>102</v>
      </c>
      <c r="BL27" t="s">
        <v>183</v>
      </c>
      <c r="BM27" t="s">
        <v>696</v>
      </c>
      <c r="BN27">
        <v>29065774</v>
      </c>
      <c r="BO27" t="s">
        <v>74</v>
      </c>
      <c r="BP27" t="s">
        <v>74</v>
      </c>
      <c r="BQ27" t="s">
        <v>74</v>
      </c>
      <c r="BR27" t="s">
        <v>105</v>
      </c>
      <c r="BS27" t="s">
        <v>697</v>
      </c>
      <c r="BT27" t="str">
        <f>HYPERLINK("https%3A%2F%2Fwww.webofscience.com%2Fwos%2Fwoscc%2Ffull-record%2FWOS:000416273000015","View Full Record in Web of Science")</f>
        <v>View Full Record in Web of Science</v>
      </c>
    </row>
    <row r="28" spans="1:72" x14ac:dyDescent="0.25">
      <c r="A28" t="s">
        <v>72</v>
      </c>
      <c r="B28" t="s">
        <v>698</v>
      </c>
      <c r="C28" t="s">
        <v>74</v>
      </c>
      <c r="D28" t="s">
        <v>74</v>
      </c>
      <c r="E28" t="s">
        <v>74</v>
      </c>
      <c r="F28" t="s">
        <v>699</v>
      </c>
      <c r="G28" t="s">
        <v>74</v>
      </c>
      <c r="H28" t="s">
        <v>74</v>
      </c>
      <c r="I28" t="s">
        <v>700</v>
      </c>
      <c r="J28" t="s">
        <v>701</v>
      </c>
      <c r="K28" t="s">
        <v>74</v>
      </c>
      <c r="L28" t="s">
        <v>74</v>
      </c>
      <c r="M28" t="s">
        <v>78</v>
      </c>
      <c r="N28" t="s">
        <v>79</v>
      </c>
      <c r="O28" t="s">
        <v>74</v>
      </c>
      <c r="P28" t="s">
        <v>74</v>
      </c>
      <c r="Q28" t="s">
        <v>74</v>
      </c>
      <c r="R28" t="s">
        <v>74</v>
      </c>
      <c r="S28" t="s">
        <v>74</v>
      </c>
      <c r="T28" t="s">
        <v>702</v>
      </c>
      <c r="U28" t="s">
        <v>703</v>
      </c>
      <c r="V28" t="s">
        <v>704</v>
      </c>
      <c r="W28" t="s">
        <v>705</v>
      </c>
      <c r="X28" t="s">
        <v>706</v>
      </c>
      <c r="Y28" t="s">
        <v>707</v>
      </c>
      <c r="Z28" t="s">
        <v>708</v>
      </c>
      <c r="AA28" t="s">
        <v>74</v>
      </c>
      <c r="AB28" t="s">
        <v>74</v>
      </c>
      <c r="AC28" t="s">
        <v>74</v>
      </c>
      <c r="AD28" t="s">
        <v>74</v>
      </c>
      <c r="AE28" t="s">
        <v>74</v>
      </c>
      <c r="AF28" t="s">
        <v>74</v>
      </c>
      <c r="AG28">
        <v>121</v>
      </c>
      <c r="AH28">
        <v>0</v>
      </c>
      <c r="AI28">
        <v>0</v>
      </c>
      <c r="AJ28">
        <v>1</v>
      </c>
      <c r="AK28">
        <v>1</v>
      </c>
      <c r="AL28" t="s">
        <v>392</v>
      </c>
      <c r="AM28" t="s">
        <v>393</v>
      </c>
      <c r="AN28" t="s">
        <v>394</v>
      </c>
      <c r="AO28" t="s">
        <v>709</v>
      </c>
      <c r="AP28" t="s">
        <v>74</v>
      </c>
      <c r="AQ28" t="s">
        <v>74</v>
      </c>
      <c r="AR28" t="s">
        <v>710</v>
      </c>
      <c r="AS28" t="s">
        <v>711</v>
      </c>
      <c r="AT28" t="s">
        <v>712</v>
      </c>
      <c r="AU28">
        <v>2025</v>
      </c>
      <c r="AV28">
        <v>12</v>
      </c>
      <c r="AW28" t="s">
        <v>74</v>
      </c>
      <c r="AX28" t="s">
        <v>74</v>
      </c>
      <c r="AY28" t="s">
        <v>74</v>
      </c>
      <c r="AZ28" t="s">
        <v>74</v>
      </c>
      <c r="BA28" t="s">
        <v>74</v>
      </c>
      <c r="BB28" t="s">
        <v>74</v>
      </c>
      <c r="BC28" t="s">
        <v>74</v>
      </c>
      <c r="BD28">
        <v>1492275</v>
      </c>
      <c r="BE28" t="s">
        <v>713</v>
      </c>
      <c r="BF28" t="str">
        <f>HYPERLINK("http://dx.doi.org/10.3389/frobt.2025.1492275","http://dx.doi.org/10.3389/frobt.2025.1492275")</f>
        <v>http://dx.doi.org/10.3389/frobt.2025.1492275</v>
      </c>
      <c r="BG28" t="s">
        <v>74</v>
      </c>
      <c r="BH28" t="s">
        <v>74</v>
      </c>
      <c r="BI28">
        <v>24</v>
      </c>
      <c r="BJ28" t="s">
        <v>714</v>
      </c>
      <c r="BK28" t="s">
        <v>155</v>
      </c>
      <c r="BL28" t="s">
        <v>714</v>
      </c>
      <c r="BM28" t="s">
        <v>715</v>
      </c>
      <c r="BN28">
        <v>40384880</v>
      </c>
      <c r="BO28" t="s">
        <v>74</v>
      </c>
      <c r="BP28" t="s">
        <v>74</v>
      </c>
      <c r="BQ28" t="s">
        <v>74</v>
      </c>
      <c r="BR28" t="s">
        <v>105</v>
      </c>
      <c r="BS28" t="s">
        <v>716</v>
      </c>
      <c r="BT28" t="str">
        <f>HYPERLINK("https%3A%2F%2Fwww.webofscience.com%2Fwos%2Fwoscc%2Ffull-record%2FWOS:001488958900001","View Full Record in Web of Science")</f>
        <v>View Full Record in Web of Science</v>
      </c>
    </row>
    <row r="29" spans="1:72" x14ac:dyDescent="0.25">
      <c r="A29" t="s">
        <v>72</v>
      </c>
      <c r="B29" t="s">
        <v>717</v>
      </c>
      <c r="C29" t="s">
        <v>74</v>
      </c>
      <c r="D29" t="s">
        <v>74</v>
      </c>
      <c r="E29" t="s">
        <v>74</v>
      </c>
      <c r="F29" t="s">
        <v>718</v>
      </c>
      <c r="G29" t="s">
        <v>74</v>
      </c>
      <c r="H29" t="s">
        <v>74</v>
      </c>
      <c r="I29" t="s">
        <v>719</v>
      </c>
      <c r="J29" t="s">
        <v>720</v>
      </c>
      <c r="K29" t="s">
        <v>74</v>
      </c>
      <c r="L29" t="s">
        <v>74</v>
      </c>
      <c r="M29" t="s">
        <v>78</v>
      </c>
      <c r="N29" t="s">
        <v>79</v>
      </c>
      <c r="O29" t="s">
        <v>74</v>
      </c>
      <c r="P29" t="s">
        <v>74</v>
      </c>
      <c r="Q29" t="s">
        <v>74</v>
      </c>
      <c r="R29" t="s">
        <v>74</v>
      </c>
      <c r="S29" t="s">
        <v>74</v>
      </c>
      <c r="T29" t="s">
        <v>721</v>
      </c>
      <c r="U29" t="s">
        <v>722</v>
      </c>
      <c r="V29" t="s">
        <v>723</v>
      </c>
      <c r="W29" t="s">
        <v>724</v>
      </c>
      <c r="X29" t="s">
        <v>725</v>
      </c>
      <c r="Y29" t="s">
        <v>726</v>
      </c>
      <c r="Z29" t="s">
        <v>727</v>
      </c>
      <c r="AA29" t="s">
        <v>728</v>
      </c>
      <c r="AB29" t="s">
        <v>729</v>
      </c>
      <c r="AC29" t="s">
        <v>74</v>
      </c>
      <c r="AD29" t="s">
        <v>74</v>
      </c>
      <c r="AE29" t="s">
        <v>74</v>
      </c>
      <c r="AF29" t="s">
        <v>74</v>
      </c>
      <c r="AG29">
        <v>34</v>
      </c>
      <c r="AH29">
        <v>5</v>
      </c>
      <c r="AI29">
        <v>5</v>
      </c>
      <c r="AJ29">
        <v>3</v>
      </c>
      <c r="AK29">
        <v>31</v>
      </c>
      <c r="AL29" t="s">
        <v>730</v>
      </c>
      <c r="AM29" t="s">
        <v>731</v>
      </c>
      <c r="AN29" t="s">
        <v>732</v>
      </c>
      <c r="AO29" t="s">
        <v>733</v>
      </c>
      <c r="AP29" t="s">
        <v>734</v>
      </c>
      <c r="AQ29" t="s">
        <v>74</v>
      </c>
      <c r="AR29" t="s">
        <v>735</v>
      </c>
      <c r="AS29" t="s">
        <v>736</v>
      </c>
      <c r="AT29" t="s">
        <v>74</v>
      </c>
      <c r="AU29">
        <v>2021</v>
      </c>
      <c r="AV29">
        <v>28</v>
      </c>
      <c r="AW29">
        <v>4</v>
      </c>
      <c r="AX29" t="s">
        <v>74</v>
      </c>
      <c r="AY29" t="s">
        <v>74</v>
      </c>
      <c r="AZ29" t="s">
        <v>74</v>
      </c>
      <c r="BA29" t="s">
        <v>74</v>
      </c>
      <c r="BB29">
        <v>14</v>
      </c>
      <c r="BC29">
        <v>23</v>
      </c>
      <c r="BD29" t="s">
        <v>74</v>
      </c>
      <c r="BE29" t="s">
        <v>737</v>
      </c>
      <c r="BF29" t="str">
        <f>HYPERLINK("http://dx.doi.org/10.21315/mjms2021.28.4.3","http://dx.doi.org/10.21315/mjms2021.28.4.3")</f>
        <v>http://dx.doi.org/10.21315/mjms2021.28.4.3</v>
      </c>
      <c r="BG29" t="s">
        <v>74</v>
      </c>
      <c r="BH29" t="s">
        <v>74</v>
      </c>
      <c r="BI29">
        <v>10</v>
      </c>
      <c r="BJ29" t="s">
        <v>738</v>
      </c>
      <c r="BK29" t="s">
        <v>155</v>
      </c>
      <c r="BL29" t="s">
        <v>739</v>
      </c>
      <c r="BM29" t="s">
        <v>740</v>
      </c>
      <c r="BN29">
        <v>34512127</v>
      </c>
      <c r="BO29" t="s">
        <v>131</v>
      </c>
      <c r="BP29" t="s">
        <v>74</v>
      </c>
      <c r="BQ29" t="s">
        <v>74</v>
      </c>
      <c r="BR29" t="s">
        <v>105</v>
      </c>
      <c r="BS29" t="s">
        <v>741</v>
      </c>
      <c r="BT29" t="str">
        <f>HYPERLINK("https%3A%2F%2Fwww.webofscience.com%2Fwos%2Fwoscc%2Ffull-record%2FWOS:000691058400003","View Full Record in Web of Science")</f>
        <v>View Full Record in Web of Science</v>
      </c>
    </row>
    <row r="30" spans="1:72" x14ac:dyDescent="0.25">
      <c r="A30" t="s">
        <v>72</v>
      </c>
      <c r="B30" t="s">
        <v>742</v>
      </c>
      <c r="C30" t="s">
        <v>74</v>
      </c>
      <c r="D30" t="s">
        <v>74</v>
      </c>
      <c r="E30" t="s">
        <v>74</v>
      </c>
      <c r="F30" t="s">
        <v>743</v>
      </c>
      <c r="G30" t="s">
        <v>74</v>
      </c>
      <c r="H30" t="s">
        <v>74</v>
      </c>
      <c r="I30" t="s">
        <v>744</v>
      </c>
      <c r="J30" t="s">
        <v>382</v>
      </c>
      <c r="K30" t="s">
        <v>74</v>
      </c>
      <c r="L30" t="s">
        <v>74</v>
      </c>
      <c r="M30" t="s">
        <v>78</v>
      </c>
      <c r="N30" t="s">
        <v>79</v>
      </c>
      <c r="O30" t="s">
        <v>74</v>
      </c>
      <c r="P30" t="s">
        <v>74</v>
      </c>
      <c r="Q30" t="s">
        <v>74</v>
      </c>
      <c r="R30" t="s">
        <v>74</v>
      </c>
      <c r="S30" t="s">
        <v>74</v>
      </c>
      <c r="T30" t="s">
        <v>745</v>
      </c>
      <c r="U30" t="s">
        <v>746</v>
      </c>
      <c r="V30" t="s">
        <v>747</v>
      </c>
      <c r="W30" t="s">
        <v>748</v>
      </c>
      <c r="X30" t="s">
        <v>749</v>
      </c>
      <c r="Y30" t="s">
        <v>750</v>
      </c>
      <c r="Z30" t="s">
        <v>751</v>
      </c>
      <c r="AA30" t="s">
        <v>752</v>
      </c>
      <c r="AB30" t="s">
        <v>753</v>
      </c>
      <c r="AC30" t="s">
        <v>754</v>
      </c>
      <c r="AD30" t="s">
        <v>754</v>
      </c>
      <c r="AE30" t="s">
        <v>754</v>
      </c>
      <c r="AF30" t="s">
        <v>74</v>
      </c>
      <c r="AG30">
        <v>79</v>
      </c>
      <c r="AH30">
        <v>7</v>
      </c>
      <c r="AI30">
        <v>8</v>
      </c>
      <c r="AJ30">
        <v>2</v>
      </c>
      <c r="AK30">
        <v>17</v>
      </c>
      <c r="AL30" t="s">
        <v>392</v>
      </c>
      <c r="AM30" t="s">
        <v>393</v>
      </c>
      <c r="AN30" t="s">
        <v>394</v>
      </c>
      <c r="AO30" t="s">
        <v>395</v>
      </c>
      <c r="AP30" t="s">
        <v>74</v>
      </c>
      <c r="AQ30" t="s">
        <v>74</v>
      </c>
      <c r="AR30" t="s">
        <v>396</v>
      </c>
      <c r="AS30" t="s">
        <v>397</v>
      </c>
      <c r="AT30" t="s">
        <v>755</v>
      </c>
      <c r="AU30">
        <v>2023</v>
      </c>
      <c r="AV30">
        <v>14</v>
      </c>
      <c r="AW30" t="s">
        <v>74</v>
      </c>
      <c r="AX30" t="s">
        <v>74</v>
      </c>
      <c r="AY30" t="s">
        <v>74</v>
      </c>
      <c r="AZ30" t="s">
        <v>74</v>
      </c>
      <c r="BA30" t="s">
        <v>74</v>
      </c>
      <c r="BB30" t="s">
        <v>74</v>
      </c>
      <c r="BC30" t="s">
        <v>74</v>
      </c>
      <c r="BD30">
        <v>1256392</v>
      </c>
      <c r="BE30" t="s">
        <v>756</v>
      </c>
      <c r="BF30" t="str">
        <f>HYPERLINK("http://dx.doi.org/10.3389/fneur.2023.1256392","http://dx.doi.org/10.3389/fneur.2023.1256392")</f>
        <v>http://dx.doi.org/10.3389/fneur.2023.1256392</v>
      </c>
      <c r="BG30" t="s">
        <v>74</v>
      </c>
      <c r="BH30" t="s">
        <v>74</v>
      </c>
      <c r="BI30">
        <v>31</v>
      </c>
      <c r="BJ30" t="s">
        <v>400</v>
      </c>
      <c r="BK30" t="s">
        <v>182</v>
      </c>
      <c r="BL30" t="s">
        <v>375</v>
      </c>
      <c r="BM30" t="s">
        <v>757</v>
      </c>
      <c r="BN30">
        <v>37799279</v>
      </c>
      <c r="BO30" t="s">
        <v>131</v>
      </c>
      <c r="BP30" t="s">
        <v>74</v>
      </c>
      <c r="BQ30" t="s">
        <v>74</v>
      </c>
      <c r="BR30" t="s">
        <v>105</v>
      </c>
      <c r="BS30" t="s">
        <v>758</v>
      </c>
      <c r="BT30" t="str">
        <f>HYPERLINK("https%3A%2F%2Fwww.webofscience.com%2Fwos%2Fwoscc%2Ffull-record%2FWOS:001076988000001","View Full Record in Web of Science")</f>
        <v>View Full Record in Web of Science</v>
      </c>
    </row>
    <row r="31" spans="1:72" x14ac:dyDescent="0.25">
      <c r="A31" t="s">
        <v>72</v>
      </c>
      <c r="B31" t="s">
        <v>759</v>
      </c>
      <c r="C31" t="s">
        <v>74</v>
      </c>
      <c r="D31" t="s">
        <v>74</v>
      </c>
      <c r="E31" t="s">
        <v>74</v>
      </c>
      <c r="F31" t="s">
        <v>760</v>
      </c>
      <c r="G31" t="s">
        <v>74</v>
      </c>
      <c r="H31" t="s">
        <v>74</v>
      </c>
      <c r="I31" t="s">
        <v>761</v>
      </c>
      <c r="J31" t="s">
        <v>762</v>
      </c>
      <c r="K31" t="s">
        <v>74</v>
      </c>
      <c r="L31" t="s">
        <v>74</v>
      </c>
      <c r="M31" t="s">
        <v>78</v>
      </c>
      <c r="N31" t="s">
        <v>79</v>
      </c>
      <c r="O31" t="s">
        <v>74</v>
      </c>
      <c r="P31" t="s">
        <v>74</v>
      </c>
      <c r="Q31" t="s">
        <v>74</v>
      </c>
      <c r="R31" t="s">
        <v>74</v>
      </c>
      <c r="S31" t="s">
        <v>74</v>
      </c>
      <c r="T31" t="s">
        <v>763</v>
      </c>
      <c r="U31" t="s">
        <v>764</v>
      </c>
      <c r="V31" t="s">
        <v>765</v>
      </c>
      <c r="W31" t="s">
        <v>766</v>
      </c>
      <c r="X31" t="s">
        <v>767</v>
      </c>
      <c r="Y31" t="s">
        <v>768</v>
      </c>
      <c r="Z31" t="s">
        <v>769</v>
      </c>
      <c r="AA31" t="s">
        <v>770</v>
      </c>
      <c r="AB31" t="s">
        <v>771</v>
      </c>
      <c r="AC31" t="s">
        <v>772</v>
      </c>
      <c r="AD31" t="s">
        <v>773</v>
      </c>
      <c r="AE31" t="s">
        <v>774</v>
      </c>
      <c r="AF31" t="s">
        <v>74</v>
      </c>
      <c r="AG31">
        <v>65</v>
      </c>
      <c r="AH31">
        <v>20</v>
      </c>
      <c r="AI31">
        <v>20</v>
      </c>
      <c r="AJ31">
        <v>0</v>
      </c>
      <c r="AK31">
        <v>40</v>
      </c>
      <c r="AL31" t="s">
        <v>346</v>
      </c>
      <c r="AM31" t="s">
        <v>227</v>
      </c>
      <c r="AN31" t="s">
        <v>347</v>
      </c>
      <c r="AO31" t="s">
        <v>775</v>
      </c>
      <c r="AP31" t="s">
        <v>776</v>
      </c>
      <c r="AQ31" t="s">
        <v>74</v>
      </c>
      <c r="AR31" t="s">
        <v>777</v>
      </c>
      <c r="AS31" t="s">
        <v>778</v>
      </c>
      <c r="AT31" t="s">
        <v>151</v>
      </c>
      <c r="AU31">
        <v>2013</v>
      </c>
      <c r="AV31">
        <v>26</v>
      </c>
      <c r="AW31">
        <v>6</v>
      </c>
      <c r="AX31" t="s">
        <v>74</v>
      </c>
      <c r="AY31" t="s">
        <v>74</v>
      </c>
      <c r="AZ31" t="s">
        <v>74</v>
      </c>
      <c r="BA31" t="s">
        <v>74</v>
      </c>
      <c r="BB31">
        <v>626</v>
      </c>
      <c r="BC31">
        <v>631</v>
      </c>
      <c r="BD31" t="s">
        <v>74</v>
      </c>
      <c r="BE31" t="s">
        <v>779</v>
      </c>
      <c r="BF31" t="str">
        <f>HYPERLINK("http://dx.doi.org/10.1097/WCO.0000000000000031","http://dx.doi.org/10.1097/WCO.0000000000000031")</f>
        <v>http://dx.doi.org/10.1097/WCO.0000000000000031</v>
      </c>
      <c r="BG31" t="s">
        <v>74</v>
      </c>
      <c r="BH31" t="s">
        <v>74</v>
      </c>
      <c r="BI31">
        <v>6</v>
      </c>
      <c r="BJ31" t="s">
        <v>400</v>
      </c>
      <c r="BK31" t="s">
        <v>182</v>
      </c>
      <c r="BL31" t="s">
        <v>375</v>
      </c>
      <c r="BM31" t="s">
        <v>780</v>
      </c>
      <c r="BN31">
        <v>24136127</v>
      </c>
      <c r="BO31" t="s">
        <v>74</v>
      </c>
      <c r="BP31" t="s">
        <v>74</v>
      </c>
      <c r="BQ31" t="s">
        <v>74</v>
      </c>
      <c r="BR31" t="s">
        <v>105</v>
      </c>
      <c r="BS31" t="s">
        <v>781</v>
      </c>
      <c r="BT31" t="str">
        <f>HYPERLINK("https%3A%2F%2Fwww.webofscience.com%2Fwos%2Fwoscc%2Ffull-record%2FWOS:000327554300005","View Full Record in Web of Science")</f>
        <v>View Full Record in Web of Science</v>
      </c>
    </row>
    <row r="32" spans="1:72" x14ac:dyDescent="0.25">
      <c r="A32" t="s">
        <v>72</v>
      </c>
      <c r="B32" t="s">
        <v>782</v>
      </c>
      <c r="C32" t="s">
        <v>74</v>
      </c>
      <c r="D32" t="s">
        <v>74</v>
      </c>
      <c r="E32" t="s">
        <v>74</v>
      </c>
      <c r="F32" t="s">
        <v>783</v>
      </c>
      <c r="G32" t="s">
        <v>74</v>
      </c>
      <c r="H32" t="s">
        <v>74</v>
      </c>
      <c r="I32" t="s">
        <v>784</v>
      </c>
      <c r="J32" t="s">
        <v>785</v>
      </c>
      <c r="K32" t="s">
        <v>74</v>
      </c>
      <c r="L32" t="s">
        <v>74</v>
      </c>
      <c r="M32" t="s">
        <v>78</v>
      </c>
      <c r="N32" t="s">
        <v>79</v>
      </c>
      <c r="O32" t="s">
        <v>74</v>
      </c>
      <c r="P32" t="s">
        <v>74</v>
      </c>
      <c r="Q32" t="s">
        <v>74</v>
      </c>
      <c r="R32" t="s">
        <v>74</v>
      </c>
      <c r="S32" t="s">
        <v>74</v>
      </c>
      <c r="T32" t="s">
        <v>786</v>
      </c>
      <c r="U32" t="s">
        <v>787</v>
      </c>
      <c r="V32" t="s">
        <v>788</v>
      </c>
      <c r="W32" t="s">
        <v>789</v>
      </c>
      <c r="X32" t="s">
        <v>790</v>
      </c>
      <c r="Y32" t="s">
        <v>791</v>
      </c>
      <c r="Z32" t="s">
        <v>792</v>
      </c>
      <c r="AA32" t="s">
        <v>793</v>
      </c>
      <c r="AB32" t="s">
        <v>794</v>
      </c>
      <c r="AC32" t="s">
        <v>795</v>
      </c>
      <c r="AD32" t="s">
        <v>796</v>
      </c>
      <c r="AE32" t="s">
        <v>797</v>
      </c>
      <c r="AF32" t="s">
        <v>74</v>
      </c>
      <c r="AG32">
        <v>165</v>
      </c>
      <c r="AH32">
        <v>47</v>
      </c>
      <c r="AI32">
        <v>52</v>
      </c>
      <c r="AJ32">
        <v>5</v>
      </c>
      <c r="AK32">
        <v>81</v>
      </c>
      <c r="AL32" t="s">
        <v>172</v>
      </c>
      <c r="AM32" t="s">
        <v>173</v>
      </c>
      <c r="AN32" t="s">
        <v>174</v>
      </c>
      <c r="AO32" t="s">
        <v>798</v>
      </c>
      <c r="AP32" t="s">
        <v>799</v>
      </c>
      <c r="AQ32" t="s">
        <v>74</v>
      </c>
      <c r="AR32" t="s">
        <v>800</v>
      </c>
      <c r="AS32" t="s">
        <v>801</v>
      </c>
      <c r="AT32" t="s">
        <v>634</v>
      </c>
      <c r="AU32">
        <v>2014</v>
      </c>
      <c r="AV32">
        <v>42</v>
      </c>
      <c r="AW32">
        <v>8</v>
      </c>
      <c r="AX32" t="s">
        <v>74</v>
      </c>
      <c r="AY32" t="s">
        <v>74</v>
      </c>
      <c r="AZ32" t="s">
        <v>74</v>
      </c>
      <c r="BA32" t="s">
        <v>74</v>
      </c>
      <c r="BB32">
        <v>1573</v>
      </c>
      <c r="BC32">
        <v>1593</v>
      </c>
      <c r="BD32" t="s">
        <v>74</v>
      </c>
      <c r="BE32" t="s">
        <v>802</v>
      </c>
      <c r="BF32" t="str">
        <f>HYPERLINK("http://dx.doi.org/10.1007/s10439-014-1032-6","http://dx.doi.org/10.1007/s10439-014-1032-6")</f>
        <v>http://dx.doi.org/10.1007/s10439-014-1032-6</v>
      </c>
      <c r="BG32" t="s">
        <v>74</v>
      </c>
      <c r="BH32" t="s">
        <v>74</v>
      </c>
      <c r="BI32">
        <v>21</v>
      </c>
      <c r="BJ32" t="s">
        <v>282</v>
      </c>
      <c r="BK32" t="s">
        <v>182</v>
      </c>
      <c r="BL32" t="s">
        <v>183</v>
      </c>
      <c r="BM32" t="s">
        <v>803</v>
      </c>
      <c r="BN32">
        <v>24833254</v>
      </c>
      <c r="BO32" t="s">
        <v>804</v>
      </c>
      <c r="BP32" t="s">
        <v>74</v>
      </c>
      <c r="BQ32" t="s">
        <v>74</v>
      </c>
      <c r="BR32" t="s">
        <v>105</v>
      </c>
      <c r="BS32" t="s">
        <v>805</v>
      </c>
      <c r="BT32" t="str">
        <f>HYPERLINK("https%3A%2F%2Fwww.webofscience.com%2Fwos%2Fwoscc%2Ffull-record%2FWOS:000339399000001","View Full Record in Web of Science")</f>
        <v>View Full Record in Web of Science</v>
      </c>
    </row>
    <row r="33" spans="1:72" x14ac:dyDescent="0.25">
      <c r="A33" t="s">
        <v>72</v>
      </c>
      <c r="B33" t="s">
        <v>806</v>
      </c>
      <c r="C33" t="s">
        <v>74</v>
      </c>
      <c r="D33" t="s">
        <v>74</v>
      </c>
      <c r="E33" t="s">
        <v>74</v>
      </c>
      <c r="F33" t="s">
        <v>807</v>
      </c>
      <c r="G33" t="s">
        <v>74</v>
      </c>
      <c r="H33" t="s">
        <v>74</v>
      </c>
      <c r="I33" t="s">
        <v>808</v>
      </c>
      <c r="J33" t="s">
        <v>494</v>
      </c>
      <c r="K33" t="s">
        <v>74</v>
      </c>
      <c r="L33" t="s">
        <v>74</v>
      </c>
      <c r="M33" t="s">
        <v>78</v>
      </c>
      <c r="N33" t="s">
        <v>79</v>
      </c>
      <c r="O33" t="s">
        <v>74</v>
      </c>
      <c r="P33" t="s">
        <v>74</v>
      </c>
      <c r="Q33" t="s">
        <v>74</v>
      </c>
      <c r="R33" t="s">
        <v>74</v>
      </c>
      <c r="S33" t="s">
        <v>74</v>
      </c>
      <c r="T33" t="s">
        <v>809</v>
      </c>
      <c r="U33" t="s">
        <v>810</v>
      </c>
      <c r="V33" t="s">
        <v>811</v>
      </c>
      <c r="W33" t="s">
        <v>812</v>
      </c>
      <c r="X33" t="s">
        <v>74</v>
      </c>
      <c r="Y33" t="s">
        <v>813</v>
      </c>
      <c r="Z33" t="s">
        <v>814</v>
      </c>
      <c r="AA33" t="s">
        <v>815</v>
      </c>
      <c r="AB33" t="s">
        <v>74</v>
      </c>
      <c r="AC33" t="s">
        <v>74</v>
      </c>
      <c r="AD33" t="s">
        <v>74</v>
      </c>
      <c r="AE33" t="s">
        <v>74</v>
      </c>
      <c r="AF33" t="s">
        <v>74</v>
      </c>
      <c r="AG33">
        <v>35</v>
      </c>
      <c r="AH33">
        <v>1</v>
      </c>
      <c r="AI33">
        <v>1</v>
      </c>
      <c r="AJ33">
        <v>2</v>
      </c>
      <c r="AK33">
        <v>11</v>
      </c>
      <c r="AL33" t="s">
        <v>504</v>
      </c>
      <c r="AM33" t="s">
        <v>505</v>
      </c>
      <c r="AN33" t="s">
        <v>816</v>
      </c>
      <c r="AO33" t="s">
        <v>507</v>
      </c>
      <c r="AP33" t="s">
        <v>508</v>
      </c>
      <c r="AQ33" t="s">
        <v>74</v>
      </c>
      <c r="AR33" t="s">
        <v>509</v>
      </c>
      <c r="AS33" t="s">
        <v>510</v>
      </c>
      <c r="AT33" t="s">
        <v>151</v>
      </c>
      <c r="AU33">
        <v>2020</v>
      </c>
      <c r="AV33">
        <v>15</v>
      </c>
      <c r="AW33">
        <v>6</v>
      </c>
      <c r="AX33" t="s">
        <v>74</v>
      </c>
      <c r="AY33" t="s">
        <v>74</v>
      </c>
      <c r="AZ33" t="s">
        <v>74</v>
      </c>
      <c r="BA33" t="s">
        <v>74</v>
      </c>
      <c r="BB33">
        <v>175</v>
      </c>
      <c r="BC33">
        <v>179</v>
      </c>
      <c r="BD33" t="s">
        <v>74</v>
      </c>
      <c r="BE33" t="s">
        <v>817</v>
      </c>
      <c r="BF33" t="str">
        <f>HYPERLINK("http://dx.doi.org/10.4103/injr.injr_90_20","http://dx.doi.org/10.4103/injr.injr_90_20")</f>
        <v>http://dx.doi.org/10.4103/injr.injr_90_20</v>
      </c>
      <c r="BG33" t="s">
        <v>74</v>
      </c>
      <c r="BH33" t="s">
        <v>74</v>
      </c>
      <c r="BI33">
        <v>5</v>
      </c>
      <c r="BJ33" t="s">
        <v>515</v>
      </c>
      <c r="BK33" t="s">
        <v>155</v>
      </c>
      <c r="BL33" t="s">
        <v>515</v>
      </c>
      <c r="BM33" t="s">
        <v>818</v>
      </c>
      <c r="BN33" t="s">
        <v>74</v>
      </c>
      <c r="BO33" t="s">
        <v>185</v>
      </c>
      <c r="BP33" t="s">
        <v>74</v>
      </c>
      <c r="BQ33" t="s">
        <v>74</v>
      </c>
      <c r="BR33" t="s">
        <v>105</v>
      </c>
      <c r="BS33" t="s">
        <v>819</v>
      </c>
      <c r="BT33" t="str">
        <f>HYPERLINK("https%3A%2F%2Fwww.webofscience.com%2Fwos%2Fwoscc%2Ffull-record%2FWOS:000612722800013","View Full Record in Web of Science")</f>
        <v>View Full Record in Web of Science</v>
      </c>
    </row>
    <row r="34" spans="1:72" x14ac:dyDescent="0.25">
      <c r="A34" t="s">
        <v>72</v>
      </c>
      <c r="B34" t="s">
        <v>820</v>
      </c>
      <c r="C34" t="s">
        <v>74</v>
      </c>
      <c r="D34" t="s">
        <v>74</v>
      </c>
      <c r="E34" t="s">
        <v>74</v>
      </c>
      <c r="F34" t="s">
        <v>821</v>
      </c>
      <c r="G34" t="s">
        <v>74</v>
      </c>
      <c r="H34" t="s">
        <v>74</v>
      </c>
      <c r="I34" t="s">
        <v>822</v>
      </c>
      <c r="J34" t="s">
        <v>823</v>
      </c>
      <c r="K34" t="s">
        <v>74</v>
      </c>
      <c r="L34" t="s">
        <v>74</v>
      </c>
      <c r="M34" t="s">
        <v>78</v>
      </c>
      <c r="N34" t="s">
        <v>79</v>
      </c>
      <c r="O34" t="s">
        <v>74</v>
      </c>
      <c r="P34" t="s">
        <v>74</v>
      </c>
      <c r="Q34" t="s">
        <v>74</v>
      </c>
      <c r="R34" t="s">
        <v>74</v>
      </c>
      <c r="S34" t="s">
        <v>74</v>
      </c>
      <c r="T34" t="s">
        <v>824</v>
      </c>
      <c r="U34" t="s">
        <v>825</v>
      </c>
      <c r="V34" t="s">
        <v>826</v>
      </c>
      <c r="W34" t="s">
        <v>827</v>
      </c>
      <c r="X34" t="s">
        <v>828</v>
      </c>
      <c r="Y34" t="s">
        <v>829</v>
      </c>
      <c r="Z34" t="s">
        <v>830</v>
      </c>
      <c r="AA34" t="s">
        <v>831</v>
      </c>
      <c r="AB34" t="s">
        <v>832</v>
      </c>
      <c r="AC34" t="s">
        <v>833</v>
      </c>
      <c r="AD34" t="s">
        <v>834</v>
      </c>
      <c r="AE34" t="s">
        <v>835</v>
      </c>
      <c r="AF34" t="s">
        <v>74</v>
      </c>
      <c r="AG34">
        <v>76</v>
      </c>
      <c r="AH34">
        <v>101</v>
      </c>
      <c r="AI34">
        <v>107</v>
      </c>
      <c r="AJ34">
        <v>20</v>
      </c>
      <c r="AK34">
        <v>324</v>
      </c>
      <c r="AL34" t="s">
        <v>836</v>
      </c>
      <c r="AM34" t="s">
        <v>532</v>
      </c>
      <c r="AN34" t="s">
        <v>837</v>
      </c>
      <c r="AO34" t="s">
        <v>838</v>
      </c>
      <c r="AP34" t="s">
        <v>839</v>
      </c>
      <c r="AQ34" t="s">
        <v>74</v>
      </c>
      <c r="AR34" t="s">
        <v>840</v>
      </c>
      <c r="AS34" t="s">
        <v>841</v>
      </c>
      <c r="AT34" t="s">
        <v>487</v>
      </c>
      <c r="AU34">
        <v>2019</v>
      </c>
      <c r="AV34">
        <v>134</v>
      </c>
      <c r="AW34" t="s">
        <v>74</v>
      </c>
      <c r="AX34" t="s">
        <v>74</v>
      </c>
      <c r="AY34" t="s">
        <v>74</v>
      </c>
      <c r="AZ34" t="s">
        <v>74</v>
      </c>
      <c r="BA34" t="s">
        <v>74</v>
      </c>
      <c r="BB34">
        <v>499</v>
      </c>
      <c r="BC34">
        <v>511</v>
      </c>
      <c r="BD34" t="s">
        <v>74</v>
      </c>
      <c r="BE34" t="s">
        <v>842</v>
      </c>
      <c r="BF34" t="str">
        <f>HYPERLINK("http://dx.doi.org/10.1016/j.mechmachtheory.2019.01.016","http://dx.doi.org/10.1016/j.mechmachtheory.2019.01.016")</f>
        <v>http://dx.doi.org/10.1016/j.mechmachtheory.2019.01.016</v>
      </c>
      <c r="BG34" t="s">
        <v>74</v>
      </c>
      <c r="BH34" t="s">
        <v>74</v>
      </c>
      <c r="BI34">
        <v>13</v>
      </c>
      <c r="BJ34" t="s">
        <v>181</v>
      </c>
      <c r="BK34" t="s">
        <v>182</v>
      </c>
      <c r="BL34" t="s">
        <v>183</v>
      </c>
      <c r="BM34" t="s">
        <v>843</v>
      </c>
      <c r="BN34" t="s">
        <v>74</v>
      </c>
      <c r="BO34" t="s">
        <v>74</v>
      </c>
      <c r="BP34" t="s">
        <v>74</v>
      </c>
      <c r="BQ34" t="s">
        <v>74</v>
      </c>
      <c r="BR34" t="s">
        <v>105</v>
      </c>
      <c r="BS34" t="s">
        <v>844</v>
      </c>
      <c r="BT34" t="str">
        <f>HYPERLINK("https%3A%2F%2Fwww.webofscience.com%2Fwos%2Fwoscc%2Ffull-record%2FWOS:000457747100028","View Full Record in Web of Science")</f>
        <v>View Full Record in Web of Science</v>
      </c>
    </row>
    <row r="35" spans="1:72" x14ac:dyDescent="0.25">
      <c r="A35" t="s">
        <v>72</v>
      </c>
      <c r="B35" t="s">
        <v>845</v>
      </c>
      <c r="C35" t="s">
        <v>74</v>
      </c>
      <c r="D35" t="s">
        <v>74</v>
      </c>
      <c r="E35" t="s">
        <v>74</v>
      </c>
      <c r="F35" t="s">
        <v>846</v>
      </c>
      <c r="G35" t="s">
        <v>74</v>
      </c>
      <c r="H35" t="s">
        <v>74</v>
      </c>
      <c r="I35" t="s">
        <v>847</v>
      </c>
      <c r="J35" t="s">
        <v>848</v>
      </c>
      <c r="K35" t="s">
        <v>74</v>
      </c>
      <c r="L35" t="s">
        <v>74</v>
      </c>
      <c r="M35" t="s">
        <v>78</v>
      </c>
      <c r="N35" t="s">
        <v>79</v>
      </c>
      <c r="O35" t="s">
        <v>74</v>
      </c>
      <c r="P35" t="s">
        <v>74</v>
      </c>
      <c r="Q35" t="s">
        <v>74</v>
      </c>
      <c r="R35" t="s">
        <v>74</v>
      </c>
      <c r="S35" t="s">
        <v>74</v>
      </c>
      <c r="T35" t="s">
        <v>849</v>
      </c>
      <c r="U35" t="s">
        <v>850</v>
      </c>
      <c r="V35" t="s">
        <v>851</v>
      </c>
      <c r="W35" t="s">
        <v>852</v>
      </c>
      <c r="X35" t="s">
        <v>853</v>
      </c>
      <c r="Y35" t="s">
        <v>854</v>
      </c>
      <c r="Z35" t="s">
        <v>855</v>
      </c>
      <c r="AA35" t="s">
        <v>476</v>
      </c>
      <c r="AB35" t="s">
        <v>856</v>
      </c>
      <c r="AC35" t="s">
        <v>857</v>
      </c>
      <c r="AD35" t="s">
        <v>857</v>
      </c>
      <c r="AE35" t="s">
        <v>858</v>
      </c>
      <c r="AF35" t="s">
        <v>74</v>
      </c>
      <c r="AG35">
        <v>73</v>
      </c>
      <c r="AH35">
        <v>208</v>
      </c>
      <c r="AI35">
        <v>213</v>
      </c>
      <c r="AJ35">
        <v>19</v>
      </c>
      <c r="AK35">
        <v>146</v>
      </c>
      <c r="AL35" t="s">
        <v>92</v>
      </c>
      <c r="AM35" t="s">
        <v>93</v>
      </c>
      <c r="AN35" t="s">
        <v>94</v>
      </c>
      <c r="AO35" t="s">
        <v>859</v>
      </c>
      <c r="AP35" t="s">
        <v>860</v>
      </c>
      <c r="AQ35" t="s">
        <v>74</v>
      </c>
      <c r="AR35" t="s">
        <v>861</v>
      </c>
      <c r="AS35" t="s">
        <v>862</v>
      </c>
      <c r="AT35" t="s">
        <v>863</v>
      </c>
      <c r="AU35">
        <v>2021</v>
      </c>
      <c r="AV35">
        <v>21</v>
      </c>
      <c r="AW35">
        <v>1</v>
      </c>
      <c r="AX35" t="s">
        <v>74</v>
      </c>
      <c r="AY35" t="s">
        <v>74</v>
      </c>
      <c r="AZ35" t="s">
        <v>74</v>
      </c>
      <c r="BA35" t="s">
        <v>74</v>
      </c>
      <c r="BB35">
        <v>111</v>
      </c>
      <c r="BC35">
        <v>121</v>
      </c>
      <c r="BD35" t="s">
        <v>74</v>
      </c>
      <c r="BE35" t="s">
        <v>864</v>
      </c>
      <c r="BF35" t="str">
        <f>HYPERLINK("http://dx.doi.org/10.1080/14737175.2021.1847646","http://dx.doi.org/10.1080/14737175.2021.1847646")</f>
        <v>http://dx.doi.org/10.1080/14737175.2021.1847646</v>
      </c>
      <c r="BG35" t="s">
        <v>74</v>
      </c>
      <c r="BH35" t="s">
        <v>865</v>
      </c>
      <c r="BI35">
        <v>11</v>
      </c>
      <c r="BJ35" t="s">
        <v>866</v>
      </c>
      <c r="BK35" t="s">
        <v>182</v>
      </c>
      <c r="BL35" t="s">
        <v>867</v>
      </c>
      <c r="BM35" t="s">
        <v>868</v>
      </c>
      <c r="BN35">
        <v>33198522</v>
      </c>
      <c r="BO35" t="s">
        <v>74</v>
      </c>
      <c r="BP35" t="s">
        <v>869</v>
      </c>
      <c r="BQ35" t="s">
        <v>870</v>
      </c>
      <c r="BR35" t="s">
        <v>105</v>
      </c>
      <c r="BS35" t="s">
        <v>871</v>
      </c>
      <c r="BT35" t="str">
        <f>HYPERLINK("https%3A%2F%2Fwww.webofscience.com%2Fwos%2Fwoscc%2Ffull-record%2FWOS:000589851900001","View Full Record in Web of Science")</f>
        <v>View Full Record in Web of Science</v>
      </c>
    </row>
    <row r="36" spans="1:72" x14ac:dyDescent="0.25">
      <c r="A36" t="s">
        <v>72</v>
      </c>
      <c r="B36" t="s">
        <v>872</v>
      </c>
      <c r="C36" t="s">
        <v>74</v>
      </c>
      <c r="D36" t="s">
        <v>74</v>
      </c>
      <c r="E36" t="s">
        <v>74</v>
      </c>
      <c r="F36" t="s">
        <v>873</v>
      </c>
      <c r="G36" t="s">
        <v>74</v>
      </c>
      <c r="H36" t="s">
        <v>74</v>
      </c>
      <c r="I36" t="s">
        <v>874</v>
      </c>
      <c r="J36" t="s">
        <v>77</v>
      </c>
      <c r="K36" t="s">
        <v>74</v>
      </c>
      <c r="L36" t="s">
        <v>74</v>
      </c>
      <c r="M36" t="s">
        <v>78</v>
      </c>
      <c r="N36" t="s">
        <v>79</v>
      </c>
      <c r="O36" t="s">
        <v>74</v>
      </c>
      <c r="P36" t="s">
        <v>74</v>
      </c>
      <c r="Q36" t="s">
        <v>74</v>
      </c>
      <c r="R36" t="s">
        <v>74</v>
      </c>
      <c r="S36" t="s">
        <v>74</v>
      </c>
      <c r="T36" t="s">
        <v>875</v>
      </c>
      <c r="U36" t="s">
        <v>876</v>
      </c>
      <c r="V36" t="s">
        <v>877</v>
      </c>
      <c r="W36" t="s">
        <v>878</v>
      </c>
      <c r="X36" t="s">
        <v>879</v>
      </c>
      <c r="Y36" t="s">
        <v>880</v>
      </c>
      <c r="Z36" t="s">
        <v>881</v>
      </c>
      <c r="AA36" t="s">
        <v>882</v>
      </c>
      <c r="AB36" t="s">
        <v>883</v>
      </c>
      <c r="AC36" t="s">
        <v>74</v>
      </c>
      <c r="AD36" t="s">
        <v>74</v>
      </c>
      <c r="AE36" t="s">
        <v>74</v>
      </c>
      <c r="AF36" t="s">
        <v>74</v>
      </c>
      <c r="AG36">
        <v>95</v>
      </c>
      <c r="AH36">
        <v>40</v>
      </c>
      <c r="AI36">
        <v>44</v>
      </c>
      <c r="AJ36">
        <v>2</v>
      </c>
      <c r="AK36">
        <v>52</v>
      </c>
      <c r="AL36" t="s">
        <v>92</v>
      </c>
      <c r="AM36" t="s">
        <v>93</v>
      </c>
      <c r="AN36" t="s">
        <v>94</v>
      </c>
      <c r="AO36" t="s">
        <v>95</v>
      </c>
      <c r="AP36" t="s">
        <v>96</v>
      </c>
      <c r="AQ36" t="s">
        <v>74</v>
      </c>
      <c r="AR36" t="s">
        <v>97</v>
      </c>
      <c r="AS36" t="s">
        <v>98</v>
      </c>
      <c r="AT36" t="s">
        <v>884</v>
      </c>
      <c r="AU36">
        <v>2020</v>
      </c>
      <c r="AV36">
        <v>42</v>
      </c>
      <c r="AW36">
        <v>12</v>
      </c>
      <c r="AX36" t="s">
        <v>74</v>
      </c>
      <c r="AY36" t="s">
        <v>74</v>
      </c>
      <c r="AZ36" t="s">
        <v>74</v>
      </c>
      <c r="BA36" t="s">
        <v>74</v>
      </c>
      <c r="BB36">
        <v>1636</v>
      </c>
      <c r="BC36">
        <v>1649</v>
      </c>
      <c r="BD36" t="s">
        <v>74</v>
      </c>
      <c r="BE36" t="s">
        <v>885</v>
      </c>
      <c r="BF36" t="str">
        <f>HYPERLINK("http://dx.doi.org/10.1080/09638288.2019.1590865","http://dx.doi.org/10.1080/09638288.2019.1590865")</f>
        <v>http://dx.doi.org/10.1080/09638288.2019.1590865</v>
      </c>
      <c r="BG36" t="s">
        <v>74</v>
      </c>
      <c r="BH36" t="s">
        <v>886</v>
      </c>
      <c r="BI36">
        <v>14</v>
      </c>
      <c r="BJ36" t="s">
        <v>101</v>
      </c>
      <c r="BK36" t="s">
        <v>102</v>
      </c>
      <c r="BL36" t="s">
        <v>101</v>
      </c>
      <c r="BM36" t="s">
        <v>887</v>
      </c>
      <c r="BN36">
        <v>31017023</v>
      </c>
      <c r="BO36" t="s">
        <v>74</v>
      </c>
      <c r="BP36" t="s">
        <v>74</v>
      </c>
      <c r="BQ36" t="s">
        <v>74</v>
      </c>
      <c r="BR36" t="s">
        <v>105</v>
      </c>
      <c r="BS36" t="s">
        <v>888</v>
      </c>
      <c r="BT36" t="str">
        <f>HYPERLINK("https%3A%2F%2Fwww.webofscience.com%2Fwos%2Fwoscc%2Ffull-record%2FWOS:000470385700001","View Full Record in Web of Science")</f>
        <v>View Full Record in Web of Science</v>
      </c>
    </row>
    <row r="37" spans="1:72" x14ac:dyDescent="0.25">
      <c r="A37" t="s">
        <v>72</v>
      </c>
      <c r="B37" t="s">
        <v>889</v>
      </c>
      <c r="C37" t="s">
        <v>74</v>
      </c>
      <c r="D37" t="s">
        <v>74</v>
      </c>
      <c r="E37" t="s">
        <v>74</v>
      </c>
      <c r="F37" t="s">
        <v>890</v>
      </c>
      <c r="G37" t="s">
        <v>74</v>
      </c>
      <c r="H37" t="s">
        <v>74</v>
      </c>
      <c r="I37" t="s">
        <v>891</v>
      </c>
      <c r="J37" t="s">
        <v>892</v>
      </c>
      <c r="K37" t="s">
        <v>74</v>
      </c>
      <c r="L37" t="s">
        <v>74</v>
      </c>
      <c r="M37" t="s">
        <v>78</v>
      </c>
      <c r="N37" t="s">
        <v>79</v>
      </c>
      <c r="O37" t="s">
        <v>74</v>
      </c>
      <c r="P37" t="s">
        <v>74</v>
      </c>
      <c r="Q37" t="s">
        <v>74</v>
      </c>
      <c r="R37" t="s">
        <v>74</v>
      </c>
      <c r="S37" t="s">
        <v>74</v>
      </c>
      <c r="T37" t="s">
        <v>893</v>
      </c>
      <c r="U37" t="s">
        <v>894</v>
      </c>
      <c r="V37" t="s">
        <v>895</v>
      </c>
      <c r="W37" t="s">
        <v>896</v>
      </c>
      <c r="X37" t="s">
        <v>897</v>
      </c>
      <c r="Y37" t="s">
        <v>898</v>
      </c>
      <c r="Z37" t="s">
        <v>899</v>
      </c>
      <c r="AA37" t="s">
        <v>900</v>
      </c>
      <c r="AB37" t="s">
        <v>901</v>
      </c>
      <c r="AC37" t="s">
        <v>902</v>
      </c>
      <c r="AD37" t="s">
        <v>902</v>
      </c>
      <c r="AE37" t="s">
        <v>903</v>
      </c>
      <c r="AF37" t="s">
        <v>74</v>
      </c>
      <c r="AG37">
        <v>47</v>
      </c>
      <c r="AH37">
        <v>19</v>
      </c>
      <c r="AI37">
        <v>20</v>
      </c>
      <c r="AJ37">
        <v>1</v>
      </c>
      <c r="AK37">
        <v>25</v>
      </c>
      <c r="AL37" t="s">
        <v>120</v>
      </c>
      <c r="AM37" t="s">
        <v>121</v>
      </c>
      <c r="AN37" t="s">
        <v>122</v>
      </c>
      <c r="AO37" t="s">
        <v>904</v>
      </c>
      <c r="AP37" t="s">
        <v>905</v>
      </c>
      <c r="AQ37" t="s">
        <v>74</v>
      </c>
      <c r="AR37" t="s">
        <v>906</v>
      </c>
      <c r="AS37" t="s">
        <v>907</v>
      </c>
      <c r="AT37" t="s">
        <v>538</v>
      </c>
      <c r="AU37">
        <v>2020</v>
      </c>
      <c r="AV37">
        <v>17</v>
      </c>
      <c r="AW37">
        <v>1</v>
      </c>
      <c r="AX37" t="s">
        <v>74</v>
      </c>
      <c r="AY37" t="s">
        <v>74</v>
      </c>
      <c r="AZ37" t="s">
        <v>74</v>
      </c>
      <c r="BA37" t="s">
        <v>74</v>
      </c>
      <c r="BB37" t="s">
        <v>74</v>
      </c>
      <c r="BC37" t="s">
        <v>74</v>
      </c>
      <c r="BD37">
        <v>165</v>
      </c>
      <c r="BE37" t="s">
        <v>908</v>
      </c>
      <c r="BF37" t="str">
        <f>HYPERLINK("http://dx.doi.org/10.3390/ijerph17010165","http://dx.doi.org/10.3390/ijerph17010165")</f>
        <v>http://dx.doi.org/10.3390/ijerph17010165</v>
      </c>
      <c r="BG37" t="s">
        <v>74</v>
      </c>
      <c r="BH37" t="s">
        <v>74</v>
      </c>
      <c r="BI37">
        <v>13</v>
      </c>
      <c r="BJ37" t="s">
        <v>909</v>
      </c>
      <c r="BK37" t="s">
        <v>102</v>
      </c>
      <c r="BL37" t="s">
        <v>910</v>
      </c>
      <c r="BM37" t="s">
        <v>911</v>
      </c>
      <c r="BN37">
        <v>31881693</v>
      </c>
      <c r="BO37" t="s">
        <v>355</v>
      </c>
      <c r="BP37" t="s">
        <v>74</v>
      </c>
      <c r="BQ37" t="s">
        <v>74</v>
      </c>
      <c r="BR37" t="s">
        <v>105</v>
      </c>
      <c r="BS37" t="s">
        <v>912</v>
      </c>
      <c r="BT37" t="str">
        <f>HYPERLINK("https%3A%2F%2Fwww.webofscience.com%2Fwos%2Fwoscc%2Ffull-record%2FWOS:000509391500165","View Full Record in Web of Science")</f>
        <v>View Full Record in Web of Science</v>
      </c>
    </row>
    <row r="38" spans="1:72" x14ac:dyDescent="0.25">
      <c r="A38" t="s">
        <v>72</v>
      </c>
      <c r="B38" t="s">
        <v>913</v>
      </c>
      <c r="C38" t="s">
        <v>74</v>
      </c>
      <c r="D38" t="s">
        <v>74</v>
      </c>
      <c r="E38" t="s">
        <v>74</v>
      </c>
      <c r="F38" t="s">
        <v>914</v>
      </c>
      <c r="G38" t="s">
        <v>74</v>
      </c>
      <c r="H38" t="s">
        <v>74</v>
      </c>
      <c r="I38" t="s">
        <v>915</v>
      </c>
      <c r="J38" t="s">
        <v>916</v>
      </c>
      <c r="K38" t="s">
        <v>74</v>
      </c>
      <c r="L38" t="s">
        <v>74</v>
      </c>
      <c r="M38" t="s">
        <v>78</v>
      </c>
      <c r="N38" t="s">
        <v>79</v>
      </c>
      <c r="O38" t="s">
        <v>74</v>
      </c>
      <c r="P38" t="s">
        <v>74</v>
      </c>
      <c r="Q38" t="s">
        <v>74</v>
      </c>
      <c r="R38" t="s">
        <v>74</v>
      </c>
      <c r="S38" t="s">
        <v>74</v>
      </c>
      <c r="T38" t="s">
        <v>74</v>
      </c>
      <c r="U38" t="s">
        <v>917</v>
      </c>
      <c r="V38" t="s">
        <v>918</v>
      </c>
      <c r="W38" t="s">
        <v>919</v>
      </c>
      <c r="X38" t="s">
        <v>920</v>
      </c>
      <c r="Y38" t="s">
        <v>921</v>
      </c>
      <c r="Z38" t="s">
        <v>922</v>
      </c>
      <c r="AA38" t="s">
        <v>923</v>
      </c>
      <c r="AB38" t="s">
        <v>924</v>
      </c>
      <c r="AC38" t="s">
        <v>925</v>
      </c>
      <c r="AD38" t="s">
        <v>926</v>
      </c>
      <c r="AE38" t="s">
        <v>927</v>
      </c>
      <c r="AF38" t="s">
        <v>74</v>
      </c>
      <c r="AG38">
        <v>582</v>
      </c>
      <c r="AH38">
        <v>783</v>
      </c>
      <c r="AI38">
        <v>861</v>
      </c>
      <c r="AJ38">
        <v>7</v>
      </c>
      <c r="AK38">
        <v>285</v>
      </c>
      <c r="AL38" t="s">
        <v>928</v>
      </c>
      <c r="AM38" t="s">
        <v>929</v>
      </c>
      <c r="AN38" t="s">
        <v>930</v>
      </c>
      <c r="AO38" t="s">
        <v>74</v>
      </c>
      <c r="AP38" t="s">
        <v>931</v>
      </c>
      <c r="AQ38" t="s">
        <v>74</v>
      </c>
      <c r="AR38" t="s">
        <v>916</v>
      </c>
      <c r="AS38" t="s">
        <v>932</v>
      </c>
      <c r="AT38" t="s">
        <v>933</v>
      </c>
      <c r="AU38">
        <v>2014</v>
      </c>
      <c r="AV38">
        <v>9</v>
      </c>
      <c r="AW38">
        <v>2</v>
      </c>
      <c r="AX38" t="s">
        <v>74</v>
      </c>
      <c r="AY38" t="s">
        <v>74</v>
      </c>
      <c r="AZ38" t="s">
        <v>74</v>
      </c>
      <c r="BA38" t="s">
        <v>74</v>
      </c>
      <c r="BB38" t="s">
        <v>74</v>
      </c>
      <c r="BC38" t="s">
        <v>74</v>
      </c>
      <c r="BD38" t="s">
        <v>934</v>
      </c>
      <c r="BE38" t="s">
        <v>935</v>
      </c>
      <c r="BF38" t="str">
        <f>HYPERLINK("http://dx.doi.org/10.1371/journal.pone.0087987","http://dx.doi.org/10.1371/journal.pone.0087987")</f>
        <v>http://dx.doi.org/10.1371/journal.pone.0087987</v>
      </c>
      <c r="BG38" t="s">
        <v>74</v>
      </c>
      <c r="BH38" t="s">
        <v>74</v>
      </c>
      <c r="BI38">
        <v>33</v>
      </c>
      <c r="BJ38" t="s">
        <v>936</v>
      </c>
      <c r="BK38" t="s">
        <v>182</v>
      </c>
      <c r="BL38" t="s">
        <v>937</v>
      </c>
      <c r="BM38" t="s">
        <v>938</v>
      </c>
      <c r="BN38">
        <v>24505342</v>
      </c>
      <c r="BO38" t="s">
        <v>939</v>
      </c>
      <c r="BP38" t="s">
        <v>74</v>
      </c>
      <c r="BQ38" t="s">
        <v>74</v>
      </c>
      <c r="BR38" t="s">
        <v>105</v>
      </c>
      <c r="BS38" t="s">
        <v>940</v>
      </c>
      <c r="BT38" t="str">
        <f>HYPERLINK("https%3A%2F%2Fwww.webofscience.com%2Fwos%2Fwoscc%2Ffull-record%2FWOS:000336971300027","View Full Record in Web of Science")</f>
        <v>View Full Record in Web of Science</v>
      </c>
    </row>
    <row r="39" spans="1:72" x14ac:dyDescent="0.25">
      <c r="A39" t="s">
        <v>72</v>
      </c>
      <c r="B39" t="s">
        <v>941</v>
      </c>
      <c r="C39" t="s">
        <v>74</v>
      </c>
      <c r="D39" t="s">
        <v>74</v>
      </c>
      <c r="E39" t="s">
        <v>74</v>
      </c>
      <c r="F39" t="s">
        <v>942</v>
      </c>
      <c r="G39" t="s">
        <v>74</v>
      </c>
      <c r="H39" t="s">
        <v>74</v>
      </c>
      <c r="I39" t="s">
        <v>943</v>
      </c>
      <c r="J39" t="s">
        <v>944</v>
      </c>
      <c r="K39" t="s">
        <v>74</v>
      </c>
      <c r="L39" t="s">
        <v>74</v>
      </c>
      <c r="M39" t="s">
        <v>78</v>
      </c>
      <c r="N39" t="s">
        <v>79</v>
      </c>
      <c r="O39" t="s">
        <v>74</v>
      </c>
      <c r="P39" t="s">
        <v>74</v>
      </c>
      <c r="Q39" t="s">
        <v>74</v>
      </c>
      <c r="R39" t="s">
        <v>74</v>
      </c>
      <c r="S39" t="s">
        <v>74</v>
      </c>
      <c r="T39" t="s">
        <v>945</v>
      </c>
      <c r="U39" t="s">
        <v>946</v>
      </c>
      <c r="V39" t="s">
        <v>947</v>
      </c>
      <c r="W39" t="s">
        <v>948</v>
      </c>
      <c r="X39" t="s">
        <v>949</v>
      </c>
      <c r="Y39" t="s">
        <v>950</v>
      </c>
      <c r="Z39" t="s">
        <v>951</v>
      </c>
      <c r="AA39" t="s">
        <v>952</v>
      </c>
      <c r="AB39" t="s">
        <v>953</v>
      </c>
      <c r="AC39" t="s">
        <v>954</v>
      </c>
      <c r="AD39" t="s">
        <v>954</v>
      </c>
      <c r="AE39" t="s">
        <v>954</v>
      </c>
      <c r="AF39" t="s">
        <v>74</v>
      </c>
      <c r="AG39">
        <v>117</v>
      </c>
      <c r="AH39">
        <v>3</v>
      </c>
      <c r="AI39">
        <v>3</v>
      </c>
      <c r="AJ39">
        <v>3</v>
      </c>
      <c r="AK39">
        <v>6</v>
      </c>
      <c r="AL39" t="s">
        <v>253</v>
      </c>
      <c r="AM39" t="s">
        <v>227</v>
      </c>
      <c r="AN39" t="s">
        <v>254</v>
      </c>
      <c r="AO39" t="s">
        <v>955</v>
      </c>
      <c r="AP39" t="s">
        <v>956</v>
      </c>
      <c r="AQ39" t="s">
        <v>74</v>
      </c>
      <c r="AR39" t="s">
        <v>957</v>
      </c>
      <c r="AS39" t="s">
        <v>958</v>
      </c>
      <c r="AT39" t="s">
        <v>959</v>
      </c>
      <c r="AU39">
        <v>2024</v>
      </c>
      <c r="AV39">
        <v>44</v>
      </c>
      <c r="AW39">
        <v>3</v>
      </c>
      <c r="AX39" t="s">
        <v>74</v>
      </c>
      <c r="AY39" t="s">
        <v>74</v>
      </c>
      <c r="AZ39" t="s">
        <v>74</v>
      </c>
      <c r="BA39" t="s">
        <v>74</v>
      </c>
      <c r="BB39">
        <v>336</v>
      </c>
      <c r="BC39">
        <v>379</v>
      </c>
      <c r="BD39" t="s">
        <v>74</v>
      </c>
      <c r="BE39" t="s">
        <v>960</v>
      </c>
      <c r="BF39" t="str">
        <f>HYPERLINK("http://dx.doi.org/10.1080/01942638.2023.2248241","http://dx.doi.org/10.1080/01942638.2023.2248241")</f>
        <v>http://dx.doi.org/10.1080/01942638.2023.2248241</v>
      </c>
      <c r="BG39" t="s">
        <v>74</v>
      </c>
      <c r="BH39" t="s">
        <v>961</v>
      </c>
      <c r="BI39">
        <v>44</v>
      </c>
      <c r="BJ39" t="s">
        <v>962</v>
      </c>
      <c r="BK39" t="s">
        <v>102</v>
      </c>
      <c r="BL39" t="s">
        <v>962</v>
      </c>
      <c r="BM39" t="s">
        <v>963</v>
      </c>
      <c r="BN39">
        <v>37635151</v>
      </c>
      <c r="BO39" t="s">
        <v>74</v>
      </c>
      <c r="BP39" t="s">
        <v>74</v>
      </c>
      <c r="BQ39" t="s">
        <v>74</v>
      </c>
      <c r="BR39" t="s">
        <v>105</v>
      </c>
      <c r="BS39" t="s">
        <v>964</v>
      </c>
      <c r="BT39" t="str">
        <f>HYPERLINK("https%3A%2F%2Fwww.webofscience.com%2Fwos%2Fwoscc%2Ffull-record%2FWOS:001063731200001","View Full Record in Web of Science")</f>
        <v>View Full Record in Web of Science</v>
      </c>
    </row>
    <row r="40" spans="1:72" x14ac:dyDescent="0.25">
      <c r="A40" t="s">
        <v>72</v>
      </c>
      <c r="B40" t="s">
        <v>965</v>
      </c>
      <c r="C40" t="s">
        <v>74</v>
      </c>
      <c r="D40" t="s">
        <v>74</v>
      </c>
      <c r="E40" t="s">
        <v>74</v>
      </c>
      <c r="F40" t="s">
        <v>966</v>
      </c>
      <c r="G40" t="s">
        <v>74</v>
      </c>
      <c r="H40" t="s">
        <v>74</v>
      </c>
      <c r="I40" t="s">
        <v>967</v>
      </c>
      <c r="J40" t="s">
        <v>594</v>
      </c>
      <c r="K40" t="s">
        <v>74</v>
      </c>
      <c r="L40" t="s">
        <v>74</v>
      </c>
      <c r="M40" t="s">
        <v>78</v>
      </c>
      <c r="N40" t="s">
        <v>79</v>
      </c>
      <c r="O40" t="s">
        <v>74</v>
      </c>
      <c r="P40" t="s">
        <v>74</v>
      </c>
      <c r="Q40" t="s">
        <v>74</v>
      </c>
      <c r="R40" t="s">
        <v>74</v>
      </c>
      <c r="S40" t="s">
        <v>74</v>
      </c>
      <c r="T40" t="s">
        <v>968</v>
      </c>
      <c r="U40" t="s">
        <v>969</v>
      </c>
      <c r="V40" t="s">
        <v>970</v>
      </c>
      <c r="W40" t="s">
        <v>971</v>
      </c>
      <c r="X40" t="s">
        <v>972</v>
      </c>
      <c r="Y40" t="s">
        <v>973</v>
      </c>
      <c r="Z40" t="s">
        <v>974</v>
      </c>
      <c r="AA40" t="s">
        <v>975</v>
      </c>
      <c r="AB40" t="s">
        <v>74</v>
      </c>
      <c r="AC40" t="s">
        <v>976</v>
      </c>
      <c r="AD40" t="s">
        <v>977</v>
      </c>
      <c r="AE40" t="s">
        <v>978</v>
      </c>
      <c r="AF40" t="s">
        <v>74</v>
      </c>
      <c r="AG40">
        <v>108</v>
      </c>
      <c r="AH40">
        <v>71</v>
      </c>
      <c r="AI40">
        <v>81</v>
      </c>
      <c r="AJ40">
        <v>2</v>
      </c>
      <c r="AK40">
        <v>84</v>
      </c>
      <c r="AL40" t="s">
        <v>274</v>
      </c>
      <c r="AM40" t="s">
        <v>275</v>
      </c>
      <c r="AN40" t="s">
        <v>276</v>
      </c>
      <c r="AO40" t="s">
        <v>74</v>
      </c>
      <c r="AP40" t="s">
        <v>606</v>
      </c>
      <c r="AQ40" t="s">
        <v>74</v>
      </c>
      <c r="AR40" t="s">
        <v>607</v>
      </c>
      <c r="AS40" t="s">
        <v>608</v>
      </c>
      <c r="AT40" t="s">
        <v>979</v>
      </c>
      <c r="AU40">
        <v>2014</v>
      </c>
      <c r="AV40">
        <v>11</v>
      </c>
      <c r="AW40" t="s">
        <v>74</v>
      </c>
      <c r="AX40" t="s">
        <v>74</v>
      </c>
      <c r="AY40" t="s">
        <v>74</v>
      </c>
      <c r="AZ40" t="s">
        <v>74</v>
      </c>
      <c r="BA40" t="s">
        <v>74</v>
      </c>
      <c r="BB40" t="s">
        <v>74</v>
      </c>
      <c r="BC40" t="s">
        <v>74</v>
      </c>
      <c r="BD40">
        <v>142</v>
      </c>
      <c r="BE40" t="s">
        <v>980</v>
      </c>
      <c r="BF40" t="str">
        <f>HYPERLINK("http://dx.doi.org/10.1186/1743-0003-11-142","http://dx.doi.org/10.1186/1743-0003-11-142")</f>
        <v>http://dx.doi.org/10.1186/1743-0003-11-142</v>
      </c>
      <c r="BG40" t="s">
        <v>74</v>
      </c>
      <c r="BH40" t="s">
        <v>74</v>
      </c>
      <c r="BI40">
        <v>13</v>
      </c>
      <c r="BJ40" t="s">
        <v>611</v>
      </c>
      <c r="BK40" t="s">
        <v>182</v>
      </c>
      <c r="BL40" t="s">
        <v>612</v>
      </c>
      <c r="BM40" t="s">
        <v>981</v>
      </c>
      <c r="BN40">
        <v>25284060</v>
      </c>
      <c r="BO40" t="s">
        <v>355</v>
      </c>
      <c r="BP40" t="s">
        <v>74</v>
      </c>
      <c r="BQ40" t="s">
        <v>74</v>
      </c>
      <c r="BR40" t="s">
        <v>105</v>
      </c>
      <c r="BS40" t="s">
        <v>982</v>
      </c>
      <c r="BT40" t="str">
        <f>HYPERLINK("https%3A%2F%2Fwww.webofscience.com%2Fwos%2Fwoscc%2Ffull-record%2FWOS:000344816800001","View Full Record in Web of Science")</f>
        <v>View Full Record in Web of Science</v>
      </c>
    </row>
    <row r="41" spans="1:72" x14ac:dyDescent="0.25">
      <c r="A41" t="s">
        <v>72</v>
      </c>
      <c r="B41" t="s">
        <v>983</v>
      </c>
      <c r="C41" t="s">
        <v>74</v>
      </c>
      <c r="D41" t="s">
        <v>74</v>
      </c>
      <c r="E41" t="s">
        <v>74</v>
      </c>
      <c r="F41" t="s">
        <v>984</v>
      </c>
      <c r="G41" t="s">
        <v>74</v>
      </c>
      <c r="H41" t="s">
        <v>74</v>
      </c>
      <c r="I41" t="s">
        <v>985</v>
      </c>
      <c r="J41" t="s">
        <v>986</v>
      </c>
      <c r="K41" t="s">
        <v>74</v>
      </c>
      <c r="L41" t="s">
        <v>74</v>
      </c>
      <c r="M41" t="s">
        <v>78</v>
      </c>
      <c r="N41" t="s">
        <v>79</v>
      </c>
      <c r="O41" t="s">
        <v>74</v>
      </c>
      <c r="P41" t="s">
        <v>74</v>
      </c>
      <c r="Q41" t="s">
        <v>74</v>
      </c>
      <c r="R41" t="s">
        <v>74</v>
      </c>
      <c r="S41" t="s">
        <v>74</v>
      </c>
      <c r="T41" t="s">
        <v>987</v>
      </c>
      <c r="U41" t="s">
        <v>988</v>
      </c>
      <c r="V41" t="s">
        <v>989</v>
      </c>
      <c r="W41" t="s">
        <v>990</v>
      </c>
      <c r="X41" t="s">
        <v>991</v>
      </c>
      <c r="Y41" t="s">
        <v>992</v>
      </c>
      <c r="Z41" t="s">
        <v>993</v>
      </c>
      <c r="AA41" t="s">
        <v>994</v>
      </c>
      <c r="AB41" t="s">
        <v>995</v>
      </c>
      <c r="AC41" t="s">
        <v>74</v>
      </c>
      <c r="AD41" t="s">
        <v>74</v>
      </c>
      <c r="AE41" t="s">
        <v>74</v>
      </c>
      <c r="AF41" t="s">
        <v>74</v>
      </c>
      <c r="AG41">
        <v>37</v>
      </c>
      <c r="AH41">
        <v>12</v>
      </c>
      <c r="AI41">
        <v>12</v>
      </c>
      <c r="AJ41">
        <v>1</v>
      </c>
      <c r="AK41">
        <v>7</v>
      </c>
      <c r="AL41" t="s">
        <v>996</v>
      </c>
      <c r="AM41" t="s">
        <v>275</v>
      </c>
      <c r="AN41" t="s">
        <v>997</v>
      </c>
      <c r="AO41" t="s">
        <v>74</v>
      </c>
      <c r="AP41" t="s">
        <v>998</v>
      </c>
      <c r="AQ41" t="s">
        <v>74</v>
      </c>
      <c r="AR41" t="s">
        <v>999</v>
      </c>
      <c r="AS41" t="s">
        <v>1000</v>
      </c>
      <c r="AT41" t="s">
        <v>1001</v>
      </c>
      <c r="AU41">
        <v>2023</v>
      </c>
      <c r="AV41">
        <v>15</v>
      </c>
      <c r="AW41">
        <v>9</v>
      </c>
      <c r="AX41" t="s">
        <v>74</v>
      </c>
      <c r="AY41" t="s">
        <v>74</v>
      </c>
      <c r="AZ41" t="s">
        <v>74</v>
      </c>
      <c r="BA41" t="s">
        <v>74</v>
      </c>
      <c r="BB41" t="s">
        <v>74</v>
      </c>
      <c r="BC41" t="s">
        <v>74</v>
      </c>
      <c r="BD41" t="s">
        <v>1002</v>
      </c>
      <c r="BE41" t="s">
        <v>1003</v>
      </c>
      <c r="BF41" t="str">
        <f>HYPERLINK("http://dx.doi.org/10.7759/cureus.45489","http://dx.doi.org/10.7759/cureus.45489")</f>
        <v>http://dx.doi.org/10.7759/cureus.45489</v>
      </c>
      <c r="BG41" t="s">
        <v>74</v>
      </c>
      <c r="BH41" t="s">
        <v>74</v>
      </c>
      <c r="BI41">
        <v>11</v>
      </c>
      <c r="BJ41" t="s">
        <v>128</v>
      </c>
      <c r="BK41" t="s">
        <v>155</v>
      </c>
      <c r="BL41" t="s">
        <v>129</v>
      </c>
      <c r="BM41" t="s">
        <v>1004</v>
      </c>
      <c r="BN41">
        <v>37868386</v>
      </c>
      <c r="BO41" t="s">
        <v>355</v>
      </c>
      <c r="BP41" t="s">
        <v>74</v>
      </c>
      <c r="BQ41" t="s">
        <v>74</v>
      </c>
      <c r="BR41" t="s">
        <v>105</v>
      </c>
      <c r="BS41" t="s">
        <v>1005</v>
      </c>
      <c r="BT41" t="str">
        <f>HYPERLINK("https%3A%2F%2Fwww.webofscience.com%2Fwos%2Fwoscc%2Ffull-record%2FWOS:001097850200042","View Full Record in Web of Science")</f>
        <v>View Full Record in Web of Science</v>
      </c>
    </row>
    <row r="42" spans="1:72" x14ac:dyDescent="0.25">
      <c r="A42" t="s">
        <v>72</v>
      </c>
      <c r="B42" t="s">
        <v>1006</v>
      </c>
      <c r="C42" t="s">
        <v>74</v>
      </c>
      <c r="D42" t="s">
        <v>74</v>
      </c>
      <c r="E42" t="s">
        <v>74</v>
      </c>
      <c r="F42" t="s">
        <v>1006</v>
      </c>
      <c r="G42" t="s">
        <v>74</v>
      </c>
      <c r="H42" t="s">
        <v>74</v>
      </c>
      <c r="I42" t="s">
        <v>1007</v>
      </c>
      <c r="J42" t="s">
        <v>1008</v>
      </c>
      <c r="K42" t="s">
        <v>74</v>
      </c>
      <c r="L42" t="s">
        <v>74</v>
      </c>
      <c r="M42" t="s">
        <v>78</v>
      </c>
      <c r="N42" t="s">
        <v>79</v>
      </c>
      <c r="O42" t="s">
        <v>74</v>
      </c>
      <c r="P42" t="s">
        <v>74</v>
      </c>
      <c r="Q42" t="s">
        <v>74</v>
      </c>
      <c r="R42" t="s">
        <v>74</v>
      </c>
      <c r="S42" t="s">
        <v>74</v>
      </c>
      <c r="T42" t="s">
        <v>1009</v>
      </c>
      <c r="U42" t="s">
        <v>1010</v>
      </c>
      <c r="V42" t="s">
        <v>1011</v>
      </c>
      <c r="W42" t="s">
        <v>1012</v>
      </c>
      <c r="X42" t="s">
        <v>1013</v>
      </c>
      <c r="Y42" t="s">
        <v>1014</v>
      </c>
      <c r="Z42" t="s">
        <v>1015</v>
      </c>
      <c r="AA42" t="s">
        <v>1016</v>
      </c>
      <c r="AB42" t="s">
        <v>1017</v>
      </c>
      <c r="AC42" t="s">
        <v>74</v>
      </c>
      <c r="AD42" t="s">
        <v>74</v>
      </c>
      <c r="AE42" t="s">
        <v>74</v>
      </c>
      <c r="AF42" t="s">
        <v>74</v>
      </c>
      <c r="AG42">
        <v>44</v>
      </c>
      <c r="AH42">
        <v>281</v>
      </c>
      <c r="AI42">
        <v>327</v>
      </c>
      <c r="AJ42">
        <v>0</v>
      </c>
      <c r="AK42">
        <v>82</v>
      </c>
      <c r="AL42" t="s">
        <v>1018</v>
      </c>
      <c r="AM42" t="s">
        <v>1019</v>
      </c>
      <c r="AN42" t="s">
        <v>1020</v>
      </c>
      <c r="AO42" t="s">
        <v>1021</v>
      </c>
      <c r="AP42" t="s">
        <v>74</v>
      </c>
      <c r="AQ42" t="s">
        <v>74</v>
      </c>
      <c r="AR42" t="s">
        <v>1022</v>
      </c>
      <c r="AS42" t="s">
        <v>1023</v>
      </c>
      <c r="AT42" t="s">
        <v>538</v>
      </c>
      <c r="AU42">
        <v>2005</v>
      </c>
      <c r="AV42">
        <v>43</v>
      </c>
      <c r="AW42">
        <v>1</v>
      </c>
      <c r="AX42" t="s">
        <v>74</v>
      </c>
      <c r="AY42" t="s">
        <v>74</v>
      </c>
      <c r="AZ42" t="s">
        <v>74</v>
      </c>
      <c r="BA42" t="s">
        <v>74</v>
      </c>
      <c r="BB42">
        <v>2</v>
      </c>
      <c r="BC42">
        <v>10</v>
      </c>
      <c r="BD42" t="s">
        <v>74</v>
      </c>
      <c r="BE42" t="s">
        <v>1024</v>
      </c>
      <c r="BF42" t="str">
        <f>HYPERLINK("http://dx.doi.org/10.1007/BF02345116","http://dx.doi.org/10.1007/BF02345116")</f>
        <v>http://dx.doi.org/10.1007/BF02345116</v>
      </c>
      <c r="BG42" t="s">
        <v>74</v>
      </c>
      <c r="BH42" t="s">
        <v>74</v>
      </c>
      <c r="BI42">
        <v>9</v>
      </c>
      <c r="BJ42" t="s">
        <v>1025</v>
      </c>
      <c r="BK42" t="s">
        <v>182</v>
      </c>
      <c r="BL42" t="s">
        <v>1026</v>
      </c>
      <c r="BM42" t="s">
        <v>1027</v>
      </c>
      <c r="BN42">
        <v>15742713</v>
      </c>
      <c r="BO42" t="s">
        <v>74</v>
      </c>
      <c r="BP42" t="s">
        <v>74</v>
      </c>
      <c r="BQ42" t="s">
        <v>74</v>
      </c>
      <c r="BR42" t="s">
        <v>105</v>
      </c>
      <c r="BS42" t="s">
        <v>1028</v>
      </c>
      <c r="BT42" t="str">
        <f>HYPERLINK("https%3A%2F%2Fwww.webofscience.com%2Fwos%2Fwoscc%2Ffull-record%2FWOS:000226938000002","View Full Record in Web of Science")</f>
        <v>View Full Record in Web of Science</v>
      </c>
    </row>
    <row r="43" spans="1:72" x14ac:dyDescent="0.25">
      <c r="A43" t="s">
        <v>72</v>
      </c>
      <c r="B43" t="s">
        <v>1029</v>
      </c>
      <c r="C43" t="s">
        <v>74</v>
      </c>
      <c r="D43" t="s">
        <v>74</v>
      </c>
      <c r="E43" t="s">
        <v>74</v>
      </c>
      <c r="F43" t="s">
        <v>1030</v>
      </c>
      <c r="G43" t="s">
        <v>74</v>
      </c>
      <c r="H43" t="s">
        <v>74</v>
      </c>
      <c r="I43" t="s">
        <v>1031</v>
      </c>
      <c r="J43" t="s">
        <v>1032</v>
      </c>
      <c r="K43" t="s">
        <v>74</v>
      </c>
      <c r="L43" t="s">
        <v>74</v>
      </c>
      <c r="M43" t="s">
        <v>78</v>
      </c>
      <c r="N43" t="s">
        <v>79</v>
      </c>
      <c r="O43" t="s">
        <v>74</v>
      </c>
      <c r="P43" t="s">
        <v>74</v>
      </c>
      <c r="Q43" t="s">
        <v>74</v>
      </c>
      <c r="R43" t="s">
        <v>74</v>
      </c>
      <c r="S43" t="s">
        <v>74</v>
      </c>
      <c r="T43" t="s">
        <v>1033</v>
      </c>
      <c r="U43" t="s">
        <v>1034</v>
      </c>
      <c r="V43" t="s">
        <v>1035</v>
      </c>
      <c r="W43" t="s">
        <v>1036</v>
      </c>
      <c r="X43" t="s">
        <v>1037</v>
      </c>
      <c r="Y43" t="s">
        <v>1038</v>
      </c>
      <c r="Z43" t="s">
        <v>1039</v>
      </c>
      <c r="AA43" t="s">
        <v>74</v>
      </c>
      <c r="AB43" t="s">
        <v>74</v>
      </c>
      <c r="AC43" t="s">
        <v>74</v>
      </c>
      <c r="AD43" t="s">
        <v>74</v>
      </c>
      <c r="AE43" t="s">
        <v>74</v>
      </c>
      <c r="AF43" t="s">
        <v>74</v>
      </c>
      <c r="AG43">
        <v>99</v>
      </c>
      <c r="AH43">
        <v>180</v>
      </c>
      <c r="AI43">
        <v>222</v>
      </c>
      <c r="AJ43">
        <v>0</v>
      </c>
      <c r="AK43">
        <v>58</v>
      </c>
      <c r="AL43" t="s">
        <v>1040</v>
      </c>
      <c r="AM43" t="s">
        <v>1041</v>
      </c>
      <c r="AN43" t="s">
        <v>1042</v>
      </c>
      <c r="AO43" t="s">
        <v>1043</v>
      </c>
      <c r="AP43" t="s">
        <v>1044</v>
      </c>
      <c r="AQ43" t="s">
        <v>74</v>
      </c>
      <c r="AR43" t="s">
        <v>1045</v>
      </c>
      <c r="AS43" t="s">
        <v>1046</v>
      </c>
      <c r="AT43" t="s">
        <v>1047</v>
      </c>
      <c r="AU43">
        <v>2008</v>
      </c>
      <c r="AV43">
        <v>22</v>
      </c>
      <c r="AW43">
        <v>6</v>
      </c>
      <c r="AX43" t="s">
        <v>74</v>
      </c>
      <c r="AY43" t="s">
        <v>74</v>
      </c>
      <c r="AZ43" t="s">
        <v>74</v>
      </c>
      <c r="BA43" t="s">
        <v>74</v>
      </c>
      <c r="BB43">
        <v>649</v>
      </c>
      <c r="BC43">
        <v>660</v>
      </c>
      <c r="BD43" t="s">
        <v>74</v>
      </c>
      <c r="BE43" t="s">
        <v>1048</v>
      </c>
      <c r="BF43" t="str">
        <f>HYPERLINK("http://dx.doi.org/10.1177/1545968308315997","http://dx.doi.org/10.1177/1545968308315997")</f>
        <v>http://dx.doi.org/10.1177/1545968308315997</v>
      </c>
      <c r="BG43" t="s">
        <v>74</v>
      </c>
      <c r="BH43" t="s">
        <v>74</v>
      </c>
      <c r="BI43">
        <v>12</v>
      </c>
      <c r="BJ43" t="s">
        <v>1049</v>
      </c>
      <c r="BK43" t="s">
        <v>182</v>
      </c>
      <c r="BL43" t="s">
        <v>1050</v>
      </c>
      <c r="BM43" t="s">
        <v>1051</v>
      </c>
      <c r="BN43">
        <v>18971380</v>
      </c>
      <c r="BO43" t="s">
        <v>1052</v>
      </c>
      <c r="BP43" t="s">
        <v>74</v>
      </c>
      <c r="BQ43" t="s">
        <v>74</v>
      </c>
      <c r="BR43" t="s">
        <v>105</v>
      </c>
      <c r="BS43" t="s">
        <v>1053</v>
      </c>
      <c r="BT43" t="str">
        <f>HYPERLINK("https%3A%2F%2Fwww.webofscience.com%2Fwos%2Fwoscc%2Ffull-record%2FWOS:000260873300001","View Full Record in Web of Science")</f>
        <v>View Full Record in Web of Science</v>
      </c>
    </row>
    <row r="44" spans="1:72" x14ac:dyDescent="0.25">
      <c r="A44" t="s">
        <v>72</v>
      </c>
      <c r="B44" t="s">
        <v>1054</v>
      </c>
      <c r="C44" t="s">
        <v>74</v>
      </c>
      <c r="D44" t="s">
        <v>74</v>
      </c>
      <c r="E44" t="s">
        <v>74</v>
      </c>
      <c r="F44" t="s">
        <v>1055</v>
      </c>
      <c r="G44" t="s">
        <v>74</v>
      </c>
      <c r="H44" t="s">
        <v>74</v>
      </c>
      <c r="I44" t="s">
        <v>1056</v>
      </c>
      <c r="J44" t="s">
        <v>1057</v>
      </c>
      <c r="K44" t="s">
        <v>74</v>
      </c>
      <c r="L44" t="s">
        <v>74</v>
      </c>
      <c r="M44" t="s">
        <v>78</v>
      </c>
      <c r="N44" t="s">
        <v>79</v>
      </c>
      <c r="O44" t="s">
        <v>74</v>
      </c>
      <c r="P44" t="s">
        <v>74</v>
      </c>
      <c r="Q44" t="s">
        <v>74</v>
      </c>
      <c r="R44" t="s">
        <v>74</v>
      </c>
      <c r="S44" t="s">
        <v>74</v>
      </c>
      <c r="T44" t="s">
        <v>74</v>
      </c>
      <c r="U44" t="s">
        <v>1058</v>
      </c>
      <c r="V44" t="s">
        <v>1059</v>
      </c>
      <c r="W44" t="s">
        <v>1060</v>
      </c>
      <c r="X44" t="s">
        <v>74</v>
      </c>
      <c r="Y44" t="s">
        <v>1061</v>
      </c>
      <c r="Z44" t="s">
        <v>1062</v>
      </c>
      <c r="AA44" t="s">
        <v>74</v>
      </c>
      <c r="AB44" t="s">
        <v>74</v>
      </c>
      <c r="AC44" t="s">
        <v>74</v>
      </c>
      <c r="AD44" t="s">
        <v>74</v>
      </c>
      <c r="AE44" t="s">
        <v>74</v>
      </c>
      <c r="AF44" t="s">
        <v>74</v>
      </c>
      <c r="AG44">
        <v>60</v>
      </c>
      <c r="AH44">
        <v>7</v>
      </c>
      <c r="AI44">
        <v>7</v>
      </c>
      <c r="AJ44">
        <v>3</v>
      </c>
      <c r="AK44">
        <v>23</v>
      </c>
      <c r="AL44" t="s">
        <v>1063</v>
      </c>
      <c r="AM44" t="s">
        <v>1064</v>
      </c>
      <c r="AN44" t="s">
        <v>1065</v>
      </c>
      <c r="AO44" t="s">
        <v>1066</v>
      </c>
      <c r="AP44" t="s">
        <v>1067</v>
      </c>
      <c r="AQ44" t="s">
        <v>74</v>
      </c>
      <c r="AR44" t="s">
        <v>1068</v>
      </c>
      <c r="AS44" t="s">
        <v>1069</v>
      </c>
      <c r="AT44" t="s">
        <v>1070</v>
      </c>
      <c r="AU44">
        <v>2021</v>
      </c>
      <c r="AV44">
        <v>50</v>
      </c>
      <c r="AW44">
        <v>2</v>
      </c>
      <c r="AX44" t="s">
        <v>74</v>
      </c>
      <c r="AY44" t="s">
        <v>74</v>
      </c>
      <c r="AZ44" t="s">
        <v>74</v>
      </c>
      <c r="BA44" t="s">
        <v>74</v>
      </c>
      <c r="BB44" t="s">
        <v>74</v>
      </c>
      <c r="BC44" t="s">
        <v>74</v>
      </c>
      <c r="BD44">
        <v>104066</v>
      </c>
      <c r="BE44" t="s">
        <v>1071</v>
      </c>
      <c r="BF44" t="str">
        <f>HYPERLINK("http://dx.doi.org/10.1016/j.lpm.2021.104066","http://dx.doi.org/10.1016/j.lpm.2021.104066")</f>
        <v>http://dx.doi.org/10.1016/j.lpm.2021.104066</v>
      </c>
      <c r="BG44" t="s">
        <v>74</v>
      </c>
      <c r="BH44" t="s">
        <v>1072</v>
      </c>
      <c r="BI44">
        <v>9</v>
      </c>
      <c r="BJ44" t="s">
        <v>128</v>
      </c>
      <c r="BK44" t="s">
        <v>102</v>
      </c>
      <c r="BL44" t="s">
        <v>129</v>
      </c>
      <c r="BM44" t="s">
        <v>1073</v>
      </c>
      <c r="BN44">
        <v>33989721</v>
      </c>
      <c r="BO44" t="s">
        <v>1052</v>
      </c>
      <c r="BP44" t="s">
        <v>74</v>
      </c>
      <c r="BQ44" t="s">
        <v>74</v>
      </c>
      <c r="BR44" t="s">
        <v>105</v>
      </c>
      <c r="BS44" t="s">
        <v>1074</v>
      </c>
      <c r="BT44" t="str">
        <f>HYPERLINK("https%3A%2F%2Fwww.webofscience.com%2Fwos%2Fwoscc%2Ffull-record%2FWOS:000753687900003","View Full Record in Web of Science")</f>
        <v>View Full Record in Web of Science</v>
      </c>
    </row>
    <row r="45" spans="1:72" x14ac:dyDescent="0.25">
      <c r="A45" t="s">
        <v>72</v>
      </c>
      <c r="B45" t="s">
        <v>1075</v>
      </c>
      <c r="C45" t="s">
        <v>74</v>
      </c>
      <c r="D45" t="s">
        <v>74</v>
      </c>
      <c r="E45" t="s">
        <v>74</v>
      </c>
      <c r="F45" t="s">
        <v>1076</v>
      </c>
      <c r="G45" t="s">
        <v>74</v>
      </c>
      <c r="H45" t="s">
        <v>74</v>
      </c>
      <c r="I45" t="s">
        <v>1077</v>
      </c>
      <c r="J45" t="s">
        <v>1078</v>
      </c>
      <c r="K45" t="s">
        <v>74</v>
      </c>
      <c r="L45" t="s">
        <v>74</v>
      </c>
      <c r="M45" t="s">
        <v>78</v>
      </c>
      <c r="N45" t="s">
        <v>79</v>
      </c>
      <c r="O45" t="s">
        <v>74</v>
      </c>
      <c r="P45" t="s">
        <v>74</v>
      </c>
      <c r="Q45" t="s">
        <v>74</v>
      </c>
      <c r="R45" t="s">
        <v>74</v>
      </c>
      <c r="S45" t="s">
        <v>74</v>
      </c>
      <c r="T45" t="s">
        <v>1079</v>
      </c>
      <c r="U45" t="s">
        <v>1080</v>
      </c>
      <c r="V45" t="s">
        <v>1081</v>
      </c>
      <c r="W45" t="s">
        <v>1082</v>
      </c>
      <c r="X45" t="s">
        <v>1083</v>
      </c>
      <c r="Y45" t="s">
        <v>1084</v>
      </c>
      <c r="Z45" t="s">
        <v>1085</v>
      </c>
      <c r="AA45" t="s">
        <v>1086</v>
      </c>
      <c r="AB45" t="s">
        <v>1087</v>
      </c>
      <c r="AC45" t="s">
        <v>74</v>
      </c>
      <c r="AD45" t="s">
        <v>74</v>
      </c>
      <c r="AE45" t="s">
        <v>74</v>
      </c>
      <c r="AF45" t="s">
        <v>74</v>
      </c>
      <c r="AG45">
        <v>43</v>
      </c>
      <c r="AH45">
        <v>20</v>
      </c>
      <c r="AI45">
        <v>21</v>
      </c>
      <c r="AJ45">
        <v>0</v>
      </c>
      <c r="AK45">
        <v>14</v>
      </c>
      <c r="AL45" t="s">
        <v>1088</v>
      </c>
      <c r="AM45" t="s">
        <v>1089</v>
      </c>
      <c r="AN45" t="s">
        <v>1090</v>
      </c>
      <c r="AO45" t="s">
        <v>1091</v>
      </c>
      <c r="AP45" t="s">
        <v>1092</v>
      </c>
      <c r="AQ45" t="s">
        <v>74</v>
      </c>
      <c r="AR45" t="s">
        <v>1093</v>
      </c>
      <c r="AS45" t="s">
        <v>1094</v>
      </c>
      <c r="AT45" t="s">
        <v>151</v>
      </c>
      <c r="AU45">
        <v>2018</v>
      </c>
      <c r="AV45">
        <v>12</v>
      </c>
      <c r="AW45">
        <v>12</v>
      </c>
      <c r="AX45" t="s">
        <v>74</v>
      </c>
      <c r="AY45" t="s">
        <v>74</v>
      </c>
      <c r="AZ45" t="s">
        <v>74</v>
      </c>
      <c r="BA45" t="s">
        <v>74</v>
      </c>
      <c r="BB45" t="s">
        <v>74</v>
      </c>
      <c r="BC45" t="s">
        <v>74</v>
      </c>
      <c r="BD45" t="s">
        <v>74</v>
      </c>
      <c r="BE45" t="s">
        <v>1095</v>
      </c>
      <c r="BF45" t="str">
        <f>HYPERLINK("http://dx.doi.org/10.7860/JCDR/2018/36811.12311","http://dx.doi.org/10.7860/JCDR/2018/36811.12311")</f>
        <v>http://dx.doi.org/10.7860/JCDR/2018/36811.12311</v>
      </c>
      <c r="BG45" t="s">
        <v>74</v>
      </c>
      <c r="BH45" t="s">
        <v>74</v>
      </c>
      <c r="BI45">
        <v>4</v>
      </c>
      <c r="BJ45" t="s">
        <v>128</v>
      </c>
      <c r="BK45" t="s">
        <v>155</v>
      </c>
      <c r="BL45" t="s">
        <v>129</v>
      </c>
      <c r="BM45" t="s">
        <v>1096</v>
      </c>
      <c r="BN45" t="s">
        <v>74</v>
      </c>
      <c r="BO45" t="s">
        <v>185</v>
      </c>
      <c r="BP45" t="s">
        <v>74</v>
      </c>
      <c r="BQ45" t="s">
        <v>74</v>
      </c>
      <c r="BR45" t="s">
        <v>105</v>
      </c>
      <c r="BS45" t="s">
        <v>1097</v>
      </c>
      <c r="BT45" t="str">
        <f>HYPERLINK("https%3A%2F%2Fwww.webofscience.com%2Fwos%2Fwoscc%2Ffull-record%2FWOS:000454105000090","View Full Record in Web of Science")</f>
        <v>View Full Record in Web of Science</v>
      </c>
    </row>
    <row r="46" spans="1:72" x14ac:dyDescent="0.25">
      <c r="A46" t="s">
        <v>72</v>
      </c>
      <c r="B46" t="s">
        <v>1098</v>
      </c>
      <c r="C46" t="s">
        <v>74</v>
      </c>
      <c r="D46" t="s">
        <v>74</v>
      </c>
      <c r="E46" t="s">
        <v>74</v>
      </c>
      <c r="F46" t="s">
        <v>1099</v>
      </c>
      <c r="G46" t="s">
        <v>74</v>
      </c>
      <c r="H46" t="s">
        <v>74</v>
      </c>
      <c r="I46" t="s">
        <v>1100</v>
      </c>
      <c r="J46" t="s">
        <v>1101</v>
      </c>
      <c r="K46" t="s">
        <v>74</v>
      </c>
      <c r="L46" t="s">
        <v>74</v>
      </c>
      <c r="M46" t="s">
        <v>78</v>
      </c>
      <c r="N46" t="s">
        <v>79</v>
      </c>
      <c r="O46" t="s">
        <v>74</v>
      </c>
      <c r="P46" t="s">
        <v>74</v>
      </c>
      <c r="Q46" t="s">
        <v>74</v>
      </c>
      <c r="R46" t="s">
        <v>74</v>
      </c>
      <c r="S46" t="s">
        <v>74</v>
      </c>
      <c r="T46" t="s">
        <v>1102</v>
      </c>
      <c r="U46" t="s">
        <v>1103</v>
      </c>
      <c r="V46" t="s">
        <v>1104</v>
      </c>
      <c r="W46" t="s">
        <v>1105</v>
      </c>
      <c r="X46" t="s">
        <v>1106</v>
      </c>
      <c r="Y46" t="s">
        <v>1107</v>
      </c>
      <c r="Z46" t="s">
        <v>1108</v>
      </c>
      <c r="AA46" t="s">
        <v>1109</v>
      </c>
      <c r="AB46" t="s">
        <v>1110</v>
      </c>
      <c r="AC46" t="s">
        <v>1111</v>
      </c>
      <c r="AD46" t="s">
        <v>1112</v>
      </c>
      <c r="AE46" t="s">
        <v>1113</v>
      </c>
      <c r="AF46" t="s">
        <v>74</v>
      </c>
      <c r="AG46">
        <v>87</v>
      </c>
      <c r="AH46">
        <v>19</v>
      </c>
      <c r="AI46">
        <v>20</v>
      </c>
      <c r="AJ46">
        <v>8</v>
      </c>
      <c r="AK46">
        <v>59</v>
      </c>
      <c r="AL46" t="s">
        <v>1114</v>
      </c>
      <c r="AM46" t="s">
        <v>1115</v>
      </c>
      <c r="AN46" t="s">
        <v>1116</v>
      </c>
      <c r="AO46" t="s">
        <v>1117</v>
      </c>
      <c r="AP46" t="s">
        <v>1118</v>
      </c>
      <c r="AQ46" t="s">
        <v>74</v>
      </c>
      <c r="AR46" t="s">
        <v>1119</v>
      </c>
      <c r="AS46" t="s">
        <v>1120</v>
      </c>
      <c r="AT46" t="s">
        <v>74</v>
      </c>
      <c r="AU46">
        <v>2023</v>
      </c>
      <c r="AV46">
        <v>31</v>
      </c>
      <c r="AW46" t="s">
        <v>74</v>
      </c>
      <c r="AX46" t="s">
        <v>74</v>
      </c>
      <c r="AY46" t="s">
        <v>74</v>
      </c>
      <c r="AZ46" t="s">
        <v>74</v>
      </c>
      <c r="BA46" t="s">
        <v>74</v>
      </c>
      <c r="BB46">
        <v>1614</v>
      </c>
      <c r="BC46">
        <v>1623</v>
      </c>
      <c r="BD46" t="s">
        <v>74</v>
      </c>
      <c r="BE46" t="s">
        <v>1121</v>
      </c>
      <c r="BF46" t="str">
        <f>HYPERLINK("http://dx.doi.org/10.1109/TNSRE.2023.3252880","http://dx.doi.org/10.1109/TNSRE.2023.3252880")</f>
        <v>http://dx.doi.org/10.1109/TNSRE.2023.3252880</v>
      </c>
      <c r="BG46" t="s">
        <v>74</v>
      </c>
      <c r="BH46" t="s">
        <v>74</v>
      </c>
      <c r="BI46">
        <v>10</v>
      </c>
      <c r="BJ46" t="s">
        <v>1122</v>
      </c>
      <c r="BK46" t="s">
        <v>182</v>
      </c>
      <c r="BL46" t="s">
        <v>1123</v>
      </c>
      <c r="BM46" t="s">
        <v>1124</v>
      </c>
      <c r="BN46">
        <v>37028029</v>
      </c>
      <c r="BO46" t="s">
        <v>185</v>
      </c>
      <c r="BP46" t="s">
        <v>74</v>
      </c>
      <c r="BQ46" t="s">
        <v>74</v>
      </c>
      <c r="BR46" t="s">
        <v>105</v>
      </c>
      <c r="BS46" t="s">
        <v>1125</v>
      </c>
      <c r="BT46" t="str">
        <f>HYPERLINK("https%3A%2F%2Fwww.webofscience.com%2Fwos%2Fwoscc%2Ffull-record%2FWOS:000952892700002","View Full Record in Web of Science")</f>
        <v>View Full Record in Web of Science</v>
      </c>
    </row>
    <row r="47" spans="1:72" x14ac:dyDescent="0.25">
      <c r="A47" t="s">
        <v>72</v>
      </c>
      <c r="B47" t="s">
        <v>1126</v>
      </c>
      <c r="C47" t="s">
        <v>74</v>
      </c>
      <c r="D47" t="s">
        <v>74</v>
      </c>
      <c r="E47" t="s">
        <v>74</v>
      </c>
      <c r="F47" t="s">
        <v>1127</v>
      </c>
      <c r="G47" t="s">
        <v>74</v>
      </c>
      <c r="H47" t="s">
        <v>74</v>
      </c>
      <c r="I47" t="s">
        <v>1128</v>
      </c>
      <c r="J47" t="s">
        <v>406</v>
      </c>
      <c r="K47" t="s">
        <v>74</v>
      </c>
      <c r="L47" t="s">
        <v>74</v>
      </c>
      <c r="M47" t="s">
        <v>78</v>
      </c>
      <c r="N47" t="s">
        <v>79</v>
      </c>
      <c r="O47" t="s">
        <v>74</v>
      </c>
      <c r="P47" t="s">
        <v>74</v>
      </c>
      <c r="Q47" t="s">
        <v>74</v>
      </c>
      <c r="R47" t="s">
        <v>74</v>
      </c>
      <c r="S47" t="s">
        <v>74</v>
      </c>
      <c r="T47" t="s">
        <v>1129</v>
      </c>
      <c r="U47" t="s">
        <v>1130</v>
      </c>
      <c r="V47" t="s">
        <v>1131</v>
      </c>
      <c r="W47" t="s">
        <v>1132</v>
      </c>
      <c r="X47" t="s">
        <v>1133</v>
      </c>
      <c r="Y47" t="s">
        <v>1134</v>
      </c>
      <c r="Z47" t="s">
        <v>1135</v>
      </c>
      <c r="AA47" t="s">
        <v>1136</v>
      </c>
      <c r="AB47" t="s">
        <v>1137</v>
      </c>
      <c r="AC47" t="s">
        <v>1138</v>
      </c>
      <c r="AD47" t="s">
        <v>1139</v>
      </c>
      <c r="AE47" t="s">
        <v>1140</v>
      </c>
      <c r="AF47" t="s">
        <v>74</v>
      </c>
      <c r="AG47">
        <v>73</v>
      </c>
      <c r="AH47">
        <v>12</v>
      </c>
      <c r="AI47">
        <v>12</v>
      </c>
      <c r="AJ47">
        <v>14</v>
      </c>
      <c r="AK47">
        <v>48</v>
      </c>
      <c r="AL47" t="s">
        <v>120</v>
      </c>
      <c r="AM47" t="s">
        <v>121</v>
      </c>
      <c r="AN47" t="s">
        <v>122</v>
      </c>
      <c r="AO47" t="s">
        <v>74</v>
      </c>
      <c r="AP47" t="s">
        <v>417</v>
      </c>
      <c r="AQ47" t="s">
        <v>74</v>
      </c>
      <c r="AR47" t="s">
        <v>418</v>
      </c>
      <c r="AS47" t="s">
        <v>419</v>
      </c>
      <c r="AT47" t="s">
        <v>351</v>
      </c>
      <c r="AU47">
        <v>2023</v>
      </c>
      <c r="AV47">
        <v>11</v>
      </c>
      <c r="AW47">
        <v>3</v>
      </c>
      <c r="AX47" t="s">
        <v>74</v>
      </c>
      <c r="AY47" t="s">
        <v>74</v>
      </c>
      <c r="AZ47" t="s">
        <v>74</v>
      </c>
      <c r="BA47" t="s">
        <v>74</v>
      </c>
      <c r="BB47" t="s">
        <v>74</v>
      </c>
      <c r="BC47" t="s">
        <v>74</v>
      </c>
      <c r="BD47">
        <v>326</v>
      </c>
      <c r="BE47" t="s">
        <v>1141</v>
      </c>
      <c r="BF47" t="str">
        <f>HYPERLINK("http://dx.doi.org/10.3390/healthcare11030326","http://dx.doi.org/10.3390/healthcare11030326")</f>
        <v>http://dx.doi.org/10.3390/healthcare11030326</v>
      </c>
      <c r="BG47" t="s">
        <v>74</v>
      </c>
      <c r="BH47" t="s">
        <v>74</v>
      </c>
      <c r="BI47">
        <v>16</v>
      </c>
      <c r="BJ47" t="s">
        <v>422</v>
      </c>
      <c r="BK47" t="s">
        <v>102</v>
      </c>
      <c r="BL47" t="s">
        <v>423</v>
      </c>
      <c r="BM47" t="s">
        <v>1142</v>
      </c>
      <c r="BN47">
        <v>36766901</v>
      </c>
      <c r="BO47" t="s">
        <v>131</v>
      </c>
      <c r="BP47" t="s">
        <v>74</v>
      </c>
      <c r="BQ47" t="s">
        <v>74</v>
      </c>
      <c r="BR47" t="s">
        <v>105</v>
      </c>
      <c r="BS47" t="s">
        <v>1143</v>
      </c>
      <c r="BT47" t="str">
        <f>HYPERLINK("https%3A%2F%2Fwww.webofscience.com%2Fwos%2Fwoscc%2Ffull-record%2FWOS:000930060500001","View Full Record in Web of Science")</f>
        <v>View Full Record in Web of Science</v>
      </c>
    </row>
    <row r="48" spans="1:72" x14ac:dyDescent="0.25">
      <c r="A48" t="s">
        <v>72</v>
      </c>
      <c r="B48" t="s">
        <v>1144</v>
      </c>
      <c r="C48" t="s">
        <v>74</v>
      </c>
      <c r="D48" t="s">
        <v>74</v>
      </c>
      <c r="E48" t="s">
        <v>74</v>
      </c>
      <c r="F48" t="s">
        <v>1145</v>
      </c>
      <c r="G48" t="s">
        <v>74</v>
      </c>
      <c r="H48" t="s">
        <v>74</v>
      </c>
      <c r="I48" t="s">
        <v>1146</v>
      </c>
      <c r="J48" t="s">
        <v>701</v>
      </c>
      <c r="K48" t="s">
        <v>74</v>
      </c>
      <c r="L48" t="s">
        <v>74</v>
      </c>
      <c r="M48" t="s">
        <v>78</v>
      </c>
      <c r="N48" t="s">
        <v>79</v>
      </c>
      <c r="O48" t="s">
        <v>74</v>
      </c>
      <c r="P48" t="s">
        <v>74</v>
      </c>
      <c r="Q48" t="s">
        <v>74</v>
      </c>
      <c r="R48" t="s">
        <v>74</v>
      </c>
      <c r="S48" t="s">
        <v>74</v>
      </c>
      <c r="T48" t="s">
        <v>1147</v>
      </c>
      <c r="U48" t="s">
        <v>1148</v>
      </c>
      <c r="V48" t="s">
        <v>1149</v>
      </c>
      <c r="W48" t="s">
        <v>1150</v>
      </c>
      <c r="X48" t="s">
        <v>1151</v>
      </c>
      <c r="Y48" t="s">
        <v>1152</v>
      </c>
      <c r="Z48" t="s">
        <v>1153</v>
      </c>
      <c r="AA48" t="s">
        <v>1154</v>
      </c>
      <c r="AB48" t="s">
        <v>1155</v>
      </c>
      <c r="AC48" t="s">
        <v>1156</v>
      </c>
      <c r="AD48" t="s">
        <v>1157</v>
      </c>
      <c r="AE48" t="s">
        <v>1158</v>
      </c>
      <c r="AF48" t="s">
        <v>74</v>
      </c>
      <c r="AG48">
        <v>138</v>
      </c>
      <c r="AH48">
        <v>61</v>
      </c>
      <c r="AI48">
        <v>63</v>
      </c>
      <c r="AJ48">
        <v>4</v>
      </c>
      <c r="AK48">
        <v>109</v>
      </c>
      <c r="AL48" t="s">
        <v>392</v>
      </c>
      <c r="AM48" t="s">
        <v>393</v>
      </c>
      <c r="AN48" t="s">
        <v>394</v>
      </c>
      <c r="AO48" t="s">
        <v>709</v>
      </c>
      <c r="AP48" t="s">
        <v>74</v>
      </c>
      <c r="AQ48" t="s">
        <v>74</v>
      </c>
      <c r="AR48" t="s">
        <v>710</v>
      </c>
      <c r="AS48" t="s">
        <v>711</v>
      </c>
      <c r="AT48" t="s">
        <v>1159</v>
      </c>
      <c r="AU48">
        <v>2021</v>
      </c>
      <c r="AV48">
        <v>8</v>
      </c>
      <c r="AW48" t="s">
        <v>74</v>
      </c>
      <c r="AX48" t="s">
        <v>74</v>
      </c>
      <c r="AY48" t="s">
        <v>74</v>
      </c>
      <c r="AZ48" t="s">
        <v>74</v>
      </c>
      <c r="BA48" t="s">
        <v>74</v>
      </c>
      <c r="BB48" t="s">
        <v>74</v>
      </c>
      <c r="BC48" t="s">
        <v>74</v>
      </c>
      <c r="BD48">
        <v>745018</v>
      </c>
      <c r="BE48" t="s">
        <v>1160</v>
      </c>
      <c r="BF48" t="str">
        <f>HYPERLINK("http://dx.doi.org/10.3389/frobt.2021.745018","http://dx.doi.org/10.3389/frobt.2021.745018")</f>
        <v>http://dx.doi.org/10.3389/frobt.2021.745018</v>
      </c>
      <c r="BG48" t="s">
        <v>74</v>
      </c>
      <c r="BH48" t="s">
        <v>74</v>
      </c>
      <c r="BI48">
        <v>24</v>
      </c>
      <c r="BJ48" t="s">
        <v>714</v>
      </c>
      <c r="BK48" t="s">
        <v>155</v>
      </c>
      <c r="BL48" t="s">
        <v>714</v>
      </c>
      <c r="BM48" t="s">
        <v>1161</v>
      </c>
      <c r="BN48">
        <v>34950707</v>
      </c>
      <c r="BO48" t="s">
        <v>131</v>
      </c>
      <c r="BP48" t="s">
        <v>74</v>
      </c>
      <c r="BQ48" t="s">
        <v>74</v>
      </c>
      <c r="BR48" t="s">
        <v>105</v>
      </c>
      <c r="BS48" t="s">
        <v>1162</v>
      </c>
      <c r="BT48" t="str">
        <f>HYPERLINK("https%3A%2F%2Fwww.webofscience.com%2Fwos%2Fwoscc%2Ffull-record%2FWOS:000743557700001","View Full Record in Web of Science")</f>
        <v>View Full Record in Web of Science</v>
      </c>
    </row>
    <row r="49" spans="1:72" x14ac:dyDescent="0.25">
      <c r="A49" t="s">
        <v>72</v>
      </c>
      <c r="B49" t="s">
        <v>1163</v>
      </c>
      <c r="C49" t="s">
        <v>74</v>
      </c>
      <c r="D49" t="s">
        <v>74</v>
      </c>
      <c r="E49" t="s">
        <v>74</v>
      </c>
      <c r="F49" t="s">
        <v>1164</v>
      </c>
      <c r="G49" t="s">
        <v>74</v>
      </c>
      <c r="H49" t="s">
        <v>74</v>
      </c>
      <c r="I49" t="s">
        <v>1165</v>
      </c>
      <c r="J49" t="s">
        <v>701</v>
      </c>
      <c r="K49" t="s">
        <v>74</v>
      </c>
      <c r="L49" t="s">
        <v>74</v>
      </c>
      <c r="M49" t="s">
        <v>78</v>
      </c>
      <c r="N49" t="s">
        <v>79</v>
      </c>
      <c r="O49" t="s">
        <v>74</v>
      </c>
      <c r="P49" t="s">
        <v>74</v>
      </c>
      <c r="Q49" t="s">
        <v>74</v>
      </c>
      <c r="R49" t="s">
        <v>74</v>
      </c>
      <c r="S49" t="s">
        <v>74</v>
      </c>
      <c r="T49" t="s">
        <v>1166</v>
      </c>
      <c r="U49" t="s">
        <v>1167</v>
      </c>
      <c r="V49" t="s">
        <v>1168</v>
      </c>
      <c r="W49" t="s">
        <v>1169</v>
      </c>
      <c r="X49" t="s">
        <v>1170</v>
      </c>
      <c r="Y49" t="s">
        <v>1171</v>
      </c>
      <c r="Z49" t="s">
        <v>1172</v>
      </c>
      <c r="AA49" t="s">
        <v>1173</v>
      </c>
      <c r="AB49" t="s">
        <v>1174</v>
      </c>
      <c r="AC49" t="s">
        <v>74</v>
      </c>
      <c r="AD49" t="s">
        <v>74</v>
      </c>
      <c r="AE49" t="s">
        <v>74</v>
      </c>
      <c r="AF49" t="s">
        <v>74</v>
      </c>
      <c r="AG49">
        <v>107</v>
      </c>
      <c r="AH49">
        <v>16</v>
      </c>
      <c r="AI49">
        <v>16</v>
      </c>
      <c r="AJ49">
        <v>1</v>
      </c>
      <c r="AK49">
        <v>27</v>
      </c>
      <c r="AL49" t="s">
        <v>392</v>
      </c>
      <c r="AM49" t="s">
        <v>393</v>
      </c>
      <c r="AN49" t="s">
        <v>394</v>
      </c>
      <c r="AO49" t="s">
        <v>709</v>
      </c>
      <c r="AP49" t="s">
        <v>74</v>
      </c>
      <c r="AQ49" t="s">
        <v>74</v>
      </c>
      <c r="AR49" t="s">
        <v>710</v>
      </c>
      <c r="AS49" t="s">
        <v>711</v>
      </c>
      <c r="AT49" t="s">
        <v>1175</v>
      </c>
      <c r="AU49">
        <v>2021</v>
      </c>
      <c r="AV49">
        <v>8</v>
      </c>
      <c r="AW49" t="s">
        <v>74</v>
      </c>
      <c r="AX49" t="s">
        <v>74</v>
      </c>
      <c r="AY49" t="s">
        <v>74</v>
      </c>
      <c r="AZ49" t="s">
        <v>74</v>
      </c>
      <c r="BA49" t="s">
        <v>74</v>
      </c>
      <c r="BB49" t="s">
        <v>74</v>
      </c>
      <c r="BC49" t="s">
        <v>74</v>
      </c>
      <c r="BD49">
        <v>612834</v>
      </c>
      <c r="BE49" t="s">
        <v>1176</v>
      </c>
      <c r="BF49" t="str">
        <f>HYPERLINK("http://dx.doi.org/10.3389/frobt.2021.612834","http://dx.doi.org/10.3389/frobt.2021.612834")</f>
        <v>http://dx.doi.org/10.3389/frobt.2021.612834</v>
      </c>
      <c r="BG49" t="s">
        <v>74</v>
      </c>
      <c r="BH49" t="s">
        <v>74</v>
      </c>
      <c r="BI49">
        <v>14</v>
      </c>
      <c r="BJ49" t="s">
        <v>714</v>
      </c>
      <c r="BK49" t="s">
        <v>155</v>
      </c>
      <c r="BL49" t="s">
        <v>714</v>
      </c>
      <c r="BM49" t="s">
        <v>1177</v>
      </c>
      <c r="BN49">
        <v>34109220</v>
      </c>
      <c r="BO49" t="s">
        <v>355</v>
      </c>
      <c r="BP49" t="s">
        <v>74</v>
      </c>
      <c r="BQ49" t="s">
        <v>74</v>
      </c>
      <c r="BR49" t="s">
        <v>105</v>
      </c>
      <c r="BS49" t="s">
        <v>1178</v>
      </c>
      <c r="BT49" t="str">
        <f>HYPERLINK("https%3A%2F%2Fwww.webofscience.com%2Fwos%2Fwoscc%2Ffull-record%2FWOS:000658301300001","View Full Record in Web of Science")</f>
        <v>View Full Record in Web of Science</v>
      </c>
    </row>
    <row r="50" spans="1:72" x14ac:dyDescent="0.25">
      <c r="A50" t="s">
        <v>72</v>
      </c>
      <c r="B50" t="s">
        <v>1179</v>
      </c>
      <c r="C50" t="s">
        <v>74</v>
      </c>
      <c r="D50" t="s">
        <v>74</v>
      </c>
      <c r="E50" t="s">
        <v>74</v>
      </c>
      <c r="F50" t="s">
        <v>1180</v>
      </c>
      <c r="G50" t="s">
        <v>74</v>
      </c>
      <c r="H50" t="s">
        <v>74</v>
      </c>
      <c r="I50" t="s">
        <v>1181</v>
      </c>
      <c r="J50" t="s">
        <v>1182</v>
      </c>
      <c r="K50" t="s">
        <v>74</v>
      </c>
      <c r="L50" t="s">
        <v>74</v>
      </c>
      <c r="M50" t="s">
        <v>78</v>
      </c>
      <c r="N50" t="s">
        <v>79</v>
      </c>
      <c r="O50" t="s">
        <v>74</v>
      </c>
      <c r="P50" t="s">
        <v>74</v>
      </c>
      <c r="Q50" t="s">
        <v>74</v>
      </c>
      <c r="R50" t="s">
        <v>74</v>
      </c>
      <c r="S50" t="s">
        <v>74</v>
      </c>
      <c r="T50" t="s">
        <v>1183</v>
      </c>
      <c r="U50" t="s">
        <v>1184</v>
      </c>
      <c r="V50" t="s">
        <v>1185</v>
      </c>
      <c r="W50" t="s">
        <v>1186</v>
      </c>
      <c r="X50" t="s">
        <v>1187</v>
      </c>
      <c r="Y50" t="s">
        <v>1188</v>
      </c>
      <c r="Z50" t="s">
        <v>1189</v>
      </c>
      <c r="AA50" t="s">
        <v>1190</v>
      </c>
      <c r="AB50" t="s">
        <v>1191</v>
      </c>
      <c r="AC50" t="s">
        <v>1192</v>
      </c>
      <c r="AD50" t="s">
        <v>1187</v>
      </c>
      <c r="AE50" t="s">
        <v>1193</v>
      </c>
      <c r="AF50" t="s">
        <v>74</v>
      </c>
      <c r="AG50">
        <v>108</v>
      </c>
      <c r="AH50">
        <v>0</v>
      </c>
      <c r="AI50">
        <v>0</v>
      </c>
      <c r="AJ50">
        <v>4</v>
      </c>
      <c r="AK50">
        <v>4</v>
      </c>
      <c r="AL50" t="s">
        <v>1194</v>
      </c>
      <c r="AM50" t="s">
        <v>1195</v>
      </c>
      <c r="AN50" t="s">
        <v>1196</v>
      </c>
      <c r="AO50" t="s">
        <v>1197</v>
      </c>
      <c r="AP50" t="s">
        <v>74</v>
      </c>
      <c r="AQ50" t="s">
        <v>74</v>
      </c>
      <c r="AR50" t="s">
        <v>1198</v>
      </c>
      <c r="AS50" t="s">
        <v>1199</v>
      </c>
      <c r="AT50" t="s">
        <v>538</v>
      </c>
      <c r="AU50">
        <v>2025</v>
      </c>
      <c r="AV50">
        <v>27</v>
      </c>
      <c r="AW50">
        <v>1</v>
      </c>
      <c r="AX50" t="s">
        <v>74</v>
      </c>
      <c r="AY50" t="s">
        <v>74</v>
      </c>
      <c r="AZ50" t="s">
        <v>74</v>
      </c>
      <c r="BA50" t="s">
        <v>74</v>
      </c>
      <c r="BB50" t="s">
        <v>74</v>
      </c>
      <c r="BC50" t="s">
        <v>74</v>
      </c>
      <c r="BD50" t="s">
        <v>1200</v>
      </c>
      <c r="BE50" t="s">
        <v>1201</v>
      </c>
      <c r="BF50" t="str">
        <f>HYPERLINK("http://dx.doi.org/10.25100/iyc.v27i1.14594","http://dx.doi.org/10.25100/iyc.v27i1.14594")</f>
        <v>http://dx.doi.org/10.25100/iyc.v27i1.14594</v>
      </c>
      <c r="BG50" t="s">
        <v>74</v>
      </c>
      <c r="BH50" t="s">
        <v>74</v>
      </c>
      <c r="BI50">
        <v>24</v>
      </c>
      <c r="BJ50" t="s">
        <v>1202</v>
      </c>
      <c r="BK50" t="s">
        <v>155</v>
      </c>
      <c r="BL50" t="s">
        <v>183</v>
      </c>
      <c r="BM50" t="s">
        <v>1203</v>
      </c>
      <c r="BN50" t="s">
        <v>74</v>
      </c>
      <c r="BO50" t="s">
        <v>74</v>
      </c>
      <c r="BP50" t="s">
        <v>74</v>
      </c>
      <c r="BQ50" t="s">
        <v>74</v>
      </c>
      <c r="BR50" t="s">
        <v>105</v>
      </c>
      <c r="BS50" t="s">
        <v>1204</v>
      </c>
      <c r="BT50" t="str">
        <f>HYPERLINK("https%3A%2F%2Fwww.webofscience.com%2Fwos%2Fwoscc%2Ffull-record%2FWOS:001442788800001","View Full Record in Web of Science")</f>
        <v>View Full Record in Web of Science</v>
      </c>
    </row>
    <row r="51" spans="1:72" x14ac:dyDescent="0.25">
      <c r="A51" t="s">
        <v>72</v>
      </c>
      <c r="B51" t="s">
        <v>1205</v>
      </c>
      <c r="C51" t="s">
        <v>74</v>
      </c>
      <c r="D51" t="s">
        <v>74</v>
      </c>
      <c r="E51" t="s">
        <v>74</v>
      </c>
      <c r="F51" t="s">
        <v>1206</v>
      </c>
      <c r="G51" t="s">
        <v>74</v>
      </c>
      <c r="H51" t="s">
        <v>74</v>
      </c>
      <c r="I51" t="s">
        <v>1207</v>
      </c>
      <c r="J51" t="s">
        <v>1208</v>
      </c>
      <c r="K51" t="s">
        <v>74</v>
      </c>
      <c r="L51" t="s">
        <v>74</v>
      </c>
      <c r="M51" t="s">
        <v>78</v>
      </c>
      <c r="N51" t="s">
        <v>79</v>
      </c>
      <c r="O51" t="s">
        <v>74</v>
      </c>
      <c r="P51" t="s">
        <v>74</v>
      </c>
      <c r="Q51" t="s">
        <v>74</v>
      </c>
      <c r="R51" t="s">
        <v>74</v>
      </c>
      <c r="S51" t="s">
        <v>74</v>
      </c>
      <c r="T51" t="s">
        <v>1209</v>
      </c>
      <c r="U51" t="s">
        <v>1210</v>
      </c>
      <c r="V51" t="s">
        <v>1211</v>
      </c>
      <c r="W51" t="s">
        <v>1212</v>
      </c>
      <c r="X51" t="s">
        <v>1213</v>
      </c>
      <c r="Y51" t="s">
        <v>1214</v>
      </c>
      <c r="Z51" t="s">
        <v>1215</v>
      </c>
      <c r="AA51" t="s">
        <v>1216</v>
      </c>
      <c r="AB51" t="s">
        <v>1217</v>
      </c>
      <c r="AC51" t="s">
        <v>1218</v>
      </c>
      <c r="AD51" t="s">
        <v>1219</v>
      </c>
      <c r="AE51" t="s">
        <v>1220</v>
      </c>
      <c r="AF51" t="s">
        <v>74</v>
      </c>
      <c r="AG51">
        <v>131</v>
      </c>
      <c r="AH51">
        <v>3</v>
      </c>
      <c r="AI51">
        <v>4</v>
      </c>
      <c r="AJ51">
        <v>26</v>
      </c>
      <c r="AK51">
        <v>54</v>
      </c>
      <c r="AL51" t="s">
        <v>120</v>
      </c>
      <c r="AM51" t="s">
        <v>121</v>
      </c>
      <c r="AN51" t="s">
        <v>1221</v>
      </c>
      <c r="AO51" t="s">
        <v>74</v>
      </c>
      <c r="AP51" t="s">
        <v>1222</v>
      </c>
      <c r="AQ51" t="s">
        <v>74</v>
      </c>
      <c r="AR51" t="s">
        <v>1208</v>
      </c>
      <c r="AS51" t="s">
        <v>1223</v>
      </c>
      <c r="AT51" t="s">
        <v>1070</v>
      </c>
      <c r="AU51">
        <v>2024</v>
      </c>
      <c r="AV51">
        <v>12</v>
      </c>
      <c r="AW51">
        <v>6</v>
      </c>
      <c r="AX51" t="s">
        <v>74</v>
      </c>
      <c r="AY51" t="s">
        <v>74</v>
      </c>
      <c r="AZ51" t="s">
        <v>74</v>
      </c>
      <c r="BA51" t="s">
        <v>74</v>
      </c>
      <c r="BB51" t="s">
        <v>74</v>
      </c>
      <c r="BC51" t="s">
        <v>74</v>
      </c>
      <c r="BD51">
        <v>415</v>
      </c>
      <c r="BE51" t="s">
        <v>1224</v>
      </c>
      <c r="BF51" t="str">
        <f>HYPERLINK("http://dx.doi.org/10.3390/machines12060415","http://dx.doi.org/10.3390/machines12060415")</f>
        <v>http://dx.doi.org/10.3390/machines12060415</v>
      </c>
      <c r="BG51" t="s">
        <v>74</v>
      </c>
      <c r="BH51" t="s">
        <v>74</v>
      </c>
      <c r="BI51">
        <v>24</v>
      </c>
      <c r="BJ51" t="s">
        <v>1225</v>
      </c>
      <c r="BK51" t="s">
        <v>182</v>
      </c>
      <c r="BL51" t="s">
        <v>183</v>
      </c>
      <c r="BM51" t="s">
        <v>1226</v>
      </c>
      <c r="BN51" t="s">
        <v>74</v>
      </c>
      <c r="BO51" t="s">
        <v>185</v>
      </c>
      <c r="BP51" t="s">
        <v>74</v>
      </c>
      <c r="BQ51" t="s">
        <v>74</v>
      </c>
      <c r="BR51" t="s">
        <v>105</v>
      </c>
      <c r="BS51" t="s">
        <v>1227</v>
      </c>
      <c r="BT51" t="str">
        <f>HYPERLINK("https%3A%2F%2Fwww.webofscience.com%2Fwos%2Fwoscc%2Ffull-record%2FWOS:001256015800001","View Full Record in Web of Science")</f>
        <v>View Full Record in Web of Science</v>
      </c>
    </row>
    <row r="52" spans="1:72" x14ac:dyDescent="0.25">
      <c r="A52" t="s">
        <v>72</v>
      </c>
      <c r="B52" t="s">
        <v>1228</v>
      </c>
      <c r="C52" t="s">
        <v>74</v>
      </c>
      <c r="D52" t="s">
        <v>74</v>
      </c>
      <c r="E52" t="s">
        <v>74</v>
      </c>
      <c r="F52" t="s">
        <v>1229</v>
      </c>
      <c r="G52" t="s">
        <v>74</v>
      </c>
      <c r="H52" t="s">
        <v>74</v>
      </c>
      <c r="I52" t="s">
        <v>1230</v>
      </c>
      <c r="J52" t="s">
        <v>1231</v>
      </c>
      <c r="K52" t="s">
        <v>74</v>
      </c>
      <c r="L52" t="s">
        <v>74</v>
      </c>
      <c r="M52" t="s">
        <v>78</v>
      </c>
      <c r="N52" t="s">
        <v>79</v>
      </c>
      <c r="O52" t="s">
        <v>74</v>
      </c>
      <c r="P52" t="s">
        <v>74</v>
      </c>
      <c r="Q52" t="s">
        <v>74</v>
      </c>
      <c r="R52" t="s">
        <v>74</v>
      </c>
      <c r="S52" t="s">
        <v>74</v>
      </c>
      <c r="T52" t="s">
        <v>1232</v>
      </c>
      <c r="U52" t="s">
        <v>1233</v>
      </c>
      <c r="V52" t="s">
        <v>1234</v>
      </c>
      <c r="W52" t="s">
        <v>1235</v>
      </c>
      <c r="X52" t="s">
        <v>1236</v>
      </c>
      <c r="Y52" t="s">
        <v>1237</v>
      </c>
      <c r="Z52" t="s">
        <v>1238</v>
      </c>
      <c r="AA52" t="s">
        <v>1239</v>
      </c>
      <c r="AB52" t="s">
        <v>1240</v>
      </c>
      <c r="AC52" t="s">
        <v>1241</v>
      </c>
      <c r="AD52" t="s">
        <v>1242</v>
      </c>
      <c r="AE52" t="s">
        <v>1243</v>
      </c>
      <c r="AF52" t="s">
        <v>74</v>
      </c>
      <c r="AG52">
        <v>213</v>
      </c>
      <c r="AH52">
        <v>113</v>
      </c>
      <c r="AI52">
        <v>124</v>
      </c>
      <c r="AJ52">
        <v>6</v>
      </c>
      <c r="AK52">
        <v>92</v>
      </c>
      <c r="AL52" t="s">
        <v>392</v>
      </c>
      <c r="AM52" t="s">
        <v>393</v>
      </c>
      <c r="AN52" t="s">
        <v>394</v>
      </c>
      <c r="AO52" t="s">
        <v>1244</v>
      </c>
      <c r="AP52" t="s">
        <v>74</v>
      </c>
      <c r="AQ52" t="s">
        <v>74</v>
      </c>
      <c r="AR52" t="s">
        <v>1245</v>
      </c>
      <c r="AS52" t="s">
        <v>1246</v>
      </c>
      <c r="AT52" t="s">
        <v>1247</v>
      </c>
      <c r="AU52">
        <v>2020</v>
      </c>
      <c r="AV52">
        <v>14</v>
      </c>
      <c r="AW52" t="s">
        <v>74</v>
      </c>
      <c r="AX52" t="s">
        <v>74</v>
      </c>
      <c r="AY52" t="s">
        <v>74</v>
      </c>
      <c r="AZ52" t="s">
        <v>74</v>
      </c>
      <c r="BA52" t="s">
        <v>74</v>
      </c>
      <c r="BB52" t="s">
        <v>74</v>
      </c>
      <c r="BC52" t="s">
        <v>74</v>
      </c>
      <c r="BD52">
        <v>19</v>
      </c>
      <c r="BE52" t="s">
        <v>1248</v>
      </c>
      <c r="BF52" t="str">
        <f>HYPERLINK("http://dx.doi.org/10.3389/fnbot.2020.00019","http://dx.doi.org/10.3389/fnbot.2020.00019")</f>
        <v>http://dx.doi.org/10.3389/fnbot.2020.00019</v>
      </c>
      <c r="BG52" t="s">
        <v>74</v>
      </c>
      <c r="BH52" t="s">
        <v>74</v>
      </c>
      <c r="BI52">
        <v>16</v>
      </c>
      <c r="BJ52" t="s">
        <v>1249</v>
      </c>
      <c r="BK52" t="s">
        <v>102</v>
      </c>
      <c r="BL52" t="s">
        <v>1250</v>
      </c>
      <c r="BM52" t="s">
        <v>1251</v>
      </c>
      <c r="BN52">
        <v>32351377</v>
      </c>
      <c r="BO52" t="s">
        <v>131</v>
      </c>
      <c r="BP52" t="s">
        <v>74</v>
      </c>
      <c r="BQ52" t="s">
        <v>74</v>
      </c>
      <c r="BR52" t="s">
        <v>105</v>
      </c>
      <c r="BS52" t="s">
        <v>1252</v>
      </c>
      <c r="BT52" t="str">
        <f>HYPERLINK("https%3A%2F%2Fwww.webofscience.com%2Fwos%2Fwoscc%2Ffull-record%2FWOS:000530473900001","View Full Record in Web of Science")</f>
        <v>View Full Record in Web of Science</v>
      </c>
    </row>
    <row r="53" spans="1:72" x14ac:dyDescent="0.25">
      <c r="A53" t="s">
        <v>72</v>
      </c>
      <c r="B53" t="s">
        <v>1253</v>
      </c>
      <c r="C53" t="s">
        <v>74</v>
      </c>
      <c r="D53" t="s">
        <v>74</v>
      </c>
      <c r="E53" t="s">
        <v>74</v>
      </c>
      <c r="F53" t="s">
        <v>1254</v>
      </c>
      <c r="G53" t="s">
        <v>74</v>
      </c>
      <c r="H53" t="s">
        <v>74</v>
      </c>
      <c r="I53" t="s">
        <v>1255</v>
      </c>
      <c r="J53" t="s">
        <v>1256</v>
      </c>
      <c r="K53" t="s">
        <v>74</v>
      </c>
      <c r="L53" t="s">
        <v>74</v>
      </c>
      <c r="M53" t="s">
        <v>78</v>
      </c>
      <c r="N53" t="s">
        <v>79</v>
      </c>
      <c r="O53" t="s">
        <v>74</v>
      </c>
      <c r="P53" t="s">
        <v>74</v>
      </c>
      <c r="Q53" t="s">
        <v>74</v>
      </c>
      <c r="R53" t="s">
        <v>74</v>
      </c>
      <c r="S53" t="s">
        <v>74</v>
      </c>
      <c r="T53" t="s">
        <v>1257</v>
      </c>
      <c r="U53" t="s">
        <v>1258</v>
      </c>
      <c r="V53" t="s">
        <v>1259</v>
      </c>
      <c r="W53" t="s">
        <v>1260</v>
      </c>
      <c r="X53" t="s">
        <v>1261</v>
      </c>
      <c r="Y53" t="s">
        <v>1262</v>
      </c>
      <c r="Z53" t="s">
        <v>1263</v>
      </c>
      <c r="AA53" t="s">
        <v>74</v>
      </c>
      <c r="AB53" t="s">
        <v>1264</v>
      </c>
      <c r="AC53" t="s">
        <v>1265</v>
      </c>
      <c r="AD53" t="s">
        <v>1266</v>
      </c>
      <c r="AE53" t="s">
        <v>74</v>
      </c>
      <c r="AF53" t="s">
        <v>74</v>
      </c>
      <c r="AG53">
        <v>50</v>
      </c>
      <c r="AH53">
        <v>8</v>
      </c>
      <c r="AI53">
        <v>8</v>
      </c>
      <c r="AJ53">
        <v>1</v>
      </c>
      <c r="AK53">
        <v>25</v>
      </c>
      <c r="AL53" t="s">
        <v>1267</v>
      </c>
      <c r="AM53" t="s">
        <v>275</v>
      </c>
      <c r="AN53" t="s">
        <v>1268</v>
      </c>
      <c r="AO53" t="s">
        <v>1269</v>
      </c>
      <c r="AP53" t="s">
        <v>1270</v>
      </c>
      <c r="AQ53" t="s">
        <v>74</v>
      </c>
      <c r="AR53" t="s">
        <v>1271</v>
      </c>
      <c r="AS53" t="s">
        <v>1272</v>
      </c>
      <c r="AT53" t="s">
        <v>1273</v>
      </c>
      <c r="AU53">
        <v>2016</v>
      </c>
      <c r="AV53">
        <v>472</v>
      </c>
      <c r="AW53">
        <v>2193</v>
      </c>
      <c r="AX53" t="s">
        <v>74</v>
      </c>
      <c r="AY53" t="s">
        <v>74</v>
      </c>
      <c r="AZ53" t="s">
        <v>74</v>
      </c>
      <c r="BA53" t="s">
        <v>74</v>
      </c>
      <c r="BB53" t="s">
        <v>74</v>
      </c>
      <c r="BC53" t="s">
        <v>74</v>
      </c>
      <c r="BD53">
        <v>20150569</v>
      </c>
      <c r="BE53" t="s">
        <v>1274</v>
      </c>
      <c r="BF53" t="str">
        <f>HYPERLINK("http://dx.doi.org/10.1098/rspa.2015.0569","http://dx.doi.org/10.1098/rspa.2015.0569")</f>
        <v>http://dx.doi.org/10.1098/rspa.2015.0569</v>
      </c>
      <c r="BG53" t="s">
        <v>74</v>
      </c>
      <c r="BH53" t="s">
        <v>74</v>
      </c>
      <c r="BI53">
        <v>29</v>
      </c>
      <c r="BJ53" t="s">
        <v>936</v>
      </c>
      <c r="BK53" t="s">
        <v>182</v>
      </c>
      <c r="BL53" t="s">
        <v>937</v>
      </c>
      <c r="BM53" t="s">
        <v>1275</v>
      </c>
      <c r="BN53">
        <v>27713654</v>
      </c>
      <c r="BO53" t="s">
        <v>1276</v>
      </c>
      <c r="BP53" t="s">
        <v>74</v>
      </c>
      <c r="BQ53" t="s">
        <v>74</v>
      </c>
      <c r="BR53" t="s">
        <v>105</v>
      </c>
      <c r="BS53" t="s">
        <v>1277</v>
      </c>
      <c r="BT53" t="str">
        <f>HYPERLINK("https%3A%2F%2Fwww.webofscience.com%2Fwos%2Fwoscc%2Ffull-record%2FWOS:000391098900001","View Full Record in Web of Science")</f>
        <v>View Full Record in Web of Science</v>
      </c>
    </row>
    <row r="54" spans="1:72" x14ac:dyDescent="0.25">
      <c r="A54" t="s">
        <v>72</v>
      </c>
      <c r="B54" t="s">
        <v>1278</v>
      </c>
      <c r="C54" t="s">
        <v>74</v>
      </c>
      <c r="D54" t="s">
        <v>74</v>
      </c>
      <c r="E54" t="s">
        <v>74</v>
      </c>
      <c r="F54" t="s">
        <v>1279</v>
      </c>
      <c r="G54" t="s">
        <v>74</v>
      </c>
      <c r="H54" t="s">
        <v>74</v>
      </c>
      <c r="I54" t="s">
        <v>1280</v>
      </c>
      <c r="J54" t="s">
        <v>214</v>
      </c>
      <c r="K54" t="s">
        <v>74</v>
      </c>
      <c r="L54" t="s">
        <v>74</v>
      </c>
      <c r="M54" t="s">
        <v>78</v>
      </c>
      <c r="N54" t="s">
        <v>79</v>
      </c>
      <c r="O54" t="s">
        <v>74</v>
      </c>
      <c r="P54" t="s">
        <v>74</v>
      </c>
      <c r="Q54" t="s">
        <v>74</v>
      </c>
      <c r="R54" t="s">
        <v>74</v>
      </c>
      <c r="S54" t="s">
        <v>74</v>
      </c>
      <c r="T54" t="s">
        <v>1281</v>
      </c>
      <c r="U54" t="s">
        <v>1282</v>
      </c>
      <c r="V54" t="s">
        <v>1283</v>
      </c>
      <c r="W54" t="s">
        <v>1284</v>
      </c>
      <c r="X54" t="s">
        <v>1285</v>
      </c>
      <c r="Y54" t="s">
        <v>1286</v>
      </c>
      <c r="Z54" t="s">
        <v>1287</v>
      </c>
      <c r="AA54" t="s">
        <v>1288</v>
      </c>
      <c r="AB54" t="s">
        <v>1289</v>
      </c>
      <c r="AC54" t="s">
        <v>74</v>
      </c>
      <c r="AD54" t="s">
        <v>74</v>
      </c>
      <c r="AE54" t="s">
        <v>74</v>
      </c>
      <c r="AF54" t="s">
        <v>74</v>
      </c>
      <c r="AG54">
        <v>47</v>
      </c>
      <c r="AH54">
        <v>50</v>
      </c>
      <c r="AI54">
        <v>55</v>
      </c>
      <c r="AJ54">
        <v>0</v>
      </c>
      <c r="AK54">
        <v>66</v>
      </c>
      <c r="AL54" t="s">
        <v>226</v>
      </c>
      <c r="AM54" t="s">
        <v>227</v>
      </c>
      <c r="AN54" t="s">
        <v>228</v>
      </c>
      <c r="AO54" t="s">
        <v>229</v>
      </c>
      <c r="AP54" t="s">
        <v>230</v>
      </c>
      <c r="AQ54" t="s">
        <v>74</v>
      </c>
      <c r="AR54" t="s">
        <v>231</v>
      </c>
      <c r="AS54" t="s">
        <v>232</v>
      </c>
      <c r="AT54" t="s">
        <v>126</v>
      </c>
      <c r="AU54">
        <v>2017</v>
      </c>
      <c r="AV54">
        <v>98</v>
      </c>
      <c r="AW54">
        <v>11</v>
      </c>
      <c r="AX54" t="s">
        <v>74</v>
      </c>
      <c r="AY54" t="s">
        <v>74</v>
      </c>
      <c r="AZ54" t="s">
        <v>74</v>
      </c>
      <c r="BA54" t="s">
        <v>74</v>
      </c>
      <c r="BB54">
        <v>2320</v>
      </c>
      <c r="BC54">
        <v>2331</v>
      </c>
      <c r="BD54" t="s">
        <v>74</v>
      </c>
      <c r="BE54" t="s">
        <v>1290</v>
      </c>
      <c r="BF54" t="str">
        <f>HYPERLINK("http://dx.doi.org/10.1016/j.apmr.2017.05.015","http://dx.doi.org/10.1016/j.apmr.2017.05.015")</f>
        <v>http://dx.doi.org/10.1016/j.apmr.2017.05.015</v>
      </c>
      <c r="BG54" t="s">
        <v>74</v>
      </c>
      <c r="BH54" t="s">
        <v>74</v>
      </c>
      <c r="BI54">
        <v>12</v>
      </c>
      <c r="BJ54" t="s">
        <v>236</v>
      </c>
      <c r="BK54" t="s">
        <v>182</v>
      </c>
      <c r="BL54" t="s">
        <v>236</v>
      </c>
      <c r="BM54" t="s">
        <v>1291</v>
      </c>
      <c r="BN54">
        <v>28645768</v>
      </c>
      <c r="BO54" t="s">
        <v>74</v>
      </c>
      <c r="BP54" t="s">
        <v>74</v>
      </c>
      <c r="BQ54" t="s">
        <v>74</v>
      </c>
      <c r="BR54" t="s">
        <v>105</v>
      </c>
      <c r="BS54" t="s">
        <v>1292</v>
      </c>
      <c r="BT54" t="str">
        <f>HYPERLINK("https%3A%2F%2Fwww.webofscience.com%2Fwos%2Fwoscc%2Ffull-record%2FWOS:000414275500027","View Full Record in Web of Science")</f>
        <v>View Full Record in Web of Science</v>
      </c>
    </row>
    <row r="55" spans="1:72" x14ac:dyDescent="0.25">
      <c r="A55" t="s">
        <v>72</v>
      </c>
      <c r="B55" t="s">
        <v>1293</v>
      </c>
      <c r="C55" t="s">
        <v>74</v>
      </c>
      <c r="D55" t="s">
        <v>74</v>
      </c>
      <c r="E55" t="s">
        <v>74</v>
      </c>
      <c r="F55" t="s">
        <v>1294</v>
      </c>
      <c r="G55" t="s">
        <v>74</v>
      </c>
      <c r="H55" t="s">
        <v>74</v>
      </c>
      <c r="I55" t="s">
        <v>1295</v>
      </c>
      <c r="J55" t="s">
        <v>1296</v>
      </c>
      <c r="K55" t="s">
        <v>74</v>
      </c>
      <c r="L55" t="s">
        <v>74</v>
      </c>
      <c r="M55" t="s">
        <v>78</v>
      </c>
      <c r="N55" t="s">
        <v>79</v>
      </c>
      <c r="O55" t="s">
        <v>74</v>
      </c>
      <c r="P55" t="s">
        <v>74</v>
      </c>
      <c r="Q55" t="s">
        <v>74</v>
      </c>
      <c r="R55" t="s">
        <v>74</v>
      </c>
      <c r="S55" t="s">
        <v>74</v>
      </c>
      <c r="T55" t="s">
        <v>1297</v>
      </c>
      <c r="U55" t="s">
        <v>74</v>
      </c>
      <c r="V55" t="s">
        <v>1298</v>
      </c>
      <c r="W55" t="s">
        <v>1299</v>
      </c>
      <c r="X55" t="s">
        <v>1300</v>
      </c>
      <c r="Y55" t="s">
        <v>1301</v>
      </c>
      <c r="Z55" t="s">
        <v>1302</v>
      </c>
      <c r="AA55" t="s">
        <v>1303</v>
      </c>
      <c r="AB55" t="s">
        <v>1304</v>
      </c>
      <c r="AC55" t="s">
        <v>74</v>
      </c>
      <c r="AD55" t="s">
        <v>74</v>
      </c>
      <c r="AE55" t="s">
        <v>74</v>
      </c>
      <c r="AF55" t="s">
        <v>74</v>
      </c>
      <c r="AG55">
        <v>18</v>
      </c>
      <c r="AH55">
        <v>37</v>
      </c>
      <c r="AI55">
        <v>40</v>
      </c>
      <c r="AJ55">
        <v>1</v>
      </c>
      <c r="AK55">
        <v>21</v>
      </c>
      <c r="AL55" t="s">
        <v>1305</v>
      </c>
      <c r="AM55" t="s">
        <v>1306</v>
      </c>
      <c r="AN55" t="s">
        <v>1307</v>
      </c>
      <c r="AO55" t="s">
        <v>1308</v>
      </c>
      <c r="AP55" t="s">
        <v>1309</v>
      </c>
      <c r="AQ55" t="s">
        <v>74</v>
      </c>
      <c r="AR55" t="s">
        <v>1310</v>
      </c>
      <c r="AS55" t="s">
        <v>1311</v>
      </c>
      <c r="AT55" t="s">
        <v>74</v>
      </c>
      <c r="AU55">
        <v>2011</v>
      </c>
      <c r="AV55">
        <v>20</v>
      </c>
      <c r="AW55">
        <v>2</v>
      </c>
      <c r="AX55" t="s">
        <v>74</v>
      </c>
      <c r="AY55" t="s">
        <v>74</v>
      </c>
      <c r="AZ55" t="s">
        <v>74</v>
      </c>
      <c r="BA55" t="s">
        <v>74</v>
      </c>
      <c r="BB55">
        <v>227</v>
      </c>
      <c r="BC55">
        <v>233</v>
      </c>
      <c r="BD55" t="s">
        <v>74</v>
      </c>
      <c r="BE55" t="s">
        <v>74</v>
      </c>
      <c r="BF55" t="s">
        <v>74</v>
      </c>
      <c r="BG55" t="s">
        <v>74</v>
      </c>
      <c r="BH55" t="s">
        <v>74</v>
      </c>
      <c r="BI55">
        <v>7</v>
      </c>
      <c r="BJ55" t="s">
        <v>738</v>
      </c>
      <c r="BK55" t="s">
        <v>182</v>
      </c>
      <c r="BL55" t="s">
        <v>739</v>
      </c>
      <c r="BM55" t="s">
        <v>1312</v>
      </c>
      <c r="BN55" t="s">
        <v>74</v>
      </c>
      <c r="BO55" t="s">
        <v>74</v>
      </c>
      <c r="BP55" t="s">
        <v>74</v>
      </c>
      <c r="BQ55" t="s">
        <v>74</v>
      </c>
      <c r="BR55" t="s">
        <v>105</v>
      </c>
      <c r="BS55" t="s">
        <v>1313</v>
      </c>
      <c r="BT55" t="str">
        <f>HYPERLINK("https%3A%2F%2Fwww.webofscience.com%2Fwos%2Fwoscc%2Ffull-record%2FWOS:000290428700015","View Full Record in Web of Science")</f>
        <v>View Full Record in Web of Science</v>
      </c>
    </row>
    <row r="56" spans="1:72" x14ac:dyDescent="0.25">
      <c r="A56" t="s">
        <v>72</v>
      </c>
      <c r="B56" t="s">
        <v>1314</v>
      </c>
      <c r="C56" t="s">
        <v>74</v>
      </c>
      <c r="D56" t="s">
        <v>74</v>
      </c>
      <c r="E56" t="s">
        <v>74</v>
      </c>
      <c r="F56" t="s">
        <v>1315</v>
      </c>
      <c r="G56" t="s">
        <v>74</v>
      </c>
      <c r="H56" t="s">
        <v>74</v>
      </c>
      <c r="I56" t="s">
        <v>1316</v>
      </c>
      <c r="J56" t="s">
        <v>1317</v>
      </c>
      <c r="K56" t="s">
        <v>74</v>
      </c>
      <c r="L56" t="s">
        <v>74</v>
      </c>
      <c r="M56" t="s">
        <v>78</v>
      </c>
      <c r="N56" t="s">
        <v>79</v>
      </c>
      <c r="O56" t="s">
        <v>74</v>
      </c>
      <c r="P56" t="s">
        <v>74</v>
      </c>
      <c r="Q56" t="s">
        <v>74</v>
      </c>
      <c r="R56" t="s">
        <v>74</v>
      </c>
      <c r="S56" t="s">
        <v>74</v>
      </c>
      <c r="T56" t="s">
        <v>1318</v>
      </c>
      <c r="U56" t="s">
        <v>1319</v>
      </c>
      <c r="V56" t="s">
        <v>1320</v>
      </c>
      <c r="W56" t="s">
        <v>1321</v>
      </c>
      <c r="X56" t="s">
        <v>1322</v>
      </c>
      <c r="Y56" t="s">
        <v>1323</v>
      </c>
      <c r="Z56" t="s">
        <v>1324</v>
      </c>
      <c r="AA56" t="s">
        <v>1325</v>
      </c>
      <c r="AB56" t="s">
        <v>1326</v>
      </c>
      <c r="AC56" t="s">
        <v>74</v>
      </c>
      <c r="AD56" t="s">
        <v>74</v>
      </c>
      <c r="AE56" t="s">
        <v>74</v>
      </c>
      <c r="AF56" t="s">
        <v>74</v>
      </c>
      <c r="AG56">
        <v>130</v>
      </c>
      <c r="AH56">
        <v>340</v>
      </c>
      <c r="AI56">
        <v>374</v>
      </c>
      <c r="AJ56">
        <v>59</v>
      </c>
      <c r="AK56">
        <v>843</v>
      </c>
      <c r="AL56" t="s">
        <v>996</v>
      </c>
      <c r="AM56" t="s">
        <v>275</v>
      </c>
      <c r="AN56" t="s">
        <v>997</v>
      </c>
      <c r="AO56" t="s">
        <v>1327</v>
      </c>
      <c r="AP56" t="s">
        <v>74</v>
      </c>
      <c r="AQ56" t="s">
        <v>74</v>
      </c>
      <c r="AR56" t="s">
        <v>1328</v>
      </c>
      <c r="AS56" t="s">
        <v>1329</v>
      </c>
      <c r="AT56" t="s">
        <v>1330</v>
      </c>
      <c r="AU56">
        <v>2016</v>
      </c>
      <c r="AV56">
        <v>2</v>
      </c>
      <c r="AW56" t="s">
        <v>74</v>
      </c>
      <c r="AX56" t="s">
        <v>74</v>
      </c>
      <c r="AY56" t="s">
        <v>74</v>
      </c>
      <c r="AZ56" t="s">
        <v>74</v>
      </c>
      <c r="BA56" t="s">
        <v>74</v>
      </c>
      <c r="BB56" t="s">
        <v>74</v>
      </c>
      <c r="BC56" t="s">
        <v>74</v>
      </c>
      <c r="BD56">
        <v>16043</v>
      </c>
      <c r="BE56" t="s">
        <v>1331</v>
      </c>
      <c r="BF56" t="str">
        <f>HYPERLINK("http://dx.doi.org/10.1038/micronano.2016.43","http://dx.doi.org/10.1038/micronano.2016.43")</f>
        <v>http://dx.doi.org/10.1038/micronano.2016.43</v>
      </c>
      <c r="BG56" t="s">
        <v>74</v>
      </c>
      <c r="BH56" t="s">
        <v>74</v>
      </c>
      <c r="BI56">
        <v>19</v>
      </c>
      <c r="BJ56" t="s">
        <v>1332</v>
      </c>
      <c r="BK56" t="s">
        <v>182</v>
      </c>
      <c r="BL56" t="s">
        <v>1333</v>
      </c>
      <c r="BM56" t="s">
        <v>1334</v>
      </c>
      <c r="BN56">
        <v>31057833</v>
      </c>
      <c r="BO56" t="s">
        <v>355</v>
      </c>
      <c r="BP56" t="s">
        <v>869</v>
      </c>
      <c r="BQ56" t="s">
        <v>870</v>
      </c>
      <c r="BR56" t="s">
        <v>105</v>
      </c>
      <c r="BS56" t="s">
        <v>1335</v>
      </c>
      <c r="BT56" t="str">
        <f>HYPERLINK("https%3A%2F%2Fwww.webofscience.com%2Fwos%2Fwoscc%2Ffull-record%2FWOS:000394948500001","View Full Record in Web of Science")</f>
        <v>View Full Record in Web of Science</v>
      </c>
    </row>
    <row r="57" spans="1:72" x14ac:dyDescent="0.25">
      <c r="A57" t="s">
        <v>72</v>
      </c>
      <c r="B57" t="s">
        <v>1336</v>
      </c>
      <c r="C57" t="s">
        <v>74</v>
      </c>
      <c r="D57" t="s">
        <v>74</v>
      </c>
      <c r="E57" t="s">
        <v>74</v>
      </c>
      <c r="F57" t="s">
        <v>1337</v>
      </c>
      <c r="G57" t="s">
        <v>74</v>
      </c>
      <c r="H57" t="s">
        <v>74</v>
      </c>
      <c r="I57" t="s">
        <v>1338</v>
      </c>
      <c r="J57" t="s">
        <v>1339</v>
      </c>
      <c r="K57" t="s">
        <v>74</v>
      </c>
      <c r="L57" t="s">
        <v>74</v>
      </c>
      <c r="M57" t="s">
        <v>78</v>
      </c>
      <c r="N57" t="s">
        <v>79</v>
      </c>
      <c r="O57" t="s">
        <v>74</v>
      </c>
      <c r="P57" t="s">
        <v>74</v>
      </c>
      <c r="Q57" t="s">
        <v>74</v>
      </c>
      <c r="R57" t="s">
        <v>74</v>
      </c>
      <c r="S57" t="s">
        <v>74</v>
      </c>
      <c r="T57" t="s">
        <v>1340</v>
      </c>
      <c r="U57" t="s">
        <v>74</v>
      </c>
      <c r="V57" t="s">
        <v>1341</v>
      </c>
      <c r="W57" t="s">
        <v>1342</v>
      </c>
      <c r="X57" t="s">
        <v>1343</v>
      </c>
      <c r="Y57" t="s">
        <v>1344</v>
      </c>
      <c r="Z57" t="s">
        <v>1345</v>
      </c>
      <c r="AA57" t="s">
        <v>1346</v>
      </c>
      <c r="AB57" t="s">
        <v>1347</v>
      </c>
      <c r="AC57" t="s">
        <v>74</v>
      </c>
      <c r="AD57" t="s">
        <v>74</v>
      </c>
      <c r="AE57" t="s">
        <v>74</v>
      </c>
      <c r="AF57" t="s">
        <v>74</v>
      </c>
      <c r="AG57">
        <v>19</v>
      </c>
      <c r="AH57">
        <v>27</v>
      </c>
      <c r="AI57">
        <v>27</v>
      </c>
      <c r="AJ57">
        <v>1</v>
      </c>
      <c r="AK57">
        <v>8</v>
      </c>
      <c r="AL57" t="s">
        <v>1348</v>
      </c>
      <c r="AM57" t="s">
        <v>1349</v>
      </c>
      <c r="AN57" t="s">
        <v>1350</v>
      </c>
      <c r="AO57" t="s">
        <v>1351</v>
      </c>
      <c r="AP57" t="s">
        <v>1352</v>
      </c>
      <c r="AQ57" t="s">
        <v>74</v>
      </c>
      <c r="AR57" t="s">
        <v>1353</v>
      </c>
      <c r="AS57" t="s">
        <v>1354</v>
      </c>
      <c r="AT57" t="s">
        <v>634</v>
      </c>
      <c r="AU57">
        <v>2014</v>
      </c>
      <c r="AV57">
        <v>26</v>
      </c>
      <c r="AW57">
        <v>4</v>
      </c>
      <c r="AX57" t="s">
        <v>74</v>
      </c>
      <c r="AY57" t="s">
        <v>74</v>
      </c>
      <c r="AZ57" t="s">
        <v>152</v>
      </c>
      <c r="BA57" t="s">
        <v>74</v>
      </c>
      <c r="BB57">
        <v>418</v>
      </c>
      <c r="BC57">
        <v>425</v>
      </c>
      <c r="BD57" t="s">
        <v>74</v>
      </c>
      <c r="BE57" t="s">
        <v>1355</v>
      </c>
      <c r="BF57" t="str">
        <f>HYPERLINK("http://dx.doi.org/10.20965/jrm.2014.p0418","http://dx.doi.org/10.20965/jrm.2014.p0418")</f>
        <v>http://dx.doi.org/10.20965/jrm.2014.p0418</v>
      </c>
      <c r="BG57" t="s">
        <v>74</v>
      </c>
      <c r="BH57" t="s">
        <v>74</v>
      </c>
      <c r="BI57">
        <v>8</v>
      </c>
      <c r="BJ57" t="s">
        <v>714</v>
      </c>
      <c r="BK57" t="s">
        <v>155</v>
      </c>
      <c r="BL57" t="s">
        <v>714</v>
      </c>
      <c r="BM57" t="s">
        <v>1356</v>
      </c>
      <c r="BN57" t="s">
        <v>74</v>
      </c>
      <c r="BO57" t="s">
        <v>185</v>
      </c>
      <c r="BP57" t="s">
        <v>74</v>
      </c>
      <c r="BQ57" t="s">
        <v>74</v>
      </c>
      <c r="BR57" t="s">
        <v>105</v>
      </c>
      <c r="BS57" t="s">
        <v>1357</v>
      </c>
      <c r="BT57" t="str">
        <f>HYPERLINK("https%3A%2F%2Fwww.webofscience.com%2Fwos%2Fwoscc%2Ffull-record%2FWOS:000448932400002","View Full Record in Web of Science")</f>
        <v>View Full Record in Web of Science</v>
      </c>
    </row>
    <row r="58" spans="1:72" x14ac:dyDescent="0.25">
      <c r="A58" t="s">
        <v>72</v>
      </c>
      <c r="B58" t="s">
        <v>1358</v>
      </c>
      <c r="C58" t="s">
        <v>74</v>
      </c>
      <c r="D58" t="s">
        <v>74</v>
      </c>
      <c r="E58" t="s">
        <v>74</v>
      </c>
      <c r="F58" t="s">
        <v>1359</v>
      </c>
      <c r="G58" t="s">
        <v>74</v>
      </c>
      <c r="H58" t="s">
        <v>74</v>
      </c>
      <c r="I58" t="s">
        <v>1360</v>
      </c>
      <c r="J58" t="s">
        <v>1361</v>
      </c>
      <c r="K58" t="s">
        <v>74</v>
      </c>
      <c r="L58" t="s">
        <v>74</v>
      </c>
      <c r="M58" t="s">
        <v>78</v>
      </c>
      <c r="N58" t="s">
        <v>79</v>
      </c>
      <c r="O58" t="s">
        <v>74</v>
      </c>
      <c r="P58" t="s">
        <v>74</v>
      </c>
      <c r="Q58" t="s">
        <v>74</v>
      </c>
      <c r="R58" t="s">
        <v>74</v>
      </c>
      <c r="S58" t="s">
        <v>74</v>
      </c>
      <c r="T58" t="s">
        <v>74</v>
      </c>
      <c r="U58" t="s">
        <v>1362</v>
      </c>
      <c r="V58" t="s">
        <v>1363</v>
      </c>
      <c r="W58" t="s">
        <v>1364</v>
      </c>
      <c r="X58" t="s">
        <v>1365</v>
      </c>
      <c r="Y58" t="s">
        <v>1366</v>
      </c>
      <c r="Z58" t="s">
        <v>1367</v>
      </c>
      <c r="AA58" t="s">
        <v>74</v>
      </c>
      <c r="AB58" t="s">
        <v>74</v>
      </c>
      <c r="AC58" t="s">
        <v>74</v>
      </c>
      <c r="AD58" t="s">
        <v>74</v>
      </c>
      <c r="AE58" t="s">
        <v>74</v>
      </c>
      <c r="AF58" t="s">
        <v>74</v>
      </c>
      <c r="AG58">
        <v>95</v>
      </c>
      <c r="AH58">
        <v>21</v>
      </c>
      <c r="AI58">
        <v>21</v>
      </c>
      <c r="AJ58">
        <v>1</v>
      </c>
      <c r="AK58">
        <v>5</v>
      </c>
      <c r="AL58" t="s">
        <v>367</v>
      </c>
      <c r="AM58" t="s">
        <v>275</v>
      </c>
      <c r="AN58" t="s">
        <v>368</v>
      </c>
      <c r="AO58" t="s">
        <v>1368</v>
      </c>
      <c r="AP58" t="s">
        <v>1369</v>
      </c>
      <c r="AQ58" t="s">
        <v>74</v>
      </c>
      <c r="AR58" t="s">
        <v>1370</v>
      </c>
      <c r="AS58" t="s">
        <v>1371</v>
      </c>
      <c r="AT58" t="s">
        <v>74</v>
      </c>
      <c r="AU58">
        <v>2011</v>
      </c>
      <c r="AV58">
        <v>2011</v>
      </c>
      <c r="AW58" t="s">
        <v>74</v>
      </c>
      <c r="AX58" t="s">
        <v>74</v>
      </c>
      <c r="AY58" t="s">
        <v>74</v>
      </c>
      <c r="AZ58" t="s">
        <v>74</v>
      </c>
      <c r="BA58" t="s">
        <v>74</v>
      </c>
      <c r="BB58" t="s">
        <v>74</v>
      </c>
      <c r="BC58" t="s">
        <v>74</v>
      </c>
      <c r="BD58">
        <v>348207</v>
      </c>
      <c r="BE58" t="s">
        <v>1372</v>
      </c>
      <c r="BF58" t="str">
        <f>HYPERLINK("http://dx.doi.org/10.1155/2011/348207","http://dx.doi.org/10.1155/2011/348207")</f>
        <v>http://dx.doi.org/10.1155/2011/348207</v>
      </c>
      <c r="BG58" t="s">
        <v>74</v>
      </c>
      <c r="BH58" t="s">
        <v>74</v>
      </c>
      <c r="BI58">
        <v>14</v>
      </c>
      <c r="BJ58" t="s">
        <v>714</v>
      </c>
      <c r="BK58" t="s">
        <v>155</v>
      </c>
      <c r="BL58" t="s">
        <v>714</v>
      </c>
      <c r="BM58" t="s">
        <v>1373</v>
      </c>
      <c r="BN58" t="s">
        <v>74</v>
      </c>
      <c r="BO58" t="s">
        <v>1374</v>
      </c>
      <c r="BP58" t="s">
        <v>74</v>
      </c>
      <c r="BQ58" t="s">
        <v>74</v>
      </c>
      <c r="BR58" t="s">
        <v>105</v>
      </c>
      <c r="BS58" t="s">
        <v>1375</v>
      </c>
      <c r="BT58" t="str">
        <f>HYPERLINK("https%3A%2F%2Fwww.webofscience.com%2Fwos%2Fwoscc%2Ffull-record%2FWOS:000215714400010","View Full Record in Web of Science")</f>
        <v>View Full Record in Web of Science</v>
      </c>
    </row>
    <row r="59" spans="1:72" x14ac:dyDescent="0.25">
      <c r="A59" t="s">
        <v>72</v>
      </c>
      <c r="B59" t="s">
        <v>1376</v>
      </c>
      <c r="C59" t="s">
        <v>74</v>
      </c>
      <c r="D59" t="s">
        <v>74</v>
      </c>
      <c r="E59" t="s">
        <v>74</v>
      </c>
      <c r="F59" t="s">
        <v>1377</v>
      </c>
      <c r="G59" t="s">
        <v>74</v>
      </c>
      <c r="H59" t="s">
        <v>74</v>
      </c>
      <c r="I59" t="s">
        <v>1378</v>
      </c>
      <c r="J59" t="s">
        <v>1379</v>
      </c>
      <c r="K59" t="s">
        <v>74</v>
      </c>
      <c r="L59" t="s">
        <v>74</v>
      </c>
      <c r="M59" t="s">
        <v>78</v>
      </c>
      <c r="N59" t="s">
        <v>79</v>
      </c>
      <c r="O59" t="s">
        <v>74</v>
      </c>
      <c r="P59" t="s">
        <v>74</v>
      </c>
      <c r="Q59" t="s">
        <v>74</v>
      </c>
      <c r="R59" t="s">
        <v>74</v>
      </c>
      <c r="S59" t="s">
        <v>74</v>
      </c>
      <c r="T59" t="s">
        <v>1380</v>
      </c>
      <c r="U59" t="s">
        <v>1381</v>
      </c>
      <c r="V59" t="s">
        <v>1382</v>
      </c>
      <c r="W59" t="s">
        <v>1383</v>
      </c>
      <c r="X59" t="s">
        <v>1384</v>
      </c>
      <c r="Y59" t="s">
        <v>1385</v>
      </c>
      <c r="Z59" t="s">
        <v>1386</v>
      </c>
      <c r="AA59" t="s">
        <v>1387</v>
      </c>
      <c r="AB59" t="s">
        <v>1388</v>
      </c>
      <c r="AC59" t="s">
        <v>1389</v>
      </c>
      <c r="AD59" t="s">
        <v>1389</v>
      </c>
      <c r="AE59" t="s">
        <v>1390</v>
      </c>
      <c r="AF59" t="s">
        <v>74</v>
      </c>
      <c r="AG59">
        <v>68</v>
      </c>
      <c r="AH59">
        <v>13</v>
      </c>
      <c r="AI59">
        <v>13</v>
      </c>
      <c r="AJ59">
        <v>10</v>
      </c>
      <c r="AK59">
        <v>51</v>
      </c>
      <c r="AL59" t="s">
        <v>1391</v>
      </c>
      <c r="AM59" t="s">
        <v>1392</v>
      </c>
      <c r="AN59" t="s">
        <v>1393</v>
      </c>
      <c r="AO59" t="s">
        <v>1394</v>
      </c>
      <c r="AP59" t="s">
        <v>74</v>
      </c>
      <c r="AQ59" t="s">
        <v>74</v>
      </c>
      <c r="AR59" t="s">
        <v>1395</v>
      </c>
      <c r="AS59" t="s">
        <v>1396</v>
      </c>
      <c r="AT59" t="s">
        <v>1397</v>
      </c>
      <c r="AU59">
        <v>2023</v>
      </c>
      <c r="AV59">
        <v>25</v>
      </c>
      <c r="AW59" t="s">
        <v>74</v>
      </c>
      <c r="AX59" t="s">
        <v>74</v>
      </c>
      <c r="AY59" t="s">
        <v>74</v>
      </c>
      <c r="AZ59" t="s">
        <v>74</v>
      </c>
      <c r="BA59" t="s">
        <v>74</v>
      </c>
      <c r="BB59" t="s">
        <v>74</v>
      </c>
      <c r="BC59" t="s">
        <v>74</v>
      </c>
      <c r="BD59" t="s">
        <v>1398</v>
      </c>
      <c r="BE59" t="s">
        <v>1399</v>
      </c>
      <c r="BF59" t="str">
        <f>HYPERLINK("http://dx.doi.org/10.2196/41942","http://dx.doi.org/10.2196/41942")</f>
        <v>http://dx.doi.org/10.2196/41942</v>
      </c>
      <c r="BG59" t="s">
        <v>74</v>
      </c>
      <c r="BH59" t="s">
        <v>74</v>
      </c>
      <c r="BI59">
        <v>23</v>
      </c>
      <c r="BJ59" t="s">
        <v>1400</v>
      </c>
      <c r="BK59" t="s">
        <v>182</v>
      </c>
      <c r="BL59" t="s">
        <v>1400</v>
      </c>
      <c r="BM59" t="s">
        <v>1401</v>
      </c>
      <c r="BN59">
        <v>37171839</v>
      </c>
      <c r="BO59" t="s">
        <v>355</v>
      </c>
      <c r="BP59" t="s">
        <v>74</v>
      </c>
      <c r="BQ59" t="s">
        <v>74</v>
      </c>
      <c r="BR59" t="s">
        <v>105</v>
      </c>
      <c r="BS59" t="s">
        <v>1402</v>
      </c>
      <c r="BT59" t="str">
        <f>HYPERLINK("https%3A%2F%2Fwww.webofscience.com%2Fwos%2Fwoscc%2Ffull-record%2FWOS:001006102600003","View Full Record in Web of Science")</f>
        <v>View Full Record in Web of Science</v>
      </c>
    </row>
    <row r="60" spans="1:72" x14ac:dyDescent="0.25">
      <c r="A60" t="s">
        <v>72</v>
      </c>
      <c r="B60" t="s">
        <v>1403</v>
      </c>
      <c r="C60" t="s">
        <v>74</v>
      </c>
      <c r="D60" t="s">
        <v>74</v>
      </c>
      <c r="E60" t="s">
        <v>74</v>
      </c>
      <c r="F60" t="s">
        <v>1404</v>
      </c>
      <c r="G60" t="s">
        <v>74</v>
      </c>
      <c r="H60" t="s">
        <v>74</v>
      </c>
      <c r="I60" t="s">
        <v>1405</v>
      </c>
      <c r="J60" t="s">
        <v>594</v>
      </c>
      <c r="K60" t="s">
        <v>74</v>
      </c>
      <c r="L60" t="s">
        <v>74</v>
      </c>
      <c r="M60" t="s">
        <v>78</v>
      </c>
      <c r="N60" t="s">
        <v>79</v>
      </c>
      <c r="O60" t="s">
        <v>74</v>
      </c>
      <c r="P60" t="s">
        <v>74</v>
      </c>
      <c r="Q60" t="s">
        <v>74</v>
      </c>
      <c r="R60" t="s">
        <v>74</v>
      </c>
      <c r="S60" t="s">
        <v>74</v>
      </c>
      <c r="T60" t="s">
        <v>74</v>
      </c>
      <c r="U60" t="s">
        <v>1406</v>
      </c>
      <c r="V60" t="s">
        <v>1407</v>
      </c>
      <c r="W60" t="s">
        <v>1408</v>
      </c>
      <c r="X60" t="s">
        <v>1409</v>
      </c>
      <c r="Y60" t="s">
        <v>1410</v>
      </c>
      <c r="Z60" t="s">
        <v>1411</v>
      </c>
      <c r="AA60" t="s">
        <v>1016</v>
      </c>
      <c r="AB60" t="s">
        <v>1412</v>
      </c>
      <c r="AC60" t="s">
        <v>74</v>
      </c>
      <c r="AD60" t="s">
        <v>74</v>
      </c>
      <c r="AE60" t="s">
        <v>74</v>
      </c>
      <c r="AF60" t="s">
        <v>74</v>
      </c>
      <c r="AG60">
        <v>42</v>
      </c>
      <c r="AH60">
        <v>129</v>
      </c>
      <c r="AI60">
        <v>152</v>
      </c>
      <c r="AJ60">
        <v>0</v>
      </c>
      <c r="AK60">
        <v>38</v>
      </c>
      <c r="AL60" t="s">
        <v>274</v>
      </c>
      <c r="AM60" t="s">
        <v>275</v>
      </c>
      <c r="AN60" t="s">
        <v>276</v>
      </c>
      <c r="AO60" t="s">
        <v>74</v>
      </c>
      <c r="AP60" t="s">
        <v>606</v>
      </c>
      <c r="AQ60" t="s">
        <v>74</v>
      </c>
      <c r="AR60" t="s">
        <v>607</v>
      </c>
      <c r="AS60" t="s">
        <v>608</v>
      </c>
      <c r="AT60" t="s">
        <v>441</v>
      </c>
      <c r="AU60">
        <v>2007</v>
      </c>
      <c r="AV60">
        <v>4</v>
      </c>
      <c r="AW60" t="s">
        <v>74</v>
      </c>
      <c r="AX60" t="s">
        <v>74</v>
      </c>
      <c r="AY60" t="s">
        <v>74</v>
      </c>
      <c r="AZ60" t="s">
        <v>74</v>
      </c>
      <c r="BA60" t="s">
        <v>74</v>
      </c>
      <c r="BB60" t="s">
        <v>74</v>
      </c>
      <c r="BC60" t="s">
        <v>74</v>
      </c>
      <c r="BD60">
        <v>1</v>
      </c>
      <c r="BE60" t="s">
        <v>1413</v>
      </c>
      <c r="BF60" t="str">
        <f>HYPERLINK("http://dx.doi.org/10.1186/1743-0003-4-1","http://dx.doi.org/10.1186/1743-0003-4-1")</f>
        <v>http://dx.doi.org/10.1186/1743-0003-4-1</v>
      </c>
      <c r="BG60" t="s">
        <v>74</v>
      </c>
      <c r="BH60" t="s">
        <v>74</v>
      </c>
      <c r="BI60">
        <v>11</v>
      </c>
      <c r="BJ60" t="s">
        <v>611</v>
      </c>
      <c r="BK60" t="s">
        <v>102</v>
      </c>
      <c r="BL60" t="s">
        <v>612</v>
      </c>
      <c r="BM60" t="s">
        <v>1414</v>
      </c>
      <c r="BN60">
        <v>17244363</v>
      </c>
      <c r="BO60" t="s">
        <v>131</v>
      </c>
      <c r="BP60" t="s">
        <v>74</v>
      </c>
      <c r="BQ60" t="s">
        <v>74</v>
      </c>
      <c r="BR60" t="s">
        <v>105</v>
      </c>
      <c r="BS60" t="s">
        <v>1415</v>
      </c>
      <c r="BT60" t="str">
        <f>HYPERLINK("https%3A%2F%2Fwww.webofscience.com%2Fwos%2Fwoscc%2Ffull-record%2FWOS:000251286700001","View Full Record in Web of Science")</f>
        <v>View Full Record in Web of Science</v>
      </c>
    </row>
    <row r="61" spans="1:72" x14ac:dyDescent="0.25">
      <c r="A61" t="s">
        <v>72</v>
      </c>
      <c r="B61" t="s">
        <v>1416</v>
      </c>
      <c r="C61" t="s">
        <v>74</v>
      </c>
      <c r="D61" t="s">
        <v>74</v>
      </c>
      <c r="E61" t="s">
        <v>74</v>
      </c>
      <c r="F61" t="s">
        <v>1417</v>
      </c>
      <c r="G61" t="s">
        <v>74</v>
      </c>
      <c r="H61" t="s">
        <v>74</v>
      </c>
      <c r="I61" t="s">
        <v>1418</v>
      </c>
      <c r="J61" t="s">
        <v>243</v>
      </c>
      <c r="K61" t="s">
        <v>74</v>
      </c>
      <c r="L61" t="s">
        <v>74</v>
      </c>
      <c r="M61" t="s">
        <v>78</v>
      </c>
      <c r="N61" t="s">
        <v>79</v>
      </c>
      <c r="O61" t="s">
        <v>74</v>
      </c>
      <c r="P61" t="s">
        <v>74</v>
      </c>
      <c r="Q61" t="s">
        <v>74</v>
      </c>
      <c r="R61" t="s">
        <v>74</v>
      </c>
      <c r="S61" t="s">
        <v>74</v>
      </c>
      <c r="T61" t="s">
        <v>1419</v>
      </c>
      <c r="U61" t="s">
        <v>1420</v>
      </c>
      <c r="V61" t="s">
        <v>1421</v>
      </c>
      <c r="W61" t="s">
        <v>1422</v>
      </c>
      <c r="X61" t="s">
        <v>1423</v>
      </c>
      <c r="Y61" t="s">
        <v>1424</v>
      </c>
      <c r="Z61" t="s">
        <v>1425</v>
      </c>
      <c r="AA61" t="s">
        <v>1426</v>
      </c>
      <c r="AB61" t="s">
        <v>1427</v>
      </c>
      <c r="AC61" t="s">
        <v>74</v>
      </c>
      <c r="AD61" t="s">
        <v>74</v>
      </c>
      <c r="AE61" t="s">
        <v>74</v>
      </c>
      <c r="AF61" t="s">
        <v>74</v>
      </c>
      <c r="AG61">
        <v>44</v>
      </c>
      <c r="AH61">
        <v>1</v>
      </c>
      <c r="AI61">
        <v>1</v>
      </c>
      <c r="AJ61">
        <v>3</v>
      </c>
      <c r="AK61">
        <v>11</v>
      </c>
      <c r="AL61" t="s">
        <v>253</v>
      </c>
      <c r="AM61" t="s">
        <v>227</v>
      </c>
      <c r="AN61" t="s">
        <v>254</v>
      </c>
      <c r="AO61" t="s">
        <v>255</v>
      </c>
      <c r="AP61" t="s">
        <v>256</v>
      </c>
      <c r="AQ61" t="s">
        <v>74</v>
      </c>
      <c r="AR61" t="s">
        <v>257</v>
      </c>
      <c r="AS61" t="s">
        <v>258</v>
      </c>
      <c r="AT61" t="s">
        <v>1428</v>
      </c>
      <c r="AU61">
        <v>2024</v>
      </c>
      <c r="AV61">
        <v>19</v>
      </c>
      <c r="AW61">
        <v>6</v>
      </c>
      <c r="AX61" t="s">
        <v>74</v>
      </c>
      <c r="AY61" t="s">
        <v>74</v>
      </c>
      <c r="AZ61" t="s">
        <v>74</v>
      </c>
      <c r="BA61" t="s">
        <v>74</v>
      </c>
      <c r="BB61">
        <v>2355</v>
      </c>
      <c r="BC61">
        <v>2363</v>
      </c>
      <c r="BD61" t="s">
        <v>74</v>
      </c>
      <c r="BE61" t="s">
        <v>1429</v>
      </c>
      <c r="BF61" t="str">
        <f>HYPERLINK("http://dx.doi.org/10.1080/17483107.2023.2287153","http://dx.doi.org/10.1080/17483107.2023.2287153")</f>
        <v>http://dx.doi.org/10.1080/17483107.2023.2287153</v>
      </c>
      <c r="BG61" t="s">
        <v>74</v>
      </c>
      <c r="BH61" t="s">
        <v>1430</v>
      </c>
      <c r="BI61">
        <v>9</v>
      </c>
      <c r="BJ61" t="s">
        <v>101</v>
      </c>
      <c r="BK61" t="s">
        <v>462</v>
      </c>
      <c r="BL61" t="s">
        <v>101</v>
      </c>
      <c r="BM61" t="s">
        <v>1431</v>
      </c>
      <c r="BN61">
        <v>38009458</v>
      </c>
      <c r="BO61" t="s">
        <v>74</v>
      </c>
      <c r="BP61" t="s">
        <v>74</v>
      </c>
      <c r="BQ61" t="s">
        <v>74</v>
      </c>
      <c r="BR61" t="s">
        <v>105</v>
      </c>
      <c r="BS61" t="s">
        <v>1432</v>
      </c>
      <c r="BT61" t="str">
        <f>HYPERLINK("https%3A%2F%2Fwww.webofscience.com%2Fwos%2Fwoscc%2Ffull-record%2FWOS:001118321200001","View Full Record in Web of Science")</f>
        <v>View Full Record in Web of Science</v>
      </c>
    </row>
    <row r="62" spans="1:72" x14ac:dyDescent="0.25">
      <c r="A62" t="s">
        <v>72</v>
      </c>
      <c r="B62" t="s">
        <v>1433</v>
      </c>
      <c r="C62" t="s">
        <v>74</v>
      </c>
      <c r="D62" t="s">
        <v>74</v>
      </c>
      <c r="E62" t="s">
        <v>74</v>
      </c>
      <c r="F62" t="s">
        <v>1434</v>
      </c>
      <c r="G62" t="s">
        <v>74</v>
      </c>
      <c r="H62" t="s">
        <v>74</v>
      </c>
      <c r="I62" t="s">
        <v>1435</v>
      </c>
      <c r="J62" t="s">
        <v>594</v>
      </c>
      <c r="K62" t="s">
        <v>74</v>
      </c>
      <c r="L62" t="s">
        <v>74</v>
      </c>
      <c r="M62" t="s">
        <v>78</v>
      </c>
      <c r="N62" t="s">
        <v>79</v>
      </c>
      <c r="O62" t="s">
        <v>74</v>
      </c>
      <c r="P62" t="s">
        <v>74</v>
      </c>
      <c r="Q62" t="s">
        <v>74</v>
      </c>
      <c r="R62" t="s">
        <v>74</v>
      </c>
      <c r="S62" t="s">
        <v>74</v>
      </c>
      <c r="T62" t="s">
        <v>1436</v>
      </c>
      <c r="U62" t="s">
        <v>1437</v>
      </c>
      <c r="V62" t="s">
        <v>1438</v>
      </c>
      <c r="W62" t="s">
        <v>1439</v>
      </c>
      <c r="X62" t="s">
        <v>1440</v>
      </c>
      <c r="Y62" t="s">
        <v>1441</v>
      </c>
      <c r="Z62" t="s">
        <v>1442</v>
      </c>
      <c r="AA62" t="s">
        <v>1443</v>
      </c>
      <c r="AB62" t="s">
        <v>1444</v>
      </c>
      <c r="AC62" t="s">
        <v>1445</v>
      </c>
      <c r="AD62" t="s">
        <v>1446</v>
      </c>
      <c r="AE62" t="s">
        <v>1447</v>
      </c>
      <c r="AF62" t="s">
        <v>74</v>
      </c>
      <c r="AG62">
        <v>63</v>
      </c>
      <c r="AH62">
        <v>191</v>
      </c>
      <c r="AI62">
        <v>217</v>
      </c>
      <c r="AJ62">
        <v>3</v>
      </c>
      <c r="AK62">
        <v>78</v>
      </c>
      <c r="AL62" t="s">
        <v>274</v>
      </c>
      <c r="AM62" t="s">
        <v>275</v>
      </c>
      <c r="AN62" t="s">
        <v>276</v>
      </c>
      <c r="AO62" t="s">
        <v>74</v>
      </c>
      <c r="AP62" t="s">
        <v>606</v>
      </c>
      <c r="AQ62" t="s">
        <v>74</v>
      </c>
      <c r="AR62" t="s">
        <v>607</v>
      </c>
      <c r="AS62" t="s">
        <v>608</v>
      </c>
      <c r="AT62" t="s">
        <v>1448</v>
      </c>
      <c r="AU62">
        <v>2017</v>
      </c>
      <c r="AV62">
        <v>14</v>
      </c>
      <c r="AW62" t="s">
        <v>74</v>
      </c>
      <c r="AX62" t="s">
        <v>74</v>
      </c>
      <c r="AY62" t="s">
        <v>74</v>
      </c>
      <c r="AZ62" t="s">
        <v>74</v>
      </c>
      <c r="BA62" t="s">
        <v>74</v>
      </c>
      <c r="BB62" t="s">
        <v>74</v>
      </c>
      <c r="BC62" t="s">
        <v>74</v>
      </c>
      <c r="BD62">
        <v>24</v>
      </c>
      <c r="BE62" t="s">
        <v>1449</v>
      </c>
      <c r="BF62" t="str">
        <f>HYPERLINK("http://dx.doi.org/10.1186/s12984-017-0232-3","http://dx.doi.org/10.1186/s12984-017-0232-3")</f>
        <v>http://dx.doi.org/10.1186/s12984-017-0232-3</v>
      </c>
      <c r="BG62" t="s">
        <v>74</v>
      </c>
      <c r="BH62" t="s">
        <v>74</v>
      </c>
      <c r="BI62">
        <v>13</v>
      </c>
      <c r="BJ62" t="s">
        <v>611</v>
      </c>
      <c r="BK62" t="s">
        <v>102</v>
      </c>
      <c r="BL62" t="s">
        <v>612</v>
      </c>
      <c r="BM62" t="s">
        <v>1450</v>
      </c>
      <c r="BN62">
        <v>28330471</v>
      </c>
      <c r="BO62" t="s">
        <v>355</v>
      </c>
      <c r="BP62" t="s">
        <v>74</v>
      </c>
      <c r="BQ62" t="s">
        <v>74</v>
      </c>
      <c r="BR62" t="s">
        <v>105</v>
      </c>
      <c r="BS62" t="s">
        <v>1451</v>
      </c>
      <c r="BT62" t="str">
        <f>HYPERLINK("https%3A%2F%2Fwww.webofscience.com%2Fwos%2Fwoscc%2Ffull-record%2FWOS:000397713400002","View Full Record in Web of Science")</f>
        <v>View Full Record in Web of Science</v>
      </c>
    </row>
    <row r="63" spans="1:72" x14ac:dyDescent="0.25">
      <c r="A63" t="s">
        <v>72</v>
      </c>
      <c r="B63" t="s">
        <v>1452</v>
      </c>
      <c r="C63" t="s">
        <v>74</v>
      </c>
      <c r="D63" t="s">
        <v>74</v>
      </c>
      <c r="E63" t="s">
        <v>74</v>
      </c>
      <c r="F63" t="s">
        <v>1453</v>
      </c>
      <c r="G63" t="s">
        <v>74</v>
      </c>
      <c r="H63" t="s">
        <v>74</v>
      </c>
      <c r="I63" t="s">
        <v>1454</v>
      </c>
      <c r="J63" t="s">
        <v>1455</v>
      </c>
      <c r="K63" t="s">
        <v>74</v>
      </c>
      <c r="L63" t="s">
        <v>74</v>
      </c>
      <c r="M63" t="s">
        <v>78</v>
      </c>
      <c r="N63" t="s">
        <v>79</v>
      </c>
      <c r="O63" t="s">
        <v>74</v>
      </c>
      <c r="P63" t="s">
        <v>74</v>
      </c>
      <c r="Q63" t="s">
        <v>74</v>
      </c>
      <c r="R63" t="s">
        <v>74</v>
      </c>
      <c r="S63" t="s">
        <v>74</v>
      </c>
      <c r="T63" t="s">
        <v>1456</v>
      </c>
      <c r="U63" t="s">
        <v>1457</v>
      </c>
      <c r="V63" t="s">
        <v>1458</v>
      </c>
      <c r="W63" t="s">
        <v>1459</v>
      </c>
      <c r="X63" t="s">
        <v>1460</v>
      </c>
      <c r="Y63" t="s">
        <v>1461</v>
      </c>
      <c r="Z63" t="s">
        <v>1462</v>
      </c>
      <c r="AA63" t="s">
        <v>74</v>
      </c>
      <c r="AB63" t="s">
        <v>1463</v>
      </c>
      <c r="AC63" t="s">
        <v>74</v>
      </c>
      <c r="AD63" t="s">
        <v>74</v>
      </c>
      <c r="AE63" t="s">
        <v>74</v>
      </c>
      <c r="AF63" t="s">
        <v>74</v>
      </c>
      <c r="AG63">
        <v>31</v>
      </c>
      <c r="AH63">
        <v>3</v>
      </c>
      <c r="AI63">
        <v>3</v>
      </c>
      <c r="AJ63">
        <v>2</v>
      </c>
      <c r="AK63">
        <v>15</v>
      </c>
      <c r="AL63" t="s">
        <v>1464</v>
      </c>
      <c r="AM63" t="s">
        <v>1465</v>
      </c>
      <c r="AN63" t="s">
        <v>1466</v>
      </c>
      <c r="AO63" t="s">
        <v>1467</v>
      </c>
      <c r="AP63" t="s">
        <v>1468</v>
      </c>
      <c r="AQ63" t="s">
        <v>74</v>
      </c>
      <c r="AR63" t="s">
        <v>1469</v>
      </c>
      <c r="AS63" t="s">
        <v>1470</v>
      </c>
      <c r="AT63" t="s">
        <v>1471</v>
      </c>
      <c r="AU63">
        <v>2010</v>
      </c>
      <c r="AV63">
        <v>79</v>
      </c>
      <c r="AW63">
        <v>3</v>
      </c>
      <c r="AX63" t="s">
        <v>74</v>
      </c>
      <c r="AY63" t="s">
        <v>74</v>
      </c>
      <c r="AZ63" t="s">
        <v>74</v>
      </c>
      <c r="BA63" t="s">
        <v>74</v>
      </c>
      <c r="BB63">
        <v>296</v>
      </c>
      <c r="BC63">
        <v>301</v>
      </c>
      <c r="BD63" t="s">
        <v>74</v>
      </c>
      <c r="BE63" t="s">
        <v>74</v>
      </c>
      <c r="BF63" t="s">
        <v>74</v>
      </c>
      <c r="BG63" t="s">
        <v>74</v>
      </c>
      <c r="BH63" t="s">
        <v>74</v>
      </c>
      <c r="BI63">
        <v>6</v>
      </c>
      <c r="BJ63" t="s">
        <v>128</v>
      </c>
      <c r="BK63" t="s">
        <v>182</v>
      </c>
      <c r="BL63" t="s">
        <v>129</v>
      </c>
      <c r="BM63" t="s">
        <v>1472</v>
      </c>
      <c r="BN63" t="s">
        <v>74</v>
      </c>
      <c r="BO63" t="s">
        <v>74</v>
      </c>
      <c r="BP63" t="s">
        <v>74</v>
      </c>
      <c r="BQ63" t="s">
        <v>74</v>
      </c>
      <c r="BR63" t="s">
        <v>105</v>
      </c>
      <c r="BS63" t="s">
        <v>1473</v>
      </c>
      <c r="BT63" t="str">
        <f>HYPERLINK("https%3A%2F%2Fwww.webofscience.com%2Fwos%2Fwoscc%2Ffull-record%2FWOS:000277769400009","View Full Record in Web of Science")</f>
        <v>View Full Record in Web of Science</v>
      </c>
    </row>
    <row r="64" spans="1:72" x14ac:dyDescent="0.25">
      <c r="A64" t="s">
        <v>72</v>
      </c>
      <c r="B64" t="s">
        <v>1474</v>
      </c>
      <c r="C64" t="s">
        <v>74</v>
      </c>
      <c r="D64" t="s">
        <v>74</v>
      </c>
      <c r="E64" t="s">
        <v>74</v>
      </c>
      <c r="F64" t="s">
        <v>1475</v>
      </c>
      <c r="G64" t="s">
        <v>74</v>
      </c>
      <c r="H64" t="s">
        <v>74</v>
      </c>
      <c r="I64" t="s">
        <v>1476</v>
      </c>
      <c r="J64" t="s">
        <v>382</v>
      </c>
      <c r="K64" t="s">
        <v>74</v>
      </c>
      <c r="L64" t="s">
        <v>74</v>
      </c>
      <c r="M64" t="s">
        <v>78</v>
      </c>
      <c r="N64" t="s">
        <v>79</v>
      </c>
      <c r="O64" t="s">
        <v>74</v>
      </c>
      <c r="P64" t="s">
        <v>74</v>
      </c>
      <c r="Q64" t="s">
        <v>74</v>
      </c>
      <c r="R64" t="s">
        <v>74</v>
      </c>
      <c r="S64" t="s">
        <v>74</v>
      </c>
      <c r="T64" t="s">
        <v>1477</v>
      </c>
      <c r="U64" t="s">
        <v>1478</v>
      </c>
      <c r="V64" t="s">
        <v>1479</v>
      </c>
      <c r="W64" t="s">
        <v>1480</v>
      </c>
      <c r="X64" t="s">
        <v>1481</v>
      </c>
      <c r="Y64" t="s">
        <v>1482</v>
      </c>
      <c r="Z64" t="s">
        <v>1483</v>
      </c>
      <c r="AA64" t="s">
        <v>74</v>
      </c>
      <c r="AB64" t="s">
        <v>74</v>
      </c>
      <c r="AC64" t="s">
        <v>74</v>
      </c>
      <c r="AD64" t="s">
        <v>74</v>
      </c>
      <c r="AE64" t="s">
        <v>754</v>
      </c>
      <c r="AF64" t="s">
        <v>74</v>
      </c>
      <c r="AG64">
        <v>264</v>
      </c>
      <c r="AH64">
        <v>8</v>
      </c>
      <c r="AI64">
        <v>9</v>
      </c>
      <c r="AJ64">
        <v>19</v>
      </c>
      <c r="AK64">
        <v>46</v>
      </c>
      <c r="AL64" t="s">
        <v>392</v>
      </c>
      <c r="AM64" t="s">
        <v>393</v>
      </c>
      <c r="AN64" t="s">
        <v>394</v>
      </c>
      <c r="AO64" t="s">
        <v>395</v>
      </c>
      <c r="AP64" t="s">
        <v>74</v>
      </c>
      <c r="AQ64" t="s">
        <v>74</v>
      </c>
      <c r="AR64" t="s">
        <v>396</v>
      </c>
      <c r="AS64" t="s">
        <v>397</v>
      </c>
      <c r="AT64" t="s">
        <v>1484</v>
      </c>
      <c r="AU64">
        <v>2024</v>
      </c>
      <c r="AV64">
        <v>15</v>
      </c>
      <c r="AW64" t="s">
        <v>74</v>
      </c>
      <c r="AX64" t="s">
        <v>74</v>
      </c>
      <c r="AY64" t="s">
        <v>74</v>
      </c>
      <c r="AZ64" t="s">
        <v>74</v>
      </c>
      <c r="BA64" t="s">
        <v>74</v>
      </c>
      <c r="BB64" t="s">
        <v>74</v>
      </c>
      <c r="BC64" t="s">
        <v>74</v>
      </c>
      <c r="BD64">
        <v>1402729</v>
      </c>
      <c r="BE64" t="s">
        <v>1485</v>
      </c>
      <c r="BF64" t="str">
        <f>HYPERLINK("http://dx.doi.org/10.3389/fneur.2024.1402729","http://dx.doi.org/10.3389/fneur.2024.1402729")</f>
        <v>http://dx.doi.org/10.3389/fneur.2024.1402729</v>
      </c>
      <c r="BG64" t="s">
        <v>74</v>
      </c>
      <c r="BH64" t="s">
        <v>74</v>
      </c>
      <c r="BI64">
        <v>21</v>
      </c>
      <c r="BJ64" t="s">
        <v>400</v>
      </c>
      <c r="BK64" t="s">
        <v>182</v>
      </c>
      <c r="BL64" t="s">
        <v>375</v>
      </c>
      <c r="BM64" t="s">
        <v>1486</v>
      </c>
      <c r="BN64">
        <v>39193145</v>
      </c>
      <c r="BO64" t="s">
        <v>131</v>
      </c>
      <c r="BP64" t="s">
        <v>74</v>
      </c>
      <c r="BQ64" t="s">
        <v>74</v>
      </c>
      <c r="BR64" t="s">
        <v>105</v>
      </c>
      <c r="BS64" t="s">
        <v>1487</v>
      </c>
      <c r="BT64" t="str">
        <f>HYPERLINK("https%3A%2F%2Fwww.webofscience.com%2Fwos%2Fwoscc%2Ffull-record%2FWOS:001297519300001","View Full Record in Web of Science")</f>
        <v>View Full Record in Web of Science</v>
      </c>
    </row>
    <row r="65" spans="1:72" x14ac:dyDescent="0.25">
      <c r="A65" t="s">
        <v>72</v>
      </c>
      <c r="B65" t="s">
        <v>1488</v>
      </c>
      <c r="C65" t="s">
        <v>74</v>
      </c>
      <c r="D65" t="s">
        <v>74</v>
      </c>
      <c r="E65" t="s">
        <v>74</v>
      </c>
      <c r="F65" t="s">
        <v>1489</v>
      </c>
      <c r="G65" t="s">
        <v>74</v>
      </c>
      <c r="H65" t="s">
        <v>74</v>
      </c>
      <c r="I65" t="s">
        <v>1490</v>
      </c>
      <c r="J65" t="s">
        <v>1491</v>
      </c>
      <c r="K65" t="s">
        <v>74</v>
      </c>
      <c r="L65" t="s">
        <v>74</v>
      </c>
      <c r="M65" t="s">
        <v>78</v>
      </c>
      <c r="N65" t="s">
        <v>79</v>
      </c>
      <c r="O65" t="s">
        <v>74</v>
      </c>
      <c r="P65" t="s">
        <v>74</v>
      </c>
      <c r="Q65" t="s">
        <v>74</v>
      </c>
      <c r="R65" t="s">
        <v>74</v>
      </c>
      <c r="S65" t="s">
        <v>74</v>
      </c>
      <c r="T65" t="s">
        <v>1492</v>
      </c>
      <c r="U65" t="s">
        <v>1493</v>
      </c>
      <c r="V65" t="s">
        <v>1494</v>
      </c>
      <c r="W65" t="s">
        <v>1495</v>
      </c>
      <c r="X65" t="s">
        <v>1496</v>
      </c>
      <c r="Y65" t="s">
        <v>1497</v>
      </c>
      <c r="Z65" t="s">
        <v>1498</v>
      </c>
      <c r="AA65" t="s">
        <v>74</v>
      </c>
      <c r="AB65" t="s">
        <v>74</v>
      </c>
      <c r="AC65" t="s">
        <v>74</v>
      </c>
      <c r="AD65" t="s">
        <v>74</v>
      </c>
      <c r="AE65" t="s">
        <v>74</v>
      </c>
      <c r="AF65" t="s">
        <v>74</v>
      </c>
      <c r="AG65">
        <v>126</v>
      </c>
      <c r="AH65">
        <v>0</v>
      </c>
      <c r="AI65">
        <v>0</v>
      </c>
      <c r="AJ65">
        <v>1</v>
      </c>
      <c r="AK65">
        <v>16</v>
      </c>
      <c r="AL65" t="s">
        <v>1499</v>
      </c>
      <c r="AM65" t="s">
        <v>1500</v>
      </c>
      <c r="AN65" t="s">
        <v>1501</v>
      </c>
      <c r="AO65" t="s">
        <v>1502</v>
      </c>
      <c r="AP65" t="s">
        <v>1503</v>
      </c>
      <c r="AQ65" t="s">
        <v>74</v>
      </c>
      <c r="AR65" t="s">
        <v>1504</v>
      </c>
      <c r="AS65" t="s">
        <v>1505</v>
      </c>
      <c r="AT65" t="s">
        <v>74</v>
      </c>
      <c r="AU65">
        <v>2022</v>
      </c>
      <c r="AV65">
        <v>85</v>
      </c>
      <c r="AW65">
        <v>2</v>
      </c>
      <c r="AX65" t="s">
        <v>74</v>
      </c>
      <c r="AY65" t="s">
        <v>74</v>
      </c>
      <c r="AZ65" t="s">
        <v>74</v>
      </c>
      <c r="BA65" t="s">
        <v>74</v>
      </c>
      <c r="BB65">
        <v>110</v>
      </c>
      <c r="BC65">
        <v>126</v>
      </c>
      <c r="BD65" t="s">
        <v>74</v>
      </c>
      <c r="BE65" t="s">
        <v>1506</v>
      </c>
      <c r="BF65" t="str">
        <f>HYPERLINK("http://dx.doi.org/10.48095/cccsnn2022110","http://dx.doi.org/10.48095/cccsnn2022110")</f>
        <v>http://dx.doi.org/10.48095/cccsnn2022110</v>
      </c>
      <c r="BG65" t="s">
        <v>74</v>
      </c>
      <c r="BH65" t="s">
        <v>74</v>
      </c>
      <c r="BI65">
        <v>17</v>
      </c>
      <c r="BJ65" t="s">
        <v>1507</v>
      </c>
      <c r="BK65" t="s">
        <v>182</v>
      </c>
      <c r="BL65" t="s">
        <v>1508</v>
      </c>
      <c r="BM65" t="s">
        <v>1509</v>
      </c>
      <c r="BN65" t="s">
        <v>74</v>
      </c>
      <c r="BO65" t="s">
        <v>74</v>
      </c>
      <c r="BP65" t="s">
        <v>74</v>
      </c>
      <c r="BQ65" t="s">
        <v>74</v>
      </c>
      <c r="BR65" t="s">
        <v>105</v>
      </c>
      <c r="BS65" t="s">
        <v>1510</v>
      </c>
      <c r="BT65" t="str">
        <f>HYPERLINK("https%3A%2F%2Fwww.webofscience.com%2Fwos%2Fwoscc%2Ffull-record%2FWOS:000814283600001","View Full Record in Web of Science")</f>
        <v>View Full Record in Web of Science</v>
      </c>
    </row>
    <row r="66" spans="1:72" x14ac:dyDescent="0.25">
      <c r="A66" t="s">
        <v>72</v>
      </c>
      <c r="B66" t="s">
        <v>1511</v>
      </c>
      <c r="C66" t="s">
        <v>74</v>
      </c>
      <c r="D66" t="s">
        <v>74</v>
      </c>
      <c r="E66" t="s">
        <v>74</v>
      </c>
      <c r="F66" t="s">
        <v>1512</v>
      </c>
      <c r="G66" t="s">
        <v>74</v>
      </c>
      <c r="H66" t="s">
        <v>74</v>
      </c>
      <c r="I66" t="s">
        <v>1513</v>
      </c>
      <c r="J66" t="s">
        <v>1514</v>
      </c>
      <c r="K66" t="s">
        <v>74</v>
      </c>
      <c r="L66" t="s">
        <v>74</v>
      </c>
      <c r="M66" t="s">
        <v>78</v>
      </c>
      <c r="N66" t="s">
        <v>79</v>
      </c>
      <c r="O66" t="s">
        <v>74</v>
      </c>
      <c r="P66" t="s">
        <v>74</v>
      </c>
      <c r="Q66" t="s">
        <v>74</v>
      </c>
      <c r="R66" t="s">
        <v>74</v>
      </c>
      <c r="S66" t="s">
        <v>74</v>
      </c>
      <c r="T66" t="s">
        <v>1515</v>
      </c>
      <c r="U66" t="s">
        <v>74</v>
      </c>
      <c r="V66" t="s">
        <v>1516</v>
      </c>
      <c r="W66" t="s">
        <v>1517</v>
      </c>
      <c r="X66" t="s">
        <v>1518</v>
      </c>
      <c r="Y66" t="s">
        <v>1519</v>
      </c>
      <c r="Z66" t="s">
        <v>1520</v>
      </c>
      <c r="AA66" t="s">
        <v>74</v>
      </c>
      <c r="AB66" t="s">
        <v>74</v>
      </c>
      <c r="AC66" t="s">
        <v>74</v>
      </c>
      <c r="AD66" t="s">
        <v>74</v>
      </c>
      <c r="AE66" t="s">
        <v>74</v>
      </c>
      <c r="AF66" t="s">
        <v>74</v>
      </c>
      <c r="AG66">
        <v>80</v>
      </c>
      <c r="AH66">
        <v>41</v>
      </c>
      <c r="AI66">
        <v>50</v>
      </c>
      <c r="AJ66">
        <v>0</v>
      </c>
      <c r="AK66">
        <v>36</v>
      </c>
      <c r="AL66" t="s">
        <v>1521</v>
      </c>
      <c r="AM66" t="s">
        <v>1522</v>
      </c>
      <c r="AN66" t="s">
        <v>1523</v>
      </c>
      <c r="AO66" t="s">
        <v>1524</v>
      </c>
      <c r="AP66" t="s">
        <v>74</v>
      </c>
      <c r="AQ66" t="s">
        <v>74</v>
      </c>
      <c r="AR66" t="s">
        <v>1525</v>
      </c>
      <c r="AS66" t="s">
        <v>1526</v>
      </c>
      <c r="AT66" t="s">
        <v>1527</v>
      </c>
      <c r="AU66">
        <v>2014</v>
      </c>
      <c r="AV66">
        <v>2</v>
      </c>
      <c r="AW66">
        <v>8</v>
      </c>
      <c r="AX66" t="s">
        <v>74</v>
      </c>
      <c r="AY66" t="s">
        <v>74</v>
      </c>
      <c r="AZ66" t="s">
        <v>74</v>
      </c>
      <c r="BA66" t="s">
        <v>74</v>
      </c>
      <c r="BB66">
        <v>316</v>
      </c>
      <c r="BC66">
        <v>326</v>
      </c>
      <c r="BD66" t="s">
        <v>74</v>
      </c>
      <c r="BE66" t="s">
        <v>1528</v>
      </c>
      <c r="BF66" t="str">
        <f>HYPERLINK("http://dx.doi.org/10.12998/wjcc.v2.i8.316","http://dx.doi.org/10.12998/wjcc.v2.i8.316")</f>
        <v>http://dx.doi.org/10.12998/wjcc.v2.i8.316</v>
      </c>
      <c r="BG66" t="s">
        <v>74</v>
      </c>
      <c r="BH66" t="s">
        <v>74</v>
      </c>
      <c r="BI66">
        <v>11</v>
      </c>
      <c r="BJ66" t="s">
        <v>128</v>
      </c>
      <c r="BK66" t="s">
        <v>182</v>
      </c>
      <c r="BL66" t="s">
        <v>129</v>
      </c>
      <c r="BM66" t="s">
        <v>1529</v>
      </c>
      <c r="BN66">
        <v>25133141</v>
      </c>
      <c r="BO66" t="s">
        <v>662</v>
      </c>
      <c r="BP66" t="s">
        <v>74</v>
      </c>
      <c r="BQ66" t="s">
        <v>74</v>
      </c>
      <c r="BR66" t="s">
        <v>105</v>
      </c>
      <c r="BS66" t="s">
        <v>1530</v>
      </c>
      <c r="BT66" t="str">
        <f>HYPERLINK("https%3A%2F%2Fwww.webofscience.com%2Fwos%2Fwoscc%2Ffull-record%2FWOS:000535484900001","View Full Record in Web of Science")</f>
        <v>View Full Record in Web of Science</v>
      </c>
    </row>
    <row r="67" spans="1:72" x14ac:dyDescent="0.25">
      <c r="A67" t="s">
        <v>1531</v>
      </c>
      <c r="B67" t="s">
        <v>1532</v>
      </c>
      <c r="C67" t="s">
        <v>74</v>
      </c>
      <c r="D67" t="s">
        <v>1533</v>
      </c>
      <c r="E67" t="s">
        <v>74</v>
      </c>
      <c r="F67" t="s">
        <v>1534</v>
      </c>
      <c r="G67" t="s">
        <v>74</v>
      </c>
      <c r="H67" t="s">
        <v>74</v>
      </c>
      <c r="I67" t="s">
        <v>1535</v>
      </c>
      <c r="J67" t="s">
        <v>1536</v>
      </c>
      <c r="K67" t="s">
        <v>74</v>
      </c>
      <c r="L67" t="s">
        <v>74</v>
      </c>
      <c r="M67" t="s">
        <v>78</v>
      </c>
      <c r="N67" t="s">
        <v>1537</v>
      </c>
      <c r="O67" t="s">
        <v>74</v>
      </c>
      <c r="P67" t="s">
        <v>74</v>
      </c>
      <c r="Q67" t="s">
        <v>74</v>
      </c>
      <c r="R67" t="s">
        <v>74</v>
      </c>
      <c r="S67" t="s">
        <v>74</v>
      </c>
      <c r="T67" t="s">
        <v>74</v>
      </c>
      <c r="U67" t="s">
        <v>1538</v>
      </c>
      <c r="V67" t="s">
        <v>1539</v>
      </c>
      <c r="W67" t="s">
        <v>1540</v>
      </c>
      <c r="X67" t="s">
        <v>1541</v>
      </c>
      <c r="Y67" t="s">
        <v>1542</v>
      </c>
      <c r="Z67" t="s">
        <v>74</v>
      </c>
      <c r="AA67" t="s">
        <v>1543</v>
      </c>
      <c r="AB67" t="s">
        <v>1544</v>
      </c>
      <c r="AC67" t="s">
        <v>74</v>
      </c>
      <c r="AD67" t="s">
        <v>74</v>
      </c>
      <c r="AE67" t="s">
        <v>74</v>
      </c>
      <c r="AF67" t="s">
        <v>74</v>
      </c>
      <c r="AG67">
        <v>41</v>
      </c>
      <c r="AH67">
        <v>1</v>
      </c>
      <c r="AI67">
        <v>1</v>
      </c>
      <c r="AJ67">
        <v>0</v>
      </c>
      <c r="AK67">
        <v>10</v>
      </c>
      <c r="AL67" t="s">
        <v>1545</v>
      </c>
      <c r="AM67" t="s">
        <v>1546</v>
      </c>
      <c r="AN67" t="s">
        <v>1547</v>
      </c>
      <c r="AO67" t="s">
        <v>74</v>
      </c>
      <c r="AP67" t="s">
        <v>74</v>
      </c>
      <c r="AQ67" t="s">
        <v>1548</v>
      </c>
      <c r="AR67" t="s">
        <v>74</v>
      </c>
      <c r="AS67" t="s">
        <v>74</v>
      </c>
      <c r="AT67" t="s">
        <v>74</v>
      </c>
      <c r="AU67">
        <v>2013</v>
      </c>
      <c r="AV67" t="s">
        <v>74</v>
      </c>
      <c r="AW67" t="s">
        <v>74</v>
      </c>
      <c r="AX67" t="s">
        <v>74</v>
      </c>
      <c r="AY67" t="s">
        <v>74</v>
      </c>
      <c r="AZ67" t="s">
        <v>74</v>
      </c>
      <c r="BA67" t="s">
        <v>74</v>
      </c>
      <c r="BB67">
        <v>327</v>
      </c>
      <c r="BC67">
        <v>347</v>
      </c>
      <c r="BD67" t="s">
        <v>74</v>
      </c>
      <c r="BE67" t="s">
        <v>74</v>
      </c>
      <c r="BF67" t="s">
        <v>74</v>
      </c>
      <c r="BG67" t="s">
        <v>74</v>
      </c>
      <c r="BH67" t="s">
        <v>74</v>
      </c>
      <c r="BI67">
        <v>21</v>
      </c>
      <c r="BJ67" t="s">
        <v>611</v>
      </c>
      <c r="BK67" t="s">
        <v>1549</v>
      </c>
      <c r="BL67" t="s">
        <v>612</v>
      </c>
      <c r="BM67" t="s">
        <v>1550</v>
      </c>
      <c r="BN67" t="s">
        <v>74</v>
      </c>
      <c r="BO67" t="s">
        <v>74</v>
      </c>
      <c r="BP67" t="s">
        <v>74</v>
      </c>
      <c r="BQ67" t="s">
        <v>74</v>
      </c>
      <c r="BR67" t="s">
        <v>105</v>
      </c>
      <c r="BS67" t="s">
        <v>1551</v>
      </c>
      <c r="BT67" t="str">
        <f>HYPERLINK("https%3A%2F%2Fwww.webofscience.com%2Fwos%2Fwoscc%2Ffull-record%2FWOS:000333469200021","View Full Record in Web of Science")</f>
        <v>View Full Record in Web of Science</v>
      </c>
    </row>
    <row r="68" spans="1:72" x14ac:dyDescent="0.25">
      <c r="A68" t="s">
        <v>72</v>
      </c>
      <c r="B68" t="s">
        <v>1552</v>
      </c>
      <c r="C68" t="s">
        <v>74</v>
      </c>
      <c r="D68" t="s">
        <v>74</v>
      </c>
      <c r="E68" t="s">
        <v>74</v>
      </c>
      <c r="F68" t="s">
        <v>1553</v>
      </c>
      <c r="G68" t="s">
        <v>74</v>
      </c>
      <c r="H68" t="s">
        <v>74</v>
      </c>
      <c r="I68" t="s">
        <v>1554</v>
      </c>
      <c r="J68" t="s">
        <v>1555</v>
      </c>
      <c r="K68" t="s">
        <v>74</v>
      </c>
      <c r="L68" t="s">
        <v>74</v>
      </c>
      <c r="M68" t="s">
        <v>78</v>
      </c>
      <c r="N68" t="s">
        <v>79</v>
      </c>
      <c r="O68" t="s">
        <v>74</v>
      </c>
      <c r="P68" t="s">
        <v>74</v>
      </c>
      <c r="Q68" t="s">
        <v>74</v>
      </c>
      <c r="R68" t="s">
        <v>74</v>
      </c>
      <c r="S68" t="s">
        <v>74</v>
      </c>
      <c r="T68" t="s">
        <v>74</v>
      </c>
      <c r="U68" t="s">
        <v>1556</v>
      </c>
      <c r="V68" t="s">
        <v>1557</v>
      </c>
      <c r="W68" t="s">
        <v>1558</v>
      </c>
      <c r="X68" t="s">
        <v>1559</v>
      </c>
      <c r="Y68" t="s">
        <v>1560</v>
      </c>
      <c r="Z68" t="s">
        <v>1561</v>
      </c>
      <c r="AA68" t="s">
        <v>1562</v>
      </c>
      <c r="AB68" t="s">
        <v>1563</v>
      </c>
      <c r="AC68" t="s">
        <v>1564</v>
      </c>
      <c r="AD68" t="s">
        <v>1565</v>
      </c>
      <c r="AE68" t="s">
        <v>1566</v>
      </c>
      <c r="AF68" t="s">
        <v>74</v>
      </c>
      <c r="AG68">
        <v>224</v>
      </c>
      <c r="AH68">
        <v>52</v>
      </c>
      <c r="AI68">
        <v>61</v>
      </c>
      <c r="AJ68">
        <v>0</v>
      </c>
      <c r="AK68">
        <v>18</v>
      </c>
      <c r="AL68" t="s">
        <v>367</v>
      </c>
      <c r="AM68" t="s">
        <v>275</v>
      </c>
      <c r="AN68" t="s">
        <v>368</v>
      </c>
      <c r="AO68" t="s">
        <v>1567</v>
      </c>
      <c r="AP68" t="s">
        <v>1568</v>
      </c>
      <c r="AQ68" t="s">
        <v>74</v>
      </c>
      <c r="AR68" t="s">
        <v>1569</v>
      </c>
      <c r="AS68" t="s">
        <v>1570</v>
      </c>
      <c r="AT68" t="s">
        <v>74</v>
      </c>
      <c r="AU68">
        <v>2013</v>
      </c>
      <c r="AV68">
        <v>2013</v>
      </c>
      <c r="AW68" t="s">
        <v>74</v>
      </c>
      <c r="AX68" t="s">
        <v>74</v>
      </c>
      <c r="AY68" t="s">
        <v>74</v>
      </c>
      <c r="AZ68" t="s">
        <v>74</v>
      </c>
      <c r="BA68" t="s">
        <v>74</v>
      </c>
      <c r="BB68" t="s">
        <v>74</v>
      </c>
      <c r="BC68" t="s">
        <v>74</v>
      </c>
      <c r="BD68">
        <v>854597</v>
      </c>
      <c r="BE68" t="s">
        <v>1571</v>
      </c>
      <c r="BF68" t="str">
        <f>HYPERLINK("http://dx.doi.org/10.1155/2013/854597","http://dx.doi.org/10.1155/2013/854597")</f>
        <v>http://dx.doi.org/10.1155/2013/854597</v>
      </c>
      <c r="BG68" t="s">
        <v>74</v>
      </c>
      <c r="BH68" t="s">
        <v>74</v>
      </c>
      <c r="BI68">
        <v>16</v>
      </c>
      <c r="BJ68" t="s">
        <v>374</v>
      </c>
      <c r="BK68" t="s">
        <v>182</v>
      </c>
      <c r="BL68" t="s">
        <v>375</v>
      </c>
      <c r="BM68" t="s">
        <v>1572</v>
      </c>
      <c r="BN68">
        <v>23864962</v>
      </c>
      <c r="BO68" t="s">
        <v>1573</v>
      </c>
      <c r="BP68" t="s">
        <v>74</v>
      </c>
      <c r="BQ68" t="s">
        <v>74</v>
      </c>
      <c r="BR68" t="s">
        <v>105</v>
      </c>
      <c r="BS68" t="s">
        <v>1574</v>
      </c>
      <c r="BT68" t="str">
        <f>HYPERLINK("https%3A%2F%2Fwww.webofscience.com%2Fwos%2Fwoscc%2Ffull-record%2FWOS:000321636200001","View Full Record in Web of Science")</f>
        <v>View Full Record in Web of Science</v>
      </c>
    </row>
    <row r="69" spans="1:72" x14ac:dyDescent="0.25">
      <c r="A69" t="s">
        <v>72</v>
      </c>
      <c r="B69" t="s">
        <v>1575</v>
      </c>
      <c r="C69" t="s">
        <v>74</v>
      </c>
      <c r="D69" t="s">
        <v>74</v>
      </c>
      <c r="E69" t="s">
        <v>74</v>
      </c>
      <c r="F69" t="s">
        <v>1576</v>
      </c>
      <c r="G69" t="s">
        <v>74</v>
      </c>
      <c r="H69" t="s">
        <v>74</v>
      </c>
      <c r="I69" t="s">
        <v>1577</v>
      </c>
      <c r="J69" t="s">
        <v>1578</v>
      </c>
      <c r="K69" t="s">
        <v>74</v>
      </c>
      <c r="L69" t="s">
        <v>74</v>
      </c>
      <c r="M69" t="s">
        <v>1579</v>
      </c>
      <c r="N69" t="s">
        <v>79</v>
      </c>
      <c r="O69" t="s">
        <v>74</v>
      </c>
      <c r="P69" t="s">
        <v>74</v>
      </c>
      <c r="Q69" t="s">
        <v>74</v>
      </c>
      <c r="R69" t="s">
        <v>74</v>
      </c>
      <c r="S69" t="s">
        <v>74</v>
      </c>
      <c r="T69" t="s">
        <v>1580</v>
      </c>
      <c r="U69" t="s">
        <v>1581</v>
      </c>
      <c r="V69" t="s">
        <v>1582</v>
      </c>
      <c r="W69" t="s">
        <v>1583</v>
      </c>
      <c r="X69" t="s">
        <v>1584</v>
      </c>
      <c r="Y69" t="s">
        <v>1585</v>
      </c>
      <c r="Z69" t="s">
        <v>1586</v>
      </c>
      <c r="AA69" t="s">
        <v>74</v>
      </c>
      <c r="AB69" t="s">
        <v>74</v>
      </c>
      <c r="AC69" t="s">
        <v>74</v>
      </c>
      <c r="AD69" t="s">
        <v>74</v>
      </c>
      <c r="AE69" t="s">
        <v>74</v>
      </c>
      <c r="AF69" t="s">
        <v>74</v>
      </c>
      <c r="AG69">
        <v>61</v>
      </c>
      <c r="AH69">
        <v>2</v>
      </c>
      <c r="AI69">
        <v>2</v>
      </c>
      <c r="AJ69">
        <v>0</v>
      </c>
      <c r="AK69">
        <v>44</v>
      </c>
      <c r="AL69" t="s">
        <v>1063</v>
      </c>
      <c r="AM69" t="s">
        <v>1064</v>
      </c>
      <c r="AN69" t="s">
        <v>1065</v>
      </c>
      <c r="AO69" t="s">
        <v>1587</v>
      </c>
      <c r="AP69" t="s">
        <v>1588</v>
      </c>
      <c r="AQ69" t="s">
        <v>74</v>
      </c>
      <c r="AR69" t="s">
        <v>1589</v>
      </c>
      <c r="AS69" t="s">
        <v>1590</v>
      </c>
      <c r="AT69" t="s">
        <v>126</v>
      </c>
      <c r="AU69">
        <v>2014</v>
      </c>
      <c r="AV69">
        <v>170</v>
      </c>
      <c r="AW69">
        <v>11</v>
      </c>
      <c r="AX69" t="s">
        <v>74</v>
      </c>
      <c r="AY69" t="s">
        <v>74</v>
      </c>
      <c r="AZ69" t="s">
        <v>74</v>
      </c>
      <c r="BA69" t="s">
        <v>74</v>
      </c>
      <c r="BB69">
        <v>671</v>
      </c>
      <c r="BC69">
        <v>679</v>
      </c>
      <c r="BD69" t="s">
        <v>74</v>
      </c>
      <c r="BE69" t="s">
        <v>1591</v>
      </c>
      <c r="BF69" t="str">
        <f>HYPERLINK("http://dx.doi.org/10.1016/j.neurol.2014.07.012","http://dx.doi.org/10.1016/j.neurol.2014.07.012")</f>
        <v>http://dx.doi.org/10.1016/j.neurol.2014.07.012</v>
      </c>
      <c r="BG69" t="s">
        <v>74</v>
      </c>
      <c r="BH69" t="s">
        <v>74</v>
      </c>
      <c r="BI69">
        <v>9</v>
      </c>
      <c r="BJ69" t="s">
        <v>541</v>
      </c>
      <c r="BK69" t="s">
        <v>182</v>
      </c>
      <c r="BL69" t="s">
        <v>375</v>
      </c>
      <c r="BM69" t="s">
        <v>1592</v>
      </c>
      <c r="BN69">
        <v>25304657</v>
      </c>
      <c r="BO69" t="s">
        <v>74</v>
      </c>
      <c r="BP69" t="s">
        <v>74</v>
      </c>
      <c r="BQ69" t="s">
        <v>74</v>
      </c>
      <c r="BR69" t="s">
        <v>105</v>
      </c>
      <c r="BS69" t="s">
        <v>1593</v>
      </c>
      <c r="BT69" t="str">
        <f>HYPERLINK("https%3A%2F%2Fwww.webofscience.com%2Fwos%2Fwoscc%2Ffull-record%2FWOS:000345152400004","View Full Record in Web of Science")</f>
        <v>View Full Record in Web of Science</v>
      </c>
    </row>
    <row r="70" spans="1:72" x14ac:dyDescent="0.25">
      <c r="A70" t="s">
        <v>72</v>
      </c>
      <c r="B70" t="s">
        <v>1594</v>
      </c>
      <c r="C70" t="s">
        <v>74</v>
      </c>
      <c r="D70" t="s">
        <v>74</v>
      </c>
      <c r="E70" t="s">
        <v>74</v>
      </c>
      <c r="F70" t="s">
        <v>1595</v>
      </c>
      <c r="G70" t="s">
        <v>74</v>
      </c>
      <c r="H70" t="s">
        <v>74</v>
      </c>
      <c r="I70" t="s">
        <v>1596</v>
      </c>
      <c r="J70" t="s">
        <v>1597</v>
      </c>
      <c r="K70" t="s">
        <v>74</v>
      </c>
      <c r="L70" t="s">
        <v>74</v>
      </c>
      <c r="M70" t="s">
        <v>78</v>
      </c>
      <c r="N70" t="s">
        <v>79</v>
      </c>
      <c r="O70" t="s">
        <v>74</v>
      </c>
      <c r="P70" t="s">
        <v>74</v>
      </c>
      <c r="Q70" t="s">
        <v>74</v>
      </c>
      <c r="R70" t="s">
        <v>74</v>
      </c>
      <c r="S70" t="s">
        <v>74</v>
      </c>
      <c r="T70" t="s">
        <v>1598</v>
      </c>
      <c r="U70" t="s">
        <v>1599</v>
      </c>
      <c r="V70" t="s">
        <v>1600</v>
      </c>
      <c r="W70" t="s">
        <v>1601</v>
      </c>
      <c r="X70" t="s">
        <v>1602</v>
      </c>
      <c r="Y70" t="s">
        <v>1603</v>
      </c>
      <c r="Z70" t="s">
        <v>1604</v>
      </c>
      <c r="AA70" t="s">
        <v>74</v>
      </c>
      <c r="AB70" t="s">
        <v>74</v>
      </c>
      <c r="AC70" t="s">
        <v>74</v>
      </c>
      <c r="AD70" t="s">
        <v>74</v>
      </c>
      <c r="AE70" t="s">
        <v>74</v>
      </c>
      <c r="AF70" t="s">
        <v>74</v>
      </c>
      <c r="AG70">
        <v>138</v>
      </c>
      <c r="AH70">
        <v>0</v>
      </c>
      <c r="AI70">
        <v>0</v>
      </c>
      <c r="AJ70">
        <v>4</v>
      </c>
      <c r="AK70">
        <v>4</v>
      </c>
      <c r="AL70" t="s">
        <v>1605</v>
      </c>
      <c r="AM70" t="s">
        <v>1606</v>
      </c>
      <c r="AN70" t="s">
        <v>1607</v>
      </c>
      <c r="AO70" t="s">
        <v>74</v>
      </c>
      <c r="AP70" t="s">
        <v>1608</v>
      </c>
      <c r="AQ70" t="s">
        <v>74</v>
      </c>
      <c r="AR70" t="s">
        <v>1609</v>
      </c>
      <c r="AS70" t="s">
        <v>1610</v>
      </c>
      <c r="AT70" t="s">
        <v>1070</v>
      </c>
      <c r="AU70">
        <v>2025</v>
      </c>
      <c r="AV70">
        <v>26</v>
      </c>
      <c r="AW70" t="s">
        <v>74</v>
      </c>
      <c r="AX70" t="s">
        <v>74</v>
      </c>
      <c r="AY70" t="s">
        <v>74</v>
      </c>
      <c r="AZ70" t="s">
        <v>74</v>
      </c>
      <c r="BA70" t="s">
        <v>74</v>
      </c>
      <c r="BB70" t="s">
        <v>74</v>
      </c>
      <c r="BC70" t="s">
        <v>74</v>
      </c>
      <c r="BD70">
        <v>100365</v>
      </c>
      <c r="BE70" t="s">
        <v>1611</v>
      </c>
      <c r="BF70" t="str">
        <f>HYPERLINK("http://dx.doi.org/10.1016/j.medntd.2025.100365","http://dx.doi.org/10.1016/j.medntd.2025.100365")</f>
        <v>http://dx.doi.org/10.1016/j.medntd.2025.100365</v>
      </c>
      <c r="BG70" t="s">
        <v>74</v>
      </c>
      <c r="BH70" t="s">
        <v>1612</v>
      </c>
      <c r="BI70">
        <v>16</v>
      </c>
      <c r="BJ70" t="s">
        <v>282</v>
      </c>
      <c r="BK70" t="s">
        <v>155</v>
      </c>
      <c r="BL70" t="s">
        <v>183</v>
      </c>
      <c r="BM70" t="s">
        <v>1613</v>
      </c>
      <c r="BN70" t="s">
        <v>74</v>
      </c>
      <c r="BO70" t="s">
        <v>74</v>
      </c>
      <c r="BP70" t="s">
        <v>74</v>
      </c>
      <c r="BQ70" t="s">
        <v>74</v>
      </c>
      <c r="BR70" t="s">
        <v>105</v>
      </c>
      <c r="BS70" t="s">
        <v>1614</v>
      </c>
      <c r="BT70" t="str">
        <f>HYPERLINK("https%3A%2F%2Fwww.webofscience.com%2Fwos%2Fwoscc%2Ffull-record%2FWOS:001464415100001","View Full Record in Web of Science")</f>
        <v>View Full Record in Web of Science</v>
      </c>
    </row>
    <row r="71" spans="1:72" x14ac:dyDescent="0.25">
      <c r="A71" t="s">
        <v>72</v>
      </c>
      <c r="B71" t="s">
        <v>1615</v>
      </c>
      <c r="C71" t="s">
        <v>74</v>
      </c>
      <c r="D71" t="s">
        <v>74</v>
      </c>
      <c r="E71" t="s">
        <v>74</v>
      </c>
      <c r="F71" t="s">
        <v>1616</v>
      </c>
      <c r="G71" t="s">
        <v>74</v>
      </c>
      <c r="H71" t="s">
        <v>74</v>
      </c>
      <c r="I71" t="s">
        <v>1617</v>
      </c>
      <c r="J71" t="s">
        <v>1618</v>
      </c>
      <c r="K71" t="s">
        <v>74</v>
      </c>
      <c r="L71" t="s">
        <v>74</v>
      </c>
      <c r="M71" t="s">
        <v>78</v>
      </c>
      <c r="N71" t="s">
        <v>79</v>
      </c>
      <c r="O71" t="s">
        <v>74</v>
      </c>
      <c r="P71" t="s">
        <v>74</v>
      </c>
      <c r="Q71" t="s">
        <v>74</v>
      </c>
      <c r="R71" t="s">
        <v>74</v>
      </c>
      <c r="S71" t="s">
        <v>74</v>
      </c>
      <c r="T71" t="s">
        <v>1619</v>
      </c>
      <c r="U71" t="s">
        <v>1620</v>
      </c>
      <c r="V71" t="s">
        <v>1621</v>
      </c>
      <c r="W71" t="s">
        <v>1622</v>
      </c>
      <c r="X71" t="s">
        <v>1623</v>
      </c>
      <c r="Y71" t="s">
        <v>1624</v>
      </c>
      <c r="Z71" t="s">
        <v>1625</v>
      </c>
      <c r="AA71" t="s">
        <v>1626</v>
      </c>
      <c r="AB71" t="s">
        <v>74</v>
      </c>
      <c r="AC71" t="s">
        <v>1627</v>
      </c>
      <c r="AD71" t="s">
        <v>1628</v>
      </c>
      <c r="AE71" t="s">
        <v>1629</v>
      </c>
      <c r="AF71" t="s">
        <v>74</v>
      </c>
      <c r="AG71">
        <v>102</v>
      </c>
      <c r="AH71">
        <v>1</v>
      </c>
      <c r="AI71">
        <v>1</v>
      </c>
      <c r="AJ71">
        <v>20</v>
      </c>
      <c r="AK71">
        <v>30</v>
      </c>
      <c r="AL71" t="s">
        <v>274</v>
      </c>
      <c r="AM71" t="s">
        <v>275</v>
      </c>
      <c r="AN71" t="s">
        <v>276</v>
      </c>
      <c r="AO71" t="s">
        <v>1630</v>
      </c>
      <c r="AP71" t="s">
        <v>74</v>
      </c>
      <c r="AQ71" t="s">
        <v>74</v>
      </c>
      <c r="AR71" t="s">
        <v>1631</v>
      </c>
      <c r="AS71" t="s">
        <v>1632</v>
      </c>
      <c r="AT71" t="s">
        <v>1633</v>
      </c>
      <c r="AU71">
        <v>2024</v>
      </c>
      <c r="AV71">
        <v>25</v>
      </c>
      <c r="AW71">
        <v>1</v>
      </c>
      <c r="AX71" t="s">
        <v>74</v>
      </c>
      <c r="AY71" t="s">
        <v>74</v>
      </c>
      <c r="AZ71" t="s">
        <v>74</v>
      </c>
      <c r="BA71" t="s">
        <v>74</v>
      </c>
      <c r="BB71" t="s">
        <v>74</v>
      </c>
      <c r="BC71" t="s">
        <v>74</v>
      </c>
      <c r="BD71">
        <v>58</v>
      </c>
      <c r="BE71" t="s">
        <v>1634</v>
      </c>
      <c r="BF71" t="str">
        <f>HYPERLINK("http://dx.doi.org/10.1186/s12868-024-00906-8","http://dx.doi.org/10.1186/s12868-024-00906-8")</f>
        <v>http://dx.doi.org/10.1186/s12868-024-00906-8</v>
      </c>
      <c r="BG71" t="s">
        <v>74</v>
      </c>
      <c r="BH71" t="s">
        <v>74</v>
      </c>
      <c r="BI71">
        <v>11</v>
      </c>
      <c r="BJ71" t="s">
        <v>374</v>
      </c>
      <c r="BK71" t="s">
        <v>182</v>
      </c>
      <c r="BL71" t="s">
        <v>375</v>
      </c>
      <c r="BM71" t="s">
        <v>1635</v>
      </c>
      <c r="BN71">
        <v>39506634</v>
      </c>
      <c r="BO71" t="s">
        <v>185</v>
      </c>
      <c r="BP71" t="s">
        <v>74</v>
      </c>
      <c r="BQ71" t="s">
        <v>74</v>
      </c>
      <c r="BR71" t="s">
        <v>105</v>
      </c>
      <c r="BS71" t="s">
        <v>1636</v>
      </c>
      <c r="BT71" t="str">
        <f>HYPERLINK("https%3A%2F%2Fwww.webofscience.com%2Fwos%2Fwoscc%2Ffull-record%2FWOS:001349625000005","View Full Record in Web of Science")</f>
        <v>View Full Record in Web of Science</v>
      </c>
    </row>
    <row r="72" spans="1:72" x14ac:dyDescent="0.25">
      <c r="A72" t="s">
        <v>72</v>
      </c>
      <c r="B72" t="s">
        <v>1637</v>
      </c>
      <c r="C72" t="s">
        <v>74</v>
      </c>
      <c r="D72" t="s">
        <v>74</v>
      </c>
      <c r="E72" t="s">
        <v>74</v>
      </c>
      <c r="F72" t="s">
        <v>1638</v>
      </c>
      <c r="G72" t="s">
        <v>74</v>
      </c>
      <c r="H72" t="s">
        <v>74</v>
      </c>
      <c r="I72" t="s">
        <v>1639</v>
      </c>
      <c r="J72" t="s">
        <v>594</v>
      </c>
      <c r="K72" t="s">
        <v>74</v>
      </c>
      <c r="L72" t="s">
        <v>74</v>
      </c>
      <c r="M72" t="s">
        <v>78</v>
      </c>
      <c r="N72" t="s">
        <v>79</v>
      </c>
      <c r="O72" t="s">
        <v>74</v>
      </c>
      <c r="P72" t="s">
        <v>74</v>
      </c>
      <c r="Q72" t="s">
        <v>74</v>
      </c>
      <c r="R72" t="s">
        <v>74</v>
      </c>
      <c r="S72" t="s">
        <v>74</v>
      </c>
      <c r="T72" t="s">
        <v>74</v>
      </c>
      <c r="U72" t="s">
        <v>1640</v>
      </c>
      <c r="V72" t="s">
        <v>1641</v>
      </c>
      <c r="W72" t="s">
        <v>1642</v>
      </c>
      <c r="X72" t="s">
        <v>1643</v>
      </c>
      <c r="Y72" t="s">
        <v>1644</v>
      </c>
      <c r="Z72" t="s">
        <v>1645</v>
      </c>
      <c r="AA72" t="s">
        <v>1646</v>
      </c>
      <c r="AB72" t="s">
        <v>1647</v>
      </c>
      <c r="AC72" t="s">
        <v>1648</v>
      </c>
      <c r="AD72" t="s">
        <v>1649</v>
      </c>
      <c r="AE72" t="s">
        <v>1650</v>
      </c>
      <c r="AF72" t="s">
        <v>74</v>
      </c>
      <c r="AG72">
        <v>205</v>
      </c>
      <c r="AH72">
        <v>843</v>
      </c>
      <c r="AI72">
        <v>939</v>
      </c>
      <c r="AJ72">
        <v>7</v>
      </c>
      <c r="AK72">
        <v>310</v>
      </c>
      <c r="AL72" t="s">
        <v>274</v>
      </c>
      <c r="AM72" t="s">
        <v>275</v>
      </c>
      <c r="AN72" t="s">
        <v>276</v>
      </c>
      <c r="AO72" t="s">
        <v>74</v>
      </c>
      <c r="AP72" t="s">
        <v>606</v>
      </c>
      <c r="AQ72" t="s">
        <v>74</v>
      </c>
      <c r="AR72" t="s">
        <v>607</v>
      </c>
      <c r="AS72" t="s">
        <v>608</v>
      </c>
      <c r="AT72" t="s">
        <v>1651</v>
      </c>
      <c r="AU72">
        <v>2014</v>
      </c>
      <c r="AV72">
        <v>11</v>
      </c>
      <c r="AW72" t="s">
        <v>74</v>
      </c>
      <c r="AX72" t="s">
        <v>74</v>
      </c>
      <c r="AY72" t="s">
        <v>74</v>
      </c>
      <c r="AZ72" t="s">
        <v>74</v>
      </c>
      <c r="BA72" t="s">
        <v>74</v>
      </c>
      <c r="BB72" t="s">
        <v>74</v>
      </c>
      <c r="BC72" t="s">
        <v>74</v>
      </c>
      <c r="BD72">
        <v>3</v>
      </c>
      <c r="BE72" t="s">
        <v>1652</v>
      </c>
      <c r="BF72" t="str">
        <f>HYPERLINK("http://dx.doi.org/10.1186/1743-0003-11-3","http://dx.doi.org/10.1186/1743-0003-11-3")</f>
        <v>http://dx.doi.org/10.1186/1743-0003-11-3</v>
      </c>
      <c r="BG72" t="s">
        <v>74</v>
      </c>
      <c r="BH72" t="s">
        <v>74</v>
      </c>
      <c r="BI72">
        <v>29</v>
      </c>
      <c r="BJ72" t="s">
        <v>611</v>
      </c>
      <c r="BK72" t="s">
        <v>182</v>
      </c>
      <c r="BL72" t="s">
        <v>612</v>
      </c>
      <c r="BM72" t="s">
        <v>1653</v>
      </c>
      <c r="BN72">
        <v>24401110</v>
      </c>
      <c r="BO72" t="s">
        <v>355</v>
      </c>
      <c r="BP72" t="s">
        <v>74</v>
      </c>
      <c r="BQ72" t="s">
        <v>74</v>
      </c>
      <c r="BR72" t="s">
        <v>105</v>
      </c>
      <c r="BS72" t="s">
        <v>1654</v>
      </c>
      <c r="BT72" t="str">
        <f>HYPERLINK("https%3A%2F%2Fwww.webofscience.com%2Fwos%2Fwoscc%2Ffull-record%2FWOS:000334697200001","View Full Record in Web of Science")</f>
        <v>View Full Record in Web of Science</v>
      </c>
    </row>
    <row r="73" spans="1:72" x14ac:dyDescent="0.25">
      <c r="A73" t="s">
        <v>72</v>
      </c>
      <c r="B73" t="s">
        <v>1655</v>
      </c>
      <c r="C73" t="s">
        <v>74</v>
      </c>
      <c r="D73" t="s">
        <v>74</v>
      </c>
      <c r="E73" t="s">
        <v>74</v>
      </c>
      <c r="F73" t="s">
        <v>1656</v>
      </c>
      <c r="G73" t="s">
        <v>74</v>
      </c>
      <c r="H73" t="s">
        <v>74</v>
      </c>
      <c r="I73" t="s">
        <v>1657</v>
      </c>
      <c r="J73" t="s">
        <v>382</v>
      </c>
      <c r="K73" t="s">
        <v>74</v>
      </c>
      <c r="L73" t="s">
        <v>74</v>
      </c>
      <c r="M73" t="s">
        <v>78</v>
      </c>
      <c r="N73" t="s">
        <v>79</v>
      </c>
      <c r="O73" t="s">
        <v>74</v>
      </c>
      <c r="P73" t="s">
        <v>74</v>
      </c>
      <c r="Q73" t="s">
        <v>74</v>
      </c>
      <c r="R73" t="s">
        <v>74</v>
      </c>
      <c r="S73" t="s">
        <v>74</v>
      </c>
      <c r="T73" t="s">
        <v>1658</v>
      </c>
      <c r="U73" t="s">
        <v>1659</v>
      </c>
      <c r="V73" t="s">
        <v>1660</v>
      </c>
      <c r="W73" t="s">
        <v>1661</v>
      </c>
      <c r="X73" t="s">
        <v>1662</v>
      </c>
      <c r="Y73" t="s">
        <v>1663</v>
      </c>
      <c r="Z73" t="s">
        <v>1664</v>
      </c>
      <c r="AA73" t="s">
        <v>1665</v>
      </c>
      <c r="AB73" t="s">
        <v>1666</v>
      </c>
      <c r="AC73" t="s">
        <v>74</v>
      </c>
      <c r="AD73" t="s">
        <v>74</v>
      </c>
      <c r="AE73" t="s">
        <v>74</v>
      </c>
      <c r="AF73" t="s">
        <v>74</v>
      </c>
      <c r="AG73">
        <v>91</v>
      </c>
      <c r="AH73">
        <v>100</v>
      </c>
      <c r="AI73">
        <v>115</v>
      </c>
      <c r="AJ73">
        <v>1</v>
      </c>
      <c r="AK73">
        <v>57</v>
      </c>
      <c r="AL73" t="s">
        <v>392</v>
      </c>
      <c r="AM73" t="s">
        <v>393</v>
      </c>
      <c r="AN73" t="s">
        <v>394</v>
      </c>
      <c r="AO73" t="s">
        <v>395</v>
      </c>
      <c r="AP73" t="s">
        <v>74</v>
      </c>
      <c r="AQ73" t="s">
        <v>74</v>
      </c>
      <c r="AR73" t="s">
        <v>396</v>
      </c>
      <c r="AS73" t="s">
        <v>397</v>
      </c>
      <c r="AT73" t="s">
        <v>1667</v>
      </c>
      <c r="AU73">
        <v>2019</v>
      </c>
      <c r="AV73">
        <v>10</v>
      </c>
      <c r="AW73" t="s">
        <v>74</v>
      </c>
      <c r="AX73" t="s">
        <v>74</v>
      </c>
      <c r="AY73" t="s">
        <v>74</v>
      </c>
      <c r="AZ73" t="s">
        <v>74</v>
      </c>
      <c r="BA73" t="s">
        <v>74</v>
      </c>
      <c r="BB73" t="s">
        <v>74</v>
      </c>
      <c r="BC73" t="s">
        <v>74</v>
      </c>
      <c r="BD73">
        <v>412</v>
      </c>
      <c r="BE73" t="s">
        <v>1668</v>
      </c>
      <c r="BF73" t="str">
        <f>HYPERLINK("http://dx.doi.org/10.3389/fneur.2019.00412","http://dx.doi.org/10.3389/fneur.2019.00412")</f>
        <v>http://dx.doi.org/10.3389/fneur.2019.00412</v>
      </c>
      <c r="BG73" t="s">
        <v>74</v>
      </c>
      <c r="BH73" t="s">
        <v>74</v>
      </c>
      <c r="BI73">
        <v>8</v>
      </c>
      <c r="BJ73" t="s">
        <v>400</v>
      </c>
      <c r="BK73" t="s">
        <v>102</v>
      </c>
      <c r="BL73" t="s">
        <v>375</v>
      </c>
      <c r="BM73" t="s">
        <v>1669</v>
      </c>
      <c r="BN73">
        <v>31068898</v>
      </c>
      <c r="BO73" t="s">
        <v>355</v>
      </c>
      <c r="BP73" t="s">
        <v>74</v>
      </c>
      <c r="BQ73" t="s">
        <v>74</v>
      </c>
      <c r="BR73" t="s">
        <v>105</v>
      </c>
      <c r="BS73" t="s">
        <v>1670</v>
      </c>
      <c r="BT73" t="str">
        <f>HYPERLINK("https%3A%2F%2Fwww.webofscience.com%2Fwos%2Fwoscc%2Ffull-record%2FWOS:000465493000001","View Full Record in Web of Science")</f>
        <v>View Full Record in Web of Science</v>
      </c>
    </row>
    <row r="74" spans="1:72" x14ac:dyDescent="0.25">
      <c r="A74" t="s">
        <v>72</v>
      </c>
      <c r="B74" t="s">
        <v>1671</v>
      </c>
      <c r="C74" t="s">
        <v>74</v>
      </c>
      <c r="D74" t="s">
        <v>74</v>
      </c>
      <c r="E74" t="s">
        <v>74</v>
      </c>
      <c r="F74" t="s">
        <v>1672</v>
      </c>
      <c r="G74" t="s">
        <v>74</v>
      </c>
      <c r="H74" t="s">
        <v>74</v>
      </c>
      <c r="I74" t="s">
        <v>1673</v>
      </c>
      <c r="J74" t="s">
        <v>1674</v>
      </c>
      <c r="K74" t="s">
        <v>74</v>
      </c>
      <c r="L74" t="s">
        <v>74</v>
      </c>
      <c r="M74" t="s">
        <v>78</v>
      </c>
      <c r="N74" t="s">
        <v>79</v>
      </c>
      <c r="O74" t="s">
        <v>74</v>
      </c>
      <c r="P74" t="s">
        <v>74</v>
      </c>
      <c r="Q74" t="s">
        <v>74</v>
      </c>
      <c r="R74" t="s">
        <v>74</v>
      </c>
      <c r="S74" t="s">
        <v>74</v>
      </c>
      <c r="T74" t="s">
        <v>1675</v>
      </c>
      <c r="U74" t="s">
        <v>1676</v>
      </c>
      <c r="V74" t="s">
        <v>1677</v>
      </c>
      <c r="W74" t="s">
        <v>1678</v>
      </c>
      <c r="X74" t="s">
        <v>1679</v>
      </c>
      <c r="Y74" t="s">
        <v>1680</v>
      </c>
      <c r="Z74" t="s">
        <v>1681</v>
      </c>
      <c r="AA74" t="s">
        <v>1682</v>
      </c>
      <c r="AB74" t="s">
        <v>1683</v>
      </c>
      <c r="AC74" t="s">
        <v>1684</v>
      </c>
      <c r="AD74" t="s">
        <v>1685</v>
      </c>
      <c r="AE74" t="s">
        <v>1686</v>
      </c>
      <c r="AF74" t="s">
        <v>74</v>
      </c>
      <c r="AG74">
        <v>122</v>
      </c>
      <c r="AH74">
        <v>50</v>
      </c>
      <c r="AI74">
        <v>54</v>
      </c>
      <c r="AJ74">
        <v>1</v>
      </c>
      <c r="AK74">
        <v>41</v>
      </c>
      <c r="AL74" t="s">
        <v>531</v>
      </c>
      <c r="AM74" t="s">
        <v>532</v>
      </c>
      <c r="AN74" t="s">
        <v>533</v>
      </c>
      <c r="AO74" t="s">
        <v>1687</v>
      </c>
      <c r="AP74" t="s">
        <v>1688</v>
      </c>
      <c r="AQ74" t="s">
        <v>74</v>
      </c>
      <c r="AR74" t="s">
        <v>1689</v>
      </c>
      <c r="AS74" t="s">
        <v>1690</v>
      </c>
      <c r="AT74" t="s">
        <v>151</v>
      </c>
      <c r="AU74">
        <v>2008</v>
      </c>
      <c r="AV74">
        <v>30</v>
      </c>
      <c r="AW74">
        <v>10</v>
      </c>
      <c r="AX74" t="s">
        <v>74</v>
      </c>
      <c r="AY74" t="s">
        <v>74</v>
      </c>
      <c r="AZ74" t="s">
        <v>152</v>
      </c>
      <c r="BA74" t="s">
        <v>74</v>
      </c>
      <c r="BB74">
        <v>1387</v>
      </c>
      <c r="BC74">
        <v>1398</v>
      </c>
      <c r="BD74" t="s">
        <v>74</v>
      </c>
      <c r="BE74" t="s">
        <v>1691</v>
      </c>
      <c r="BF74" t="str">
        <f>HYPERLINK("http://dx.doi.org/10.1016/j.medengphy.2008.09.003","http://dx.doi.org/10.1016/j.medengphy.2008.09.003")</f>
        <v>http://dx.doi.org/10.1016/j.medengphy.2008.09.003</v>
      </c>
      <c r="BG74" t="s">
        <v>74</v>
      </c>
      <c r="BH74" t="s">
        <v>74</v>
      </c>
      <c r="BI74">
        <v>12</v>
      </c>
      <c r="BJ74" t="s">
        <v>282</v>
      </c>
      <c r="BK74" t="s">
        <v>182</v>
      </c>
      <c r="BL74" t="s">
        <v>183</v>
      </c>
      <c r="BM74" t="s">
        <v>1692</v>
      </c>
      <c r="BN74">
        <v>18993108</v>
      </c>
      <c r="BO74" t="s">
        <v>74</v>
      </c>
      <c r="BP74" t="s">
        <v>74</v>
      </c>
      <c r="BQ74" t="s">
        <v>74</v>
      </c>
      <c r="BR74" t="s">
        <v>105</v>
      </c>
      <c r="BS74" t="s">
        <v>1693</v>
      </c>
      <c r="BT74" t="str">
        <f>HYPERLINK("https%3A%2F%2Fwww.webofscience.com%2Fwos%2Fwoscc%2Ffull-record%2FWOS:000261914400014","View Full Record in Web of Science")</f>
        <v>View Full Record in Web of Science</v>
      </c>
    </row>
    <row r="75" spans="1:72" x14ac:dyDescent="0.25">
      <c r="A75" t="s">
        <v>72</v>
      </c>
      <c r="B75" t="s">
        <v>1694</v>
      </c>
      <c r="C75" t="s">
        <v>74</v>
      </c>
      <c r="D75" t="s">
        <v>74</v>
      </c>
      <c r="E75" t="s">
        <v>74</v>
      </c>
      <c r="F75" t="s">
        <v>1695</v>
      </c>
      <c r="G75" t="s">
        <v>74</v>
      </c>
      <c r="H75" t="s">
        <v>74</v>
      </c>
      <c r="I75" t="s">
        <v>1696</v>
      </c>
      <c r="J75" t="s">
        <v>1697</v>
      </c>
      <c r="K75" t="s">
        <v>74</v>
      </c>
      <c r="L75" t="s">
        <v>74</v>
      </c>
      <c r="M75" t="s">
        <v>78</v>
      </c>
      <c r="N75" t="s">
        <v>79</v>
      </c>
      <c r="O75" t="s">
        <v>74</v>
      </c>
      <c r="P75" t="s">
        <v>74</v>
      </c>
      <c r="Q75" t="s">
        <v>74</v>
      </c>
      <c r="R75" t="s">
        <v>74</v>
      </c>
      <c r="S75" t="s">
        <v>74</v>
      </c>
      <c r="T75" t="s">
        <v>1698</v>
      </c>
      <c r="U75" t="s">
        <v>1699</v>
      </c>
      <c r="V75" t="s">
        <v>1700</v>
      </c>
      <c r="W75" t="s">
        <v>1701</v>
      </c>
      <c r="X75" t="s">
        <v>1013</v>
      </c>
      <c r="Y75" t="s">
        <v>1702</v>
      </c>
      <c r="Z75" t="s">
        <v>1703</v>
      </c>
      <c r="AA75" t="s">
        <v>1016</v>
      </c>
      <c r="AB75" t="s">
        <v>1412</v>
      </c>
      <c r="AC75" t="s">
        <v>74</v>
      </c>
      <c r="AD75" t="s">
        <v>74</v>
      </c>
      <c r="AE75" t="s">
        <v>74</v>
      </c>
      <c r="AF75" t="s">
        <v>74</v>
      </c>
      <c r="AG75">
        <v>104</v>
      </c>
      <c r="AH75">
        <v>114</v>
      </c>
      <c r="AI75">
        <v>122</v>
      </c>
      <c r="AJ75">
        <v>1</v>
      </c>
      <c r="AK75">
        <v>40</v>
      </c>
      <c r="AL75" t="s">
        <v>1704</v>
      </c>
      <c r="AM75" t="s">
        <v>1705</v>
      </c>
      <c r="AN75" t="s">
        <v>1706</v>
      </c>
      <c r="AO75" t="s">
        <v>1707</v>
      </c>
      <c r="AP75" t="s">
        <v>1708</v>
      </c>
      <c r="AQ75" t="s">
        <v>74</v>
      </c>
      <c r="AR75" t="s">
        <v>1709</v>
      </c>
      <c r="AS75" t="s">
        <v>1710</v>
      </c>
      <c r="AT75" t="s">
        <v>1711</v>
      </c>
      <c r="AU75">
        <v>2006</v>
      </c>
      <c r="AV75">
        <v>43</v>
      </c>
      <c r="AW75">
        <v>5</v>
      </c>
      <c r="AX75" t="s">
        <v>74</v>
      </c>
      <c r="AY75" t="s">
        <v>74</v>
      </c>
      <c r="AZ75" t="s">
        <v>74</v>
      </c>
      <c r="BA75" t="s">
        <v>74</v>
      </c>
      <c r="BB75">
        <v>679</v>
      </c>
      <c r="BC75">
        <v>693</v>
      </c>
      <c r="BD75" t="s">
        <v>74</v>
      </c>
      <c r="BE75" t="s">
        <v>1712</v>
      </c>
      <c r="BF75" t="str">
        <f>HYPERLINK("http://dx.doi.org/10.1682/JRRD.2005.02.0046","http://dx.doi.org/10.1682/JRRD.2005.02.0046")</f>
        <v>http://dx.doi.org/10.1682/JRRD.2005.02.0046</v>
      </c>
      <c r="BG75" t="s">
        <v>74</v>
      </c>
      <c r="BH75" t="s">
        <v>74</v>
      </c>
      <c r="BI75">
        <v>15</v>
      </c>
      <c r="BJ75" t="s">
        <v>101</v>
      </c>
      <c r="BK75" t="s">
        <v>102</v>
      </c>
      <c r="BL75" t="s">
        <v>101</v>
      </c>
      <c r="BM75" t="s">
        <v>1713</v>
      </c>
      <c r="BN75">
        <v>17123208</v>
      </c>
      <c r="BO75" t="s">
        <v>74</v>
      </c>
      <c r="BP75" t="s">
        <v>74</v>
      </c>
      <c r="BQ75" t="s">
        <v>74</v>
      </c>
      <c r="BR75" t="s">
        <v>105</v>
      </c>
      <c r="BS75" t="s">
        <v>1714</v>
      </c>
      <c r="BT75" t="str">
        <f>HYPERLINK("https%3A%2F%2Fwww.webofscience.com%2Fwos%2Fwoscc%2Ffull-record%2FWOS:000242883000013","View Full Record in Web of Science")</f>
        <v>View Full Record in Web of Science</v>
      </c>
    </row>
    <row r="76" spans="1:72" x14ac:dyDescent="0.25">
      <c r="A76" t="s">
        <v>72</v>
      </c>
      <c r="B76" t="s">
        <v>1715</v>
      </c>
      <c r="C76" t="s">
        <v>74</v>
      </c>
      <c r="D76" t="s">
        <v>74</v>
      </c>
      <c r="E76" t="s">
        <v>74</v>
      </c>
      <c r="F76" t="s">
        <v>1716</v>
      </c>
      <c r="G76" t="s">
        <v>74</v>
      </c>
      <c r="H76" t="s">
        <v>74</v>
      </c>
      <c r="I76" t="s">
        <v>1717</v>
      </c>
      <c r="J76" t="s">
        <v>1718</v>
      </c>
      <c r="K76" t="s">
        <v>74</v>
      </c>
      <c r="L76" t="s">
        <v>74</v>
      </c>
      <c r="M76" t="s">
        <v>78</v>
      </c>
      <c r="N76" t="s">
        <v>79</v>
      </c>
      <c r="O76" t="s">
        <v>74</v>
      </c>
      <c r="P76" t="s">
        <v>74</v>
      </c>
      <c r="Q76" t="s">
        <v>74</v>
      </c>
      <c r="R76" t="s">
        <v>74</v>
      </c>
      <c r="S76" t="s">
        <v>74</v>
      </c>
      <c r="T76" t="s">
        <v>1719</v>
      </c>
      <c r="U76" t="s">
        <v>1720</v>
      </c>
      <c r="V76" t="s">
        <v>1721</v>
      </c>
      <c r="W76" t="s">
        <v>1722</v>
      </c>
      <c r="X76" t="s">
        <v>1723</v>
      </c>
      <c r="Y76" t="s">
        <v>1724</v>
      </c>
      <c r="Z76" t="s">
        <v>1725</v>
      </c>
      <c r="AA76" t="s">
        <v>1726</v>
      </c>
      <c r="AB76" t="s">
        <v>1727</v>
      </c>
      <c r="AC76" t="s">
        <v>1728</v>
      </c>
      <c r="AD76" t="s">
        <v>1728</v>
      </c>
      <c r="AE76" t="s">
        <v>1729</v>
      </c>
      <c r="AF76" t="s">
        <v>74</v>
      </c>
      <c r="AG76">
        <v>86</v>
      </c>
      <c r="AH76">
        <v>13</v>
      </c>
      <c r="AI76">
        <v>14</v>
      </c>
      <c r="AJ76">
        <v>3</v>
      </c>
      <c r="AK76">
        <v>31</v>
      </c>
      <c r="AL76" t="s">
        <v>297</v>
      </c>
      <c r="AM76" t="s">
        <v>298</v>
      </c>
      <c r="AN76" t="s">
        <v>299</v>
      </c>
      <c r="AO76" t="s">
        <v>1730</v>
      </c>
      <c r="AP76" t="s">
        <v>1731</v>
      </c>
      <c r="AQ76" t="s">
        <v>74</v>
      </c>
      <c r="AR76" t="s">
        <v>1732</v>
      </c>
      <c r="AS76" t="s">
        <v>1733</v>
      </c>
      <c r="AT76" t="s">
        <v>1734</v>
      </c>
      <c r="AU76">
        <v>2021</v>
      </c>
      <c r="AV76">
        <v>37</v>
      </c>
      <c r="AW76">
        <v>4</v>
      </c>
      <c r="AX76" t="s">
        <v>74</v>
      </c>
      <c r="AY76" t="s">
        <v>74</v>
      </c>
      <c r="AZ76" t="s">
        <v>74</v>
      </c>
      <c r="BA76" t="s">
        <v>74</v>
      </c>
      <c r="BB76" t="s">
        <v>74</v>
      </c>
      <c r="BC76" t="s">
        <v>74</v>
      </c>
      <c r="BD76" t="s">
        <v>1735</v>
      </c>
      <c r="BE76" t="s">
        <v>1736</v>
      </c>
      <c r="BF76" t="str">
        <f>HYPERLINK("http://dx.doi.org/10.1002/btpr.3177","http://dx.doi.org/10.1002/btpr.3177")</f>
        <v>http://dx.doi.org/10.1002/btpr.3177</v>
      </c>
      <c r="BG76" t="s">
        <v>74</v>
      </c>
      <c r="BH76" t="s">
        <v>1737</v>
      </c>
      <c r="BI76">
        <v>13</v>
      </c>
      <c r="BJ76" t="s">
        <v>1738</v>
      </c>
      <c r="BK76" t="s">
        <v>182</v>
      </c>
      <c r="BL76" t="s">
        <v>1738</v>
      </c>
      <c r="BM76" t="s">
        <v>1739</v>
      </c>
      <c r="BN76">
        <v>34036755</v>
      </c>
      <c r="BO76" t="s">
        <v>74</v>
      </c>
      <c r="BP76" t="s">
        <v>74</v>
      </c>
      <c r="BQ76" t="s">
        <v>74</v>
      </c>
      <c r="BR76" t="s">
        <v>105</v>
      </c>
      <c r="BS76" t="s">
        <v>1740</v>
      </c>
      <c r="BT76" t="str">
        <f>HYPERLINK("https%3A%2F%2Fwww.webofscience.com%2Fwos%2Fwoscc%2Ffull-record%2FWOS:000656245500001","View Full Record in Web of Science")</f>
        <v>View Full Record in Web of Science</v>
      </c>
    </row>
    <row r="77" spans="1:72" x14ac:dyDescent="0.25">
      <c r="A77" t="s">
        <v>72</v>
      </c>
      <c r="B77" t="s">
        <v>1741</v>
      </c>
      <c r="C77" t="s">
        <v>74</v>
      </c>
      <c r="D77" t="s">
        <v>74</v>
      </c>
      <c r="E77" t="s">
        <v>74</v>
      </c>
      <c r="F77" t="s">
        <v>1742</v>
      </c>
      <c r="G77" t="s">
        <v>74</v>
      </c>
      <c r="H77" t="s">
        <v>74</v>
      </c>
      <c r="I77" t="s">
        <v>1743</v>
      </c>
      <c r="J77" t="s">
        <v>190</v>
      </c>
      <c r="K77" t="s">
        <v>74</v>
      </c>
      <c r="L77" t="s">
        <v>74</v>
      </c>
      <c r="M77" t="s">
        <v>78</v>
      </c>
      <c r="N77" t="s">
        <v>79</v>
      </c>
      <c r="O77" t="s">
        <v>74</v>
      </c>
      <c r="P77" t="s">
        <v>74</v>
      </c>
      <c r="Q77" t="s">
        <v>74</v>
      </c>
      <c r="R77" t="s">
        <v>74</v>
      </c>
      <c r="S77" t="s">
        <v>74</v>
      </c>
      <c r="T77" t="s">
        <v>1744</v>
      </c>
      <c r="U77" t="s">
        <v>1745</v>
      </c>
      <c r="V77" t="s">
        <v>1746</v>
      </c>
      <c r="W77" t="s">
        <v>1747</v>
      </c>
      <c r="X77" t="s">
        <v>1748</v>
      </c>
      <c r="Y77" t="s">
        <v>1749</v>
      </c>
      <c r="Z77" t="s">
        <v>1750</v>
      </c>
      <c r="AA77" t="s">
        <v>1751</v>
      </c>
      <c r="AB77" t="s">
        <v>1752</v>
      </c>
      <c r="AC77" t="s">
        <v>74</v>
      </c>
      <c r="AD77" t="s">
        <v>74</v>
      </c>
      <c r="AE77" t="s">
        <v>74</v>
      </c>
      <c r="AF77" t="s">
        <v>74</v>
      </c>
      <c r="AG77">
        <v>54</v>
      </c>
      <c r="AH77">
        <v>75</v>
      </c>
      <c r="AI77">
        <v>77</v>
      </c>
      <c r="AJ77">
        <v>31</v>
      </c>
      <c r="AK77">
        <v>238</v>
      </c>
      <c r="AL77" t="s">
        <v>202</v>
      </c>
      <c r="AM77" t="s">
        <v>203</v>
      </c>
      <c r="AN77" t="s">
        <v>204</v>
      </c>
      <c r="AO77" t="s">
        <v>205</v>
      </c>
      <c r="AP77" t="s">
        <v>206</v>
      </c>
      <c r="AQ77" t="s">
        <v>74</v>
      </c>
      <c r="AR77" t="s">
        <v>207</v>
      </c>
      <c r="AS77" t="s">
        <v>208</v>
      </c>
      <c r="AT77" t="s">
        <v>351</v>
      </c>
      <c r="AU77">
        <v>2022</v>
      </c>
      <c r="AV77">
        <v>58</v>
      </c>
      <c r="AW77">
        <v>1</v>
      </c>
      <c r="AX77" t="s">
        <v>74</v>
      </c>
      <c r="AY77" t="s">
        <v>74</v>
      </c>
      <c r="AZ77" t="s">
        <v>74</v>
      </c>
      <c r="BA77" t="s">
        <v>74</v>
      </c>
      <c r="BB77">
        <v>1</v>
      </c>
      <c r="BC77">
        <v>8</v>
      </c>
      <c r="BD77" t="s">
        <v>74</v>
      </c>
      <c r="BE77" t="s">
        <v>1753</v>
      </c>
      <c r="BF77" t="str">
        <f>HYPERLINK("http://dx.doi.org/10.23736/S1973-9087.21.06846-5","http://dx.doi.org/10.23736/S1973-9087.21.06846-5")</f>
        <v>http://dx.doi.org/10.23736/S1973-9087.21.06846-5</v>
      </c>
      <c r="BG77" t="s">
        <v>74</v>
      </c>
      <c r="BH77" t="s">
        <v>74</v>
      </c>
      <c r="BI77">
        <v>8</v>
      </c>
      <c r="BJ77" t="s">
        <v>101</v>
      </c>
      <c r="BK77" t="s">
        <v>182</v>
      </c>
      <c r="BL77" t="s">
        <v>101</v>
      </c>
      <c r="BM77" t="s">
        <v>1754</v>
      </c>
      <c r="BN77">
        <v>34247470</v>
      </c>
      <c r="BO77" t="s">
        <v>355</v>
      </c>
      <c r="BP77" t="s">
        <v>74</v>
      </c>
      <c r="BQ77" t="s">
        <v>74</v>
      </c>
      <c r="BR77" t="s">
        <v>105</v>
      </c>
      <c r="BS77" t="s">
        <v>1755</v>
      </c>
      <c r="BT77" t="str">
        <f>HYPERLINK("https%3A%2F%2Fwww.webofscience.com%2Fwos%2Fwoscc%2Ffull-record%2FWOS:000801924400001","View Full Record in Web of Science")</f>
        <v>View Full Record in Web of Science</v>
      </c>
    </row>
    <row r="78" spans="1:72" x14ac:dyDescent="0.25">
      <c r="A78" t="s">
        <v>72</v>
      </c>
      <c r="B78" t="s">
        <v>1756</v>
      </c>
      <c r="C78" t="s">
        <v>74</v>
      </c>
      <c r="D78" t="s">
        <v>74</v>
      </c>
      <c r="E78" t="s">
        <v>74</v>
      </c>
      <c r="F78" t="s">
        <v>1757</v>
      </c>
      <c r="G78" t="s">
        <v>74</v>
      </c>
      <c r="H78" t="s">
        <v>74</v>
      </c>
      <c r="I78" t="s">
        <v>1758</v>
      </c>
      <c r="J78" t="s">
        <v>1759</v>
      </c>
      <c r="K78" t="s">
        <v>74</v>
      </c>
      <c r="L78" t="s">
        <v>74</v>
      </c>
      <c r="M78" t="s">
        <v>78</v>
      </c>
      <c r="N78" t="s">
        <v>79</v>
      </c>
      <c r="O78" t="s">
        <v>74</v>
      </c>
      <c r="P78" t="s">
        <v>74</v>
      </c>
      <c r="Q78" t="s">
        <v>74</v>
      </c>
      <c r="R78" t="s">
        <v>74</v>
      </c>
      <c r="S78" t="s">
        <v>74</v>
      </c>
      <c r="T78" t="s">
        <v>1760</v>
      </c>
      <c r="U78" t="s">
        <v>1761</v>
      </c>
      <c r="V78" t="s">
        <v>1762</v>
      </c>
      <c r="W78" t="s">
        <v>1763</v>
      </c>
      <c r="X78" t="s">
        <v>1764</v>
      </c>
      <c r="Y78" t="s">
        <v>1765</v>
      </c>
      <c r="Z78" t="s">
        <v>1766</v>
      </c>
      <c r="AA78" t="s">
        <v>1767</v>
      </c>
      <c r="AB78" t="s">
        <v>1768</v>
      </c>
      <c r="AC78" t="s">
        <v>74</v>
      </c>
      <c r="AD78" t="s">
        <v>74</v>
      </c>
      <c r="AE78" t="s">
        <v>74</v>
      </c>
      <c r="AF78" t="s">
        <v>74</v>
      </c>
      <c r="AG78">
        <v>97</v>
      </c>
      <c r="AH78">
        <v>143</v>
      </c>
      <c r="AI78">
        <v>150</v>
      </c>
      <c r="AJ78">
        <v>0</v>
      </c>
      <c r="AK78">
        <v>90</v>
      </c>
      <c r="AL78" t="s">
        <v>1769</v>
      </c>
      <c r="AM78" t="s">
        <v>1770</v>
      </c>
      <c r="AN78" t="s">
        <v>1771</v>
      </c>
      <c r="AO78" t="s">
        <v>1772</v>
      </c>
      <c r="AP78" t="s">
        <v>1773</v>
      </c>
      <c r="AQ78" t="s">
        <v>74</v>
      </c>
      <c r="AR78" t="s">
        <v>1774</v>
      </c>
      <c r="AS78" t="s">
        <v>1775</v>
      </c>
      <c r="AT78" t="s">
        <v>487</v>
      </c>
      <c r="AU78">
        <v>2016</v>
      </c>
      <c r="AV78">
        <v>37</v>
      </c>
      <c r="AW78">
        <v>4</v>
      </c>
      <c r="AX78" t="s">
        <v>74</v>
      </c>
      <c r="AY78" t="s">
        <v>74</v>
      </c>
      <c r="AZ78" t="s">
        <v>74</v>
      </c>
      <c r="BA78" t="s">
        <v>74</v>
      </c>
      <c r="BB78">
        <v>503</v>
      </c>
      <c r="BC78">
        <v>514</v>
      </c>
      <c r="BD78" t="s">
        <v>74</v>
      </c>
      <c r="BE78" t="s">
        <v>1776</v>
      </c>
      <c r="BF78" t="str">
        <f>HYPERLINK("http://dx.doi.org/10.1007/s10072-016-2474-4","http://dx.doi.org/10.1007/s10072-016-2474-4")</f>
        <v>http://dx.doi.org/10.1007/s10072-016-2474-4</v>
      </c>
      <c r="BG78" t="s">
        <v>74</v>
      </c>
      <c r="BH78" t="s">
        <v>74</v>
      </c>
      <c r="BI78">
        <v>12</v>
      </c>
      <c r="BJ78" t="s">
        <v>400</v>
      </c>
      <c r="BK78" t="s">
        <v>182</v>
      </c>
      <c r="BL78" t="s">
        <v>375</v>
      </c>
      <c r="BM78" t="s">
        <v>1777</v>
      </c>
      <c r="BN78">
        <v>26781943</v>
      </c>
      <c r="BO78" t="s">
        <v>74</v>
      </c>
      <c r="BP78" t="s">
        <v>74</v>
      </c>
      <c r="BQ78" t="s">
        <v>74</v>
      </c>
      <c r="BR78" t="s">
        <v>105</v>
      </c>
      <c r="BS78" t="s">
        <v>1778</v>
      </c>
      <c r="BT78" t="str">
        <f>HYPERLINK("https%3A%2F%2Fwww.webofscience.com%2Fwos%2Fwoscc%2Ffull-record%2FWOS:000373805300002","View Full Record in Web of Science")</f>
        <v>View Full Record in Web of Science</v>
      </c>
    </row>
    <row r="79" spans="1:72" x14ac:dyDescent="0.25">
      <c r="A79" t="s">
        <v>72</v>
      </c>
      <c r="B79" t="s">
        <v>1779</v>
      </c>
      <c r="C79" t="s">
        <v>74</v>
      </c>
      <c r="D79" t="s">
        <v>74</v>
      </c>
      <c r="E79" t="s">
        <v>74</v>
      </c>
      <c r="F79" t="s">
        <v>1779</v>
      </c>
      <c r="G79" t="s">
        <v>74</v>
      </c>
      <c r="H79" t="s">
        <v>74</v>
      </c>
      <c r="I79" t="s">
        <v>1780</v>
      </c>
      <c r="J79" t="s">
        <v>1101</v>
      </c>
      <c r="K79" t="s">
        <v>74</v>
      </c>
      <c r="L79" t="s">
        <v>74</v>
      </c>
      <c r="M79" t="s">
        <v>78</v>
      </c>
      <c r="N79" t="s">
        <v>79</v>
      </c>
      <c r="O79" t="s">
        <v>74</v>
      </c>
      <c r="P79" t="s">
        <v>74</v>
      </c>
      <c r="Q79" t="s">
        <v>74</v>
      </c>
      <c r="R79" t="s">
        <v>74</v>
      </c>
      <c r="S79" t="s">
        <v>74</v>
      </c>
      <c r="T79" t="s">
        <v>1781</v>
      </c>
      <c r="U79" t="s">
        <v>1782</v>
      </c>
      <c r="V79" t="s">
        <v>1783</v>
      </c>
      <c r="W79" t="s">
        <v>1784</v>
      </c>
      <c r="X79" t="s">
        <v>1785</v>
      </c>
      <c r="Y79" t="s">
        <v>1786</v>
      </c>
      <c r="Z79" t="s">
        <v>1787</v>
      </c>
      <c r="AA79" t="s">
        <v>1788</v>
      </c>
      <c r="AB79" t="s">
        <v>74</v>
      </c>
      <c r="AC79" t="s">
        <v>74</v>
      </c>
      <c r="AD79" t="s">
        <v>74</v>
      </c>
      <c r="AE79" t="s">
        <v>74</v>
      </c>
      <c r="AF79" t="s">
        <v>74</v>
      </c>
      <c r="AG79">
        <v>158</v>
      </c>
      <c r="AH79">
        <v>183</v>
      </c>
      <c r="AI79">
        <v>206</v>
      </c>
      <c r="AJ79">
        <v>0</v>
      </c>
      <c r="AK79">
        <v>102</v>
      </c>
      <c r="AL79" t="s">
        <v>1114</v>
      </c>
      <c r="AM79" t="s">
        <v>1115</v>
      </c>
      <c r="AN79" t="s">
        <v>1116</v>
      </c>
      <c r="AO79" t="s">
        <v>1117</v>
      </c>
      <c r="AP79" t="s">
        <v>1118</v>
      </c>
      <c r="AQ79" t="s">
        <v>74</v>
      </c>
      <c r="AR79" t="s">
        <v>1119</v>
      </c>
      <c r="AS79" t="s">
        <v>1120</v>
      </c>
      <c r="AT79" t="s">
        <v>1070</v>
      </c>
      <c r="AU79">
        <v>2004</v>
      </c>
      <c r="AV79">
        <v>12</v>
      </c>
      <c r="AW79">
        <v>2</v>
      </c>
      <c r="AX79" t="s">
        <v>74</v>
      </c>
      <c r="AY79" t="s">
        <v>74</v>
      </c>
      <c r="AZ79" t="s">
        <v>74</v>
      </c>
      <c r="BA79" t="s">
        <v>74</v>
      </c>
      <c r="BB79">
        <v>228</v>
      </c>
      <c r="BC79">
        <v>250</v>
      </c>
      <c r="BD79" t="s">
        <v>74</v>
      </c>
      <c r="BE79" t="s">
        <v>1789</v>
      </c>
      <c r="BF79" t="str">
        <f>HYPERLINK("http://dx.doi.org/10.1109/TNSRE.2004.828423","http://dx.doi.org/10.1109/TNSRE.2004.828423")</f>
        <v>http://dx.doi.org/10.1109/TNSRE.2004.828423</v>
      </c>
      <c r="BG79" t="s">
        <v>74</v>
      </c>
      <c r="BH79" t="s">
        <v>74</v>
      </c>
      <c r="BI79">
        <v>23</v>
      </c>
      <c r="BJ79" t="s">
        <v>1122</v>
      </c>
      <c r="BK79" t="s">
        <v>182</v>
      </c>
      <c r="BL79" t="s">
        <v>1123</v>
      </c>
      <c r="BM79" t="s">
        <v>1790</v>
      </c>
      <c r="BN79">
        <v>15218937</v>
      </c>
      <c r="BO79" t="s">
        <v>74</v>
      </c>
      <c r="BP79" t="s">
        <v>74</v>
      </c>
      <c r="BQ79" t="s">
        <v>74</v>
      </c>
      <c r="BR79" t="s">
        <v>105</v>
      </c>
      <c r="BS79" t="s">
        <v>1791</v>
      </c>
      <c r="BT79" t="str">
        <f>HYPERLINK("https%3A%2F%2Fwww.webofscience.com%2Fwos%2Fwoscc%2Ffull-record%2FWOS:000222051100008","View Full Record in Web of Science")</f>
        <v>View Full Record in Web of Science</v>
      </c>
    </row>
    <row r="80" spans="1:72" x14ac:dyDescent="0.25">
      <c r="A80" t="s">
        <v>72</v>
      </c>
      <c r="B80" t="s">
        <v>1792</v>
      </c>
      <c r="C80" t="s">
        <v>74</v>
      </c>
      <c r="D80" t="s">
        <v>74</v>
      </c>
      <c r="E80" t="s">
        <v>74</v>
      </c>
      <c r="F80" t="s">
        <v>1793</v>
      </c>
      <c r="G80" t="s">
        <v>74</v>
      </c>
      <c r="H80" t="s">
        <v>74</v>
      </c>
      <c r="I80" t="s">
        <v>1794</v>
      </c>
      <c r="J80" t="s">
        <v>1795</v>
      </c>
      <c r="K80" t="s">
        <v>74</v>
      </c>
      <c r="L80" t="s">
        <v>74</v>
      </c>
      <c r="M80" t="s">
        <v>78</v>
      </c>
      <c r="N80" t="s">
        <v>79</v>
      </c>
      <c r="O80" t="s">
        <v>74</v>
      </c>
      <c r="P80" t="s">
        <v>74</v>
      </c>
      <c r="Q80" t="s">
        <v>74</v>
      </c>
      <c r="R80" t="s">
        <v>74</v>
      </c>
      <c r="S80" t="s">
        <v>74</v>
      </c>
      <c r="T80" t="s">
        <v>1796</v>
      </c>
      <c r="U80" t="s">
        <v>74</v>
      </c>
      <c r="V80" t="s">
        <v>1797</v>
      </c>
      <c r="W80" t="s">
        <v>1798</v>
      </c>
      <c r="X80" t="s">
        <v>322</v>
      </c>
      <c r="Y80" t="s">
        <v>1799</v>
      </c>
      <c r="Z80" t="s">
        <v>1800</v>
      </c>
      <c r="AA80" t="s">
        <v>74</v>
      </c>
      <c r="AB80" t="s">
        <v>74</v>
      </c>
      <c r="AC80" t="s">
        <v>74</v>
      </c>
      <c r="AD80" t="s">
        <v>74</v>
      </c>
      <c r="AE80" t="s">
        <v>74</v>
      </c>
      <c r="AF80" t="s">
        <v>74</v>
      </c>
      <c r="AG80">
        <v>19</v>
      </c>
      <c r="AH80">
        <v>0</v>
      </c>
      <c r="AI80">
        <v>0</v>
      </c>
      <c r="AJ80">
        <v>0</v>
      </c>
      <c r="AK80">
        <v>0</v>
      </c>
      <c r="AL80" t="s">
        <v>1801</v>
      </c>
      <c r="AM80" t="s">
        <v>1802</v>
      </c>
      <c r="AN80" t="s">
        <v>1803</v>
      </c>
      <c r="AO80" t="s">
        <v>1804</v>
      </c>
      <c r="AP80" t="s">
        <v>74</v>
      </c>
      <c r="AQ80" t="s">
        <v>74</v>
      </c>
      <c r="AR80" t="s">
        <v>1805</v>
      </c>
      <c r="AS80" t="s">
        <v>1806</v>
      </c>
      <c r="AT80" t="s">
        <v>1807</v>
      </c>
      <c r="AU80">
        <v>2025</v>
      </c>
      <c r="AV80">
        <v>50</v>
      </c>
      <c r="AW80">
        <v>1</v>
      </c>
      <c r="AX80" t="s">
        <v>74</v>
      </c>
      <c r="AY80" t="s">
        <v>74</v>
      </c>
      <c r="AZ80" t="s">
        <v>74</v>
      </c>
      <c r="BA80" t="s">
        <v>74</v>
      </c>
      <c r="BB80">
        <v>227</v>
      </c>
      <c r="BC80">
        <v>231</v>
      </c>
      <c r="BD80" t="s">
        <v>74</v>
      </c>
      <c r="BE80" t="s">
        <v>74</v>
      </c>
      <c r="BF80" t="s">
        <v>74</v>
      </c>
      <c r="BG80" t="s">
        <v>74</v>
      </c>
      <c r="BH80" t="s">
        <v>74</v>
      </c>
      <c r="BI80">
        <v>5</v>
      </c>
      <c r="BJ80" t="s">
        <v>128</v>
      </c>
      <c r="BK80" t="s">
        <v>155</v>
      </c>
      <c r="BL80" t="s">
        <v>129</v>
      </c>
      <c r="BM80" t="s">
        <v>1808</v>
      </c>
      <c r="BN80" t="s">
        <v>74</v>
      </c>
      <c r="BO80" t="s">
        <v>74</v>
      </c>
      <c r="BP80" t="s">
        <v>74</v>
      </c>
      <c r="BQ80" t="s">
        <v>74</v>
      </c>
      <c r="BR80" t="s">
        <v>105</v>
      </c>
      <c r="BS80" t="s">
        <v>1809</v>
      </c>
      <c r="BT80" t="str">
        <f>HYPERLINK("https%3A%2F%2Fwww.webofscience.com%2Fwos%2Fwoscc%2Ffull-record%2FWOS:001459342500021","View Full Record in Web of Science")</f>
        <v>View Full Record in Web of Science</v>
      </c>
    </row>
    <row r="81" spans="1:72" x14ac:dyDescent="0.25">
      <c r="A81" t="s">
        <v>72</v>
      </c>
      <c r="B81" t="s">
        <v>1810</v>
      </c>
      <c r="C81" t="s">
        <v>74</v>
      </c>
      <c r="D81" t="s">
        <v>74</v>
      </c>
      <c r="E81" t="s">
        <v>74</v>
      </c>
      <c r="F81" t="s">
        <v>1811</v>
      </c>
      <c r="G81" t="s">
        <v>74</v>
      </c>
      <c r="H81" t="s">
        <v>74</v>
      </c>
      <c r="I81" t="s">
        <v>1812</v>
      </c>
      <c r="J81" t="s">
        <v>1813</v>
      </c>
      <c r="K81" t="s">
        <v>74</v>
      </c>
      <c r="L81" t="s">
        <v>74</v>
      </c>
      <c r="M81" t="s">
        <v>78</v>
      </c>
      <c r="N81" t="s">
        <v>79</v>
      </c>
      <c r="O81" t="s">
        <v>74</v>
      </c>
      <c r="P81" t="s">
        <v>74</v>
      </c>
      <c r="Q81" t="s">
        <v>74</v>
      </c>
      <c r="R81" t="s">
        <v>74</v>
      </c>
      <c r="S81" t="s">
        <v>74</v>
      </c>
      <c r="T81" t="s">
        <v>1814</v>
      </c>
      <c r="U81" t="s">
        <v>1815</v>
      </c>
      <c r="V81" t="s">
        <v>1816</v>
      </c>
      <c r="W81" t="s">
        <v>1817</v>
      </c>
      <c r="X81" t="s">
        <v>1818</v>
      </c>
      <c r="Y81" t="s">
        <v>1819</v>
      </c>
      <c r="Z81" t="s">
        <v>1820</v>
      </c>
      <c r="AA81" t="s">
        <v>1821</v>
      </c>
      <c r="AB81" t="s">
        <v>1822</v>
      </c>
      <c r="AC81" t="s">
        <v>1823</v>
      </c>
      <c r="AD81" t="s">
        <v>1824</v>
      </c>
      <c r="AE81" t="s">
        <v>1825</v>
      </c>
      <c r="AF81" t="s">
        <v>74</v>
      </c>
      <c r="AG81">
        <v>57</v>
      </c>
      <c r="AH81">
        <v>16</v>
      </c>
      <c r="AI81">
        <v>17</v>
      </c>
      <c r="AJ81">
        <v>1</v>
      </c>
      <c r="AK81">
        <v>11</v>
      </c>
      <c r="AL81" t="s">
        <v>531</v>
      </c>
      <c r="AM81" t="s">
        <v>532</v>
      </c>
      <c r="AN81" t="s">
        <v>533</v>
      </c>
      <c r="AO81" t="s">
        <v>1826</v>
      </c>
      <c r="AP81" t="s">
        <v>1827</v>
      </c>
      <c r="AQ81" t="s">
        <v>74</v>
      </c>
      <c r="AR81" t="s">
        <v>1828</v>
      </c>
      <c r="AS81" t="s">
        <v>1829</v>
      </c>
      <c r="AT81" t="s">
        <v>351</v>
      </c>
      <c r="AU81">
        <v>2017</v>
      </c>
      <c r="AV81">
        <v>53</v>
      </c>
      <c r="AW81">
        <v>1</v>
      </c>
      <c r="AX81" t="s">
        <v>74</v>
      </c>
      <c r="AY81" t="s">
        <v>74</v>
      </c>
      <c r="AZ81" t="s">
        <v>74</v>
      </c>
      <c r="BA81" t="s">
        <v>74</v>
      </c>
      <c r="BB81">
        <v>11</v>
      </c>
      <c r="BC81">
        <v>17</v>
      </c>
      <c r="BD81" t="s">
        <v>74</v>
      </c>
      <c r="BE81" t="s">
        <v>1830</v>
      </c>
      <c r="BF81" t="str">
        <f>HYPERLINK("http://dx.doi.org/10.1016/j.jdsr.2016.05.001","http://dx.doi.org/10.1016/j.jdsr.2016.05.001")</f>
        <v>http://dx.doi.org/10.1016/j.jdsr.2016.05.001</v>
      </c>
      <c r="BG81" t="s">
        <v>74</v>
      </c>
      <c r="BH81" t="s">
        <v>74</v>
      </c>
      <c r="BI81">
        <v>7</v>
      </c>
      <c r="BJ81" t="s">
        <v>1831</v>
      </c>
      <c r="BK81" t="s">
        <v>155</v>
      </c>
      <c r="BL81" t="s">
        <v>1831</v>
      </c>
      <c r="BM81" t="s">
        <v>1832</v>
      </c>
      <c r="BN81">
        <v>28408964</v>
      </c>
      <c r="BO81" t="s">
        <v>131</v>
      </c>
      <c r="BP81" t="s">
        <v>74</v>
      </c>
      <c r="BQ81" t="s">
        <v>74</v>
      </c>
      <c r="BR81" t="s">
        <v>105</v>
      </c>
      <c r="BS81" t="s">
        <v>1833</v>
      </c>
      <c r="BT81" t="str">
        <f>HYPERLINK("https%3A%2F%2Fwww.webofscience.com%2Fwos%2Fwoscc%2Ffull-record%2FWOS:000397199300003","View Full Record in Web of Science")</f>
        <v>View Full Record in Web of Science</v>
      </c>
    </row>
    <row r="82" spans="1:72" x14ac:dyDescent="0.25">
      <c r="A82" t="s">
        <v>72</v>
      </c>
      <c r="B82" t="s">
        <v>1834</v>
      </c>
      <c r="C82" t="s">
        <v>74</v>
      </c>
      <c r="D82" t="s">
        <v>74</v>
      </c>
      <c r="E82" t="s">
        <v>74</v>
      </c>
      <c r="F82" t="s">
        <v>1835</v>
      </c>
      <c r="G82" t="s">
        <v>74</v>
      </c>
      <c r="H82" t="s">
        <v>74</v>
      </c>
      <c r="I82" t="s">
        <v>1836</v>
      </c>
      <c r="J82" t="s">
        <v>1837</v>
      </c>
      <c r="K82" t="s">
        <v>74</v>
      </c>
      <c r="L82" t="s">
        <v>74</v>
      </c>
      <c r="M82" t="s">
        <v>78</v>
      </c>
      <c r="N82" t="s">
        <v>79</v>
      </c>
      <c r="O82" t="s">
        <v>74</v>
      </c>
      <c r="P82" t="s">
        <v>74</v>
      </c>
      <c r="Q82" t="s">
        <v>74</v>
      </c>
      <c r="R82" t="s">
        <v>74</v>
      </c>
      <c r="S82" t="s">
        <v>74</v>
      </c>
      <c r="T82" t="s">
        <v>1838</v>
      </c>
      <c r="U82" t="s">
        <v>1839</v>
      </c>
      <c r="V82" t="s">
        <v>1840</v>
      </c>
      <c r="W82" t="s">
        <v>1841</v>
      </c>
      <c r="X82" t="s">
        <v>1842</v>
      </c>
      <c r="Y82" t="s">
        <v>1843</v>
      </c>
      <c r="Z82" t="s">
        <v>1844</v>
      </c>
      <c r="AA82" t="s">
        <v>1845</v>
      </c>
      <c r="AB82" t="s">
        <v>1846</v>
      </c>
      <c r="AC82" t="s">
        <v>1847</v>
      </c>
      <c r="AD82" t="s">
        <v>1848</v>
      </c>
      <c r="AE82" t="s">
        <v>1849</v>
      </c>
      <c r="AF82" t="s">
        <v>74</v>
      </c>
      <c r="AG82">
        <v>153</v>
      </c>
      <c r="AH82">
        <v>24</v>
      </c>
      <c r="AI82">
        <v>24</v>
      </c>
      <c r="AJ82">
        <v>15</v>
      </c>
      <c r="AK82">
        <v>100</v>
      </c>
      <c r="AL82" t="s">
        <v>1114</v>
      </c>
      <c r="AM82" t="s">
        <v>1115</v>
      </c>
      <c r="AN82" t="s">
        <v>1116</v>
      </c>
      <c r="AO82" t="s">
        <v>1850</v>
      </c>
      <c r="AP82" t="s">
        <v>74</v>
      </c>
      <c r="AQ82" t="s">
        <v>74</v>
      </c>
      <c r="AR82" t="s">
        <v>1837</v>
      </c>
      <c r="AS82" t="s">
        <v>1851</v>
      </c>
      <c r="AT82" t="s">
        <v>74</v>
      </c>
      <c r="AU82">
        <v>2022</v>
      </c>
      <c r="AV82">
        <v>10</v>
      </c>
      <c r="AW82" t="s">
        <v>74</v>
      </c>
      <c r="AX82" t="s">
        <v>74</v>
      </c>
      <c r="AY82" t="s">
        <v>74</v>
      </c>
      <c r="AZ82" t="s">
        <v>74</v>
      </c>
      <c r="BA82" t="s">
        <v>74</v>
      </c>
      <c r="BB82">
        <v>106117</v>
      </c>
      <c r="BC82">
        <v>106134</v>
      </c>
      <c r="BD82" t="s">
        <v>74</v>
      </c>
      <c r="BE82" t="s">
        <v>1852</v>
      </c>
      <c r="BF82" t="str">
        <f>HYPERLINK("http://dx.doi.org/10.1109/ACCESS.2022.3210514","http://dx.doi.org/10.1109/ACCESS.2022.3210514")</f>
        <v>http://dx.doi.org/10.1109/ACCESS.2022.3210514</v>
      </c>
      <c r="BG82" t="s">
        <v>74</v>
      </c>
      <c r="BH82" t="s">
        <v>74</v>
      </c>
      <c r="BI82">
        <v>18</v>
      </c>
      <c r="BJ82" t="s">
        <v>1853</v>
      </c>
      <c r="BK82" t="s">
        <v>182</v>
      </c>
      <c r="BL82" t="s">
        <v>1854</v>
      </c>
      <c r="BM82" t="s">
        <v>1855</v>
      </c>
      <c r="BN82" t="s">
        <v>74</v>
      </c>
      <c r="BO82" t="s">
        <v>104</v>
      </c>
      <c r="BP82" t="s">
        <v>74</v>
      </c>
      <c r="BQ82" t="s">
        <v>74</v>
      </c>
      <c r="BR82" t="s">
        <v>105</v>
      </c>
      <c r="BS82" t="s">
        <v>1856</v>
      </c>
      <c r="BT82" t="str">
        <f>HYPERLINK("https%3A%2F%2Fwww.webofscience.com%2Fwos%2Fwoscc%2Ffull-record%2FWOS:000866434800001","View Full Record in Web of Science")</f>
        <v>View Full Record in Web of Science</v>
      </c>
    </row>
    <row r="83" spans="1:72" x14ac:dyDescent="0.25">
      <c r="A83" t="s">
        <v>72</v>
      </c>
      <c r="B83" t="s">
        <v>1857</v>
      </c>
      <c r="C83" t="s">
        <v>74</v>
      </c>
      <c r="D83" t="s">
        <v>74</v>
      </c>
      <c r="E83" t="s">
        <v>74</v>
      </c>
      <c r="F83" t="s">
        <v>1858</v>
      </c>
      <c r="G83" t="s">
        <v>74</v>
      </c>
      <c r="H83" t="s">
        <v>74</v>
      </c>
      <c r="I83" t="s">
        <v>1859</v>
      </c>
      <c r="J83" t="s">
        <v>288</v>
      </c>
      <c r="K83" t="s">
        <v>74</v>
      </c>
      <c r="L83" t="s">
        <v>74</v>
      </c>
      <c r="M83" t="s">
        <v>78</v>
      </c>
      <c r="N83" t="s">
        <v>79</v>
      </c>
      <c r="O83" t="s">
        <v>74</v>
      </c>
      <c r="P83" t="s">
        <v>74</v>
      </c>
      <c r="Q83" t="s">
        <v>74</v>
      </c>
      <c r="R83" t="s">
        <v>74</v>
      </c>
      <c r="S83" t="s">
        <v>74</v>
      </c>
      <c r="T83" t="s">
        <v>74</v>
      </c>
      <c r="U83" t="s">
        <v>1860</v>
      </c>
      <c r="V83" t="s">
        <v>1861</v>
      </c>
      <c r="W83" t="s">
        <v>1862</v>
      </c>
      <c r="X83" t="s">
        <v>1863</v>
      </c>
      <c r="Y83" t="s">
        <v>1864</v>
      </c>
      <c r="Z83" t="s">
        <v>1865</v>
      </c>
      <c r="AA83" t="s">
        <v>1866</v>
      </c>
      <c r="AB83" t="s">
        <v>1867</v>
      </c>
      <c r="AC83" t="s">
        <v>74</v>
      </c>
      <c r="AD83" t="s">
        <v>74</v>
      </c>
      <c r="AE83" t="s">
        <v>74</v>
      </c>
      <c r="AF83" t="s">
        <v>74</v>
      </c>
      <c r="AG83">
        <v>39</v>
      </c>
      <c r="AH83">
        <v>53</v>
      </c>
      <c r="AI83">
        <v>55</v>
      </c>
      <c r="AJ83">
        <v>1</v>
      </c>
      <c r="AK83">
        <v>10</v>
      </c>
      <c r="AL83" t="s">
        <v>367</v>
      </c>
      <c r="AM83" t="s">
        <v>275</v>
      </c>
      <c r="AN83" t="s">
        <v>368</v>
      </c>
      <c r="AO83" t="s">
        <v>300</v>
      </c>
      <c r="AP83" t="s">
        <v>301</v>
      </c>
      <c r="AQ83" t="s">
        <v>74</v>
      </c>
      <c r="AR83" t="s">
        <v>1868</v>
      </c>
      <c r="AS83" t="s">
        <v>303</v>
      </c>
      <c r="AT83" t="s">
        <v>74</v>
      </c>
      <c r="AU83">
        <v>2018</v>
      </c>
      <c r="AV83">
        <v>2018</v>
      </c>
      <c r="AW83" t="s">
        <v>74</v>
      </c>
      <c r="AX83" t="s">
        <v>74</v>
      </c>
      <c r="AY83" t="s">
        <v>74</v>
      </c>
      <c r="AZ83" t="s">
        <v>74</v>
      </c>
      <c r="BA83" t="s">
        <v>74</v>
      </c>
      <c r="BB83" t="s">
        <v>74</v>
      </c>
      <c r="BC83" t="s">
        <v>74</v>
      </c>
      <c r="BD83">
        <v>4085298</v>
      </c>
      <c r="BE83" t="s">
        <v>1869</v>
      </c>
      <c r="BF83" t="str">
        <f>HYPERLINK("http://dx.doi.org/10.1155/2018/4085298","http://dx.doi.org/10.1155/2018/4085298")</f>
        <v>http://dx.doi.org/10.1155/2018/4085298</v>
      </c>
      <c r="BG83" t="s">
        <v>74</v>
      </c>
      <c r="BH83" t="s">
        <v>74</v>
      </c>
      <c r="BI83">
        <v>11</v>
      </c>
      <c r="BJ83" t="s">
        <v>306</v>
      </c>
      <c r="BK83" t="s">
        <v>102</v>
      </c>
      <c r="BL83" t="s">
        <v>307</v>
      </c>
      <c r="BM83" t="s">
        <v>1870</v>
      </c>
      <c r="BN83">
        <v>29546057</v>
      </c>
      <c r="BO83" t="s">
        <v>1871</v>
      </c>
      <c r="BP83" t="s">
        <v>74</v>
      </c>
      <c r="BQ83" t="s">
        <v>74</v>
      </c>
      <c r="BR83" t="s">
        <v>105</v>
      </c>
      <c r="BS83" t="s">
        <v>1872</v>
      </c>
      <c r="BT83" t="str">
        <f>HYPERLINK("https%3A%2F%2Fwww.webofscience.com%2Fwos%2Fwoscc%2Ffull-record%2FWOS:000424757400001","View Full Record in Web of Science")</f>
        <v>View Full Record in Web of Science</v>
      </c>
    </row>
    <row r="84" spans="1:72" x14ac:dyDescent="0.25">
      <c r="A84" t="s">
        <v>72</v>
      </c>
      <c r="B84" t="s">
        <v>1873</v>
      </c>
      <c r="C84" t="s">
        <v>74</v>
      </c>
      <c r="D84" t="s">
        <v>74</v>
      </c>
      <c r="E84" t="s">
        <v>74</v>
      </c>
      <c r="F84" t="s">
        <v>1873</v>
      </c>
      <c r="G84" t="s">
        <v>74</v>
      </c>
      <c r="H84" t="s">
        <v>74</v>
      </c>
      <c r="I84" t="s">
        <v>1874</v>
      </c>
      <c r="J84" t="s">
        <v>1875</v>
      </c>
      <c r="K84" t="s">
        <v>74</v>
      </c>
      <c r="L84" t="s">
        <v>74</v>
      </c>
      <c r="M84" t="s">
        <v>1876</v>
      </c>
      <c r="N84" t="s">
        <v>79</v>
      </c>
      <c r="O84" t="s">
        <v>74</v>
      </c>
      <c r="P84" t="s">
        <v>74</v>
      </c>
      <c r="Q84" t="s">
        <v>74</v>
      </c>
      <c r="R84" t="s">
        <v>74</v>
      </c>
      <c r="S84" t="s">
        <v>74</v>
      </c>
      <c r="T84" t="s">
        <v>1877</v>
      </c>
      <c r="U84" t="s">
        <v>1878</v>
      </c>
      <c r="V84" t="s">
        <v>1879</v>
      </c>
      <c r="W84" t="s">
        <v>1880</v>
      </c>
      <c r="X84" t="s">
        <v>1881</v>
      </c>
      <c r="Y84" t="s">
        <v>1882</v>
      </c>
      <c r="Z84" t="s">
        <v>74</v>
      </c>
      <c r="AA84" t="s">
        <v>1883</v>
      </c>
      <c r="AB84" t="s">
        <v>1884</v>
      </c>
      <c r="AC84" t="s">
        <v>74</v>
      </c>
      <c r="AD84" t="s">
        <v>74</v>
      </c>
      <c r="AE84" t="s">
        <v>74</v>
      </c>
      <c r="AF84" t="s">
        <v>74</v>
      </c>
      <c r="AG84">
        <v>55</v>
      </c>
      <c r="AH84">
        <v>83</v>
      </c>
      <c r="AI84">
        <v>89</v>
      </c>
      <c r="AJ84">
        <v>0</v>
      </c>
      <c r="AK84">
        <v>31</v>
      </c>
      <c r="AL84" t="s">
        <v>172</v>
      </c>
      <c r="AM84" t="s">
        <v>173</v>
      </c>
      <c r="AN84" t="s">
        <v>1885</v>
      </c>
      <c r="AO84" t="s">
        <v>1886</v>
      </c>
      <c r="AP84" t="s">
        <v>74</v>
      </c>
      <c r="AQ84" t="s">
        <v>74</v>
      </c>
      <c r="AR84" t="s">
        <v>1875</v>
      </c>
      <c r="AS84" t="s">
        <v>1887</v>
      </c>
      <c r="AT84" t="s">
        <v>1888</v>
      </c>
      <c r="AU84">
        <v>2003</v>
      </c>
      <c r="AV84">
        <v>74</v>
      </c>
      <c r="AW84">
        <v>10</v>
      </c>
      <c r="AX84" t="s">
        <v>74</v>
      </c>
      <c r="AY84" t="s">
        <v>74</v>
      </c>
      <c r="AZ84" t="s">
        <v>74</v>
      </c>
      <c r="BA84" t="s">
        <v>74</v>
      </c>
      <c r="BB84">
        <v>841</v>
      </c>
      <c r="BC84" t="s">
        <v>233</v>
      </c>
      <c r="BD84" t="s">
        <v>74</v>
      </c>
      <c r="BE84" t="s">
        <v>1889</v>
      </c>
      <c r="BF84" t="str">
        <f>HYPERLINK("http://dx.doi.org/10.1007/s00115-003-1549-7","http://dx.doi.org/10.1007/s00115-003-1549-7")</f>
        <v>http://dx.doi.org/10.1007/s00115-003-1549-7</v>
      </c>
      <c r="BG84" t="s">
        <v>74</v>
      </c>
      <c r="BH84" t="s">
        <v>74</v>
      </c>
      <c r="BI84">
        <v>9</v>
      </c>
      <c r="BJ84" t="s">
        <v>1890</v>
      </c>
      <c r="BK84" t="s">
        <v>182</v>
      </c>
      <c r="BL84" t="s">
        <v>1891</v>
      </c>
      <c r="BM84" t="s">
        <v>1892</v>
      </c>
      <c r="BN84">
        <v>14551687</v>
      </c>
      <c r="BO84" t="s">
        <v>74</v>
      </c>
      <c r="BP84" t="s">
        <v>74</v>
      </c>
      <c r="BQ84" t="s">
        <v>74</v>
      </c>
      <c r="BR84" t="s">
        <v>105</v>
      </c>
      <c r="BS84" t="s">
        <v>1893</v>
      </c>
      <c r="BT84" t="str">
        <f>HYPERLINK("https%3A%2F%2Fwww.webofscience.com%2Fwos%2Fwoscc%2Ffull-record%2FWOS:000186443000002","View Full Record in Web of Science")</f>
        <v>View Full Record in Web of Science</v>
      </c>
    </row>
    <row r="85" spans="1:72" x14ac:dyDescent="0.25">
      <c r="A85" t="s">
        <v>72</v>
      </c>
      <c r="B85" t="s">
        <v>1894</v>
      </c>
      <c r="C85" t="s">
        <v>74</v>
      </c>
      <c r="D85" t="s">
        <v>74</v>
      </c>
      <c r="E85" t="s">
        <v>74</v>
      </c>
      <c r="F85" t="s">
        <v>1895</v>
      </c>
      <c r="G85" t="s">
        <v>74</v>
      </c>
      <c r="H85" t="s">
        <v>74</v>
      </c>
      <c r="I85" t="s">
        <v>1896</v>
      </c>
      <c r="J85" t="s">
        <v>1897</v>
      </c>
      <c r="K85" t="s">
        <v>74</v>
      </c>
      <c r="L85" t="s">
        <v>74</v>
      </c>
      <c r="M85" t="s">
        <v>78</v>
      </c>
      <c r="N85" t="s">
        <v>79</v>
      </c>
      <c r="O85" t="s">
        <v>74</v>
      </c>
      <c r="P85" t="s">
        <v>74</v>
      </c>
      <c r="Q85" t="s">
        <v>74</v>
      </c>
      <c r="R85" t="s">
        <v>74</v>
      </c>
      <c r="S85" t="s">
        <v>74</v>
      </c>
      <c r="T85" t="s">
        <v>1898</v>
      </c>
      <c r="U85" t="s">
        <v>1899</v>
      </c>
      <c r="V85" t="s">
        <v>1900</v>
      </c>
      <c r="W85" t="s">
        <v>1901</v>
      </c>
      <c r="X85" t="s">
        <v>1902</v>
      </c>
      <c r="Y85" t="s">
        <v>1903</v>
      </c>
      <c r="Z85" t="s">
        <v>1904</v>
      </c>
      <c r="AA85" t="s">
        <v>1905</v>
      </c>
      <c r="AB85" t="s">
        <v>1906</v>
      </c>
      <c r="AC85" t="s">
        <v>74</v>
      </c>
      <c r="AD85" t="s">
        <v>74</v>
      </c>
      <c r="AE85" t="s">
        <v>74</v>
      </c>
      <c r="AF85" t="s">
        <v>74</v>
      </c>
      <c r="AG85">
        <v>73</v>
      </c>
      <c r="AH85">
        <v>48</v>
      </c>
      <c r="AI85">
        <v>60</v>
      </c>
      <c r="AJ85">
        <v>1</v>
      </c>
      <c r="AK85">
        <v>86</v>
      </c>
      <c r="AL85" t="s">
        <v>1907</v>
      </c>
      <c r="AM85" t="s">
        <v>1908</v>
      </c>
      <c r="AN85" t="s">
        <v>1909</v>
      </c>
      <c r="AO85" t="s">
        <v>1910</v>
      </c>
      <c r="AP85" t="s">
        <v>1911</v>
      </c>
      <c r="AQ85" t="s">
        <v>74</v>
      </c>
      <c r="AR85" t="s">
        <v>1897</v>
      </c>
      <c r="AS85" t="s">
        <v>1912</v>
      </c>
      <c r="AT85" t="s">
        <v>351</v>
      </c>
      <c r="AU85">
        <v>2012</v>
      </c>
      <c r="AV85">
        <v>71</v>
      </c>
      <c r="AW85">
        <v>2</v>
      </c>
      <c r="AX85" t="s">
        <v>74</v>
      </c>
      <c r="AY85" t="s">
        <v>74</v>
      </c>
      <c r="AZ85" t="s">
        <v>74</v>
      </c>
      <c r="BA85" t="s">
        <v>74</v>
      </c>
      <c r="BB85">
        <v>104</v>
      </c>
      <c r="BC85">
        <v>108</v>
      </c>
      <c r="BD85" t="s">
        <v>74</v>
      </c>
      <c r="BE85" t="s">
        <v>1913</v>
      </c>
      <c r="BF85" t="str">
        <f>HYPERLINK("http://dx.doi.org/10.1016/j.maturitas.2011.11.011","http://dx.doi.org/10.1016/j.maturitas.2011.11.011")</f>
        <v>http://dx.doi.org/10.1016/j.maturitas.2011.11.011</v>
      </c>
      <c r="BG85" t="s">
        <v>74</v>
      </c>
      <c r="BH85" t="s">
        <v>74</v>
      </c>
      <c r="BI85">
        <v>5</v>
      </c>
      <c r="BJ85" t="s">
        <v>1914</v>
      </c>
      <c r="BK85" t="s">
        <v>102</v>
      </c>
      <c r="BL85" t="s">
        <v>1914</v>
      </c>
      <c r="BM85" t="s">
        <v>1915</v>
      </c>
      <c r="BN85">
        <v>22221654</v>
      </c>
      <c r="BO85" t="s">
        <v>74</v>
      </c>
      <c r="BP85" t="s">
        <v>74</v>
      </c>
      <c r="BQ85" t="s">
        <v>74</v>
      </c>
      <c r="BR85" t="s">
        <v>105</v>
      </c>
      <c r="BS85" t="s">
        <v>1916</v>
      </c>
      <c r="BT85" t="str">
        <f>HYPERLINK("https%3A%2F%2Fwww.webofscience.com%2Fwos%2Fwoscc%2Ffull-record%2FWOS:000300819300004","View Full Record in Web of Science")</f>
        <v>View Full Record in Web of Science</v>
      </c>
    </row>
    <row r="86" spans="1:72" x14ac:dyDescent="0.25">
      <c r="A86" t="s">
        <v>72</v>
      </c>
      <c r="B86" t="s">
        <v>1917</v>
      </c>
      <c r="C86" t="s">
        <v>74</v>
      </c>
      <c r="D86" t="s">
        <v>74</v>
      </c>
      <c r="E86" t="s">
        <v>74</v>
      </c>
      <c r="F86" t="s">
        <v>1918</v>
      </c>
      <c r="G86" t="s">
        <v>74</v>
      </c>
      <c r="H86" t="s">
        <v>74</v>
      </c>
      <c r="I86" t="s">
        <v>1919</v>
      </c>
      <c r="J86" t="s">
        <v>1920</v>
      </c>
      <c r="K86" t="s">
        <v>74</v>
      </c>
      <c r="L86" t="s">
        <v>74</v>
      </c>
      <c r="M86" t="s">
        <v>78</v>
      </c>
      <c r="N86" t="s">
        <v>79</v>
      </c>
      <c r="O86" t="s">
        <v>74</v>
      </c>
      <c r="P86" t="s">
        <v>74</v>
      </c>
      <c r="Q86" t="s">
        <v>74</v>
      </c>
      <c r="R86" t="s">
        <v>74</v>
      </c>
      <c r="S86" t="s">
        <v>74</v>
      </c>
      <c r="T86" t="s">
        <v>1921</v>
      </c>
      <c r="U86" t="s">
        <v>1922</v>
      </c>
      <c r="V86" t="s">
        <v>1923</v>
      </c>
      <c r="W86" t="s">
        <v>1924</v>
      </c>
      <c r="X86" t="s">
        <v>1925</v>
      </c>
      <c r="Y86" t="s">
        <v>1926</v>
      </c>
      <c r="Z86" t="s">
        <v>1927</v>
      </c>
      <c r="AA86" t="s">
        <v>1928</v>
      </c>
      <c r="AB86" t="s">
        <v>1929</v>
      </c>
      <c r="AC86" t="s">
        <v>1930</v>
      </c>
      <c r="AD86" t="s">
        <v>1931</v>
      </c>
      <c r="AE86" t="s">
        <v>1932</v>
      </c>
      <c r="AF86" t="s">
        <v>74</v>
      </c>
      <c r="AG86">
        <v>108</v>
      </c>
      <c r="AH86">
        <v>7</v>
      </c>
      <c r="AI86">
        <v>7</v>
      </c>
      <c r="AJ86">
        <v>13</v>
      </c>
      <c r="AK86">
        <v>57</v>
      </c>
      <c r="AL86" t="s">
        <v>1114</v>
      </c>
      <c r="AM86" t="s">
        <v>1115</v>
      </c>
      <c r="AN86" t="s">
        <v>1116</v>
      </c>
      <c r="AO86" t="s">
        <v>74</v>
      </c>
      <c r="AP86" t="s">
        <v>1933</v>
      </c>
      <c r="AQ86" t="s">
        <v>74</v>
      </c>
      <c r="AR86" t="s">
        <v>1934</v>
      </c>
      <c r="AS86" t="s">
        <v>1935</v>
      </c>
      <c r="AT86" t="s">
        <v>126</v>
      </c>
      <c r="AU86">
        <v>2023</v>
      </c>
      <c r="AV86">
        <v>5</v>
      </c>
      <c r="AW86">
        <v>4</v>
      </c>
      <c r="AX86" t="s">
        <v>74</v>
      </c>
      <c r="AY86" t="s">
        <v>74</v>
      </c>
      <c r="AZ86" t="s">
        <v>74</v>
      </c>
      <c r="BA86" t="s">
        <v>74</v>
      </c>
      <c r="BB86">
        <v>780</v>
      </c>
      <c r="BC86">
        <v>792</v>
      </c>
      <c r="BD86" t="s">
        <v>74</v>
      </c>
      <c r="BE86" t="s">
        <v>1936</v>
      </c>
      <c r="BF86" t="str">
        <f>HYPERLINK("http://dx.doi.org/10.1109/TMRB.2023.3310086","http://dx.doi.org/10.1109/TMRB.2023.3310086")</f>
        <v>http://dx.doi.org/10.1109/TMRB.2023.3310086</v>
      </c>
      <c r="BG86" t="s">
        <v>74</v>
      </c>
      <c r="BH86" t="s">
        <v>74</v>
      </c>
      <c r="BI86">
        <v>13</v>
      </c>
      <c r="BJ86" t="s">
        <v>1937</v>
      </c>
      <c r="BK86" t="s">
        <v>155</v>
      </c>
      <c r="BL86" t="s">
        <v>1938</v>
      </c>
      <c r="BM86" t="s">
        <v>1939</v>
      </c>
      <c r="BN86" t="s">
        <v>74</v>
      </c>
      <c r="BO86" t="s">
        <v>74</v>
      </c>
      <c r="BP86" t="s">
        <v>74</v>
      </c>
      <c r="BQ86" t="s">
        <v>74</v>
      </c>
      <c r="BR86" t="s">
        <v>105</v>
      </c>
      <c r="BS86" t="s">
        <v>1940</v>
      </c>
      <c r="BT86" t="str">
        <f>HYPERLINK("https%3A%2F%2Fwww.webofscience.com%2Fwos%2Fwoscc%2Ffull-record%2FWOS:001105153800024","View Full Record in Web of Science")</f>
        <v>View Full Record in Web of Science</v>
      </c>
    </row>
    <row r="87" spans="1:72" x14ac:dyDescent="0.25">
      <c r="A87" t="s">
        <v>72</v>
      </c>
      <c r="B87" t="s">
        <v>1941</v>
      </c>
      <c r="C87" t="s">
        <v>74</v>
      </c>
      <c r="D87" t="s">
        <v>74</v>
      </c>
      <c r="E87" t="s">
        <v>74</v>
      </c>
      <c r="F87" t="s">
        <v>1942</v>
      </c>
      <c r="G87" t="s">
        <v>74</v>
      </c>
      <c r="H87" t="s">
        <v>74</v>
      </c>
      <c r="I87" t="s">
        <v>1943</v>
      </c>
      <c r="J87" t="s">
        <v>1944</v>
      </c>
      <c r="K87" t="s">
        <v>74</v>
      </c>
      <c r="L87" t="s">
        <v>74</v>
      </c>
      <c r="M87" t="s">
        <v>78</v>
      </c>
      <c r="N87" t="s">
        <v>79</v>
      </c>
      <c r="O87" t="s">
        <v>74</v>
      </c>
      <c r="P87" t="s">
        <v>74</v>
      </c>
      <c r="Q87" t="s">
        <v>74</v>
      </c>
      <c r="R87" t="s">
        <v>74</v>
      </c>
      <c r="S87" t="s">
        <v>74</v>
      </c>
      <c r="T87" t="s">
        <v>1945</v>
      </c>
      <c r="U87" t="s">
        <v>1946</v>
      </c>
      <c r="V87" t="s">
        <v>1947</v>
      </c>
      <c r="W87" t="s">
        <v>1948</v>
      </c>
      <c r="X87" t="s">
        <v>1949</v>
      </c>
      <c r="Y87" t="s">
        <v>1950</v>
      </c>
      <c r="Z87" t="s">
        <v>1951</v>
      </c>
      <c r="AA87" t="s">
        <v>1952</v>
      </c>
      <c r="AB87" t="s">
        <v>1953</v>
      </c>
      <c r="AC87" t="s">
        <v>1954</v>
      </c>
      <c r="AD87" t="s">
        <v>1955</v>
      </c>
      <c r="AE87" t="s">
        <v>1956</v>
      </c>
      <c r="AF87" t="s">
        <v>74</v>
      </c>
      <c r="AG87">
        <v>112</v>
      </c>
      <c r="AH87">
        <v>3</v>
      </c>
      <c r="AI87">
        <v>3</v>
      </c>
      <c r="AJ87">
        <v>14</v>
      </c>
      <c r="AK87">
        <v>45</v>
      </c>
      <c r="AL87" t="s">
        <v>1957</v>
      </c>
      <c r="AM87" t="s">
        <v>1958</v>
      </c>
      <c r="AN87" t="s">
        <v>1959</v>
      </c>
      <c r="AO87" t="s">
        <v>1960</v>
      </c>
      <c r="AP87" t="s">
        <v>1961</v>
      </c>
      <c r="AQ87" t="s">
        <v>74</v>
      </c>
      <c r="AR87" t="s">
        <v>1962</v>
      </c>
      <c r="AS87" t="s">
        <v>1963</v>
      </c>
      <c r="AT87" t="s">
        <v>1964</v>
      </c>
      <c r="AU87">
        <v>2024</v>
      </c>
      <c r="AV87">
        <v>69</v>
      </c>
      <c r="AW87">
        <v>4</v>
      </c>
      <c r="AX87" t="s">
        <v>74</v>
      </c>
      <c r="AY87" t="s">
        <v>74</v>
      </c>
      <c r="AZ87" t="s">
        <v>74</v>
      </c>
      <c r="BA87" t="s">
        <v>74</v>
      </c>
      <c r="BB87">
        <v>327</v>
      </c>
      <c r="BC87">
        <v>345</v>
      </c>
      <c r="BD87" t="s">
        <v>74</v>
      </c>
      <c r="BE87" t="s">
        <v>1965</v>
      </c>
      <c r="BF87" t="str">
        <f>HYPERLINK("http://dx.doi.org/10.1515/bmt-2022-0262","http://dx.doi.org/10.1515/bmt-2022-0262")</f>
        <v>http://dx.doi.org/10.1515/bmt-2022-0262</v>
      </c>
      <c r="BG87" t="s">
        <v>74</v>
      </c>
      <c r="BH87" t="s">
        <v>1966</v>
      </c>
      <c r="BI87">
        <v>19</v>
      </c>
      <c r="BJ87" t="s">
        <v>1967</v>
      </c>
      <c r="BK87" t="s">
        <v>182</v>
      </c>
      <c r="BL87" t="s">
        <v>1968</v>
      </c>
      <c r="BM87" t="s">
        <v>1969</v>
      </c>
      <c r="BN87">
        <v>38295350</v>
      </c>
      <c r="BO87" t="s">
        <v>309</v>
      </c>
      <c r="BP87" t="s">
        <v>74</v>
      </c>
      <c r="BQ87" t="s">
        <v>74</v>
      </c>
      <c r="BR87" t="s">
        <v>105</v>
      </c>
      <c r="BS87" t="s">
        <v>1970</v>
      </c>
      <c r="BT87" t="str">
        <f>HYPERLINK("https%3A%2F%2Fwww.webofscience.com%2Fwos%2Fwoscc%2Ffull-record%2FWOS:001155107300001","View Full Record in Web of Science")</f>
        <v>View Full Record in Web of Science</v>
      </c>
    </row>
    <row r="88" spans="1:72" x14ac:dyDescent="0.25">
      <c r="A88" t="s">
        <v>72</v>
      </c>
      <c r="B88" t="s">
        <v>1971</v>
      </c>
      <c r="C88" t="s">
        <v>74</v>
      </c>
      <c r="D88" t="s">
        <v>74</v>
      </c>
      <c r="E88" t="s">
        <v>74</v>
      </c>
      <c r="F88" t="s">
        <v>1972</v>
      </c>
      <c r="G88" t="s">
        <v>74</v>
      </c>
      <c r="H88" t="s">
        <v>74</v>
      </c>
      <c r="I88" t="s">
        <v>1973</v>
      </c>
      <c r="J88" t="s">
        <v>1101</v>
      </c>
      <c r="K88" t="s">
        <v>74</v>
      </c>
      <c r="L88" t="s">
        <v>74</v>
      </c>
      <c r="M88" t="s">
        <v>78</v>
      </c>
      <c r="N88" t="s">
        <v>79</v>
      </c>
      <c r="O88" t="s">
        <v>74</v>
      </c>
      <c r="P88" t="s">
        <v>74</v>
      </c>
      <c r="Q88" t="s">
        <v>74</v>
      </c>
      <c r="R88" t="s">
        <v>74</v>
      </c>
      <c r="S88" t="s">
        <v>74</v>
      </c>
      <c r="T88" t="s">
        <v>1974</v>
      </c>
      <c r="U88" t="s">
        <v>1975</v>
      </c>
      <c r="V88" t="s">
        <v>1976</v>
      </c>
      <c r="W88" t="s">
        <v>1977</v>
      </c>
      <c r="X88" t="s">
        <v>1978</v>
      </c>
      <c r="Y88" t="s">
        <v>1979</v>
      </c>
      <c r="Z88" t="s">
        <v>1980</v>
      </c>
      <c r="AA88" t="s">
        <v>1981</v>
      </c>
      <c r="AB88" t="s">
        <v>1982</v>
      </c>
      <c r="AC88" t="s">
        <v>1983</v>
      </c>
      <c r="AD88" t="s">
        <v>1983</v>
      </c>
      <c r="AE88" t="s">
        <v>1984</v>
      </c>
      <c r="AF88" t="s">
        <v>74</v>
      </c>
      <c r="AG88">
        <v>144</v>
      </c>
      <c r="AH88">
        <v>30</v>
      </c>
      <c r="AI88">
        <v>30</v>
      </c>
      <c r="AJ88">
        <v>24</v>
      </c>
      <c r="AK88">
        <v>122</v>
      </c>
      <c r="AL88" t="s">
        <v>1114</v>
      </c>
      <c r="AM88" t="s">
        <v>1115</v>
      </c>
      <c r="AN88" t="s">
        <v>1116</v>
      </c>
      <c r="AO88" t="s">
        <v>1117</v>
      </c>
      <c r="AP88" t="s">
        <v>1118</v>
      </c>
      <c r="AQ88" t="s">
        <v>74</v>
      </c>
      <c r="AR88" t="s">
        <v>1119</v>
      </c>
      <c r="AS88" t="s">
        <v>1120</v>
      </c>
      <c r="AT88" t="s">
        <v>74</v>
      </c>
      <c r="AU88">
        <v>2023</v>
      </c>
      <c r="AV88">
        <v>31</v>
      </c>
      <c r="AW88" t="s">
        <v>74</v>
      </c>
      <c r="AX88" t="s">
        <v>74</v>
      </c>
      <c r="AY88" t="s">
        <v>74</v>
      </c>
      <c r="AZ88" t="s">
        <v>74</v>
      </c>
      <c r="BA88" t="s">
        <v>74</v>
      </c>
      <c r="BB88">
        <v>192</v>
      </c>
      <c r="BC88">
        <v>207</v>
      </c>
      <c r="BD88" t="s">
        <v>74</v>
      </c>
      <c r="BE88" t="s">
        <v>1985</v>
      </c>
      <c r="BF88" t="str">
        <f>HYPERLINK("http://dx.doi.org/10.1109/TNSRE.2022.3219085","http://dx.doi.org/10.1109/TNSRE.2022.3219085")</f>
        <v>http://dx.doi.org/10.1109/TNSRE.2022.3219085</v>
      </c>
      <c r="BG88" t="s">
        <v>74</v>
      </c>
      <c r="BH88" t="s">
        <v>74</v>
      </c>
      <c r="BI88">
        <v>16</v>
      </c>
      <c r="BJ88" t="s">
        <v>1122</v>
      </c>
      <c r="BK88" t="s">
        <v>182</v>
      </c>
      <c r="BL88" t="s">
        <v>1123</v>
      </c>
      <c r="BM88" t="s">
        <v>1986</v>
      </c>
      <c r="BN88">
        <v>36327176</v>
      </c>
      <c r="BO88" t="s">
        <v>185</v>
      </c>
      <c r="BP88" t="s">
        <v>74</v>
      </c>
      <c r="BQ88" t="s">
        <v>74</v>
      </c>
      <c r="BR88" t="s">
        <v>105</v>
      </c>
      <c r="BS88" t="s">
        <v>1987</v>
      </c>
      <c r="BT88" t="str">
        <f>HYPERLINK("https%3A%2F%2Fwww.webofscience.com%2Fwos%2Fwoscc%2Ffull-record%2FWOS:000966095700001","View Full Record in Web of Science")</f>
        <v>View Full Record in Web of Science</v>
      </c>
    </row>
    <row r="89" spans="1:72" x14ac:dyDescent="0.25">
      <c r="A89" t="s">
        <v>72</v>
      </c>
      <c r="B89" t="s">
        <v>1988</v>
      </c>
      <c r="C89" t="s">
        <v>74</v>
      </c>
      <c r="D89" t="s">
        <v>74</v>
      </c>
      <c r="E89" t="s">
        <v>74</v>
      </c>
      <c r="F89" t="s">
        <v>1989</v>
      </c>
      <c r="G89" t="s">
        <v>74</v>
      </c>
      <c r="H89" t="s">
        <v>74</v>
      </c>
      <c r="I89" t="s">
        <v>1990</v>
      </c>
      <c r="J89" t="s">
        <v>314</v>
      </c>
      <c r="K89" t="s">
        <v>74</v>
      </c>
      <c r="L89" t="s">
        <v>74</v>
      </c>
      <c r="M89" t="s">
        <v>78</v>
      </c>
      <c r="N89" t="s">
        <v>79</v>
      </c>
      <c r="O89" t="s">
        <v>74</v>
      </c>
      <c r="P89" t="s">
        <v>74</v>
      </c>
      <c r="Q89" t="s">
        <v>74</v>
      </c>
      <c r="R89" t="s">
        <v>74</v>
      </c>
      <c r="S89" t="s">
        <v>74</v>
      </c>
      <c r="T89" t="s">
        <v>1991</v>
      </c>
      <c r="U89" t="s">
        <v>1992</v>
      </c>
      <c r="V89" t="s">
        <v>1993</v>
      </c>
      <c r="W89" t="s">
        <v>1994</v>
      </c>
      <c r="X89" t="s">
        <v>74</v>
      </c>
      <c r="Y89" t="s">
        <v>1995</v>
      </c>
      <c r="Z89" t="s">
        <v>1996</v>
      </c>
      <c r="AA89" t="s">
        <v>74</v>
      </c>
      <c r="AB89" t="s">
        <v>321</v>
      </c>
      <c r="AC89" t="s">
        <v>1997</v>
      </c>
      <c r="AD89" t="s">
        <v>1997</v>
      </c>
      <c r="AE89" t="s">
        <v>171</v>
      </c>
      <c r="AF89" t="s">
        <v>74</v>
      </c>
      <c r="AG89">
        <v>49</v>
      </c>
      <c r="AH89">
        <v>10</v>
      </c>
      <c r="AI89">
        <v>10</v>
      </c>
      <c r="AJ89">
        <v>8</v>
      </c>
      <c r="AK89">
        <v>22</v>
      </c>
      <c r="AL89" t="s">
        <v>120</v>
      </c>
      <c r="AM89" t="s">
        <v>121</v>
      </c>
      <c r="AN89" t="s">
        <v>1221</v>
      </c>
      <c r="AO89" t="s">
        <v>323</v>
      </c>
      <c r="AP89" t="s">
        <v>324</v>
      </c>
      <c r="AQ89" t="s">
        <v>74</v>
      </c>
      <c r="AR89" t="s">
        <v>314</v>
      </c>
      <c r="AS89" t="s">
        <v>325</v>
      </c>
      <c r="AT89" t="s">
        <v>487</v>
      </c>
      <c r="AU89">
        <v>2024</v>
      </c>
      <c r="AV89">
        <v>60</v>
      </c>
      <c r="AW89">
        <v>4</v>
      </c>
      <c r="AX89" t="s">
        <v>74</v>
      </c>
      <c r="AY89" t="s">
        <v>74</v>
      </c>
      <c r="AZ89" t="s">
        <v>74</v>
      </c>
      <c r="BA89" t="s">
        <v>74</v>
      </c>
      <c r="BB89" t="s">
        <v>74</v>
      </c>
      <c r="BC89" t="s">
        <v>74</v>
      </c>
      <c r="BD89">
        <v>620</v>
      </c>
      <c r="BE89" t="s">
        <v>1998</v>
      </c>
      <c r="BF89" t="str">
        <f>HYPERLINK("http://dx.doi.org/10.3390/medicina60040620","http://dx.doi.org/10.3390/medicina60040620")</f>
        <v>http://dx.doi.org/10.3390/medicina60040620</v>
      </c>
      <c r="BG89" t="s">
        <v>74</v>
      </c>
      <c r="BH89" t="s">
        <v>74</v>
      </c>
      <c r="BI89">
        <v>17</v>
      </c>
      <c r="BJ89" t="s">
        <v>128</v>
      </c>
      <c r="BK89" t="s">
        <v>182</v>
      </c>
      <c r="BL89" t="s">
        <v>129</v>
      </c>
      <c r="BM89" t="s">
        <v>1999</v>
      </c>
      <c r="BN89">
        <v>38674266</v>
      </c>
      <c r="BO89" t="s">
        <v>131</v>
      </c>
      <c r="BP89" t="s">
        <v>74</v>
      </c>
      <c r="BQ89" t="s">
        <v>74</v>
      </c>
      <c r="BR89" t="s">
        <v>105</v>
      </c>
      <c r="BS89" t="s">
        <v>2000</v>
      </c>
      <c r="BT89" t="str">
        <f>HYPERLINK("https%3A%2F%2Fwww.webofscience.com%2Fwos%2Fwoscc%2Ffull-record%2FWOS:001209942100001","View Full Record in Web of Science")</f>
        <v>View Full Record in Web of Science</v>
      </c>
    </row>
    <row r="90" spans="1:72" x14ac:dyDescent="0.25">
      <c r="A90" t="s">
        <v>72</v>
      </c>
      <c r="B90" t="s">
        <v>2001</v>
      </c>
      <c r="C90" t="s">
        <v>74</v>
      </c>
      <c r="D90" t="s">
        <v>74</v>
      </c>
      <c r="E90" t="s">
        <v>74</v>
      </c>
      <c r="F90" t="s">
        <v>2002</v>
      </c>
      <c r="G90" t="s">
        <v>74</v>
      </c>
      <c r="H90" t="s">
        <v>74</v>
      </c>
      <c r="I90" t="s">
        <v>2003</v>
      </c>
      <c r="J90" t="s">
        <v>1759</v>
      </c>
      <c r="K90" t="s">
        <v>74</v>
      </c>
      <c r="L90" t="s">
        <v>74</v>
      </c>
      <c r="M90" t="s">
        <v>78</v>
      </c>
      <c r="N90" t="s">
        <v>79</v>
      </c>
      <c r="O90" t="s">
        <v>74</v>
      </c>
      <c r="P90" t="s">
        <v>74</v>
      </c>
      <c r="Q90" t="s">
        <v>74</v>
      </c>
      <c r="R90" t="s">
        <v>74</v>
      </c>
      <c r="S90" t="s">
        <v>74</v>
      </c>
      <c r="T90" t="s">
        <v>2004</v>
      </c>
      <c r="U90" t="s">
        <v>2005</v>
      </c>
      <c r="V90" t="s">
        <v>2006</v>
      </c>
      <c r="W90" t="s">
        <v>2007</v>
      </c>
      <c r="X90" t="s">
        <v>2008</v>
      </c>
      <c r="Y90" t="s">
        <v>2009</v>
      </c>
      <c r="Z90" t="s">
        <v>2010</v>
      </c>
      <c r="AA90" t="s">
        <v>2011</v>
      </c>
      <c r="AB90" t="s">
        <v>2012</v>
      </c>
      <c r="AC90" t="s">
        <v>2013</v>
      </c>
      <c r="AD90" t="s">
        <v>2013</v>
      </c>
      <c r="AE90" t="s">
        <v>2014</v>
      </c>
      <c r="AF90" t="s">
        <v>74</v>
      </c>
      <c r="AG90">
        <v>77</v>
      </c>
      <c r="AH90">
        <v>18</v>
      </c>
      <c r="AI90">
        <v>20</v>
      </c>
      <c r="AJ90">
        <v>2</v>
      </c>
      <c r="AK90">
        <v>29</v>
      </c>
      <c r="AL90" t="s">
        <v>1769</v>
      </c>
      <c r="AM90" t="s">
        <v>1770</v>
      </c>
      <c r="AN90" t="s">
        <v>1771</v>
      </c>
      <c r="AO90" t="s">
        <v>1772</v>
      </c>
      <c r="AP90" t="s">
        <v>1773</v>
      </c>
      <c r="AQ90" t="s">
        <v>74</v>
      </c>
      <c r="AR90" t="s">
        <v>1774</v>
      </c>
      <c r="AS90" t="s">
        <v>1775</v>
      </c>
      <c r="AT90" t="s">
        <v>538</v>
      </c>
      <c r="AU90">
        <v>2024</v>
      </c>
      <c r="AV90">
        <v>45</v>
      </c>
      <c r="AW90">
        <v>1</v>
      </c>
      <c r="AX90" t="s">
        <v>74</v>
      </c>
      <c r="AY90" t="s">
        <v>74</v>
      </c>
      <c r="AZ90" t="s">
        <v>74</v>
      </c>
      <c r="BA90" t="s">
        <v>74</v>
      </c>
      <c r="BB90">
        <v>55</v>
      </c>
      <c r="BC90">
        <v>63</v>
      </c>
      <c r="BD90" t="s">
        <v>74</v>
      </c>
      <c r="BE90" t="s">
        <v>2015</v>
      </c>
      <c r="BF90" t="str">
        <f>HYPERLINK("http://dx.doi.org/10.1007/s10072-023-07012-3","http://dx.doi.org/10.1007/s10072-023-07012-3")</f>
        <v>http://dx.doi.org/10.1007/s10072-023-07012-3</v>
      </c>
      <c r="BG90" t="s">
        <v>74</v>
      </c>
      <c r="BH90" t="s">
        <v>2016</v>
      </c>
      <c r="BI90">
        <v>9</v>
      </c>
      <c r="BJ90" t="s">
        <v>400</v>
      </c>
      <c r="BK90" t="s">
        <v>182</v>
      </c>
      <c r="BL90" t="s">
        <v>375</v>
      </c>
      <c r="BM90" t="s">
        <v>2017</v>
      </c>
      <c r="BN90">
        <v>37697027</v>
      </c>
      <c r="BO90" t="s">
        <v>309</v>
      </c>
      <c r="BP90" t="s">
        <v>74</v>
      </c>
      <c r="BQ90" t="s">
        <v>74</v>
      </c>
      <c r="BR90" t="s">
        <v>105</v>
      </c>
      <c r="BS90" t="s">
        <v>2018</v>
      </c>
      <c r="BT90" t="str">
        <f>HYPERLINK("https%3A%2F%2Fwww.webofscience.com%2Fwos%2Fwoscc%2Ffull-record%2FWOS:001065080000001","View Full Record in Web of Science")</f>
        <v>View Full Record in Web of Science</v>
      </c>
    </row>
    <row r="91" spans="1:72" x14ac:dyDescent="0.25">
      <c r="A91" t="s">
        <v>72</v>
      </c>
      <c r="B91" t="s">
        <v>2019</v>
      </c>
      <c r="C91" t="s">
        <v>74</v>
      </c>
      <c r="D91" t="s">
        <v>74</v>
      </c>
      <c r="E91" t="s">
        <v>74</v>
      </c>
      <c r="F91" t="s">
        <v>2020</v>
      </c>
      <c r="G91" t="s">
        <v>74</v>
      </c>
      <c r="H91" t="s">
        <v>74</v>
      </c>
      <c r="I91" t="s">
        <v>2021</v>
      </c>
      <c r="J91" t="s">
        <v>2022</v>
      </c>
      <c r="K91" t="s">
        <v>74</v>
      </c>
      <c r="L91" t="s">
        <v>74</v>
      </c>
      <c r="M91" t="s">
        <v>2023</v>
      </c>
      <c r="N91" t="s">
        <v>79</v>
      </c>
      <c r="O91" t="s">
        <v>74</v>
      </c>
      <c r="P91" t="s">
        <v>74</v>
      </c>
      <c r="Q91" t="s">
        <v>74</v>
      </c>
      <c r="R91" t="s">
        <v>74</v>
      </c>
      <c r="S91" t="s">
        <v>74</v>
      </c>
      <c r="T91" t="s">
        <v>2024</v>
      </c>
      <c r="U91" t="s">
        <v>2025</v>
      </c>
      <c r="V91" t="s">
        <v>2026</v>
      </c>
      <c r="W91" t="s">
        <v>2027</v>
      </c>
      <c r="X91" t="s">
        <v>74</v>
      </c>
      <c r="Y91" t="s">
        <v>2028</v>
      </c>
      <c r="Z91" t="s">
        <v>2029</v>
      </c>
      <c r="AA91" t="s">
        <v>74</v>
      </c>
      <c r="AB91" t="s">
        <v>74</v>
      </c>
      <c r="AC91" t="s">
        <v>74</v>
      </c>
      <c r="AD91" t="s">
        <v>74</v>
      </c>
      <c r="AE91" t="s">
        <v>74</v>
      </c>
      <c r="AF91" t="s">
        <v>74</v>
      </c>
      <c r="AG91">
        <v>37</v>
      </c>
      <c r="AH91">
        <v>0</v>
      </c>
      <c r="AI91">
        <v>0</v>
      </c>
      <c r="AJ91">
        <v>3</v>
      </c>
      <c r="AK91">
        <v>10</v>
      </c>
      <c r="AL91" t="s">
        <v>1605</v>
      </c>
      <c r="AM91" t="s">
        <v>1606</v>
      </c>
      <c r="AN91" t="s">
        <v>1607</v>
      </c>
      <c r="AO91" t="s">
        <v>2030</v>
      </c>
      <c r="AP91" t="s">
        <v>2031</v>
      </c>
      <c r="AQ91" t="s">
        <v>74</v>
      </c>
      <c r="AR91" t="s">
        <v>2022</v>
      </c>
      <c r="AS91" t="s">
        <v>2032</v>
      </c>
      <c r="AT91" t="s">
        <v>2033</v>
      </c>
      <c r="AU91">
        <v>2023</v>
      </c>
      <c r="AV91">
        <v>57</v>
      </c>
      <c r="AW91">
        <v>3</v>
      </c>
      <c r="AX91" t="s">
        <v>74</v>
      </c>
      <c r="AY91" t="s">
        <v>74</v>
      </c>
      <c r="AZ91" t="s">
        <v>74</v>
      </c>
      <c r="BA91" t="s">
        <v>74</v>
      </c>
      <c r="BB91" t="s">
        <v>74</v>
      </c>
      <c r="BC91" t="s">
        <v>74</v>
      </c>
      <c r="BD91">
        <v>100752</v>
      </c>
      <c r="BE91" t="s">
        <v>2034</v>
      </c>
      <c r="BF91" t="str">
        <f>HYPERLINK("http://dx.doi.org/10.1016/j.rh.2022.07.001","http://dx.doi.org/10.1016/j.rh.2022.07.001")</f>
        <v>http://dx.doi.org/10.1016/j.rh.2022.07.001</v>
      </c>
      <c r="BG91" t="s">
        <v>74</v>
      </c>
      <c r="BH91" t="s">
        <v>74</v>
      </c>
      <c r="BI91">
        <v>14</v>
      </c>
      <c r="BJ91" t="s">
        <v>101</v>
      </c>
      <c r="BK91" t="s">
        <v>155</v>
      </c>
      <c r="BL91" t="s">
        <v>101</v>
      </c>
      <c r="BM91" t="s">
        <v>2035</v>
      </c>
      <c r="BN91">
        <v>36344300</v>
      </c>
      <c r="BO91" t="s">
        <v>74</v>
      </c>
      <c r="BP91" t="s">
        <v>74</v>
      </c>
      <c r="BQ91" t="s">
        <v>74</v>
      </c>
      <c r="BR91" t="s">
        <v>105</v>
      </c>
      <c r="BS91" t="s">
        <v>2036</v>
      </c>
      <c r="BT91" t="str">
        <f>HYPERLINK("https%3A%2F%2Fwww.webofscience.com%2Fwos%2Fwoscc%2Ffull-record%2FWOS:001344285100002","View Full Record in Web of Science")</f>
        <v>View Full Record in Web of Science</v>
      </c>
    </row>
    <row r="92" spans="1:72" x14ac:dyDescent="0.25">
      <c r="A92" t="s">
        <v>72</v>
      </c>
      <c r="B92" t="s">
        <v>2037</v>
      </c>
      <c r="C92" t="s">
        <v>74</v>
      </c>
      <c r="D92" t="s">
        <v>74</v>
      </c>
      <c r="E92" t="s">
        <v>74</v>
      </c>
      <c r="F92" t="s">
        <v>2038</v>
      </c>
      <c r="G92" t="s">
        <v>74</v>
      </c>
      <c r="H92" t="s">
        <v>74</v>
      </c>
      <c r="I92" t="s">
        <v>2039</v>
      </c>
      <c r="J92" t="s">
        <v>2040</v>
      </c>
      <c r="K92" t="s">
        <v>74</v>
      </c>
      <c r="L92" t="s">
        <v>74</v>
      </c>
      <c r="M92" t="s">
        <v>78</v>
      </c>
      <c r="N92" t="s">
        <v>79</v>
      </c>
      <c r="O92" t="s">
        <v>74</v>
      </c>
      <c r="P92" t="s">
        <v>74</v>
      </c>
      <c r="Q92" t="s">
        <v>74</v>
      </c>
      <c r="R92" t="s">
        <v>74</v>
      </c>
      <c r="S92" t="s">
        <v>74</v>
      </c>
      <c r="T92" t="s">
        <v>2041</v>
      </c>
      <c r="U92" t="s">
        <v>2042</v>
      </c>
      <c r="V92" t="s">
        <v>2043</v>
      </c>
      <c r="W92" t="s">
        <v>2044</v>
      </c>
      <c r="X92" t="s">
        <v>2045</v>
      </c>
      <c r="Y92" t="s">
        <v>2046</v>
      </c>
      <c r="Z92" t="s">
        <v>2047</v>
      </c>
      <c r="AA92" t="s">
        <v>2048</v>
      </c>
      <c r="AB92" t="s">
        <v>2049</v>
      </c>
      <c r="AC92" t="s">
        <v>74</v>
      </c>
      <c r="AD92" t="s">
        <v>74</v>
      </c>
      <c r="AE92" t="s">
        <v>74</v>
      </c>
      <c r="AF92" t="s">
        <v>74</v>
      </c>
      <c r="AG92">
        <v>75</v>
      </c>
      <c r="AH92">
        <v>19</v>
      </c>
      <c r="AI92">
        <v>20</v>
      </c>
      <c r="AJ92">
        <v>7</v>
      </c>
      <c r="AK92">
        <v>49</v>
      </c>
      <c r="AL92" t="s">
        <v>120</v>
      </c>
      <c r="AM92" t="s">
        <v>121</v>
      </c>
      <c r="AN92" t="s">
        <v>122</v>
      </c>
      <c r="AO92" t="s">
        <v>74</v>
      </c>
      <c r="AP92" t="s">
        <v>2050</v>
      </c>
      <c r="AQ92" t="s">
        <v>74</v>
      </c>
      <c r="AR92" t="s">
        <v>2051</v>
      </c>
      <c r="AS92" t="s">
        <v>2052</v>
      </c>
      <c r="AT92" t="s">
        <v>538</v>
      </c>
      <c r="AU92">
        <v>2023</v>
      </c>
      <c r="AV92">
        <v>23</v>
      </c>
      <c r="AW92">
        <v>2</v>
      </c>
      <c r="AX92" t="s">
        <v>74</v>
      </c>
      <c r="AY92" t="s">
        <v>74</v>
      </c>
      <c r="AZ92" t="s">
        <v>74</v>
      </c>
      <c r="BA92" t="s">
        <v>74</v>
      </c>
      <c r="BB92" t="s">
        <v>74</v>
      </c>
      <c r="BC92" t="s">
        <v>74</v>
      </c>
      <c r="BD92">
        <v>911</v>
      </c>
      <c r="BE92" t="s">
        <v>2053</v>
      </c>
      <c r="BF92" t="str">
        <f>HYPERLINK("http://dx.doi.org/10.3390/s23020911","http://dx.doi.org/10.3390/s23020911")</f>
        <v>http://dx.doi.org/10.3390/s23020911</v>
      </c>
      <c r="BG92" t="s">
        <v>74</v>
      </c>
      <c r="BH92" t="s">
        <v>74</v>
      </c>
      <c r="BI92">
        <v>16</v>
      </c>
      <c r="BJ92" t="s">
        <v>2054</v>
      </c>
      <c r="BK92" t="s">
        <v>182</v>
      </c>
      <c r="BL92" t="s">
        <v>2055</v>
      </c>
      <c r="BM92" t="s">
        <v>2056</v>
      </c>
      <c r="BN92">
        <v>36679706</v>
      </c>
      <c r="BO92" t="s">
        <v>355</v>
      </c>
      <c r="BP92" t="s">
        <v>74</v>
      </c>
      <c r="BQ92" t="s">
        <v>74</v>
      </c>
      <c r="BR92" t="s">
        <v>105</v>
      </c>
      <c r="BS92" t="s">
        <v>2057</v>
      </c>
      <c r="BT92" t="str">
        <f>HYPERLINK("https%3A%2F%2Fwww.webofscience.com%2Fwos%2Fwoscc%2Ffull-record%2FWOS:000927101000001","View Full Record in Web of Science")</f>
        <v>View Full Record in Web of Science</v>
      </c>
    </row>
    <row r="93" spans="1:72" x14ac:dyDescent="0.25">
      <c r="A93" t="s">
        <v>72</v>
      </c>
      <c r="B93" t="s">
        <v>2058</v>
      </c>
      <c r="C93" t="s">
        <v>74</v>
      </c>
      <c r="D93" t="s">
        <v>74</v>
      </c>
      <c r="E93" t="s">
        <v>74</v>
      </c>
      <c r="F93" t="s">
        <v>2059</v>
      </c>
      <c r="G93" t="s">
        <v>74</v>
      </c>
      <c r="H93" t="s">
        <v>74</v>
      </c>
      <c r="I93" t="s">
        <v>2060</v>
      </c>
      <c r="J93" t="s">
        <v>1578</v>
      </c>
      <c r="K93" t="s">
        <v>74</v>
      </c>
      <c r="L93" t="s">
        <v>74</v>
      </c>
      <c r="M93" t="s">
        <v>1579</v>
      </c>
      <c r="N93" t="s">
        <v>79</v>
      </c>
      <c r="O93" t="s">
        <v>74</v>
      </c>
      <c r="P93" t="s">
        <v>74</v>
      </c>
      <c r="Q93" t="s">
        <v>74</v>
      </c>
      <c r="R93" t="s">
        <v>74</v>
      </c>
      <c r="S93" t="s">
        <v>74</v>
      </c>
      <c r="T93" t="s">
        <v>2061</v>
      </c>
      <c r="U93" t="s">
        <v>2062</v>
      </c>
      <c r="V93" t="s">
        <v>2063</v>
      </c>
      <c r="W93" t="s">
        <v>2064</v>
      </c>
      <c r="X93" t="s">
        <v>1584</v>
      </c>
      <c r="Y93" t="s">
        <v>2065</v>
      </c>
      <c r="Z93" t="s">
        <v>2066</v>
      </c>
      <c r="AA93" t="s">
        <v>74</v>
      </c>
      <c r="AB93" t="s">
        <v>2067</v>
      </c>
      <c r="AC93" t="s">
        <v>74</v>
      </c>
      <c r="AD93" t="s">
        <v>74</v>
      </c>
      <c r="AE93" t="s">
        <v>74</v>
      </c>
      <c r="AF93" t="s">
        <v>74</v>
      </c>
      <c r="AG93">
        <v>119</v>
      </c>
      <c r="AH93">
        <v>19</v>
      </c>
      <c r="AI93">
        <v>19</v>
      </c>
      <c r="AJ93">
        <v>0</v>
      </c>
      <c r="AK93">
        <v>28</v>
      </c>
      <c r="AL93" t="s">
        <v>1063</v>
      </c>
      <c r="AM93" t="s">
        <v>1064</v>
      </c>
      <c r="AN93" t="s">
        <v>1065</v>
      </c>
      <c r="AO93" t="s">
        <v>1587</v>
      </c>
      <c r="AP93" t="s">
        <v>1588</v>
      </c>
      <c r="AQ93" t="s">
        <v>74</v>
      </c>
      <c r="AR93" t="s">
        <v>1589</v>
      </c>
      <c r="AS93" t="s">
        <v>1590</v>
      </c>
      <c r="AT93" t="s">
        <v>351</v>
      </c>
      <c r="AU93">
        <v>2015</v>
      </c>
      <c r="AV93">
        <v>171</v>
      </c>
      <c r="AW93">
        <v>2</v>
      </c>
      <c r="AX93" t="s">
        <v>74</v>
      </c>
      <c r="AY93" t="s">
        <v>74</v>
      </c>
      <c r="AZ93" t="s">
        <v>74</v>
      </c>
      <c r="BA93" t="s">
        <v>74</v>
      </c>
      <c r="BB93">
        <v>130</v>
      </c>
      <c r="BC93">
        <v>140</v>
      </c>
      <c r="BD93" t="s">
        <v>74</v>
      </c>
      <c r="BE93" t="s">
        <v>2068</v>
      </c>
      <c r="BF93" t="str">
        <f>HYPERLINK("http://dx.doi.org/10.1016/j.neurol.2014.09.011","http://dx.doi.org/10.1016/j.neurol.2014.09.011")</f>
        <v>http://dx.doi.org/10.1016/j.neurol.2014.09.011</v>
      </c>
      <c r="BG93" t="s">
        <v>74</v>
      </c>
      <c r="BH93" t="s">
        <v>74</v>
      </c>
      <c r="BI93">
        <v>11</v>
      </c>
      <c r="BJ93" t="s">
        <v>541</v>
      </c>
      <c r="BK93" t="s">
        <v>182</v>
      </c>
      <c r="BL93" t="s">
        <v>375</v>
      </c>
      <c r="BM93" t="s">
        <v>2069</v>
      </c>
      <c r="BN93">
        <v>25572141</v>
      </c>
      <c r="BO93" t="s">
        <v>74</v>
      </c>
      <c r="BP93" t="s">
        <v>74</v>
      </c>
      <c r="BQ93" t="s">
        <v>74</v>
      </c>
      <c r="BR93" t="s">
        <v>105</v>
      </c>
      <c r="BS93" t="s">
        <v>2070</v>
      </c>
      <c r="BT93" t="str">
        <f>HYPERLINK("https%3A%2F%2Fwww.webofscience.com%2Fwos%2Fwoscc%2Ffull-record%2FWOS:000352569200005","View Full Record in Web of Science")</f>
        <v>View Full Record in Web of Science</v>
      </c>
    </row>
    <row r="94" spans="1:72" x14ac:dyDescent="0.25">
      <c r="A94" t="s">
        <v>72</v>
      </c>
      <c r="B94" t="s">
        <v>2071</v>
      </c>
      <c r="C94" t="s">
        <v>74</v>
      </c>
      <c r="D94" t="s">
        <v>74</v>
      </c>
      <c r="E94" t="s">
        <v>74</v>
      </c>
      <c r="F94" t="s">
        <v>2072</v>
      </c>
      <c r="G94" t="s">
        <v>74</v>
      </c>
      <c r="H94" t="s">
        <v>74</v>
      </c>
      <c r="I94" t="s">
        <v>2073</v>
      </c>
      <c r="J94" t="s">
        <v>243</v>
      </c>
      <c r="K94" t="s">
        <v>74</v>
      </c>
      <c r="L94" t="s">
        <v>74</v>
      </c>
      <c r="M94" t="s">
        <v>78</v>
      </c>
      <c r="N94" t="s">
        <v>79</v>
      </c>
      <c r="O94" t="s">
        <v>74</v>
      </c>
      <c r="P94" t="s">
        <v>74</v>
      </c>
      <c r="Q94" t="s">
        <v>74</v>
      </c>
      <c r="R94" t="s">
        <v>74</v>
      </c>
      <c r="S94" t="s">
        <v>74</v>
      </c>
      <c r="T94" t="s">
        <v>2074</v>
      </c>
      <c r="U94" t="s">
        <v>2075</v>
      </c>
      <c r="V94" t="s">
        <v>2076</v>
      </c>
      <c r="W94" t="s">
        <v>2077</v>
      </c>
      <c r="X94" t="s">
        <v>2078</v>
      </c>
      <c r="Y94" t="s">
        <v>2079</v>
      </c>
      <c r="Z94" t="s">
        <v>2080</v>
      </c>
      <c r="AA94" t="s">
        <v>2081</v>
      </c>
      <c r="AB94" t="s">
        <v>2082</v>
      </c>
      <c r="AC94" t="s">
        <v>2083</v>
      </c>
      <c r="AD94" t="s">
        <v>2083</v>
      </c>
      <c r="AE94" t="s">
        <v>2084</v>
      </c>
      <c r="AF94" t="s">
        <v>74</v>
      </c>
      <c r="AG94">
        <v>78</v>
      </c>
      <c r="AH94">
        <v>40</v>
      </c>
      <c r="AI94">
        <v>48</v>
      </c>
      <c r="AJ94">
        <v>4</v>
      </c>
      <c r="AK94">
        <v>93</v>
      </c>
      <c r="AL94" t="s">
        <v>253</v>
      </c>
      <c r="AM94" t="s">
        <v>227</v>
      </c>
      <c r="AN94" t="s">
        <v>254</v>
      </c>
      <c r="AO94" t="s">
        <v>255</v>
      </c>
      <c r="AP94" t="s">
        <v>256</v>
      </c>
      <c r="AQ94" t="s">
        <v>74</v>
      </c>
      <c r="AR94" t="s">
        <v>257</v>
      </c>
      <c r="AS94" t="s">
        <v>258</v>
      </c>
      <c r="AT94" t="s">
        <v>74</v>
      </c>
      <c r="AU94">
        <v>2015</v>
      </c>
      <c r="AV94">
        <v>10</v>
      </c>
      <c r="AW94">
        <v>2</v>
      </c>
      <c r="AX94" t="s">
        <v>74</v>
      </c>
      <c r="AY94" t="s">
        <v>74</v>
      </c>
      <c r="AZ94" t="s">
        <v>74</v>
      </c>
      <c r="BA94" t="s">
        <v>74</v>
      </c>
      <c r="BB94">
        <v>93</v>
      </c>
      <c r="BC94">
        <v>101</v>
      </c>
      <c r="BD94" t="s">
        <v>74</v>
      </c>
      <c r="BE94" t="s">
        <v>2085</v>
      </c>
      <c r="BF94" t="str">
        <f>HYPERLINK("http://dx.doi.org/10.3109/17483107.2013.866986","http://dx.doi.org/10.3109/17483107.2013.866986")</f>
        <v>http://dx.doi.org/10.3109/17483107.2013.866986</v>
      </c>
      <c r="BG94" t="s">
        <v>74</v>
      </c>
      <c r="BH94" t="s">
        <v>74</v>
      </c>
      <c r="BI94">
        <v>9</v>
      </c>
      <c r="BJ94" t="s">
        <v>101</v>
      </c>
      <c r="BK94" t="s">
        <v>155</v>
      </c>
      <c r="BL94" t="s">
        <v>101</v>
      </c>
      <c r="BM94" t="s">
        <v>2086</v>
      </c>
      <c r="BN94">
        <v>24320195</v>
      </c>
      <c r="BO94" t="s">
        <v>74</v>
      </c>
      <c r="BP94" t="s">
        <v>74</v>
      </c>
      <c r="BQ94" t="s">
        <v>74</v>
      </c>
      <c r="BR94" t="s">
        <v>105</v>
      </c>
      <c r="BS94" t="s">
        <v>2087</v>
      </c>
      <c r="BT94" t="str">
        <f>HYPERLINK("https%3A%2F%2Fwww.webofscience.com%2Fwos%2Fwoscc%2Ffull-record%2FWOS:000214016700001","View Full Record in Web of Science")</f>
        <v>View Full Record in Web of Science</v>
      </c>
    </row>
    <row r="95" spans="1:72" x14ac:dyDescent="0.25">
      <c r="A95" t="s">
        <v>72</v>
      </c>
      <c r="B95" t="s">
        <v>2088</v>
      </c>
      <c r="C95" t="s">
        <v>74</v>
      </c>
      <c r="D95" t="s">
        <v>74</v>
      </c>
      <c r="E95" t="s">
        <v>74</v>
      </c>
      <c r="F95" t="s">
        <v>2089</v>
      </c>
      <c r="G95" t="s">
        <v>74</v>
      </c>
      <c r="H95" t="s">
        <v>74</v>
      </c>
      <c r="I95" t="s">
        <v>2090</v>
      </c>
      <c r="J95" t="s">
        <v>2091</v>
      </c>
      <c r="K95" t="s">
        <v>74</v>
      </c>
      <c r="L95" t="s">
        <v>74</v>
      </c>
      <c r="M95" t="s">
        <v>78</v>
      </c>
      <c r="N95" t="s">
        <v>79</v>
      </c>
      <c r="O95" t="s">
        <v>74</v>
      </c>
      <c r="P95" t="s">
        <v>74</v>
      </c>
      <c r="Q95" t="s">
        <v>74</v>
      </c>
      <c r="R95" t="s">
        <v>74</v>
      </c>
      <c r="S95" t="s">
        <v>74</v>
      </c>
      <c r="T95" t="s">
        <v>2092</v>
      </c>
      <c r="U95" t="s">
        <v>2093</v>
      </c>
      <c r="V95" t="s">
        <v>2094</v>
      </c>
      <c r="W95" t="s">
        <v>2095</v>
      </c>
      <c r="X95" t="s">
        <v>2096</v>
      </c>
      <c r="Y95" t="s">
        <v>2097</v>
      </c>
      <c r="Z95" t="s">
        <v>2098</v>
      </c>
      <c r="AA95" t="s">
        <v>2099</v>
      </c>
      <c r="AB95" t="s">
        <v>2100</v>
      </c>
      <c r="AC95" t="s">
        <v>2101</v>
      </c>
      <c r="AD95" t="s">
        <v>2102</v>
      </c>
      <c r="AE95" t="s">
        <v>2103</v>
      </c>
      <c r="AF95" t="s">
        <v>74</v>
      </c>
      <c r="AG95">
        <v>143</v>
      </c>
      <c r="AH95">
        <v>46</v>
      </c>
      <c r="AI95">
        <v>49</v>
      </c>
      <c r="AJ95">
        <v>4</v>
      </c>
      <c r="AK95">
        <v>51</v>
      </c>
      <c r="AL95" t="s">
        <v>120</v>
      </c>
      <c r="AM95" t="s">
        <v>121</v>
      </c>
      <c r="AN95" t="s">
        <v>1221</v>
      </c>
      <c r="AO95" t="s">
        <v>74</v>
      </c>
      <c r="AP95" t="s">
        <v>2104</v>
      </c>
      <c r="AQ95" t="s">
        <v>74</v>
      </c>
      <c r="AR95" t="s">
        <v>2105</v>
      </c>
      <c r="AS95" t="s">
        <v>2106</v>
      </c>
      <c r="AT95" t="s">
        <v>2107</v>
      </c>
      <c r="AU95">
        <v>2019</v>
      </c>
      <c r="AV95">
        <v>9</v>
      </c>
      <c r="AW95">
        <v>13</v>
      </c>
      <c r="AX95" t="s">
        <v>74</v>
      </c>
      <c r="AY95" t="s">
        <v>74</v>
      </c>
      <c r="AZ95" t="s">
        <v>74</v>
      </c>
      <c r="BA95" t="s">
        <v>74</v>
      </c>
      <c r="BB95" t="s">
        <v>74</v>
      </c>
      <c r="BC95" t="s">
        <v>74</v>
      </c>
      <c r="BD95">
        <v>2586</v>
      </c>
      <c r="BE95" t="s">
        <v>2108</v>
      </c>
      <c r="BF95" t="str">
        <f>HYPERLINK("http://dx.doi.org/10.3390/app9132586","http://dx.doi.org/10.3390/app9132586")</f>
        <v>http://dx.doi.org/10.3390/app9132586</v>
      </c>
      <c r="BG95" t="s">
        <v>74</v>
      </c>
      <c r="BH95" t="s">
        <v>74</v>
      </c>
      <c r="BI95">
        <v>27</v>
      </c>
      <c r="BJ95" t="s">
        <v>2109</v>
      </c>
      <c r="BK95" t="s">
        <v>102</v>
      </c>
      <c r="BL95" t="s">
        <v>2110</v>
      </c>
      <c r="BM95" t="s">
        <v>2111</v>
      </c>
      <c r="BN95" t="s">
        <v>74</v>
      </c>
      <c r="BO95" t="s">
        <v>2112</v>
      </c>
      <c r="BP95" t="s">
        <v>74</v>
      </c>
      <c r="BQ95" t="s">
        <v>74</v>
      </c>
      <c r="BR95" t="s">
        <v>105</v>
      </c>
      <c r="BS95" t="s">
        <v>2113</v>
      </c>
      <c r="BT95" t="str">
        <f>HYPERLINK("https%3A%2F%2Fwww.webofscience.com%2Fwos%2Fwoscc%2Ffull-record%2FWOS:000477031900007","View Full Record in Web of Science")</f>
        <v>View Full Record in Web of Science</v>
      </c>
    </row>
    <row r="96" spans="1:72" x14ac:dyDescent="0.25">
      <c r="A96" t="s">
        <v>72</v>
      </c>
      <c r="B96" t="s">
        <v>2114</v>
      </c>
      <c r="C96" t="s">
        <v>74</v>
      </c>
      <c r="D96" t="s">
        <v>74</v>
      </c>
      <c r="E96" t="s">
        <v>74</v>
      </c>
      <c r="F96" t="s">
        <v>2115</v>
      </c>
      <c r="G96" t="s">
        <v>74</v>
      </c>
      <c r="H96" t="s">
        <v>74</v>
      </c>
      <c r="I96" t="s">
        <v>2116</v>
      </c>
      <c r="J96" t="s">
        <v>2117</v>
      </c>
      <c r="K96" t="s">
        <v>74</v>
      </c>
      <c r="L96" t="s">
        <v>74</v>
      </c>
      <c r="M96" t="s">
        <v>78</v>
      </c>
      <c r="N96" t="s">
        <v>79</v>
      </c>
      <c r="O96" t="s">
        <v>74</v>
      </c>
      <c r="P96" t="s">
        <v>74</v>
      </c>
      <c r="Q96" t="s">
        <v>74</v>
      </c>
      <c r="R96" t="s">
        <v>74</v>
      </c>
      <c r="S96" t="s">
        <v>74</v>
      </c>
      <c r="T96" t="s">
        <v>2118</v>
      </c>
      <c r="U96" t="s">
        <v>2119</v>
      </c>
      <c r="V96" t="s">
        <v>2120</v>
      </c>
      <c r="W96" t="s">
        <v>2121</v>
      </c>
      <c r="X96" t="s">
        <v>2122</v>
      </c>
      <c r="Y96" t="s">
        <v>2123</v>
      </c>
      <c r="Z96" t="s">
        <v>2124</v>
      </c>
      <c r="AA96" t="s">
        <v>2125</v>
      </c>
      <c r="AB96" t="s">
        <v>2126</v>
      </c>
      <c r="AC96" t="s">
        <v>2127</v>
      </c>
      <c r="AD96" t="s">
        <v>2127</v>
      </c>
      <c r="AE96" t="s">
        <v>2128</v>
      </c>
      <c r="AF96" t="s">
        <v>74</v>
      </c>
      <c r="AG96">
        <v>180</v>
      </c>
      <c r="AH96">
        <v>6</v>
      </c>
      <c r="AI96">
        <v>6</v>
      </c>
      <c r="AJ96">
        <v>6</v>
      </c>
      <c r="AK96">
        <v>18</v>
      </c>
      <c r="AL96" t="s">
        <v>120</v>
      </c>
      <c r="AM96" t="s">
        <v>121</v>
      </c>
      <c r="AN96" t="s">
        <v>122</v>
      </c>
      <c r="AO96" t="s">
        <v>74</v>
      </c>
      <c r="AP96" t="s">
        <v>2129</v>
      </c>
      <c r="AQ96" t="s">
        <v>74</v>
      </c>
      <c r="AR96" t="s">
        <v>2117</v>
      </c>
      <c r="AS96" t="s">
        <v>714</v>
      </c>
      <c r="AT96" t="s">
        <v>1471</v>
      </c>
      <c r="AU96">
        <v>2024</v>
      </c>
      <c r="AV96">
        <v>13</v>
      </c>
      <c r="AW96">
        <v>3</v>
      </c>
      <c r="AX96" t="s">
        <v>74</v>
      </c>
      <c r="AY96" t="s">
        <v>74</v>
      </c>
      <c r="AZ96" t="s">
        <v>74</v>
      </c>
      <c r="BA96" t="s">
        <v>74</v>
      </c>
      <c r="BB96" t="s">
        <v>74</v>
      </c>
      <c r="BC96" t="s">
        <v>74</v>
      </c>
      <c r="BD96">
        <v>49</v>
      </c>
      <c r="BE96" t="s">
        <v>2130</v>
      </c>
      <c r="BF96" t="str">
        <f>HYPERLINK("http://dx.doi.org/10.3390/robotics13030049","http://dx.doi.org/10.3390/robotics13030049")</f>
        <v>http://dx.doi.org/10.3390/robotics13030049</v>
      </c>
      <c r="BG96" t="s">
        <v>74</v>
      </c>
      <c r="BH96" t="s">
        <v>74</v>
      </c>
      <c r="BI96">
        <v>25</v>
      </c>
      <c r="BJ96" t="s">
        <v>714</v>
      </c>
      <c r="BK96" t="s">
        <v>155</v>
      </c>
      <c r="BL96" t="s">
        <v>714</v>
      </c>
      <c r="BM96" t="s">
        <v>2131</v>
      </c>
      <c r="BN96" t="s">
        <v>74</v>
      </c>
      <c r="BO96" t="s">
        <v>185</v>
      </c>
      <c r="BP96" t="s">
        <v>74</v>
      </c>
      <c r="BQ96" t="s">
        <v>74</v>
      </c>
      <c r="BR96" t="s">
        <v>105</v>
      </c>
      <c r="BS96" t="s">
        <v>2132</v>
      </c>
      <c r="BT96" t="str">
        <f>HYPERLINK("https%3A%2F%2Fwww.webofscience.com%2Fwos%2Fwoscc%2Ffull-record%2FWOS:001192688300001","View Full Record in Web of Science")</f>
        <v>View Full Record in Web of Science</v>
      </c>
    </row>
    <row r="97" spans="1:72" x14ac:dyDescent="0.25">
      <c r="A97" t="s">
        <v>72</v>
      </c>
      <c r="B97" t="s">
        <v>2133</v>
      </c>
      <c r="C97" t="s">
        <v>74</v>
      </c>
      <c r="D97" t="s">
        <v>74</v>
      </c>
      <c r="E97" t="s">
        <v>74</v>
      </c>
      <c r="F97" t="s">
        <v>2134</v>
      </c>
      <c r="G97" t="s">
        <v>74</v>
      </c>
      <c r="H97" t="s">
        <v>74</v>
      </c>
      <c r="I97" t="s">
        <v>2135</v>
      </c>
      <c r="J97" t="s">
        <v>2136</v>
      </c>
      <c r="K97" t="s">
        <v>74</v>
      </c>
      <c r="L97" t="s">
        <v>74</v>
      </c>
      <c r="M97" t="s">
        <v>78</v>
      </c>
      <c r="N97" t="s">
        <v>79</v>
      </c>
      <c r="O97" t="s">
        <v>74</v>
      </c>
      <c r="P97" t="s">
        <v>74</v>
      </c>
      <c r="Q97" t="s">
        <v>74</v>
      </c>
      <c r="R97" t="s">
        <v>74</v>
      </c>
      <c r="S97" t="s">
        <v>74</v>
      </c>
      <c r="T97" t="s">
        <v>74</v>
      </c>
      <c r="U97" t="s">
        <v>2137</v>
      </c>
      <c r="V97" t="s">
        <v>2138</v>
      </c>
      <c r="W97" t="s">
        <v>2139</v>
      </c>
      <c r="X97" t="s">
        <v>2140</v>
      </c>
      <c r="Y97" t="s">
        <v>2141</v>
      </c>
      <c r="Z97" t="s">
        <v>2142</v>
      </c>
      <c r="AA97" t="s">
        <v>2143</v>
      </c>
      <c r="AB97" t="s">
        <v>2144</v>
      </c>
      <c r="AC97" t="s">
        <v>2145</v>
      </c>
      <c r="AD97" t="s">
        <v>2145</v>
      </c>
      <c r="AE97" t="s">
        <v>2146</v>
      </c>
      <c r="AF97" t="s">
        <v>74</v>
      </c>
      <c r="AG97">
        <v>127</v>
      </c>
      <c r="AH97">
        <v>65</v>
      </c>
      <c r="AI97">
        <v>71</v>
      </c>
      <c r="AJ97">
        <v>7</v>
      </c>
      <c r="AK97">
        <v>99</v>
      </c>
      <c r="AL97" t="s">
        <v>297</v>
      </c>
      <c r="AM97" t="s">
        <v>298</v>
      </c>
      <c r="AN97" t="s">
        <v>299</v>
      </c>
      <c r="AO97" t="s">
        <v>2147</v>
      </c>
      <c r="AP97" t="s">
        <v>2148</v>
      </c>
      <c r="AQ97" t="s">
        <v>74</v>
      </c>
      <c r="AR97" t="s">
        <v>2136</v>
      </c>
      <c r="AS97" t="s">
        <v>2136</v>
      </c>
      <c r="AT97" t="s">
        <v>420</v>
      </c>
      <c r="AU97">
        <v>2018</v>
      </c>
      <c r="AV97">
        <v>10</v>
      </c>
      <c r="AW97">
        <v>9</v>
      </c>
      <c r="AX97" t="s">
        <v>74</v>
      </c>
      <c r="AY97">
        <v>2</v>
      </c>
      <c r="AZ97" t="s">
        <v>74</v>
      </c>
      <c r="BA97" t="s">
        <v>74</v>
      </c>
      <c r="BB97" t="s">
        <v>2149</v>
      </c>
      <c r="BC97" t="s">
        <v>2150</v>
      </c>
      <c r="BD97" t="s">
        <v>74</v>
      </c>
      <c r="BE97" t="s">
        <v>2151</v>
      </c>
      <c r="BF97" t="str">
        <f>HYPERLINK("http://dx.doi.org/10.1016/j.pmrj.2018.05.028","http://dx.doi.org/10.1016/j.pmrj.2018.05.028")</f>
        <v>http://dx.doi.org/10.1016/j.pmrj.2018.05.028</v>
      </c>
      <c r="BG97" t="s">
        <v>74</v>
      </c>
      <c r="BH97" t="s">
        <v>74</v>
      </c>
      <c r="BI97">
        <v>11</v>
      </c>
      <c r="BJ97" t="s">
        <v>236</v>
      </c>
      <c r="BK97" t="s">
        <v>102</v>
      </c>
      <c r="BL97" t="s">
        <v>236</v>
      </c>
      <c r="BM97" t="s">
        <v>2152</v>
      </c>
      <c r="BN97">
        <v>30269808</v>
      </c>
      <c r="BO97" t="s">
        <v>1052</v>
      </c>
      <c r="BP97" t="s">
        <v>74</v>
      </c>
      <c r="BQ97" t="s">
        <v>74</v>
      </c>
      <c r="BR97" t="s">
        <v>105</v>
      </c>
      <c r="BS97" t="s">
        <v>2153</v>
      </c>
      <c r="BT97" t="str">
        <f>HYPERLINK("https%3A%2F%2Fwww.webofscience.com%2Fwos%2Fwoscc%2Ffull-record%2FWOS:000445927400012","View Full Record in Web of Science")</f>
        <v>View Full Record in Web of Science</v>
      </c>
    </row>
    <row r="98" spans="1:72" x14ac:dyDescent="0.25">
      <c r="A98" t="s">
        <v>72</v>
      </c>
      <c r="B98" t="s">
        <v>2154</v>
      </c>
      <c r="C98" t="s">
        <v>74</v>
      </c>
      <c r="D98" t="s">
        <v>74</v>
      </c>
      <c r="E98" t="s">
        <v>74</v>
      </c>
      <c r="F98" t="s">
        <v>2155</v>
      </c>
      <c r="G98" t="s">
        <v>74</v>
      </c>
      <c r="H98" t="s">
        <v>74</v>
      </c>
      <c r="I98" t="s">
        <v>2156</v>
      </c>
      <c r="J98" t="s">
        <v>2157</v>
      </c>
      <c r="K98" t="s">
        <v>74</v>
      </c>
      <c r="L98" t="s">
        <v>74</v>
      </c>
      <c r="M98" t="s">
        <v>78</v>
      </c>
      <c r="N98" t="s">
        <v>79</v>
      </c>
      <c r="O98" t="s">
        <v>74</v>
      </c>
      <c r="P98" t="s">
        <v>74</v>
      </c>
      <c r="Q98" t="s">
        <v>74</v>
      </c>
      <c r="R98" t="s">
        <v>74</v>
      </c>
      <c r="S98" t="s">
        <v>74</v>
      </c>
      <c r="T98" t="s">
        <v>2158</v>
      </c>
      <c r="U98" t="s">
        <v>2159</v>
      </c>
      <c r="V98" t="s">
        <v>2160</v>
      </c>
      <c r="W98" t="s">
        <v>2161</v>
      </c>
      <c r="X98" t="s">
        <v>2162</v>
      </c>
      <c r="Y98" t="s">
        <v>2163</v>
      </c>
      <c r="Z98" t="s">
        <v>2164</v>
      </c>
      <c r="AA98" t="s">
        <v>2165</v>
      </c>
      <c r="AB98" t="s">
        <v>2166</v>
      </c>
      <c r="AC98" t="s">
        <v>2167</v>
      </c>
      <c r="AD98" t="s">
        <v>2168</v>
      </c>
      <c r="AE98" t="s">
        <v>2169</v>
      </c>
      <c r="AF98" t="s">
        <v>74</v>
      </c>
      <c r="AG98">
        <v>76</v>
      </c>
      <c r="AH98">
        <v>0</v>
      </c>
      <c r="AI98">
        <v>1</v>
      </c>
      <c r="AJ98">
        <v>0</v>
      </c>
      <c r="AK98">
        <v>15</v>
      </c>
      <c r="AL98" t="s">
        <v>92</v>
      </c>
      <c r="AM98" t="s">
        <v>93</v>
      </c>
      <c r="AN98" t="s">
        <v>94</v>
      </c>
      <c r="AO98" t="s">
        <v>2170</v>
      </c>
      <c r="AP98" t="s">
        <v>2171</v>
      </c>
      <c r="AQ98" t="s">
        <v>74</v>
      </c>
      <c r="AR98" t="s">
        <v>2172</v>
      </c>
      <c r="AS98" t="s">
        <v>2173</v>
      </c>
      <c r="AT98" t="s">
        <v>2174</v>
      </c>
      <c r="AU98">
        <v>2022</v>
      </c>
      <c r="AV98">
        <v>19</v>
      </c>
      <c r="AW98">
        <v>9</v>
      </c>
      <c r="AX98" t="s">
        <v>74</v>
      </c>
      <c r="AY98" t="s">
        <v>74</v>
      </c>
      <c r="AZ98" t="s">
        <v>74</v>
      </c>
      <c r="BA98" t="s">
        <v>74</v>
      </c>
      <c r="BB98">
        <v>721</v>
      </c>
      <c r="BC98">
        <v>731</v>
      </c>
      <c r="BD98" t="s">
        <v>74</v>
      </c>
      <c r="BE98" t="s">
        <v>2175</v>
      </c>
      <c r="BF98" t="str">
        <f>HYPERLINK("http://dx.doi.org/10.1080/17434440.2022.2136029","http://dx.doi.org/10.1080/17434440.2022.2136029")</f>
        <v>http://dx.doi.org/10.1080/17434440.2022.2136029</v>
      </c>
      <c r="BG98" t="s">
        <v>74</v>
      </c>
      <c r="BH98" t="s">
        <v>2176</v>
      </c>
      <c r="BI98">
        <v>11</v>
      </c>
      <c r="BJ98" t="s">
        <v>282</v>
      </c>
      <c r="BK98" t="s">
        <v>182</v>
      </c>
      <c r="BL98" t="s">
        <v>183</v>
      </c>
      <c r="BM98" t="s">
        <v>2177</v>
      </c>
      <c r="BN98">
        <v>36225151</v>
      </c>
      <c r="BO98" t="s">
        <v>74</v>
      </c>
      <c r="BP98" t="s">
        <v>74</v>
      </c>
      <c r="BQ98" t="s">
        <v>74</v>
      </c>
      <c r="BR98" t="s">
        <v>105</v>
      </c>
      <c r="BS98" t="s">
        <v>2178</v>
      </c>
      <c r="BT98" t="str">
        <f>HYPERLINK("https%3A%2F%2Fwww.webofscience.com%2Fwos%2Fwoscc%2Ffull-record%2FWOS:000870965700001","View Full Record in Web of Science")</f>
        <v>View Full Record in Web of Science</v>
      </c>
    </row>
    <row r="99" spans="1:72" x14ac:dyDescent="0.25">
      <c r="A99" t="s">
        <v>72</v>
      </c>
      <c r="B99" t="s">
        <v>2179</v>
      </c>
      <c r="C99" t="s">
        <v>74</v>
      </c>
      <c r="D99" t="s">
        <v>74</v>
      </c>
      <c r="E99" t="s">
        <v>74</v>
      </c>
      <c r="F99" t="s">
        <v>2180</v>
      </c>
      <c r="G99" t="s">
        <v>74</v>
      </c>
      <c r="H99" t="s">
        <v>74</v>
      </c>
      <c r="I99" t="s">
        <v>2181</v>
      </c>
      <c r="J99" t="s">
        <v>2157</v>
      </c>
      <c r="K99" t="s">
        <v>74</v>
      </c>
      <c r="L99" t="s">
        <v>74</v>
      </c>
      <c r="M99" t="s">
        <v>78</v>
      </c>
      <c r="N99" t="s">
        <v>79</v>
      </c>
      <c r="O99" t="s">
        <v>74</v>
      </c>
      <c r="P99" t="s">
        <v>74</v>
      </c>
      <c r="Q99" t="s">
        <v>74</v>
      </c>
      <c r="R99" t="s">
        <v>74</v>
      </c>
      <c r="S99" t="s">
        <v>74</v>
      </c>
      <c r="T99" t="s">
        <v>2182</v>
      </c>
      <c r="U99" t="s">
        <v>2183</v>
      </c>
      <c r="V99" t="s">
        <v>2184</v>
      </c>
      <c r="W99" t="s">
        <v>2185</v>
      </c>
      <c r="X99" t="s">
        <v>2186</v>
      </c>
      <c r="Y99" t="s">
        <v>2187</v>
      </c>
      <c r="Z99" t="s">
        <v>2188</v>
      </c>
      <c r="AA99" t="s">
        <v>2189</v>
      </c>
      <c r="AB99" t="s">
        <v>2190</v>
      </c>
      <c r="AC99" t="s">
        <v>74</v>
      </c>
      <c r="AD99" t="s">
        <v>74</v>
      </c>
      <c r="AE99" t="s">
        <v>74</v>
      </c>
      <c r="AF99" t="s">
        <v>74</v>
      </c>
      <c r="AG99">
        <v>82</v>
      </c>
      <c r="AH99">
        <v>48</v>
      </c>
      <c r="AI99">
        <v>48</v>
      </c>
      <c r="AJ99">
        <v>0</v>
      </c>
      <c r="AK99">
        <v>29</v>
      </c>
      <c r="AL99" t="s">
        <v>92</v>
      </c>
      <c r="AM99" t="s">
        <v>93</v>
      </c>
      <c r="AN99" t="s">
        <v>94</v>
      </c>
      <c r="AO99" t="s">
        <v>2170</v>
      </c>
      <c r="AP99" t="s">
        <v>2171</v>
      </c>
      <c r="AQ99" t="s">
        <v>74</v>
      </c>
      <c r="AR99" t="s">
        <v>2172</v>
      </c>
      <c r="AS99" t="s">
        <v>2173</v>
      </c>
      <c r="AT99" t="s">
        <v>2191</v>
      </c>
      <c r="AU99">
        <v>2019</v>
      </c>
      <c r="AV99">
        <v>16</v>
      </c>
      <c r="AW99">
        <v>3</v>
      </c>
      <c r="AX99" t="s">
        <v>74</v>
      </c>
      <c r="AY99" t="s">
        <v>74</v>
      </c>
      <c r="AZ99" t="s">
        <v>74</v>
      </c>
      <c r="BA99" t="s">
        <v>74</v>
      </c>
      <c r="BB99">
        <v>187</v>
      </c>
      <c r="BC99">
        <v>195</v>
      </c>
      <c r="BD99" t="s">
        <v>74</v>
      </c>
      <c r="BE99" t="s">
        <v>2192</v>
      </c>
      <c r="BF99" t="str">
        <f>HYPERLINK("http://dx.doi.org/10.1080/17434440.2019.1574567","http://dx.doi.org/10.1080/17434440.2019.1574567")</f>
        <v>http://dx.doi.org/10.1080/17434440.2019.1574567</v>
      </c>
      <c r="BG99" t="s">
        <v>74</v>
      </c>
      <c r="BH99" t="s">
        <v>74</v>
      </c>
      <c r="BI99">
        <v>9</v>
      </c>
      <c r="BJ99" t="s">
        <v>282</v>
      </c>
      <c r="BK99" t="s">
        <v>102</v>
      </c>
      <c r="BL99" t="s">
        <v>183</v>
      </c>
      <c r="BM99" t="s">
        <v>2193</v>
      </c>
      <c r="BN99">
        <v>30677307</v>
      </c>
      <c r="BO99" t="s">
        <v>104</v>
      </c>
      <c r="BP99" t="s">
        <v>74</v>
      </c>
      <c r="BQ99" t="s">
        <v>74</v>
      </c>
      <c r="BR99" t="s">
        <v>105</v>
      </c>
      <c r="BS99" t="s">
        <v>2194</v>
      </c>
      <c r="BT99" t="str">
        <f>HYPERLINK("https%3A%2F%2Fwww.webofscience.com%2Fwos%2Fwoscc%2Ffull-record%2FWOS:000460051400003","View Full Record in Web of Science")</f>
        <v>View Full Record in Web of Science</v>
      </c>
    </row>
    <row r="100" spans="1:72" x14ac:dyDescent="0.25">
      <c r="A100" t="s">
        <v>72</v>
      </c>
      <c r="B100" t="s">
        <v>2195</v>
      </c>
      <c r="C100" t="s">
        <v>74</v>
      </c>
      <c r="D100" t="s">
        <v>74</v>
      </c>
      <c r="E100" t="s">
        <v>74</v>
      </c>
      <c r="F100" t="s">
        <v>2196</v>
      </c>
      <c r="G100" t="s">
        <v>74</v>
      </c>
      <c r="H100" t="s">
        <v>74</v>
      </c>
      <c r="I100" t="s">
        <v>2197</v>
      </c>
      <c r="J100" t="s">
        <v>2198</v>
      </c>
      <c r="K100" t="s">
        <v>74</v>
      </c>
      <c r="L100" t="s">
        <v>74</v>
      </c>
      <c r="M100" t="s">
        <v>78</v>
      </c>
      <c r="N100" t="s">
        <v>79</v>
      </c>
      <c r="O100" t="s">
        <v>74</v>
      </c>
      <c r="P100" t="s">
        <v>74</v>
      </c>
      <c r="Q100" t="s">
        <v>74</v>
      </c>
      <c r="R100" t="s">
        <v>74</v>
      </c>
      <c r="S100" t="s">
        <v>74</v>
      </c>
      <c r="T100" t="s">
        <v>2199</v>
      </c>
      <c r="U100" t="s">
        <v>2200</v>
      </c>
      <c r="V100" t="s">
        <v>2201</v>
      </c>
      <c r="W100" t="s">
        <v>2202</v>
      </c>
      <c r="X100" t="s">
        <v>2203</v>
      </c>
      <c r="Y100" t="s">
        <v>2204</v>
      </c>
      <c r="Z100" t="s">
        <v>2205</v>
      </c>
      <c r="AA100" t="s">
        <v>74</v>
      </c>
      <c r="AB100" t="s">
        <v>74</v>
      </c>
      <c r="AC100" t="s">
        <v>74</v>
      </c>
      <c r="AD100" t="s">
        <v>74</v>
      </c>
      <c r="AE100" t="s">
        <v>74</v>
      </c>
      <c r="AF100" t="s">
        <v>74</v>
      </c>
      <c r="AG100">
        <v>59</v>
      </c>
      <c r="AH100">
        <v>0</v>
      </c>
      <c r="AI100">
        <v>0</v>
      </c>
      <c r="AJ100">
        <v>3</v>
      </c>
      <c r="AK100">
        <v>3</v>
      </c>
      <c r="AL100" t="s">
        <v>392</v>
      </c>
      <c r="AM100" t="s">
        <v>393</v>
      </c>
      <c r="AN100" t="s">
        <v>394</v>
      </c>
      <c r="AO100" t="s">
        <v>2206</v>
      </c>
      <c r="AP100" t="s">
        <v>74</v>
      </c>
      <c r="AQ100" t="s">
        <v>74</v>
      </c>
      <c r="AR100" t="s">
        <v>2207</v>
      </c>
      <c r="AS100" t="s">
        <v>2208</v>
      </c>
      <c r="AT100" t="s">
        <v>2209</v>
      </c>
      <c r="AU100">
        <v>2025</v>
      </c>
      <c r="AV100">
        <v>19</v>
      </c>
      <c r="AW100" t="s">
        <v>74</v>
      </c>
      <c r="AX100" t="s">
        <v>74</v>
      </c>
      <c r="AY100" t="s">
        <v>74</v>
      </c>
      <c r="AZ100" t="s">
        <v>74</v>
      </c>
      <c r="BA100" t="s">
        <v>74</v>
      </c>
      <c r="BB100" t="s">
        <v>74</v>
      </c>
      <c r="BC100" t="s">
        <v>74</v>
      </c>
      <c r="BD100">
        <v>1549379</v>
      </c>
      <c r="BE100" t="s">
        <v>2210</v>
      </c>
      <c r="BF100" t="str">
        <f>HYPERLINK("http://dx.doi.org/10.3389/fnhum.2025.1549379","http://dx.doi.org/10.3389/fnhum.2025.1549379")</f>
        <v>http://dx.doi.org/10.3389/fnhum.2025.1549379</v>
      </c>
      <c r="BG100" t="s">
        <v>74</v>
      </c>
      <c r="BH100" t="s">
        <v>74</v>
      </c>
      <c r="BI100">
        <v>13</v>
      </c>
      <c r="BJ100" t="s">
        <v>2211</v>
      </c>
      <c r="BK100" t="s">
        <v>182</v>
      </c>
      <c r="BL100" t="s">
        <v>2212</v>
      </c>
      <c r="BM100" t="s">
        <v>2213</v>
      </c>
      <c r="BN100">
        <v>40110536</v>
      </c>
      <c r="BO100" t="s">
        <v>185</v>
      </c>
      <c r="BP100" t="s">
        <v>74</v>
      </c>
      <c r="BQ100" t="s">
        <v>74</v>
      </c>
      <c r="BR100" t="s">
        <v>105</v>
      </c>
      <c r="BS100" t="s">
        <v>2214</v>
      </c>
      <c r="BT100" t="str">
        <f>HYPERLINK("https%3A%2F%2Fwww.webofscience.com%2Fwos%2Fwoscc%2Ffull-record%2FWOS:001448864300001","View Full Record in Web of Science")</f>
        <v>View Full Record in Web of Science</v>
      </c>
    </row>
    <row r="101" spans="1:72" x14ac:dyDescent="0.25">
      <c r="A101" t="s">
        <v>72</v>
      </c>
      <c r="B101" t="s">
        <v>2215</v>
      </c>
      <c r="C101" t="s">
        <v>74</v>
      </c>
      <c r="D101" t="s">
        <v>74</v>
      </c>
      <c r="E101" t="s">
        <v>74</v>
      </c>
      <c r="F101" t="s">
        <v>2216</v>
      </c>
      <c r="G101" t="s">
        <v>74</v>
      </c>
      <c r="H101" t="s">
        <v>74</v>
      </c>
      <c r="I101" t="s">
        <v>2217</v>
      </c>
      <c r="J101" t="s">
        <v>468</v>
      </c>
      <c r="K101" t="s">
        <v>74</v>
      </c>
      <c r="L101" t="s">
        <v>74</v>
      </c>
      <c r="M101" t="s">
        <v>78</v>
      </c>
      <c r="N101" t="s">
        <v>79</v>
      </c>
      <c r="O101" t="s">
        <v>74</v>
      </c>
      <c r="P101" t="s">
        <v>74</v>
      </c>
      <c r="Q101" t="s">
        <v>74</v>
      </c>
      <c r="R101" t="s">
        <v>74</v>
      </c>
      <c r="S101" t="s">
        <v>74</v>
      </c>
      <c r="T101" t="s">
        <v>2218</v>
      </c>
      <c r="U101" t="s">
        <v>2219</v>
      </c>
      <c r="V101" t="s">
        <v>2220</v>
      </c>
      <c r="W101" t="s">
        <v>2221</v>
      </c>
      <c r="X101" t="s">
        <v>2222</v>
      </c>
      <c r="Y101" t="s">
        <v>2223</v>
      </c>
      <c r="Z101" t="s">
        <v>2224</v>
      </c>
      <c r="AA101" t="s">
        <v>2225</v>
      </c>
      <c r="AB101" t="s">
        <v>2226</v>
      </c>
      <c r="AC101" t="s">
        <v>74</v>
      </c>
      <c r="AD101" t="s">
        <v>74</v>
      </c>
      <c r="AE101" t="s">
        <v>74</v>
      </c>
      <c r="AF101" t="s">
        <v>74</v>
      </c>
      <c r="AG101">
        <v>81</v>
      </c>
      <c r="AH101">
        <v>48</v>
      </c>
      <c r="AI101">
        <v>55</v>
      </c>
      <c r="AJ101">
        <v>1</v>
      </c>
      <c r="AK101">
        <v>30</v>
      </c>
      <c r="AL101" t="s">
        <v>480</v>
      </c>
      <c r="AM101" t="s">
        <v>481</v>
      </c>
      <c r="AN101" t="s">
        <v>482</v>
      </c>
      <c r="AO101" t="s">
        <v>483</v>
      </c>
      <c r="AP101" t="s">
        <v>484</v>
      </c>
      <c r="AQ101" t="s">
        <v>74</v>
      </c>
      <c r="AR101" t="s">
        <v>485</v>
      </c>
      <c r="AS101" t="s">
        <v>486</v>
      </c>
      <c r="AT101" t="s">
        <v>351</v>
      </c>
      <c r="AU101">
        <v>2019</v>
      </c>
      <c r="AV101">
        <v>51</v>
      </c>
      <c r="AW101">
        <v>2</v>
      </c>
      <c r="AX101" t="s">
        <v>74</v>
      </c>
      <c r="AY101" t="s">
        <v>74</v>
      </c>
      <c r="AZ101" t="s">
        <v>74</v>
      </c>
      <c r="BA101" t="s">
        <v>74</v>
      </c>
      <c r="BB101">
        <v>78</v>
      </c>
      <c r="BC101">
        <v>88</v>
      </c>
      <c r="BD101" t="s">
        <v>74</v>
      </c>
      <c r="BE101" t="s">
        <v>2227</v>
      </c>
      <c r="BF101" t="str">
        <f>HYPERLINK("http://dx.doi.org/10.2340/16501977-2505","http://dx.doi.org/10.2340/16501977-2505")</f>
        <v>http://dx.doi.org/10.2340/16501977-2505</v>
      </c>
      <c r="BG101" t="s">
        <v>74</v>
      </c>
      <c r="BH101" t="s">
        <v>74</v>
      </c>
      <c r="BI101">
        <v>11</v>
      </c>
      <c r="BJ101" t="s">
        <v>236</v>
      </c>
      <c r="BK101" t="s">
        <v>182</v>
      </c>
      <c r="BL101" t="s">
        <v>236</v>
      </c>
      <c r="BM101" t="s">
        <v>2228</v>
      </c>
      <c r="BN101">
        <v>30516821</v>
      </c>
      <c r="BO101" t="s">
        <v>377</v>
      </c>
      <c r="BP101" t="s">
        <v>74</v>
      </c>
      <c r="BQ101" t="s">
        <v>74</v>
      </c>
      <c r="BR101" t="s">
        <v>105</v>
      </c>
      <c r="BS101" t="s">
        <v>2229</v>
      </c>
      <c r="BT101" t="str">
        <f>HYPERLINK("https%3A%2F%2Fwww.webofscience.com%2Fwos%2Fwoscc%2Ffull-record%2FWOS:000457153100001","View Full Record in Web of Science")</f>
        <v>View Full Record in Web of Science</v>
      </c>
    </row>
    <row r="102" spans="1:72" x14ac:dyDescent="0.25">
      <c r="A102" t="s">
        <v>72</v>
      </c>
      <c r="B102" t="s">
        <v>2230</v>
      </c>
      <c r="C102" t="s">
        <v>74</v>
      </c>
      <c r="D102" t="s">
        <v>74</v>
      </c>
      <c r="E102" t="s">
        <v>74</v>
      </c>
      <c r="F102" t="s">
        <v>2231</v>
      </c>
      <c r="G102" t="s">
        <v>74</v>
      </c>
      <c r="H102" t="s">
        <v>74</v>
      </c>
      <c r="I102" t="s">
        <v>2232</v>
      </c>
      <c r="J102" t="s">
        <v>2233</v>
      </c>
      <c r="K102" t="s">
        <v>74</v>
      </c>
      <c r="L102" t="s">
        <v>74</v>
      </c>
      <c r="M102" t="s">
        <v>78</v>
      </c>
      <c r="N102" t="s">
        <v>79</v>
      </c>
      <c r="O102" t="s">
        <v>74</v>
      </c>
      <c r="P102" t="s">
        <v>74</v>
      </c>
      <c r="Q102" t="s">
        <v>74</v>
      </c>
      <c r="R102" t="s">
        <v>74</v>
      </c>
      <c r="S102" t="s">
        <v>74</v>
      </c>
      <c r="T102" t="s">
        <v>74</v>
      </c>
      <c r="U102" t="s">
        <v>2234</v>
      </c>
      <c r="V102" t="s">
        <v>2235</v>
      </c>
      <c r="W102" t="s">
        <v>2236</v>
      </c>
      <c r="X102" t="s">
        <v>2237</v>
      </c>
      <c r="Y102" t="s">
        <v>2238</v>
      </c>
      <c r="Z102" t="s">
        <v>2239</v>
      </c>
      <c r="AA102" t="s">
        <v>74</v>
      </c>
      <c r="AB102" t="s">
        <v>74</v>
      </c>
      <c r="AC102" t="s">
        <v>74</v>
      </c>
      <c r="AD102" t="s">
        <v>74</v>
      </c>
      <c r="AE102" t="s">
        <v>74</v>
      </c>
      <c r="AF102" t="s">
        <v>74</v>
      </c>
      <c r="AG102">
        <v>24</v>
      </c>
      <c r="AH102">
        <v>43</v>
      </c>
      <c r="AI102">
        <v>45</v>
      </c>
      <c r="AJ102">
        <v>3</v>
      </c>
      <c r="AK102">
        <v>32</v>
      </c>
      <c r="AL102" t="s">
        <v>367</v>
      </c>
      <c r="AM102" t="s">
        <v>275</v>
      </c>
      <c r="AN102" t="s">
        <v>368</v>
      </c>
      <c r="AO102" t="s">
        <v>2240</v>
      </c>
      <c r="AP102" t="s">
        <v>2241</v>
      </c>
      <c r="AQ102" t="s">
        <v>74</v>
      </c>
      <c r="AR102" t="s">
        <v>2242</v>
      </c>
      <c r="AS102" t="s">
        <v>2243</v>
      </c>
      <c r="AT102" t="s">
        <v>74</v>
      </c>
      <c r="AU102">
        <v>2018</v>
      </c>
      <c r="AV102">
        <v>2018</v>
      </c>
      <c r="AW102" t="s">
        <v>74</v>
      </c>
      <c r="AX102" t="s">
        <v>74</v>
      </c>
      <c r="AY102" t="s">
        <v>74</v>
      </c>
      <c r="AZ102" t="s">
        <v>74</v>
      </c>
      <c r="BA102" t="s">
        <v>74</v>
      </c>
      <c r="BB102" t="s">
        <v>74</v>
      </c>
      <c r="BC102" t="s">
        <v>74</v>
      </c>
      <c r="BD102">
        <v>7492024</v>
      </c>
      <c r="BE102" t="s">
        <v>2244</v>
      </c>
      <c r="BF102" t="str">
        <f>HYPERLINK("http://dx.doi.org/10.1155/2018/7492024","http://dx.doi.org/10.1155/2018/7492024")</f>
        <v>http://dx.doi.org/10.1155/2018/7492024</v>
      </c>
      <c r="BG102" t="s">
        <v>74</v>
      </c>
      <c r="BH102" t="s">
        <v>74</v>
      </c>
      <c r="BI102">
        <v>9</v>
      </c>
      <c r="BJ102" t="s">
        <v>423</v>
      </c>
      <c r="BK102" t="s">
        <v>182</v>
      </c>
      <c r="BL102" t="s">
        <v>423</v>
      </c>
      <c r="BM102" t="s">
        <v>2245</v>
      </c>
      <c r="BN102">
        <v>29973978</v>
      </c>
      <c r="BO102" t="s">
        <v>2246</v>
      </c>
      <c r="BP102" t="s">
        <v>74</v>
      </c>
      <c r="BQ102" t="s">
        <v>74</v>
      </c>
      <c r="BR102" t="s">
        <v>105</v>
      </c>
      <c r="BS102" t="s">
        <v>2247</v>
      </c>
      <c r="BT102" t="str">
        <f>HYPERLINK("https%3A%2F%2Fwww.webofscience.com%2Fwos%2Fwoscc%2Ffull-record%2FWOS:000435794200001","View Full Record in Web of Science")</f>
        <v>View Full Record in Web of Science</v>
      </c>
    </row>
    <row r="103" spans="1:72" x14ac:dyDescent="0.25">
      <c r="A103" t="s">
        <v>72</v>
      </c>
      <c r="B103" t="s">
        <v>2248</v>
      </c>
      <c r="C103" t="s">
        <v>74</v>
      </c>
      <c r="D103" t="s">
        <v>74</v>
      </c>
      <c r="E103" t="s">
        <v>74</v>
      </c>
      <c r="F103" t="s">
        <v>2249</v>
      </c>
      <c r="G103" t="s">
        <v>74</v>
      </c>
      <c r="H103" t="s">
        <v>74</v>
      </c>
      <c r="I103" t="s">
        <v>2250</v>
      </c>
      <c r="J103" t="s">
        <v>2251</v>
      </c>
      <c r="K103" t="s">
        <v>74</v>
      </c>
      <c r="L103" t="s">
        <v>74</v>
      </c>
      <c r="M103" t="s">
        <v>78</v>
      </c>
      <c r="N103" t="s">
        <v>79</v>
      </c>
      <c r="O103" t="s">
        <v>74</v>
      </c>
      <c r="P103" t="s">
        <v>74</v>
      </c>
      <c r="Q103" t="s">
        <v>74</v>
      </c>
      <c r="R103" t="s">
        <v>74</v>
      </c>
      <c r="S103" t="s">
        <v>74</v>
      </c>
      <c r="T103" t="s">
        <v>2252</v>
      </c>
      <c r="U103" t="s">
        <v>2253</v>
      </c>
      <c r="V103" t="s">
        <v>2254</v>
      </c>
      <c r="W103" t="s">
        <v>2255</v>
      </c>
      <c r="X103" t="s">
        <v>2256</v>
      </c>
      <c r="Y103" t="s">
        <v>2257</v>
      </c>
      <c r="Z103" t="s">
        <v>2258</v>
      </c>
      <c r="AA103" t="s">
        <v>2259</v>
      </c>
      <c r="AB103" t="s">
        <v>2260</v>
      </c>
      <c r="AC103" t="s">
        <v>2261</v>
      </c>
      <c r="AD103" t="s">
        <v>1266</v>
      </c>
      <c r="AE103" t="s">
        <v>74</v>
      </c>
      <c r="AF103" t="s">
        <v>74</v>
      </c>
      <c r="AG103">
        <v>268</v>
      </c>
      <c r="AH103">
        <v>180</v>
      </c>
      <c r="AI103">
        <v>190</v>
      </c>
      <c r="AJ103">
        <v>43</v>
      </c>
      <c r="AK103">
        <v>131</v>
      </c>
      <c r="AL103" t="s">
        <v>1605</v>
      </c>
      <c r="AM103" t="s">
        <v>1606</v>
      </c>
      <c r="AN103" t="s">
        <v>1607</v>
      </c>
      <c r="AO103" t="s">
        <v>2262</v>
      </c>
      <c r="AP103" t="s">
        <v>2263</v>
      </c>
      <c r="AQ103" t="s">
        <v>74</v>
      </c>
      <c r="AR103" t="s">
        <v>2264</v>
      </c>
      <c r="AS103" t="s">
        <v>2265</v>
      </c>
      <c r="AT103" t="s">
        <v>126</v>
      </c>
      <c r="AU103">
        <v>2021</v>
      </c>
      <c r="AV103">
        <v>178</v>
      </c>
      <c r="AW103" t="s">
        <v>74</v>
      </c>
      <c r="AX103" t="s">
        <v>74</v>
      </c>
      <c r="AY103" t="s">
        <v>74</v>
      </c>
      <c r="AZ103" t="s">
        <v>74</v>
      </c>
      <c r="BA103" t="s">
        <v>74</v>
      </c>
      <c r="BB103" t="s">
        <v>74</v>
      </c>
      <c r="BC103" t="s">
        <v>74</v>
      </c>
      <c r="BD103">
        <v>113958</v>
      </c>
      <c r="BE103" t="s">
        <v>2266</v>
      </c>
      <c r="BF103" t="str">
        <f>HYPERLINK("http://dx.doi.org/10.1016/j.addr.2021.113958","http://dx.doi.org/10.1016/j.addr.2021.113958")</f>
        <v>http://dx.doi.org/10.1016/j.addr.2021.113958</v>
      </c>
      <c r="BG103" t="s">
        <v>74</v>
      </c>
      <c r="BH103" t="s">
        <v>2267</v>
      </c>
      <c r="BI103">
        <v>20</v>
      </c>
      <c r="BJ103" t="s">
        <v>2268</v>
      </c>
      <c r="BK103" t="s">
        <v>182</v>
      </c>
      <c r="BL103" t="s">
        <v>2268</v>
      </c>
      <c r="BM103" t="s">
        <v>2269</v>
      </c>
      <c r="BN103">
        <v>34478781</v>
      </c>
      <c r="BO103" t="s">
        <v>2246</v>
      </c>
      <c r="BP103" t="s">
        <v>869</v>
      </c>
      <c r="BQ103" t="s">
        <v>870</v>
      </c>
      <c r="BR103" t="s">
        <v>105</v>
      </c>
      <c r="BS103" t="s">
        <v>2270</v>
      </c>
      <c r="BT103" t="str">
        <f>HYPERLINK("https%3A%2F%2Fwww.webofscience.com%2Fwos%2Fwoscc%2Ffull-record%2FWOS:000711618200001","View Full Record in Web of Science")</f>
        <v>View Full Record in Web of Science</v>
      </c>
    </row>
    <row r="104" spans="1:72" x14ac:dyDescent="0.25">
      <c r="A104" t="s">
        <v>72</v>
      </c>
      <c r="B104" t="s">
        <v>2271</v>
      </c>
      <c r="C104" t="s">
        <v>74</v>
      </c>
      <c r="D104" t="s">
        <v>74</v>
      </c>
      <c r="E104" t="s">
        <v>74</v>
      </c>
      <c r="F104" t="s">
        <v>2272</v>
      </c>
      <c r="G104" t="s">
        <v>74</v>
      </c>
      <c r="H104" t="s">
        <v>74</v>
      </c>
      <c r="I104" t="s">
        <v>2273</v>
      </c>
      <c r="J104" t="s">
        <v>2274</v>
      </c>
      <c r="K104" t="s">
        <v>74</v>
      </c>
      <c r="L104" t="s">
        <v>74</v>
      </c>
      <c r="M104" t="s">
        <v>78</v>
      </c>
      <c r="N104" t="s">
        <v>79</v>
      </c>
      <c r="O104" t="s">
        <v>74</v>
      </c>
      <c r="P104" t="s">
        <v>74</v>
      </c>
      <c r="Q104" t="s">
        <v>74</v>
      </c>
      <c r="R104" t="s">
        <v>74</v>
      </c>
      <c r="S104" t="s">
        <v>74</v>
      </c>
      <c r="T104" t="s">
        <v>2275</v>
      </c>
      <c r="U104" t="s">
        <v>2276</v>
      </c>
      <c r="V104" t="s">
        <v>2277</v>
      </c>
      <c r="W104" t="s">
        <v>2278</v>
      </c>
      <c r="X104" t="s">
        <v>2279</v>
      </c>
      <c r="Y104" t="s">
        <v>2280</v>
      </c>
      <c r="Z104" t="s">
        <v>2281</v>
      </c>
      <c r="AA104" t="s">
        <v>74</v>
      </c>
      <c r="AB104" t="s">
        <v>74</v>
      </c>
      <c r="AC104" t="s">
        <v>2282</v>
      </c>
      <c r="AD104" t="s">
        <v>2283</v>
      </c>
      <c r="AE104" t="s">
        <v>2284</v>
      </c>
      <c r="AF104" t="s">
        <v>74</v>
      </c>
      <c r="AG104">
        <v>115</v>
      </c>
      <c r="AH104">
        <v>0</v>
      </c>
      <c r="AI104">
        <v>0</v>
      </c>
      <c r="AJ104">
        <v>14</v>
      </c>
      <c r="AK104">
        <v>14</v>
      </c>
      <c r="AL104" t="s">
        <v>297</v>
      </c>
      <c r="AM104" t="s">
        <v>298</v>
      </c>
      <c r="AN104" t="s">
        <v>2285</v>
      </c>
      <c r="AO104" t="s">
        <v>2286</v>
      </c>
      <c r="AP104" t="s">
        <v>74</v>
      </c>
      <c r="AQ104" t="s">
        <v>74</v>
      </c>
      <c r="AR104" t="s">
        <v>2287</v>
      </c>
      <c r="AS104" t="s">
        <v>2288</v>
      </c>
      <c r="AT104" t="s">
        <v>326</v>
      </c>
      <c r="AU104">
        <v>2025</v>
      </c>
      <c r="AV104">
        <v>10</v>
      </c>
      <c r="AW104">
        <v>10</v>
      </c>
      <c r="AX104" t="s">
        <v>74</v>
      </c>
      <c r="AY104" t="s">
        <v>74</v>
      </c>
      <c r="AZ104" t="s">
        <v>74</v>
      </c>
      <c r="BA104" t="s">
        <v>74</v>
      </c>
      <c r="BB104" t="s">
        <v>74</v>
      </c>
      <c r="BC104" t="s">
        <v>74</v>
      </c>
      <c r="BD104" t="s">
        <v>74</v>
      </c>
      <c r="BE104" t="s">
        <v>2289</v>
      </c>
      <c r="BF104" t="str">
        <f>HYPERLINK("http://dx.doi.org/10.1002/admt.202401530","http://dx.doi.org/10.1002/admt.202401530")</f>
        <v>http://dx.doi.org/10.1002/admt.202401530</v>
      </c>
      <c r="BG104" t="s">
        <v>74</v>
      </c>
      <c r="BH104" t="s">
        <v>2290</v>
      </c>
      <c r="BI104">
        <v>21</v>
      </c>
      <c r="BJ104" t="s">
        <v>2291</v>
      </c>
      <c r="BK104" t="s">
        <v>182</v>
      </c>
      <c r="BL104" t="s">
        <v>2292</v>
      </c>
      <c r="BM104" t="s">
        <v>2293</v>
      </c>
      <c r="BN104" t="s">
        <v>74</v>
      </c>
      <c r="BO104" t="s">
        <v>74</v>
      </c>
      <c r="BP104" t="s">
        <v>74</v>
      </c>
      <c r="BQ104" t="s">
        <v>74</v>
      </c>
      <c r="BR104" t="s">
        <v>105</v>
      </c>
      <c r="BS104" t="s">
        <v>2294</v>
      </c>
      <c r="BT104" t="str">
        <f>HYPERLINK("https%3A%2F%2Fwww.webofscience.com%2Fwos%2Fwoscc%2Ffull-record%2FWOS:001388394400001","View Full Record in Web of Science")</f>
        <v>View Full Record in Web of Science</v>
      </c>
    </row>
    <row r="105" spans="1:72" x14ac:dyDescent="0.25">
      <c r="A105" t="s">
        <v>72</v>
      </c>
      <c r="B105" t="s">
        <v>2295</v>
      </c>
      <c r="C105" t="s">
        <v>74</v>
      </c>
      <c r="D105" t="s">
        <v>74</v>
      </c>
      <c r="E105" t="s">
        <v>74</v>
      </c>
      <c r="F105" t="s">
        <v>2296</v>
      </c>
      <c r="G105" t="s">
        <v>74</v>
      </c>
      <c r="H105" t="s">
        <v>74</v>
      </c>
      <c r="I105" t="s">
        <v>2297</v>
      </c>
      <c r="J105" t="s">
        <v>2298</v>
      </c>
      <c r="K105" t="s">
        <v>74</v>
      </c>
      <c r="L105" t="s">
        <v>74</v>
      </c>
      <c r="M105" t="s">
        <v>78</v>
      </c>
      <c r="N105" t="s">
        <v>79</v>
      </c>
      <c r="O105" t="s">
        <v>74</v>
      </c>
      <c r="P105" t="s">
        <v>74</v>
      </c>
      <c r="Q105" t="s">
        <v>74</v>
      </c>
      <c r="R105" t="s">
        <v>74</v>
      </c>
      <c r="S105" t="s">
        <v>74</v>
      </c>
      <c r="T105" t="s">
        <v>2299</v>
      </c>
      <c r="U105" t="s">
        <v>2300</v>
      </c>
      <c r="V105" t="s">
        <v>2301</v>
      </c>
      <c r="W105" t="s">
        <v>2302</v>
      </c>
      <c r="X105" t="s">
        <v>2303</v>
      </c>
      <c r="Y105" t="s">
        <v>2304</v>
      </c>
      <c r="Z105" t="s">
        <v>74</v>
      </c>
      <c r="AA105" t="s">
        <v>74</v>
      </c>
      <c r="AB105" t="s">
        <v>74</v>
      </c>
      <c r="AC105" t="s">
        <v>74</v>
      </c>
      <c r="AD105" t="s">
        <v>74</v>
      </c>
      <c r="AE105" t="s">
        <v>74</v>
      </c>
      <c r="AF105" t="s">
        <v>74</v>
      </c>
      <c r="AG105">
        <v>102</v>
      </c>
      <c r="AH105">
        <v>41</v>
      </c>
      <c r="AI105">
        <v>51</v>
      </c>
      <c r="AJ105">
        <v>1</v>
      </c>
      <c r="AK105">
        <v>33</v>
      </c>
      <c r="AL105" t="s">
        <v>253</v>
      </c>
      <c r="AM105" t="s">
        <v>227</v>
      </c>
      <c r="AN105" t="s">
        <v>254</v>
      </c>
      <c r="AO105" t="s">
        <v>2305</v>
      </c>
      <c r="AP105" t="s">
        <v>2306</v>
      </c>
      <c r="AQ105" t="s">
        <v>74</v>
      </c>
      <c r="AR105" t="s">
        <v>2307</v>
      </c>
      <c r="AS105" t="s">
        <v>2308</v>
      </c>
      <c r="AT105" t="s">
        <v>2309</v>
      </c>
      <c r="AU105">
        <v>2006</v>
      </c>
      <c r="AV105">
        <v>18</v>
      </c>
      <c r="AW105">
        <v>2</v>
      </c>
      <c r="AX105" t="s">
        <v>74</v>
      </c>
      <c r="AY105" t="s">
        <v>74</v>
      </c>
      <c r="AZ105" t="s">
        <v>74</v>
      </c>
      <c r="BA105" t="s">
        <v>74</v>
      </c>
      <c r="BB105">
        <v>181</v>
      </c>
      <c r="BC105">
        <v>195</v>
      </c>
      <c r="BD105" t="s">
        <v>74</v>
      </c>
      <c r="BE105" t="s">
        <v>2310</v>
      </c>
      <c r="BF105" t="str">
        <f>HYPERLINK("http://dx.doi.org/10.1080/10400435.2006.10131917","http://dx.doi.org/10.1080/10400435.2006.10131917")</f>
        <v>http://dx.doi.org/10.1080/10400435.2006.10131917</v>
      </c>
      <c r="BG105" t="s">
        <v>74</v>
      </c>
      <c r="BH105" t="s">
        <v>74</v>
      </c>
      <c r="BI105">
        <v>15</v>
      </c>
      <c r="BJ105" t="s">
        <v>101</v>
      </c>
      <c r="BK105" t="s">
        <v>462</v>
      </c>
      <c r="BL105" t="s">
        <v>101</v>
      </c>
      <c r="BM105" t="s">
        <v>2311</v>
      </c>
      <c r="BN105">
        <v>17236477</v>
      </c>
      <c r="BO105" t="s">
        <v>74</v>
      </c>
      <c r="BP105" t="s">
        <v>74</v>
      </c>
      <c r="BQ105" t="s">
        <v>74</v>
      </c>
      <c r="BR105" t="s">
        <v>105</v>
      </c>
      <c r="BS105" t="s">
        <v>2312</v>
      </c>
      <c r="BT105" t="str">
        <f>HYPERLINK("https%3A%2F%2Fwww.webofscience.com%2Fwos%2Fwoscc%2Ffull-record%2FWOS:000242285200006","View Full Record in Web of Science")</f>
        <v>View Full Record in Web of Science</v>
      </c>
    </row>
    <row r="106" spans="1:72" x14ac:dyDescent="0.25">
      <c r="A106" t="s">
        <v>72</v>
      </c>
      <c r="B106" t="s">
        <v>2313</v>
      </c>
      <c r="C106" t="s">
        <v>74</v>
      </c>
      <c r="D106" t="s">
        <v>74</v>
      </c>
      <c r="E106" t="s">
        <v>74</v>
      </c>
      <c r="F106" t="s">
        <v>2314</v>
      </c>
      <c r="G106" t="s">
        <v>74</v>
      </c>
      <c r="H106" t="s">
        <v>74</v>
      </c>
      <c r="I106" t="s">
        <v>2315</v>
      </c>
      <c r="J106" t="s">
        <v>892</v>
      </c>
      <c r="K106" t="s">
        <v>74</v>
      </c>
      <c r="L106" t="s">
        <v>74</v>
      </c>
      <c r="M106" t="s">
        <v>78</v>
      </c>
      <c r="N106" t="s">
        <v>79</v>
      </c>
      <c r="O106" t="s">
        <v>74</v>
      </c>
      <c r="P106" t="s">
        <v>74</v>
      </c>
      <c r="Q106" t="s">
        <v>74</v>
      </c>
      <c r="R106" t="s">
        <v>74</v>
      </c>
      <c r="S106" t="s">
        <v>74</v>
      </c>
      <c r="T106" t="s">
        <v>2316</v>
      </c>
      <c r="U106" t="s">
        <v>2317</v>
      </c>
      <c r="V106" t="s">
        <v>2318</v>
      </c>
      <c r="W106" t="s">
        <v>2319</v>
      </c>
      <c r="X106" t="s">
        <v>2320</v>
      </c>
      <c r="Y106" t="s">
        <v>2321</v>
      </c>
      <c r="Z106" t="s">
        <v>2322</v>
      </c>
      <c r="AA106" t="s">
        <v>2323</v>
      </c>
      <c r="AB106" t="s">
        <v>2324</v>
      </c>
      <c r="AC106" t="s">
        <v>74</v>
      </c>
      <c r="AD106" t="s">
        <v>74</v>
      </c>
      <c r="AE106" t="s">
        <v>74</v>
      </c>
      <c r="AF106" t="s">
        <v>74</v>
      </c>
      <c r="AG106">
        <v>56</v>
      </c>
      <c r="AH106">
        <v>8</v>
      </c>
      <c r="AI106">
        <v>8</v>
      </c>
      <c r="AJ106">
        <v>1</v>
      </c>
      <c r="AK106">
        <v>15</v>
      </c>
      <c r="AL106" t="s">
        <v>120</v>
      </c>
      <c r="AM106" t="s">
        <v>121</v>
      </c>
      <c r="AN106" t="s">
        <v>1221</v>
      </c>
      <c r="AO106" t="s">
        <v>74</v>
      </c>
      <c r="AP106" t="s">
        <v>905</v>
      </c>
      <c r="AQ106" t="s">
        <v>74</v>
      </c>
      <c r="AR106" t="s">
        <v>906</v>
      </c>
      <c r="AS106" t="s">
        <v>907</v>
      </c>
      <c r="AT106" t="s">
        <v>1734</v>
      </c>
      <c r="AU106">
        <v>2022</v>
      </c>
      <c r="AV106">
        <v>19</v>
      </c>
      <c r="AW106">
        <v>14</v>
      </c>
      <c r="AX106" t="s">
        <v>74</v>
      </c>
      <c r="AY106" t="s">
        <v>74</v>
      </c>
      <c r="AZ106" t="s">
        <v>74</v>
      </c>
      <c r="BA106" t="s">
        <v>74</v>
      </c>
      <c r="BB106" t="s">
        <v>74</v>
      </c>
      <c r="BC106" t="s">
        <v>74</v>
      </c>
      <c r="BD106">
        <v>8772</v>
      </c>
      <c r="BE106" t="s">
        <v>2325</v>
      </c>
      <c r="BF106" t="str">
        <f>HYPERLINK("http://dx.doi.org/10.3390/ijerph19148772","http://dx.doi.org/10.3390/ijerph19148772")</f>
        <v>http://dx.doi.org/10.3390/ijerph19148772</v>
      </c>
      <c r="BG106" t="s">
        <v>74</v>
      </c>
      <c r="BH106" t="s">
        <v>74</v>
      </c>
      <c r="BI106">
        <v>15</v>
      </c>
      <c r="BJ106" t="s">
        <v>909</v>
      </c>
      <c r="BK106" t="s">
        <v>102</v>
      </c>
      <c r="BL106" t="s">
        <v>910</v>
      </c>
      <c r="BM106" t="s">
        <v>2326</v>
      </c>
      <c r="BN106">
        <v>35886624</v>
      </c>
      <c r="BO106" t="s">
        <v>355</v>
      </c>
      <c r="BP106" t="s">
        <v>74</v>
      </c>
      <c r="BQ106" t="s">
        <v>74</v>
      </c>
      <c r="BR106" t="s">
        <v>105</v>
      </c>
      <c r="BS106" t="s">
        <v>2327</v>
      </c>
      <c r="BT106" t="str">
        <f>HYPERLINK("https%3A%2F%2Fwww.webofscience.com%2Fwos%2Fwoscc%2Ffull-record%2FWOS:000833333300001","View Full Record in Web of Science")</f>
        <v>View Full Record in Web of Science</v>
      </c>
    </row>
    <row r="107" spans="1:72" x14ac:dyDescent="0.25">
      <c r="A107" t="s">
        <v>72</v>
      </c>
      <c r="B107" t="s">
        <v>2328</v>
      </c>
      <c r="C107" t="s">
        <v>74</v>
      </c>
      <c r="D107" t="s">
        <v>74</v>
      </c>
      <c r="E107" t="s">
        <v>74</v>
      </c>
      <c r="F107" t="s">
        <v>2329</v>
      </c>
      <c r="G107" t="s">
        <v>74</v>
      </c>
      <c r="H107" t="s">
        <v>74</v>
      </c>
      <c r="I107" t="s">
        <v>2330</v>
      </c>
      <c r="J107" t="s">
        <v>1674</v>
      </c>
      <c r="K107" t="s">
        <v>74</v>
      </c>
      <c r="L107" t="s">
        <v>74</v>
      </c>
      <c r="M107" t="s">
        <v>78</v>
      </c>
      <c r="N107" t="s">
        <v>79</v>
      </c>
      <c r="O107" t="s">
        <v>74</v>
      </c>
      <c r="P107" t="s">
        <v>74</v>
      </c>
      <c r="Q107" t="s">
        <v>74</v>
      </c>
      <c r="R107" t="s">
        <v>74</v>
      </c>
      <c r="S107" t="s">
        <v>74</v>
      </c>
      <c r="T107" t="s">
        <v>2331</v>
      </c>
      <c r="U107" t="s">
        <v>2332</v>
      </c>
      <c r="V107" t="s">
        <v>2333</v>
      </c>
      <c r="W107" t="s">
        <v>2334</v>
      </c>
      <c r="X107" t="s">
        <v>2335</v>
      </c>
      <c r="Y107" t="s">
        <v>2336</v>
      </c>
      <c r="Z107" t="s">
        <v>2337</v>
      </c>
      <c r="AA107" t="s">
        <v>2338</v>
      </c>
      <c r="AB107" t="s">
        <v>2339</v>
      </c>
      <c r="AC107" t="s">
        <v>2340</v>
      </c>
      <c r="AD107" t="s">
        <v>2341</v>
      </c>
      <c r="AE107" t="s">
        <v>2342</v>
      </c>
      <c r="AF107" t="s">
        <v>74</v>
      </c>
      <c r="AG107">
        <v>96</v>
      </c>
      <c r="AH107">
        <v>61</v>
      </c>
      <c r="AI107">
        <v>73</v>
      </c>
      <c r="AJ107">
        <v>5</v>
      </c>
      <c r="AK107">
        <v>193</v>
      </c>
      <c r="AL107" t="s">
        <v>531</v>
      </c>
      <c r="AM107" t="s">
        <v>2343</v>
      </c>
      <c r="AN107" t="s">
        <v>2344</v>
      </c>
      <c r="AO107" t="s">
        <v>1687</v>
      </c>
      <c r="AP107" t="s">
        <v>1688</v>
      </c>
      <c r="AQ107" t="s">
        <v>74</v>
      </c>
      <c r="AR107" t="s">
        <v>1689</v>
      </c>
      <c r="AS107" t="s">
        <v>1690</v>
      </c>
      <c r="AT107" t="s">
        <v>1734</v>
      </c>
      <c r="AU107">
        <v>2016</v>
      </c>
      <c r="AV107">
        <v>38</v>
      </c>
      <c r="AW107">
        <v>7</v>
      </c>
      <c r="AX107" t="s">
        <v>74</v>
      </c>
      <c r="AY107" t="s">
        <v>74</v>
      </c>
      <c r="AZ107" t="s">
        <v>74</v>
      </c>
      <c r="BA107" t="s">
        <v>74</v>
      </c>
      <c r="BB107">
        <v>587</v>
      </c>
      <c r="BC107">
        <v>606</v>
      </c>
      <c r="BD107" t="s">
        <v>74</v>
      </c>
      <c r="BE107" t="s">
        <v>2345</v>
      </c>
      <c r="BF107" t="str">
        <f>HYPERLINK("http://dx.doi.org/10.1016/j.medengphy.2016.04.004","http://dx.doi.org/10.1016/j.medengphy.2016.04.004")</f>
        <v>http://dx.doi.org/10.1016/j.medengphy.2016.04.004</v>
      </c>
      <c r="BG107" t="s">
        <v>74</v>
      </c>
      <c r="BH107" t="s">
        <v>74</v>
      </c>
      <c r="BI107">
        <v>20</v>
      </c>
      <c r="BJ107" t="s">
        <v>282</v>
      </c>
      <c r="BK107" t="s">
        <v>182</v>
      </c>
      <c r="BL107" t="s">
        <v>183</v>
      </c>
      <c r="BM107" t="s">
        <v>2346</v>
      </c>
      <c r="BN107">
        <v>27117423</v>
      </c>
      <c r="BO107" t="s">
        <v>74</v>
      </c>
      <c r="BP107" t="s">
        <v>74</v>
      </c>
      <c r="BQ107" t="s">
        <v>74</v>
      </c>
      <c r="BR107" t="s">
        <v>105</v>
      </c>
      <c r="BS107" t="s">
        <v>2347</v>
      </c>
      <c r="BT107" t="str">
        <f>HYPERLINK("https%3A%2F%2Fwww.webofscience.com%2Fwos%2Fwoscc%2Ffull-record%2FWOS:000378364300001","View Full Record in Web of Science")</f>
        <v>View Full Record in Web of Science</v>
      </c>
    </row>
    <row r="108" spans="1:72" x14ac:dyDescent="0.25">
      <c r="A108" t="s">
        <v>72</v>
      </c>
      <c r="B108" t="s">
        <v>2348</v>
      </c>
      <c r="C108" t="s">
        <v>74</v>
      </c>
      <c r="D108" t="s">
        <v>74</v>
      </c>
      <c r="E108" t="s">
        <v>74</v>
      </c>
      <c r="F108" t="s">
        <v>2349</v>
      </c>
      <c r="G108" t="s">
        <v>74</v>
      </c>
      <c r="H108" t="s">
        <v>74</v>
      </c>
      <c r="I108" t="s">
        <v>2350</v>
      </c>
      <c r="J108" t="s">
        <v>1920</v>
      </c>
      <c r="K108" t="s">
        <v>74</v>
      </c>
      <c r="L108" t="s">
        <v>74</v>
      </c>
      <c r="M108" t="s">
        <v>78</v>
      </c>
      <c r="N108" t="s">
        <v>79</v>
      </c>
      <c r="O108" t="s">
        <v>74</v>
      </c>
      <c r="P108" t="s">
        <v>74</v>
      </c>
      <c r="Q108" t="s">
        <v>74</v>
      </c>
      <c r="R108" t="s">
        <v>74</v>
      </c>
      <c r="S108" t="s">
        <v>74</v>
      </c>
      <c r="T108" t="s">
        <v>2351</v>
      </c>
      <c r="U108" t="s">
        <v>2352</v>
      </c>
      <c r="V108" t="s">
        <v>2353</v>
      </c>
      <c r="W108" t="s">
        <v>2354</v>
      </c>
      <c r="X108" t="s">
        <v>2355</v>
      </c>
      <c r="Y108" t="s">
        <v>2356</v>
      </c>
      <c r="Z108" t="s">
        <v>2357</v>
      </c>
      <c r="AA108" t="s">
        <v>2358</v>
      </c>
      <c r="AB108" t="s">
        <v>2359</v>
      </c>
      <c r="AC108" t="s">
        <v>2360</v>
      </c>
      <c r="AD108" t="s">
        <v>2360</v>
      </c>
      <c r="AE108" t="s">
        <v>2361</v>
      </c>
      <c r="AF108" t="s">
        <v>74</v>
      </c>
      <c r="AG108">
        <v>55</v>
      </c>
      <c r="AH108">
        <v>3</v>
      </c>
      <c r="AI108">
        <v>3</v>
      </c>
      <c r="AJ108">
        <v>8</v>
      </c>
      <c r="AK108">
        <v>20</v>
      </c>
      <c r="AL108" t="s">
        <v>1114</v>
      </c>
      <c r="AM108" t="s">
        <v>1115</v>
      </c>
      <c r="AN108" t="s">
        <v>1116</v>
      </c>
      <c r="AO108" t="s">
        <v>74</v>
      </c>
      <c r="AP108" t="s">
        <v>1933</v>
      </c>
      <c r="AQ108" t="s">
        <v>74</v>
      </c>
      <c r="AR108" t="s">
        <v>1934</v>
      </c>
      <c r="AS108" t="s">
        <v>1935</v>
      </c>
      <c r="AT108" t="s">
        <v>126</v>
      </c>
      <c r="AU108">
        <v>2023</v>
      </c>
      <c r="AV108">
        <v>5</v>
      </c>
      <c r="AW108">
        <v>4</v>
      </c>
      <c r="AX108" t="s">
        <v>74</v>
      </c>
      <c r="AY108" t="s">
        <v>74</v>
      </c>
      <c r="AZ108" t="s">
        <v>74</v>
      </c>
      <c r="BA108" t="s">
        <v>74</v>
      </c>
      <c r="BB108">
        <v>768</v>
      </c>
      <c r="BC108">
        <v>779</v>
      </c>
      <c r="BD108" t="s">
        <v>74</v>
      </c>
      <c r="BE108" t="s">
        <v>2362</v>
      </c>
      <c r="BF108" t="str">
        <f>HYPERLINK("http://dx.doi.org/10.1109/TMRB.2023.3310040","http://dx.doi.org/10.1109/TMRB.2023.3310040")</f>
        <v>http://dx.doi.org/10.1109/TMRB.2023.3310040</v>
      </c>
      <c r="BG108" t="s">
        <v>74</v>
      </c>
      <c r="BH108" t="s">
        <v>74</v>
      </c>
      <c r="BI108">
        <v>12</v>
      </c>
      <c r="BJ108" t="s">
        <v>1937</v>
      </c>
      <c r="BK108" t="s">
        <v>155</v>
      </c>
      <c r="BL108" t="s">
        <v>1938</v>
      </c>
      <c r="BM108" t="s">
        <v>1939</v>
      </c>
      <c r="BN108" t="s">
        <v>74</v>
      </c>
      <c r="BO108" t="s">
        <v>74</v>
      </c>
      <c r="BP108" t="s">
        <v>74</v>
      </c>
      <c r="BQ108" t="s">
        <v>74</v>
      </c>
      <c r="BR108" t="s">
        <v>105</v>
      </c>
      <c r="BS108" t="s">
        <v>2363</v>
      </c>
      <c r="BT108" t="str">
        <f>HYPERLINK("https%3A%2F%2Fwww.webofscience.com%2Fwos%2Fwoscc%2Ffull-record%2FWOS:001105153800008","View Full Record in Web of Science")</f>
        <v>View Full Record in Web of Science</v>
      </c>
    </row>
    <row r="109" spans="1:72" x14ac:dyDescent="0.25">
      <c r="A109" t="s">
        <v>72</v>
      </c>
      <c r="B109" t="s">
        <v>2364</v>
      </c>
      <c r="C109" t="s">
        <v>74</v>
      </c>
      <c r="D109" t="s">
        <v>74</v>
      </c>
      <c r="E109" t="s">
        <v>74</v>
      </c>
      <c r="F109" t="s">
        <v>2365</v>
      </c>
      <c r="G109" t="s">
        <v>74</v>
      </c>
      <c r="H109" t="s">
        <v>74</v>
      </c>
      <c r="I109" t="s">
        <v>2366</v>
      </c>
      <c r="J109" t="s">
        <v>2367</v>
      </c>
      <c r="K109" t="s">
        <v>74</v>
      </c>
      <c r="L109" t="s">
        <v>74</v>
      </c>
      <c r="M109" t="s">
        <v>78</v>
      </c>
      <c r="N109" t="s">
        <v>79</v>
      </c>
      <c r="O109" t="s">
        <v>74</v>
      </c>
      <c r="P109" t="s">
        <v>74</v>
      </c>
      <c r="Q109" t="s">
        <v>74</v>
      </c>
      <c r="R109" t="s">
        <v>74</v>
      </c>
      <c r="S109" t="s">
        <v>74</v>
      </c>
      <c r="T109" t="s">
        <v>74</v>
      </c>
      <c r="U109" t="s">
        <v>2368</v>
      </c>
      <c r="V109" t="s">
        <v>2369</v>
      </c>
      <c r="W109" t="s">
        <v>2370</v>
      </c>
      <c r="X109" t="s">
        <v>2371</v>
      </c>
      <c r="Y109" t="s">
        <v>2372</v>
      </c>
      <c r="Z109" t="s">
        <v>2373</v>
      </c>
      <c r="AA109" t="s">
        <v>2374</v>
      </c>
      <c r="AB109" t="s">
        <v>2375</v>
      </c>
      <c r="AC109" t="s">
        <v>74</v>
      </c>
      <c r="AD109" t="s">
        <v>74</v>
      </c>
      <c r="AE109" t="s">
        <v>74</v>
      </c>
      <c r="AF109" t="s">
        <v>74</v>
      </c>
      <c r="AG109">
        <v>356</v>
      </c>
      <c r="AH109">
        <v>8</v>
      </c>
      <c r="AI109">
        <v>8</v>
      </c>
      <c r="AJ109">
        <v>11</v>
      </c>
      <c r="AK109">
        <v>75</v>
      </c>
      <c r="AL109" t="s">
        <v>172</v>
      </c>
      <c r="AM109" t="s">
        <v>173</v>
      </c>
      <c r="AN109" t="s">
        <v>174</v>
      </c>
      <c r="AO109" t="s">
        <v>2376</v>
      </c>
      <c r="AP109" t="s">
        <v>2377</v>
      </c>
      <c r="AQ109" t="s">
        <v>74</v>
      </c>
      <c r="AR109" t="s">
        <v>2378</v>
      </c>
      <c r="AS109" t="s">
        <v>2379</v>
      </c>
      <c r="AT109" t="s">
        <v>634</v>
      </c>
      <c r="AU109">
        <v>2023</v>
      </c>
      <c r="AV109">
        <v>58</v>
      </c>
      <c r="AW109">
        <v>31</v>
      </c>
      <c r="AX109" t="s">
        <v>74</v>
      </c>
      <c r="AY109" t="s">
        <v>74</v>
      </c>
      <c r="AZ109" t="s">
        <v>74</v>
      </c>
      <c r="BA109" t="s">
        <v>74</v>
      </c>
      <c r="BB109">
        <v>12491</v>
      </c>
      <c r="BC109">
        <v>12536</v>
      </c>
      <c r="BD109" t="s">
        <v>74</v>
      </c>
      <c r="BE109" t="s">
        <v>2380</v>
      </c>
      <c r="BF109" t="str">
        <f>HYPERLINK("http://dx.doi.org/10.1007/s10853-023-08799-4","http://dx.doi.org/10.1007/s10853-023-08799-4")</f>
        <v>http://dx.doi.org/10.1007/s10853-023-08799-4</v>
      </c>
      <c r="BG109" t="s">
        <v>74</v>
      </c>
      <c r="BH109" t="s">
        <v>961</v>
      </c>
      <c r="BI109">
        <v>46</v>
      </c>
      <c r="BJ109" t="s">
        <v>2291</v>
      </c>
      <c r="BK109" t="s">
        <v>182</v>
      </c>
      <c r="BL109" t="s">
        <v>2292</v>
      </c>
      <c r="BM109" t="s">
        <v>2381</v>
      </c>
      <c r="BN109" t="s">
        <v>74</v>
      </c>
      <c r="BO109" t="s">
        <v>74</v>
      </c>
      <c r="BP109" t="s">
        <v>74</v>
      </c>
      <c r="BQ109" t="s">
        <v>74</v>
      </c>
      <c r="BR109" t="s">
        <v>105</v>
      </c>
      <c r="BS109" t="s">
        <v>2382</v>
      </c>
      <c r="BT109" t="str">
        <f>HYPERLINK("https%3A%2F%2Fwww.webofscience.com%2Fwos%2Fwoscc%2Ffull-record%2FWOS:001043675000001","View Full Record in Web of Science")</f>
        <v>View Full Record in Web of Science</v>
      </c>
    </row>
    <row r="110" spans="1:72" x14ac:dyDescent="0.25">
      <c r="A110" t="s">
        <v>72</v>
      </c>
      <c r="B110" t="s">
        <v>2383</v>
      </c>
      <c r="C110" t="s">
        <v>74</v>
      </c>
      <c r="D110" t="s">
        <v>74</v>
      </c>
      <c r="E110" t="s">
        <v>74</v>
      </c>
      <c r="F110" t="s">
        <v>2384</v>
      </c>
      <c r="G110" t="s">
        <v>74</v>
      </c>
      <c r="H110" t="s">
        <v>74</v>
      </c>
      <c r="I110" t="s">
        <v>2385</v>
      </c>
      <c r="J110" t="s">
        <v>1920</v>
      </c>
      <c r="K110" t="s">
        <v>74</v>
      </c>
      <c r="L110" t="s">
        <v>74</v>
      </c>
      <c r="M110" t="s">
        <v>78</v>
      </c>
      <c r="N110" t="s">
        <v>79</v>
      </c>
      <c r="O110" t="s">
        <v>74</v>
      </c>
      <c r="P110" t="s">
        <v>74</v>
      </c>
      <c r="Q110" t="s">
        <v>74</v>
      </c>
      <c r="R110" t="s">
        <v>74</v>
      </c>
      <c r="S110" t="s">
        <v>74</v>
      </c>
      <c r="T110" t="s">
        <v>2386</v>
      </c>
      <c r="U110" t="s">
        <v>2387</v>
      </c>
      <c r="V110" t="s">
        <v>2388</v>
      </c>
      <c r="W110" t="s">
        <v>2389</v>
      </c>
      <c r="X110" t="s">
        <v>2390</v>
      </c>
      <c r="Y110" t="s">
        <v>2391</v>
      </c>
      <c r="Z110" t="s">
        <v>2392</v>
      </c>
      <c r="AA110" t="s">
        <v>2393</v>
      </c>
      <c r="AB110" t="s">
        <v>2394</v>
      </c>
      <c r="AC110" t="s">
        <v>2395</v>
      </c>
      <c r="AD110" t="s">
        <v>2396</v>
      </c>
      <c r="AE110" t="s">
        <v>2397</v>
      </c>
      <c r="AF110" t="s">
        <v>74</v>
      </c>
      <c r="AG110">
        <v>66</v>
      </c>
      <c r="AH110">
        <v>36</v>
      </c>
      <c r="AI110">
        <v>40</v>
      </c>
      <c r="AJ110">
        <v>2</v>
      </c>
      <c r="AK110">
        <v>20</v>
      </c>
      <c r="AL110" t="s">
        <v>1114</v>
      </c>
      <c r="AM110" t="s">
        <v>1115</v>
      </c>
      <c r="AN110" t="s">
        <v>1116</v>
      </c>
      <c r="AO110" t="s">
        <v>74</v>
      </c>
      <c r="AP110" t="s">
        <v>1933</v>
      </c>
      <c r="AQ110" t="s">
        <v>74</v>
      </c>
      <c r="AR110" t="s">
        <v>1934</v>
      </c>
      <c r="AS110" t="s">
        <v>1935</v>
      </c>
      <c r="AT110" t="s">
        <v>351</v>
      </c>
      <c r="AU110">
        <v>2021</v>
      </c>
      <c r="AV110">
        <v>3</v>
      </c>
      <c r="AW110">
        <v>1</v>
      </c>
      <c r="AX110" t="s">
        <v>74</v>
      </c>
      <c r="AY110" t="s">
        <v>74</v>
      </c>
      <c r="AZ110" t="s">
        <v>74</v>
      </c>
      <c r="BA110" t="s">
        <v>74</v>
      </c>
      <c r="BB110">
        <v>11</v>
      </c>
      <c r="BC110">
        <v>20</v>
      </c>
      <c r="BD110" t="s">
        <v>74</v>
      </c>
      <c r="BE110" t="s">
        <v>2398</v>
      </c>
      <c r="BF110" t="str">
        <f>HYPERLINK("http://dx.doi.org/10.1109/TMRB.2021.3054462","http://dx.doi.org/10.1109/TMRB.2021.3054462")</f>
        <v>http://dx.doi.org/10.1109/TMRB.2021.3054462</v>
      </c>
      <c r="BG110" t="s">
        <v>74</v>
      </c>
      <c r="BH110" t="s">
        <v>74</v>
      </c>
      <c r="BI110">
        <v>10</v>
      </c>
      <c r="BJ110" t="s">
        <v>1937</v>
      </c>
      <c r="BK110" t="s">
        <v>155</v>
      </c>
      <c r="BL110" t="s">
        <v>1938</v>
      </c>
      <c r="BM110" t="s">
        <v>2399</v>
      </c>
      <c r="BN110" t="s">
        <v>74</v>
      </c>
      <c r="BO110" t="s">
        <v>74</v>
      </c>
      <c r="BP110" t="s">
        <v>74</v>
      </c>
      <c r="BQ110" t="s">
        <v>74</v>
      </c>
      <c r="BR110" t="s">
        <v>105</v>
      </c>
      <c r="BS110" t="s">
        <v>2400</v>
      </c>
      <c r="BT110" t="str">
        <f>HYPERLINK("https%3A%2F%2Fwww.webofscience.com%2Fwos%2Fwoscc%2Ffull-record%2FWOS:000896660300002","View Full Record in Web of Science")</f>
        <v>View Full Record in Web of Science</v>
      </c>
    </row>
    <row r="111" spans="1:72" x14ac:dyDescent="0.25">
      <c r="A111" t="s">
        <v>72</v>
      </c>
      <c r="B111" t="s">
        <v>2401</v>
      </c>
      <c r="C111" t="s">
        <v>74</v>
      </c>
      <c r="D111" t="s">
        <v>74</v>
      </c>
      <c r="E111" t="s">
        <v>74</v>
      </c>
      <c r="F111" t="s">
        <v>2402</v>
      </c>
      <c r="G111" t="s">
        <v>74</v>
      </c>
      <c r="H111" t="s">
        <v>74</v>
      </c>
      <c r="I111" t="s">
        <v>2403</v>
      </c>
      <c r="J111" t="s">
        <v>2404</v>
      </c>
      <c r="K111" t="s">
        <v>74</v>
      </c>
      <c r="L111" t="s">
        <v>74</v>
      </c>
      <c r="M111" t="s">
        <v>78</v>
      </c>
      <c r="N111" t="s">
        <v>79</v>
      </c>
      <c r="O111" t="s">
        <v>74</v>
      </c>
      <c r="P111" t="s">
        <v>74</v>
      </c>
      <c r="Q111" t="s">
        <v>74</v>
      </c>
      <c r="R111" t="s">
        <v>74</v>
      </c>
      <c r="S111" t="s">
        <v>74</v>
      </c>
      <c r="T111" t="s">
        <v>2405</v>
      </c>
      <c r="U111" t="s">
        <v>2406</v>
      </c>
      <c r="V111" t="s">
        <v>2407</v>
      </c>
      <c r="W111" t="s">
        <v>2408</v>
      </c>
      <c r="X111" t="s">
        <v>2409</v>
      </c>
      <c r="Y111" t="s">
        <v>2410</v>
      </c>
      <c r="Z111" t="s">
        <v>2411</v>
      </c>
      <c r="AA111" t="s">
        <v>2412</v>
      </c>
      <c r="AB111" t="s">
        <v>74</v>
      </c>
      <c r="AC111" t="s">
        <v>2413</v>
      </c>
      <c r="AD111" t="s">
        <v>2414</v>
      </c>
      <c r="AE111" t="s">
        <v>2415</v>
      </c>
      <c r="AF111" t="s">
        <v>74</v>
      </c>
      <c r="AG111">
        <v>97</v>
      </c>
      <c r="AH111">
        <v>11</v>
      </c>
      <c r="AI111">
        <v>12</v>
      </c>
      <c r="AJ111">
        <v>0</v>
      </c>
      <c r="AK111">
        <v>37</v>
      </c>
      <c r="AL111" t="s">
        <v>2416</v>
      </c>
      <c r="AM111" t="s">
        <v>2417</v>
      </c>
      <c r="AN111" t="s">
        <v>2418</v>
      </c>
      <c r="AO111" t="s">
        <v>2419</v>
      </c>
      <c r="AP111" t="s">
        <v>2420</v>
      </c>
      <c r="AQ111" t="s">
        <v>74</v>
      </c>
      <c r="AR111" t="s">
        <v>2421</v>
      </c>
      <c r="AS111" t="s">
        <v>2422</v>
      </c>
      <c r="AT111" t="s">
        <v>420</v>
      </c>
      <c r="AU111">
        <v>2019</v>
      </c>
      <c r="AV111">
        <v>3</v>
      </c>
      <c r="AW111">
        <v>3</v>
      </c>
      <c r="AX111" t="s">
        <v>74</v>
      </c>
      <c r="AY111" t="s">
        <v>74</v>
      </c>
      <c r="AZ111" t="s">
        <v>74</v>
      </c>
      <c r="BA111" t="s">
        <v>74</v>
      </c>
      <c r="BB111">
        <v>103</v>
      </c>
      <c r="BC111">
        <v>115</v>
      </c>
      <c r="BD111" t="s">
        <v>74</v>
      </c>
      <c r="BE111" t="s">
        <v>2423</v>
      </c>
      <c r="BF111" t="str">
        <f>HYPERLINK("http://dx.doi.org/10.23838/pfm.2019.00065","http://dx.doi.org/10.23838/pfm.2019.00065")</f>
        <v>http://dx.doi.org/10.23838/pfm.2019.00065</v>
      </c>
      <c r="BG111" t="s">
        <v>74</v>
      </c>
      <c r="BH111" t="s">
        <v>74</v>
      </c>
      <c r="BI111">
        <v>13</v>
      </c>
      <c r="BJ111" t="s">
        <v>128</v>
      </c>
      <c r="BK111" t="s">
        <v>155</v>
      </c>
      <c r="BL111" t="s">
        <v>129</v>
      </c>
      <c r="BM111" t="s">
        <v>2424</v>
      </c>
      <c r="BN111" t="s">
        <v>74</v>
      </c>
      <c r="BO111" t="s">
        <v>185</v>
      </c>
      <c r="BP111" t="s">
        <v>74</v>
      </c>
      <c r="BQ111" t="s">
        <v>74</v>
      </c>
      <c r="BR111" t="s">
        <v>105</v>
      </c>
      <c r="BS111" t="s">
        <v>2425</v>
      </c>
      <c r="BT111" t="str">
        <f>HYPERLINK("https%3A%2F%2Fwww.webofscience.com%2Fwos%2Fwoscc%2Ffull-record%2FWOS:000488115500002","View Full Record in Web of Science")</f>
        <v>View Full Record in Web of Science</v>
      </c>
    </row>
    <row r="112" spans="1:72" x14ac:dyDescent="0.25">
      <c r="A112" t="s">
        <v>72</v>
      </c>
      <c r="B112" t="s">
        <v>2426</v>
      </c>
      <c r="C112" t="s">
        <v>74</v>
      </c>
      <c r="D112" t="s">
        <v>74</v>
      </c>
      <c r="E112" t="s">
        <v>74</v>
      </c>
      <c r="F112" t="s">
        <v>2427</v>
      </c>
      <c r="G112" t="s">
        <v>74</v>
      </c>
      <c r="H112" t="s">
        <v>74</v>
      </c>
      <c r="I112" t="s">
        <v>2428</v>
      </c>
      <c r="J112" t="s">
        <v>2429</v>
      </c>
      <c r="K112" t="s">
        <v>74</v>
      </c>
      <c r="L112" t="s">
        <v>74</v>
      </c>
      <c r="M112" t="s">
        <v>78</v>
      </c>
      <c r="N112" t="s">
        <v>79</v>
      </c>
      <c r="O112" t="s">
        <v>74</v>
      </c>
      <c r="P112" t="s">
        <v>74</v>
      </c>
      <c r="Q112" t="s">
        <v>74</v>
      </c>
      <c r="R112" t="s">
        <v>74</v>
      </c>
      <c r="S112" t="s">
        <v>74</v>
      </c>
      <c r="T112" t="s">
        <v>2430</v>
      </c>
      <c r="U112" t="s">
        <v>2431</v>
      </c>
      <c r="V112" t="s">
        <v>2432</v>
      </c>
      <c r="W112" t="s">
        <v>2433</v>
      </c>
      <c r="X112" t="s">
        <v>2434</v>
      </c>
      <c r="Y112" t="s">
        <v>2435</v>
      </c>
      <c r="Z112" t="s">
        <v>2436</v>
      </c>
      <c r="AA112" t="s">
        <v>74</v>
      </c>
      <c r="AB112" t="s">
        <v>74</v>
      </c>
      <c r="AC112" t="s">
        <v>2437</v>
      </c>
      <c r="AD112" t="s">
        <v>2438</v>
      </c>
      <c r="AE112" t="s">
        <v>2439</v>
      </c>
      <c r="AF112" t="s">
        <v>74</v>
      </c>
      <c r="AG112">
        <v>93</v>
      </c>
      <c r="AH112">
        <v>60</v>
      </c>
      <c r="AI112">
        <v>62</v>
      </c>
      <c r="AJ112">
        <v>12</v>
      </c>
      <c r="AK112">
        <v>192</v>
      </c>
      <c r="AL112" t="s">
        <v>557</v>
      </c>
      <c r="AM112" t="s">
        <v>275</v>
      </c>
      <c r="AN112" t="s">
        <v>558</v>
      </c>
      <c r="AO112" t="s">
        <v>2440</v>
      </c>
      <c r="AP112" t="s">
        <v>2441</v>
      </c>
      <c r="AQ112" t="s">
        <v>74</v>
      </c>
      <c r="AR112" t="s">
        <v>2442</v>
      </c>
      <c r="AS112" t="s">
        <v>2443</v>
      </c>
      <c r="AT112" t="s">
        <v>487</v>
      </c>
      <c r="AU112">
        <v>2021</v>
      </c>
      <c r="AV112">
        <v>13</v>
      </c>
      <c r="AW112">
        <v>4</v>
      </c>
      <c r="AX112" t="s">
        <v>74</v>
      </c>
      <c r="AY112" t="s">
        <v>74</v>
      </c>
      <c r="AZ112" t="s">
        <v>74</v>
      </c>
      <c r="BA112" t="s">
        <v>74</v>
      </c>
      <c r="BB112" t="s">
        <v>74</v>
      </c>
      <c r="BC112" t="s">
        <v>74</v>
      </c>
      <c r="BD112">
        <v>1.6878140211011862E+16</v>
      </c>
      <c r="BE112" t="s">
        <v>2444</v>
      </c>
      <c r="BF112" t="str">
        <f>HYPERLINK("http://dx.doi.org/10.1177/16878140211011862","http://dx.doi.org/10.1177/16878140211011862")</f>
        <v>http://dx.doi.org/10.1177/16878140211011862</v>
      </c>
      <c r="BG112" t="s">
        <v>74</v>
      </c>
      <c r="BH112" t="s">
        <v>74</v>
      </c>
      <c r="BI112">
        <v>17</v>
      </c>
      <c r="BJ112" t="s">
        <v>2445</v>
      </c>
      <c r="BK112" t="s">
        <v>182</v>
      </c>
      <c r="BL112" t="s">
        <v>2446</v>
      </c>
      <c r="BM112" t="s">
        <v>2447</v>
      </c>
      <c r="BN112" t="s">
        <v>74</v>
      </c>
      <c r="BO112" t="s">
        <v>185</v>
      </c>
      <c r="BP112" t="s">
        <v>74</v>
      </c>
      <c r="BQ112" t="s">
        <v>74</v>
      </c>
      <c r="BR112" t="s">
        <v>105</v>
      </c>
      <c r="BS112" t="s">
        <v>2448</v>
      </c>
      <c r="BT112" t="str">
        <f>HYPERLINK("https%3A%2F%2Fwww.webofscience.com%2Fwos%2Fwoscc%2Ffull-record%2FWOS:000698037500001","View Full Record in Web of Science")</f>
        <v>View Full Record in Web of Science</v>
      </c>
    </row>
    <row r="113" spans="1:72" x14ac:dyDescent="0.25">
      <c r="A113" t="s">
        <v>72</v>
      </c>
      <c r="B113" t="s">
        <v>2449</v>
      </c>
      <c r="C113" t="s">
        <v>74</v>
      </c>
      <c r="D113" t="s">
        <v>74</v>
      </c>
      <c r="E113" t="s">
        <v>74</v>
      </c>
      <c r="F113" t="s">
        <v>2450</v>
      </c>
      <c r="G113" t="s">
        <v>74</v>
      </c>
      <c r="H113" t="s">
        <v>74</v>
      </c>
      <c r="I113" t="s">
        <v>2451</v>
      </c>
      <c r="J113" t="s">
        <v>2452</v>
      </c>
      <c r="K113" t="s">
        <v>74</v>
      </c>
      <c r="L113" t="s">
        <v>74</v>
      </c>
      <c r="M113" t="s">
        <v>78</v>
      </c>
      <c r="N113" t="s">
        <v>79</v>
      </c>
      <c r="O113" t="s">
        <v>74</v>
      </c>
      <c r="P113" t="s">
        <v>74</v>
      </c>
      <c r="Q113" t="s">
        <v>74</v>
      </c>
      <c r="R113" t="s">
        <v>74</v>
      </c>
      <c r="S113" t="s">
        <v>74</v>
      </c>
      <c r="T113" t="s">
        <v>2453</v>
      </c>
      <c r="U113" t="s">
        <v>2454</v>
      </c>
      <c r="V113" t="s">
        <v>2455</v>
      </c>
      <c r="W113" t="s">
        <v>2456</v>
      </c>
      <c r="X113" t="s">
        <v>2457</v>
      </c>
      <c r="Y113" t="s">
        <v>2458</v>
      </c>
      <c r="Z113" t="s">
        <v>2459</v>
      </c>
      <c r="AA113" t="s">
        <v>2460</v>
      </c>
      <c r="AB113" t="s">
        <v>2461</v>
      </c>
      <c r="AC113" t="s">
        <v>2462</v>
      </c>
      <c r="AD113" t="s">
        <v>2463</v>
      </c>
      <c r="AE113" t="s">
        <v>2464</v>
      </c>
      <c r="AF113" t="s">
        <v>74</v>
      </c>
      <c r="AG113">
        <v>70</v>
      </c>
      <c r="AH113">
        <v>338</v>
      </c>
      <c r="AI113">
        <v>377</v>
      </c>
      <c r="AJ113">
        <v>5</v>
      </c>
      <c r="AK113">
        <v>198</v>
      </c>
      <c r="AL113" t="s">
        <v>1605</v>
      </c>
      <c r="AM113" t="s">
        <v>1606</v>
      </c>
      <c r="AN113" t="s">
        <v>1607</v>
      </c>
      <c r="AO113" t="s">
        <v>2465</v>
      </c>
      <c r="AP113" t="s">
        <v>74</v>
      </c>
      <c r="AQ113" t="s">
        <v>74</v>
      </c>
      <c r="AR113" t="s">
        <v>2466</v>
      </c>
      <c r="AS113" t="s">
        <v>2467</v>
      </c>
      <c r="AT113" t="s">
        <v>487</v>
      </c>
      <c r="AU113">
        <v>2016</v>
      </c>
      <c r="AV113">
        <v>5</v>
      </c>
      <c r="AW113" t="s">
        <v>74</v>
      </c>
      <c r="AX113" t="s">
        <v>74</v>
      </c>
      <c r="AY113" t="s">
        <v>74</v>
      </c>
      <c r="AZ113" t="s">
        <v>152</v>
      </c>
      <c r="BA113" t="s">
        <v>74</v>
      </c>
      <c r="BB113">
        <v>26</v>
      </c>
      <c r="BC113">
        <v>37</v>
      </c>
      <c r="BD113" t="s">
        <v>74</v>
      </c>
      <c r="BE113" t="s">
        <v>2468</v>
      </c>
      <c r="BF113" t="str">
        <f>HYPERLINK("http://dx.doi.org/10.1016/j.jot.2015.09.007","http://dx.doi.org/10.1016/j.jot.2015.09.007")</f>
        <v>http://dx.doi.org/10.1016/j.jot.2015.09.007</v>
      </c>
      <c r="BG113" t="s">
        <v>74</v>
      </c>
      <c r="BH113" t="s">
        <v>74</v>
      </c>
      <c r="BI113">
        <v>12</v>
      </c>
      <c r="BJ113" t="s">
        <v>443</v>
      </c>
      <c r="BK113" t="s">
        <v>182</v>
      </c>
      <c r="BL113" t="s">
        <v>443</v>
      </c>
      <c r="BM113" t="s">
        <v>2469</v>
      </c>
      <c r="BN113">
        <v>30035072</v>
      </c>
      <c r="BO113" t="s">
        <v>131</v>
      </c>
      <c r="BP113" t="s">
        <v>74</v>
      </c>
      <c r="BQ113" t="s">
        <v>74</v>
      </c>
      <c r="BR113" t="s">
        <v>105</v>
      </c>
      <c r="BS113" t="s">
        <v>2470</v>
      </c>
      <c r="BT113" t="str">
        <f>HYPERLINK("https%3A%2F%2Fwww.webofscience.com%2Fwos%2Fwoscc%2Ffull-record%2FWOS:000379258000004","View Full Record in Web of Science")</f>
        <v>View Full Record in Web of Science</v>
      </c>
    </row>
    <row r="114" spans="1:72" x14ac:dyDescent="0.25">
      <c r="A114" t="s">
        <v>72</v>
      </c>
      <c r="B114" t="s">
        <v>2471</v>
      </c>
      <c r="C114" t="s">
        <v>74</v>
      </c>
      <c r="D114" t="s">
        <v>74</v>
      </c>
      <c r="E114" t="s">
        <v>74</v>
      </c>
      <c r="F114" t="s">
        <v>2472</v>
      </c>
      <c r="G114" t="s">
        <v>74</v>
      </c>
      <c r="H114" t="s">
        <v>74</v>
      </c>
      <c r="I114" t="s">
        <v>2473</v>
      </c>
      <c r="J114" t="s">
        <v>2157</v>
      </c>
      <c r="K114" t="s">
        <v>74</v>
      </c>
      <c r="L114" t="s">
        <v>74</v>
      </c>
      <c r="M114" t="s">
        <v>78</v>
      </c>
      <c r="N114" t="s">
        <v>79</v>
      </c>
      <c r="O114" t="s">
        <v>74</v>
      </c>
      <c r="P114" t="s">
        <v>74</v>
      </c>
      <c r="Q114" t="s">
        <v>74</v>
      </c>
      <c r="R114" t="s">
        <v>74</v>
      </c>
      <c r="S114" t="s">
        <v>74</v>
      </c>
      <c r="T114" t="s">
        <v>2474</v>
      </c>
      <c r="U114" t="s">
        <v>2475</v>
      </c>
      <c r="V114" t="s">
        <v>2476</v>
      </c>
      <c r="W114" t="s">
        <v>2477</v>
      </c>
      <c r="X114" t="s">
        <v>2478</v>
      </c>
      <c r="Y114" t="s">
        <v>2479</v>
      </c>
      <c r="Z114" t="s">
        <v>2480</v>
      </c>
      <c r="AA114" t="s">
        <v>2481</v>
      </c>
      <c r="AB114" t="s">
        <v>2482</v>
      </c>
      <c r="AC114" t="s">
        <v>2483</v>
      </c>
      <c r="AD114" t="s">
        <v>2484</v>
      </c>
      <c r="AE114" t="s">
        <v>2485</v>
      </c>
      <c r="AF114" t="s">
        <v>74</v>
      </c>
      <c r="AG114">
        <v>117</v>
      </c>
      <c r="AH114">
        <v>8</v>
      </c>
      <c r="AI114">
        <v>9</v>
      </c>
      <c r="AJ114">
        <v>0</v>
      </c>
      <c r="AK114">
        <v>45</v>
      </c>
      <c r="AL114" t="s">
        <v>92</v>
      </c>
      <c r="AM114" t="s">
        <v>93</v>
      </c>
      <c r="AN114" t="s">
        <v>94</v>
      </c>
      <c r="AO114" t="s">
        <v>2170</v>
      </c>
      <c r="AP114" t="s">
        <v>2171</v>
      </c>
      <c r="AQ114" t="s">
        <v>74</v>
      </c>
      <c r="AR114" t="s">
        <v>2172</v>
      </c>
      <c r="AS114" t="s">
        <v>2173</v>
      </c>
      <c r="AT114" t="s">
        <v>2486</v>
      </c>
      <c r="AU114">
        <v>2020</v>
      </c>
      <c r="AV114">
        <v>17</v>
      </c>
      <c r="AW114">
        <v>12</v>
      </c>
      <c r="AX114" t="s">
        <v>74</v>
      </c>
      <c r="AY114" t="s">
        <v>74</v>
      </c>
      <c r="AZ114" t="s">
        <v>74</v>
      </c>
      <c r="BA114" t="s">
        <v>74</v>
      </c>
      <c r="BB114">
        <v>1311</v>
      </c>
      <c r="BC114">
        <v>1322</v>
      </c>
      <c r="BD114" t="s">
        <v>74</v>
      </c>
      <c r="BE114" t="s">
        <v>2487</v>
      </c>
      <c r="BF114" t="str">
        <f>HYPERLINK("http://dx.doi.org/10.1080/17434440.2020.1852930","http://dx.doi.org/10.1080/17434440.2020.1852930")</f>
        <v>http://dx.doi.org/10.1080/17434440.2020.1852930</v>
      </c>
      <c r="BG114" t="s">
        <v>74</v>
      </c>
      <c r="BH114" t="s">
        <v>2488</v>
      </c>
      <c r="BI114">
        <v>12</v>
      </c>
      <c r="BJ114" t="s">
        <v>282</v>
      </c>
      <c r="BK114" t="s">
        <v>102</v>
      </c>
      <c r="BL114" t="s">
        <v>183</v>
      </c>
      <c r="BM114" t="s">
        <v>2489</v>
      </c>
      <c r="BN114">
        <v>33252284</v>
      </c>
      <c r="BO114" t="s">
        <v>74</v>
      </c>
      <c r="BP114" t="s">
        <v>74</v>
      </c>
      <c r="BQ114" t="s">
        <v>74</v>
      </c>
      <c r="BR114" t="s">
        <v>105</v>
      </c>
      <c r="BS114" t="s">
        <v>2490</v>
      </c>
      <c r="BT114" t="str">
        <f>HYPERLINK("https%3A%2F%2Fwww.webofscience.com%2Fwos%2Fwoscc%2Ffull-record%2FWOS:000596736700001","View Full Record in Web of Science")</f>
        <v>View Full Record in Web of Science</v>
      </c>
    </row>
    <row r="115" spans="1:72" x14ac:dyDescent="0.25">
      <c r="A115" t="s">
        <v>72</v>
      </c>
      <c r="B115" t="s">
        <v>2491</v>
      </c>
      <c r="C115" t="s">
        <v>74</v>
      </c>
      <c r="D115" t="s">
        <v>74</v>
      </c>
      <c r="E115" t="s">
        <v>74</v>
      </c>
      <c r="F115" t="s">
        <v>2492</v>
      </c>
      <c r="G115" t="s">
        <v>74</v>
      </c>
      <c r="H115" t="s">
        <v>74</v>
      </c>
      <c r="I115" t="s">
        <v>2493</v>
      </c>
      <c r="J115" t="s">
        <v>2494</v>
      </c>
      <c r="K115" t="s">
        <v>74</v>
      </c>
      <c r="L115" t="s">
        <v>74</v>
      </c>
      <c r="M115" t="s">
        <v>78</v>
      </c>
      <c r="N115" t="s">
        <v>79</v>
      </c>
      <c r="O115" t="s">
        <v>74</v>
      </c>
      <c r="P115" t="s">
        <v>74</v>
      </c>
      <c r="Q115" t="s">
        <v>74</v>
      </c>
      <c r="R115" t="s">
        <v>74</v>
      </c>
      <c r="S115" t="s">
        <v>74</v>
      </c>
      <c r="T115" t="s">
        <v>2495</v>
      </c>
      <c r="U115" t="s">
        <v>2496</v>
      </c>
      <c r="V115" t="s">
        <v>2497</v>
      </c>
      <c r="W115" t="s">
        <v>2498</v>
      </c>
      <c r="X115" t="s">
        <v>2499</v>
      </c>
      <c r="Y115" t="s">
        <v>2500</v>
      </c>
      <c r="Z115" t="s">
        <v>2501</v>
      </c>
      <c r="AA115" t="s">
        <v>2502</v>
      </c>
      <c r="AB115" t="s">
        <v>2503</v>
      </c>
      <c r="AC115" t="s">
        <v>2504</v>
      </c>
      <c r="AD115" t="s">
        <v>2505</v>
      </c>
      <c r="AE115" t="s">
        <v>2506</v>
      </c>
      <c r="AF115" t="s">
        <v>74</v>
      </c>
      <c r="AG115">
        <v>154</v>
      </c>
      <c r="AH115">
        <v>23</v>
      </c>
      <c r="AI115">
        <v>25</v>
      </c>
      <c r="AJ115">
        <v>12</v>
      </c>
      <c r="AK115">
        <v>118</v>
      </c>
      <c r="AL115" t="s">
        <v>1040</v>
      </c>
      <c r="AM115" t="s">
        <v>1041</v>
      </c>
      <c r="AN115" t="s">
        <v>1042</v>
      </c>
      <c r="AO115" t="s">
        <v>2507</v>
      </c>
      <c r="AP115" t="s">
        <v>2508</v>
      </c>
      <c r="AQ115" t="s">
        <v>74</v>
      </c>
      <c r="AR115" t="s">
        <v>2509</v>
      </c>
      <c r="AS115" t="s">
        <v>2510</v>
      </c>
      <c r="AT115" t="s">
        <v>74</v>
      </c>
      <c r="AU115">
        <v>2021</v>
      </c>
      <c r="AV115">
        <v>69</v>
      </c>
      <c r="AW115">
        <v>3</v>
      </c>
      <c r="AX115" t="s">
        <v>74</v>
      </c>
      <c r="AY115" t="s">
        <v>74</v>
      </c>
      <c r="AZ115" t="s">
        <v>74</v>
      </c>
      <c r="BA115" t="s">
        <v>74</v>
      </c>
      <c r="BB115">
        <v>775</v>
      </c>
      <c r="BC115">
        <v>793</v>
      </c>
      <c r="BD115" t="s">
        <v>74</v>
      </c>
      <c r="BE115" t="s">
        <v>2511</v>
      </c>
      <c r="BF115" t="str">
        <f>HYPERLINK("http://dx.doi.org/10.3233/WOR-205012","http://dx.doi.org/10.3233/WOR-205012")</f>
        <v>http://dx.doi.org/10.3233/WOR-205012</v>
      </c>
      <c r="BG115" t="s">
        <v>74</v>
      </c>
      <c r="BH115" t="s">
        <v>74</v>
      </c>
      <c r="BI115">
        <v>19</v>
      </c>
      <c r="BJ115" t="s">
        <v>2512</v>
      </c>
      <c r="BK115" t="s">
        <v>462</v>
      </c>
      <c r="BL115" t="s">
        <v>2512</v>
      </c>
      <c r="BM115" t="s">
        <v>2513</v>
      </c>
      <c r="BN115">
        <v>34180443</v>
      </c>
      <c r="BO115" t="s">
        <v>74</v>
      </c>
      <c r="BP115" t="s">
        <v>74</v>
      </c>
      <c r="BQ115" t="s">
        <v>74</v>
      </c>
      <c r="BR115" t="s">
        <v>105</v>
      </c>
      <c r="BS115" t="s">
        <v>2514</v>
      </c>
      <c r="BT115" t="str">
        <f>HYPERLINK("https%3A%2F%2Fwww.webofscience.com%2Fwos%2Fwoscc%2Ffull-record%2FWOS:000675529800009","View Full Record in Web of Science")</f>
        <v>View Full Record in Web of Science</v>
      </c>
    </row>
    <row r="116" spans="1:72" x14ac:dyDescent="0.25">
      <c r="A116" t="s">
        <v>72</v>
      </c>
      <c r="B116" t="s">
        <v>2515</v>
      </c>
      <c r="C116" t="s">
        <v>74</v>
      </c>
      <c r="D116" t="s">
        <v>74</v>
      </c>
      <c r="E116" t="s">
        <v>74</v>
      </c>
      <c r="F116" t="s">
        <v>2516</v>
      </c>
      <c r="G116" t="s">
        <v>74</v>
      </c>
      <c r="H116" t="s">
        <v>74</v>
      </c>
      <c r="I116" t="s">
        <v>2517</v>
      </c>
      <c r="J116" t="s">
        <v>2518</v>
      </c>
      <c r="K116" t="s">
        <v>74</v>
      </c>
      <c r="L116" t="s">
        <v>74</v>
      </c>
      <c r="M116" t="s">
        <v>78</v>
      </c>
      <c r="N116" t="s">
        <v>449</v>
      </c>
      <c r="O116" t="s">
        <v>74</v>
      </c>
      <c r="P116" t="s">
        <v>74</v>
      </c>
      <c r="Q116" t="s">
        <v>74</v>
      </c>
      <c r="R116" t="s">
        <v>74</v>
      </c>
      <c r="S116" t="s">
        <v>74</v>
      </c>
      <c r="T116" t="s">
        <v>2519</v>
      </c>
      <c r="U116" t="s">
        <v>2520</v>
      </c>
      <c r="V116" t="s">
        <v>2521</v>
      </c>
      <c r="W116" t="s">
        <v>2522</v>
      </c>
      <c r="X116" t="s">
        <v>2523</v>
      </c>
      <c r="Y116" t="s">
        <v>2524</v>
      </c>
      <c r="Z116" t="s">
        <v>2525</v>
      </c>
      <c r="AA116" t="s">
        <v>74</v>
      </c>
      <c r="AB116" t="s">
        <v>74</v>
      </c>
      <c r="AC116" t="s">
        <v>2526</v>
      </c>
      <c r="AD116" t="s">
        <v>2527</v>
      </c>
      <c r="AE116" t="s">
        <v>2528</v>
      </c>
      <c r="AF116" t="s">
        <v>74</v>
      </c>
      <c r="AG116">
        <v>34</v>
      </c>
      <c r="AH116">
        <v>1</v>
      </c>
      <c r="AI116">
        <v>1</v>
      </c>
      <c r="AJ116">
        <v>1</v>
      </c>
      <c r="AK116">
        <v>17</v>
      </c>
      <c r="AL116" t="s">
        <v>2529</v>
      </c>
      <c r="AM116" t="s">
        <v>2530</v>
      </c>
      <c r="AN116" t="s">
        <v>2531</v>
      </c>
      <c r="AO116" t="s">
        <v>2532</v>
      </c>
      <c r="AP116" t="s">
        <v>2533</v>
      </c>
      <c r="AQ116" t="s">
        <v>74</v>
      </c>
      <c r="AR116" t="s">
        <v>2534</v>
      </c>
      <c r="AS116" t="s">
        <v>2535</v>
      </c>
      <c r="AT116" t="s">
        <v>2536</v>
      </c>
      <c r="AU116">
        <v>2023</v>
      </c>
      <c r="AV116" t="s">
        <v>74</v>
      </c>
      <c r="AW116" t="s">
        <v>74</v>
      </c>
      <c r="AX116" t="s">
        <v>74</v>
      </c>
      <c r="AY116" t="s">
        <v>74</v>
      </c>
      <c r="AZ116" t="s">
        <v>74</v>
      </c>
      <c r="BA116" t="s">
        <v>74</v>
      </c>
      <c r="BB116" t="s">
        <v>74</v>
      </c>
      <c r="BC116" t="s">
        <v>74</v>
      </c>
      <c r="BD116" t="s">
        <v>74</v>
      </c>
      <c r="BE116" t="s">
        <v>2537</v>
      </c>
      <c r="BF116" t="str">
        <f>HYPERLINK("http://dx.doi.org/10.1007/s10389-023-02115-9","http://dx.doi.org/10.1007/s10389-023-02115-9")</f>
        <v>http://dx.doi.org/10.1007/s10389-023-02115-9</v>
      </c>
      <c r="BG116" t="s">
        <v>74</v>
      </c>
      <c r="BH116" t="s">
        <v>636</v>
      </c>
      <c r="BI116">
        <v>10</v>
      </c>
      <c r="BJ116" t="s">
        <v>2512</v>
      </c>
      <c r="BK116" t="s">
        <v>155</v>
      </c>
      <c r="BL116" t="s">
        <v>2512</v>
      </c>
      <c r="BM116" t="s">
        <v>2538</v>
      </c>
      <c r="BN116" t="s">
        <v>74</v>
      </c>
      <c r="BO116" t="s">
        <v>309</v>
      </c>
      <c r="BP116" t="s">
        <v>74</v>
      </c>
      <c r="BQ116" t="s">
        <v>74</v>
      </c>
      <c r="BR116" t="s">
        <v>105</v>
      </c>
      <c r="BS116" t="s">
        <v>2539</v>
      </c>
      <c r="BT116" t="str">
        <f>HYPERLINK("https%3A%2F%2Fwww.webofscience.com%2Fwos%2Fwoscc%2Ffull-record%2FWOS:001087967900001","View Full Record in Web of Science")</f>
        <v>View Full Record in Web of Science</v>
      </c>
    </row>
    <row r="117" spans="1:72" x14ac:dyDescent="0.25">
      <c r="A117" t="s">
        <v>72</v>
      </c>
      <c r="B117" t="s">
        <v>2540</v>
      </c>
      <c r="C117" t="s">
        <v>74</v>
      </c>
      <c r="D117" t="s">
        <v>74</v>
      </c>
      <c r="E117" t="s">
        <v>74</v>
      </c>
      <c r="F117" t="s">
        <v>2541</v>
      </c>
      <c r="G117" t="s">
        <v>74</v>
      </c>
      <c r="H117" t="s">
        <v>74</v>
      </c>
      <c r="I117" t="s">
        <v>2542</v>
      </c>
      <c r="J117" t="s">
        <v>2543</v>
      </c>
      <c r="K117" t="s">
        <v>74</v>
      </c>
      <c r="L117" t="s">
        <v>74</v>
      </c>
      <c r="M117" t="s">
        <v>78</v>
      </c>
      <c r="N117" t="s">
        <v>79</v>
      </c>
      <c r="O117" t="s">
        <v>74</v>
      </c>
      <c r="P117" t="s">
        <v>74</v>
      </c>
      <c r="Q117" t="s">
        <v>74</v>
      </c>
      <c r="R117" t="s">
        <v>74</v>
      </c>
      <c r="S117" t="s">
        <v>74</v>
      </c>
      <c r="T117" t="s">
        <v>2544</v>
      </c>
      <c r="U117" t="s">
        <v>2545</v>
      </c>
      <c r="V117" t="s">
        <v>2546</v>
      </c>
      <c r="W117" t="s">
        <v>2547</v>
      </c>
      <c r="X117" t="s">
        <v>74</v>
      </c>
      <c r="Y117" t="s">
        <v>2548</v>
      </c>
      <c r="Z117" t="s">
        <v>2549</v>
      </c>
      <c r="AA117" t="s">
        <v>74</v>
      </c>
      <c r="AB117" t="s">
        <v>2550</v>
      </c>
      <c r="AC117" t="s">
        <v>2551</v>
      </c>
      <c r="AD117" t="s">
        <v>2551</v>
      </c>
      <c r="AE117" t="s">
        <v>2552</v>
      </c>
      <c r="AF117" t="s">
        <v>74</v>
      </c>
      <c r="AG117">
        <v>55</v>
      </c>
      <c r="AH117">
        <v>13</v>
      </c>
      <c r="AI117">
        <v>14</v>
      </c>
      <c r="AJ117">
        <v>2</v>
      </c>
      <c r="AK117">
        <v>52</v>
      </c>
      <c r="AL117" t="s">
        <v>120</v>
      </c>
      <c r="AM117" t="s">
        <v>121</v>
      </c>
      <c r="AN117" t="s">
        <v>122</v>
      </c>
      <c r="AO117" t="s">
        <v>74</v>
      </c>
      <c r="AP117" t="s">
        <v>2553</v>
      </c>
      <c r="AQ117" t="s">
        <v>74</v>
      </c>
      <c r="AR117" t="s">
        <v>2554</v>
      </c>
      <c r="AS117" t="s">
        <v>2555</v>
      </c>
      <c r="AT117" t="s">
        <v>634</v>
      </c>
      <c r="AU117">
        <v>2022</v>
      </c>
      <c r="AV117">
        <v>12</v>
      </c>
      <c r="AW117">
        <v>8</v>
      </c>
      <c r="AX117" t="s">
        <v>74</v>
      </c>
      <c r="AY117" t="s">
        <v>74</v>
      </c>
      <c r="AZ117" t="s">
        <v>74</v>
      </c>
      <c r="BA117" t="s">
        <v>74</v>
      </c>
      <c r="BB117" t="s">
        <v>74</v>
      </c>
      <c r="BC117" t="s">
        <v>74</v>
      </c>
      <c r="BD117">
        <v>994</v>
      </c>
      <c r="BE117" t="s">
        <v>2556</v>
      </c>
      <c r="BF117" t="str">
        <f>HYPERLINK("http://dx.doi.org/10.3390/brainsci12080994","http://dx.doi.org/10.3390/brainsci12080994")</f>
        <v>http://dx.doi.org/10.3390/brainsci12080994</v>
      </c>
      <c r="BG117" t="s">
        <v>74</v>
      </c>
      <c r="BH117" t="s">
        <v>74</v>
      </c>
      <c r="BI117">
        <v>12</v>
      </c>
      <c r="BJ117" t="s">
        <v>374</v>
      </c>
      <c r="BK117" t="s">
        <v>182</v>
      </c>
      <c r="BL117" t="s">
        <v>375</v>
      </c>
      <c r="BM117" t="s">
        <v>2557</v>
      </c>
      <c r="BN117">
        <v>35892435</v>
      </c>
      <c r="BO117" t="s">
        <v>355</v>
      </c>
      <c r="BP117" t="s">
        <v>74</v>
      </c>
      <c r="BQ117" t="s">
        <v>74</v>
      </c>
      <c r="BR117" t="s">
        <v>105</v>
      </c>
      <c r="BS117" t="s">
        <v>2558</v>
      </c>
      <c r="BT117" t="str">
        <f>HYPERLINK("https%3A%2F%2Fwww.webofscience.com%2Fwos%2Fwoscc%2Ffull-record%2FWOS:000846991600001","View Full Record in Web of Science")</f>
        <v>View Full Record in Web of Science</v>
      </c>
    </row>
    <row r="118" spans="1:72" x14ac:dyDescent="0.25">
      <c r="A118" t="s">
        <v>72</v>
      </c>
      <c r="B118" t="s">
        <v>2559</v>
      </c>
      <c r="C118" t="s">
        <v>74</v>
      </c>
      <c r="D118" t="s">
        <v>74</v>
      </c>
      <c r="E118" t="s">
        <v>74</v>
      </c>
      <c r="F118" t="s">
        <v>2560</v>
      </c>
      <c r="G118" t="s">
        <v>74</v>
      </c>
      <c r="H118" t="s">
        <v>74</v>
      </c>
      <c r="I118" t="s">
        <v>2561</v>
      </c>
      <c r="J118" t="s">
        <v>2562</v>
      </c>
      <c r="K118" t="s">
        <v>74</v>
      </c>
      <c r="L118" t="s">
        <v>74</v>
      </c>
      <c r="M118" t="s">
        <v>78</v>
      </c>
      <c r="N118" t="s">
        <v>79</v>
      </c>
      <c r="O118" t="s">
        <v>74</v>
      </c>
      <c r="P118" t="s">
        <v>74</v>
      </c>
      <c r="Q118" t="s">
        <v>74</v>
      </c>
      <c r="R118" t="s">
        <v>74</v>
      </c>
      <c r="S118" t="s">
        <v>74</v>
      </c>
      <c r="T118" t="s">
        <v>2563</v>
      </c>
      <c r="U118" t="s">
        <v>2564</v>
      </c>
      <c r="V118" t="s">
        <v>2565</v>
      </c>
      <c r="W118" t="s">
        <v>2566</v>
      </c>
      <c r="X118" t="s">
        <v>2567</v>
      </c>
      <c r="Y118" t="s">
        <v>2568</v>
      </c>
      <c r="Z118" t="s">
        <v>2569</v>
      </c>
      <c r="AA118" t="s">
        <v>2570</v>
      </c>
      <c r="AB118" t="s">
        <v>74</v>
      </c>
      <c r="AC118" t="s">
        <v>74</v>
      </c>
      <c r="AD118" t="s">
        <v>74</v>
      </c>
      <c r="AE118" t="s">
        <v>74</v>
      </c>
      <c r="AF118" t="s">
        <v>74</v>
      </c>
      <c r="AG118">
        <v>129</v>
      </c>
      <c r="AH118">
        <v>579</v>
      </c>
      <c r="AI118">
        <v>598</v>
      </c>
      <c r="AJ118">
        <v>194</v>
      </c>
      <c r="AK118">
        <v>1566</v>
      </c>
      <c r="AL118" t="s">
        <v>172</v>
      </c>
      <c r="AM118" t="s">
        <v>173</v>
      </c>
      <c r="AN118" t="s">
        <v>174</v>
      </c>
      <c r="AO118" t="s">
        <v>2571</v>
      </c>
      <c r="AP118" t="s">
        <v>2572</v>
      </c>
      <c r="AQ118" t="s">
        <v>74</v>
      </c>
      <c r="AR118" t="s">
        <v>2573</v>
      </c>
      <c r="AS118" t="s">
        <v>2574</v>
      </c>
      <c r="AT118" t="s">
        <v>1734</v>
      </c>
      <c r="AU118">
        <v>2021</v>
      </c>
      <c r="AV118">
        <v>49</v>
      </c>
      <c r="AW118">
        <v>4</v>
      </c>
      <c r="AX118" t="s">
        <v>74</v>
      </c>
      <c r="AY118" t="s">
        <v>74</v>
      </c>
      <c r="AZ118" t="s">
        <v>152</v>
      </c>
      <c r="BA118" t="s">
        <v>74</v>
      </c>
      <c r="BB118">
        <v>632</v>
      </c>
      <c r="BC118">
        <v>658</v>
      </c>
      <c r="BD118" t="s">
        <v>74</v>
      </c>
      <c r="BE118" t="s">
        <v>2575</v>
      </c>
      <c r="BF118" t="str">
        <f>HYPERLINK("http://dx.doi.org/10.1007/s11747-020-00762-y","http://dx.doi.org/10.1007/s11747-020-00762-y")</f>
        <v>http://dx.doi.org/10.1007/s11747-020-00762-y</v>
      </c>
      <c r="BG118" t="s">
        <v>74</v>
      </c>
      <c r="BH118" t="s">
        <v>2576</v>
      </c>
      <c r="BI118">
        <v>27</v>
      </c>
      <c r="BJ118" t="s">
        <v>2577</v>
      </c>
      <c r="BK118" t="s">
        <v>462</v>
      </c>
      <c r="BL118" t="s">
        <v>2578</v>
      </c>
      <c r="BM118" t="s">
        <v>2579</v>
      </c>
      <c r="BN118" t="s">
        <v>74</v>
      </c>
      <c r="BO118" t="s">
        <v>309</v>
      </c>
      <c r="BP118" t="s">
        <v>869</v>
      </c>
      <c r="BQ118" t="s">
        <v>870</v>
      </c>
      <c r="BR118" t="s">
        <v>105</v>
      </c>
      <c r="BS118" t="s">
        <v>2580</v>
      </c>
      <c r="BT118" t="str">
        <f>HYPERLINK("https%3A%2F%2Fwww.webofscience.com%2Fwos%2Fwoscc%2Ffull-record%2FWOS:000605490000002","View Full Record in Web of Science")</f>
        <v>View Full Record in Web of Science</v>
      </c>
    </row>
    <row r="119" spans="1:72" x14ac:dyDescent="0.25">
      <c r="A119" t="s">
        <v>72</v>
      </c>
      <c r="B119" t="s">
        <v>2581</v>
      </c>
      <c r="C119" t="s">
        <v>74</v>
      </c>
      <c r="D119" t="s">
        <v>74</v>
      </c>
      <c r="E119" t="s">
        <v>74</v>
      </c>
      <c r="F119" t="s">
        <v>2582</v>
      </c>
      <c r="G119" t="s">
        <v>74</v>
      </c>
      <c r="H119" t="s">
        <v>74</v>
      </c>
      <c r="I119" t="s">
        <v>2583</v>
      </c>
      <c r="J119" t="s">
        <v>2584</v>
      </c>
      <c r="K119" t="s">
        <v>74</v>
      </c>
      <c r="L119" t="s">
        <v>74</v>
      </c>
      <c r="M119" t="s">
        <v>78</v>
      </c>
      <c r="N119" t="s">
        <v>79</v>
      </c>
      <c r="O119" t="s">
        <v>74</v>
      </c>
      <c r="P119" t="s">
        <v>74</v>
      </c>
      <c r="Q119" t="s">
        <v>74</v>
      </c>
      <c r="R119" t="s">
        <v>74</v>
      </c>
      <c r="S119" t="s">
        <v>74</v>
      </c>
      <c r="T119" t="s">
        <v>2585</v>
      </c>
      <c r="U119" t="s">
        <v>2586</v>
      </c>
      <c r="V119" t="s">
        <v>2587</v>
      </c>
      <c r="W119" t="s">
        <v>2588</v>
      </c>
      <c r="X119" t="s">
        <v>2589</v>
      </c>
      <c r="Y119" t="s">
        <v>2590</v>
      </c>
      <c r="Z119" t="s">
        <v>2591</v>
      </c>
      <c r="AA119" t="s">
        <v>2592</v>
      </c>
      <c r="AB119" t="s">
        <v>74</v>
      </c>
      <c r="AC119" t="s">
        <v>2593</v>
      </c>
      <c r="AD119" t="s">
        <v>2594</v>
      </c>
      <c r="AE119" t="s">
        <v>2595</v>
      </c>
      <c r="AF119" t="s">
        <v>74</v>
      </c>
      <c r="AG119">
        <v>90</v>
      </c>
      <c r="AH119">
        <v>12</v>
      </c>
      <c r="AI119">
        <v>13</v>
      </c>
      <c r="AJ119">
        <v>0</v>
      </c>
      <c r="AK119">
        <v>78</v>
      </c>
      <c r="AL119" t="s">
        <v>2596</v>
      </c>
      <c r="AM119" t="s">
        <v>2597</v>
      </c>
      <c r="AN119" t="s">
        <v>2598</v>
      </c>
      <c r="AO119" t="s">
        <v>2599</v>
      </c>
      <c r="AP119" t="s">
        <v>2600</v>
      </c>
      <c r="AQ119" t="s">
        <v>74</v>
      </c>
      <c r="AR119" t="s">
        <v>2601</v>
      </c>
      <c r="AS119" t="s">
        <v>2602</v>
      </c>
      <c r="AT119" t="s">
        <v>420</v>
      </c>
      <c r="AU119">
        <v>2017</v>
      </c>
      <c r="AV119">
        <v>17</v>
      </c>
      <c r="AW119">
        <v>6</v>
      </c>
      <c r="AX119" t="s">
        <v>74</v>
      </c>
      <c r="AY119" t="s">
        <v>74</v>
      </c>
      <c r="AZ119" t="s">
        <v>74</v>
      </c>
      <c r="BA119" t="s">
        <v>74</v>
      </c>
      <c r="BB119" t="s">
        <v>74</v>
      </c>
      <c r="BC119" t="s">
        <v>74</v>
      </c>
      <c r="BD119">
        <v>1750099</v>
      </c>
      <c r="BE119" t="s">
        <v>2603</v>
      </c>
      <c r="BF119" t="str">
        <f>HYPERLINK("http://dx.doi.org/10.1142/S0219519417500993","http://dx.doi.org/10.1142/S0219519417500993")</f>
        <v>http://dx.doi.org/10.1142/S0219519417500993</v>
      </c>
      <c r="BG119" t="s">
        <v>74</v>
      </c>
      <c r="BH119" t="s">
        <v>74</v>
      </c>
      <c r="BI119">
        <v>19</v>
      </c>
      <c r="BJ119" t="s">
        <v>2604</v>
      </c>
      <c r="BK119" t="s">
        <v>102</v>
      </c>
      <c r="BL119" t="s">
        <v>2605</v>
      </c>
      <c r="BM119" t="s">
        <v>2606</v>
      </c>
      <c r="BN119" t="s">
        <v>74</v>
      </c>
      <c r="BO119" t="s">
        <v>74</v>
      </c>
      <c r="BP119" t="s">
        <v>74</v>
      </c>
      <c r="BQ119" t="s">
        <v>74</v>
      </c>
      <c r="BR119" t="s">
        <v>105</v>
      </c>
      <c r="BS119" t="s">
        <v>2607</v>
      </c>
      <c r="BT119" t="str">
        <f>HYPERLINK("https%3A%2F%2Fwww.webofscience.com%2Fwos%2Fwoscc%2Ffull-record%2FWOS:000412132200012","View Full Record in Web of Science")</f>
        <v>View Full Record in Web of Science</v>
      </c>
    </row>
    <row r="120" spans="1:72" x14ac:dyDescent="0.25">
      <c r="A120" t="s">
        <v>72</v>
      </c>
      <c r="B120" t="s">
        <v>2608</v>
      </c>
      <c r="C120" t="s">
        <v>74</v>
      </c>
      <c r="D120" t="s">
        <v>74</v>
      </c>
      <c r="E120" t="s">
        <v>74</v>
      </c>
      <c r="F120" t="s">
        <v>2609</v>
      </c>
      <c r="G120" t="s">
        <v>74</v>
      </c>
      <c r="H120" t="s">
        <v>74</v>
      </c>
      <c r="I120" t="s">
        <v>2610</v>
      </c>
      <c r="J120" t="s">
        <v>77</v>
      </c>
      <c r="K120" t="s">
        <v>74</v>
      </c>
      <c r="L120" t="s">
        <v>74</v>
      </c>
      <c r="M120" t="s">
        <v>78</v>
      </c>
      <c r="N120" t="s">
        <v>79</v>
      </c>
      <c r="O120" t="s">
        <v>74</v>
      </c>
      <c r="P120" t="s">
        <v>74</v>
      </c>
      <c r="Q120" t="s">
        <v>74</v>
      </c>
      <c r="R120" t="s">
        <v>74</v>
      </c>
      <c r="S120" t="s">
        <v>74</v>
      </c>
      <c r="T120" t="s">
        <v>2611</v>
      </c>
      <c r="U120" t="s">
        <v>2612</v>
      </c>
      <c r="V120" t="s">
        <v>2613</v>
      </c>
      <c r="W120" t="s">
        <v>2614</v>
      </c>
      <c r="X120" t="s">
        <v>1285</v>
      </c>
      <c r="Y120" t="s">
        <v>2615</v>
      </c>
      <c r="Z120" t="s">
        <v>2616</v>
      </c>
      <c r="AA120" t="s">
        <v>2617</v>
      </c>
      <c r="AB120" t="s">
        <v>2618</v>
      </c>
      <c r="AC120" t="s">
        <v>74</v>
      </c>
      <c r="AD120" t="s">
        <v>74</v>
      </c>
      <c r="AE120" t="s">
        <v>74</v>
      </c>
      <c r="AF120" t="s">
        <v>74</v>
      </c>
      <c r="AG120">
        <v>25</v>
      </c>
      <c r="AH120">
        <v>14</v>
      </c>
      <c r="AI120">
        <v>15</v>
      </c>
      <c r="AJ120">
        <v>1</v>
      </c>
      <c r="AK120">
        <v>27</v>
      </c>
      <c r="AL120" t="s">
        <v>92</v>
      </c>
      <c r="AM120" t="s">
        <v>93</v>
      </c>
      <c r="AN120" t="s">
        <v>94</v>
      </c>
      <c r="AO120" t="s">
        <v>95</v>
      </c>
      <c r="AP120" t="s">
        <v>96</v>
      </c>
      <c r="AQ120" t="s">
        <v>74</v>
      </c>
      <c r="AR120" t="s">
        <v>97</v>
      </c>
      <c r="AS120" t="s">
        <v>98</v>
      </c>
      <c r="AT120" t="s">
        <v>99</v>
      </c>
      <c r="AU120">
        <v>2020</v>
      </c>
      <c r="AV120">
        <v>42</v>
      </c>
      <c r="AW120">
        <v>7</v>
      </c>
      <c r="AX120" t="s">
        <v>74</v>
      </c>
      <c r="AY120" t="s">
        <v>74</v>
      </c>
      <c r="AZ120" t="s">
        <v>74</v>
      </c>
      <c r="BA120" t="s">
        <v>74</v>
      </c>
      <c r="BB120">
        <v>892</v>
      </c>
      <c r="BC120">
        <v>901</v>
      </c>
      <c r="BD120" t="s">
        <v>74</v>
      </c>
      <c r="BE120" t="s">
        <v>2619</v>
      </c>
      <c r="BF120" t="str">
        <f>HYPERLINK("http://dx.doi.org/10.1080/09638288.2018.1510993","http://dx.doi.org/10.1080/09638288.2018.1510993")</f>
        <v>http://dx.doi.org/10.1080/09638288.2018.1510993</v>
      </c>
      <c r="BG120" t="s">
        <v>74</v>
      </c>
      <c r="BH120" t="s">
        <v>74</v>
      </c>
      <c r="BI120">
        <v>10</v>
      </c>
      <c r="BJ120" t="s">
        <v>101</v>
      </c>
      <c r="BK120" t="s">
        <v>102</v>
      </c>
      <c r="BL120" t="s">
        <v>101</v>
      </c>
      <c r="BM120" t="s">
        <v>103</v>
      </c>
      <c r="BN120">
        <v>30616401</v>
      </c>
      <c r="BO120" t="s">
        <v>74</v>
      </c>
      <c r="BP120" t="s">
        <v>74</v>
      </c>
      <c r="BQ120" t="s">
        <v>74</v>
      </c>
      <c r="BR120" t="s">
        <v>105</v>
      </c>
      <c r="BS120" t="s">
        <v>2620</v>
      </c>
      <c r="BT120" t="str">
        <f>HYPERLINK("https%3A%2F%2Fwww.webofscience.com%2Fwos%2Fwoscc%2Ffull-record%2FWOS:000522831300001","View Full Record in Web of Science")</f>
        <v>View Full Record in Web of Science</v>
      </c>
    </row>
    <row r="121" spans="1:72" x14ac:dyDescent="0.25">
      <c r="A121" t="s">
        <v>72</v>
      </c>
      <c r="B121" t="s">
        <v>2621</v>
      </c>
      <c r="C121" t="s">
        <v>74</v>
      </c>
      <c r="D121" t="s">
        <v>74</v>
      </c>
      <c r="E121" t="s">
        <v>74</v>
      </c>
      <c r="F121" t="s">
        <v>2622</v>
      </c>
      <c r="G121" t="s">
        <v>74</v>
      </c>
      <c r="H121" t="s">
        <v>74</v>
      </c>
      <c r="I121" t="s">
        <v>2623</v>
      </c>
      <c r="J121" t="s">
        <v>265</v>
      </c>
      <c r="K121" t="s">
        <v>74</v>
      </c>
      <c r="L121" t="s">
        <v>74</v>
      </c>
      <c r="M121" t="s">
        <v>78</v>
      </c>
      <c r="N121" t="s">
        <v>79</v>
      </c>
      <c r="O121" t="s">
        <v>74</v>
      </c>
      <c r="P121" t="s">
        <v>74</v>
      </c>
      <c r="Q121" t="s">
        <v>74</v>
      </c>
      <c r="R121" t="s">
        <v>74</v>
      </c>
      <c r="S121" t="s">
        <v>74</v>
      </c>
      <c r="T121" t="s">
        <v>2624</v>
      </c>
      <c r="U121" t="s">
        <v>2625</v>
      </c>
      <c r="V121" t="s">
        <v>2626</v>
      </c>
      <c r="W121" t="s">
        <v>2627</v>
      </c>
      <c r="X121" t="s">
        <v>2628</v>
      </c>
      <c r="Y121" t="s">
        <v>2629</v>
      </c>
      <c r="Z121" t="s">
        <v>2630</v>
      </c>
      <c r="AA121" t="s">
        <v>2631</v>
      </c>
      <c r="AB121" t="s">
        <v>2632</v>
      </c>
      <c r="AC121" t="s">
        <v>2633</v>
      </c>
      <c r="AD121" t="s">
        <v>2633</v>
      </c>
      <c r="AE121" t="s">
        <v>2633</v>
      </c>
      <c r="AF121" t="s">
        <v>74</v>
      </c>
      <c r="AG121">
        <v>34</v>
      </c>
      <c r="AH121">
        <v>2</v>
      </c>
      <c r="AI121">
        <v>2</v>
      </c>
      <c r="AJ121">
        <v>4</v>
      </c>
      <c r="AK121">
        <v>36</v>
      </c>
      <c r="AL121" t="s">
        <v>274</v>
      </c>
      <c r="AM121" t="s">
        <v>275</v>
      </c>
      <c r="AN121" t="s">
        <v>276</v>
      </c>
      <c r="AO121" t="s">
        <v>74</v>
      </c>
      <c r="AP121" t="s">
        <v>277</v>
      </c>
      <c r="AQ121" t="s">
        <v>74</v>
      </c>
      <c r="AR121" t="s">
        <v>278</v>
      </c>
      <c r="AS121" t="s">
        <v>279</v>
      </c>
      <c r="AT121" t="s">
        <v>2634</v>
      </c>
      <c r="AU121">
        <v>2023</v>
      </c>
      <c r="AV121">
        <v>22</v>
      </c>
      <c r="AW121">
        <v>1</v>
      </c>
      <c r="AX121" t="s">
        <v>74</v>
      </c>
      <c r="AY121" t="s">
        <v>74</v>
      </c>
      <c r="AZ121" t="s">
        <v>74</v>
      </c>
      <c r="BA121" t="s">
        <v>74</v>
      </c>
      <c r="BB121" t="s">
        <v>74</v>
      </c>
      <c r="BC121" t="s">
        <v>74</v>
      </c>
      <c r="BD121">
        <v>88</v>
      </c>
      <c r="BE121" t="s">
        <v>2635</v>
      </c>
      <c r="BF121" t="str">
        <f>HYPERLINK("http://dx.doi.org/10.1186/s12938-023-01150-7","http://dx.doi.org/10.1186/s12938-023-01150-7")</f>
        <v>http://dx.doi.org/10.1186/s12938-023-01150-7</v>
      </c>
      <c r="BG121" t="s">
        <v>74</v>
      </c>
      <c r="BH121" t="s">
        <v>74</v>
      </c>
      <c r="BI121">
        <v>15</v>
      </c>
      <c r="BJ121" t="s">
        <v>282</v>
      </c>
      <c r="BK121" t="s">
        <v>182</v>
      </c>
      <c r="BL121" t="s">
        <v>183</v>
      </c>
      <c r="BM121" t="s">
        <v>2636</v>
      </c>
      <c r="BN121">
        <v>37670316</v>
      </c>
      <c r="BO121" t="s">
        <v>355</v>
      </c>
      <c r="BP121" t="s">
        <v>74</v>
      </c>
      <c r="BQ121" t="s">
        <v>74</v>
      </c>
      <c r="BR121" t="s">
        <v>105</v>
      </c>
      <c r="BS121" t="s">
        <v>2637</v>
      </c>
      <c r="BT121" t="str">
        <f>HYPERLINK("https%3A%2F%2Fwww.webofscience.com%2Fwos%2Fwoscc%2Ffull-record%2FWOS:001058965100001","View Full Record in Web of Science")</f>
        <v>View Full Record in Web of Science</v>
      </c>
    </row>
    <row r="122" spans="1:72" x14ac:dyDescent="0.25">
      <c r="A122" t="s">
        <v>72</v>
      </c>
      <c r="B122" t="s">
        <v>2638</v>
      </c>
      <c r="C122" t="s">
        <v>74</v>
      </c>
      <c r="D122" t="s">
        <v>74</v>
      </c>
      <c r="E122" t="s">
        <v>74</v>
      </c>
      <c r="F122" t="s">
        <v>2639</v>
      </c>
      <c r="G122" t="s">
        <v>74</v>
      </c>
      <c r="H122" t="s">
        <v>74</v>
      </c>
      <c r="I122" t="s">
        <v>2640</v>
      </c>
      <c r="J122" t="s">
        <v>2641</v>
      </c>
      <c r="K122" t="s">
        <v>74</v>
      </c>
      <c r="L122" t="s">
        <v>74</v>
      </c>
      <c r="M122" t="s">
        <v>78</v>
      </c>
      <c r="N122" t="s">
        <v>79</v>
      </c>
      <c r="O122" t="s">
        <v>74</v>
      </c>
      <c r="P122" t="s">
        <v>74</v>
      </c>
      <c r="Q122" t="s">
        <v>74</v>
      </c>
      <c r="R122" t="s">
        <v>74</v>
      </c>
      <c r="S122" t="s">
        <v>74</v>
      </c>
      <c r="T122" t="s">
        <v>2642</v>
      </c>
      <c r="U122" t="s">
        <v>2643</v>
      </c>
      <c r="V122" t="s">
        <v>2644</v>
      </c>
      <c r="W122" t="s">
        <v>2645</v>
      </c>
      <c r="X122" t="s">
        <v>2646</v>
      </c>
      <c r="Y122" t="s">
        <v>2647</v>
      </c>
      <c r="Z122" t="s">
        <v>2648</v>
      </c>
      <c r="AA122" t="s">
        <v>2649</v>
      </c>
      <c r="AB122" t="s">
        <v>2650</v>
      </c>
      <c r="AC122" t="s">
        <v>74</v>
      </c>
      <c r="AD122" t="s">
        <v>74</v>
      </c>
      <c r="AE122" t="s">
        <v>74</v>
      </c>
      <c r="AF122" t="s">
        <v>74</v>
      </c>
      <c r="AG122">
        <v>144</v>
      </c>
      <c r="AH122">
        <v>1</v>
      </c>
      <c r="AI122">
        <v>1</v>
      </c>
      <c r="AJ122">
        <v>31</v>
      </c>
      <c r="AK122">
        <v>78</v>
      </c>
      <c r="AL122" t="s">
        <v>1605</v>
      </c>
      <c r="AM122" t="s">
        <v>1606</v>
      </c>
      <c r="AN122" t="s">
        <v>1607</v>
      </c>
      <c r="AO122" t="s">
        <v>2651</v>
      </c>
      <c r="AP122" t="s">
        <v>2652</v>
      </c>
      <c r="AQ122" t="s">
        <v>74</v>
      </c>
      <c r="AR122" t="s">
        <v>2653</v>
      </c>
      <c r="AS122" t="s">
        <v>2654</v>
      </c>
      <c r="AT122" t="s">
        <v>487</v>
      </c>
      <c r="AU122">
        <v>2024</v>
      </c>
      <c r="AV122">
        <v>174</v>
      </c>
      <c r="AW122" t="s">
        <v>74</v>
      </c>
      <c r="AX122" t="s">
        <v>74</v>
      </c>
      <c r="AY122" t="s">
        <v>74</v>
      </c>
      <c r="AZ122" t="s">
        <v>74</v>
      </c>
      <c r="BA122" t="s">
        <v>74</v>
      </c>
      <c r="BB122" t="s">
        <v>74</v>
      </c>
      <c r="BC122" t="s">
        <v>74</v>
      </c>
      <c r="BD122">
        <v>104618</v>
      </c>
      <c r="BE122" t="s">
        <v>2655</v>
      </c>
      <c r="BF122" t="str">
        <f>HYPERLINK("http://dx.doi.org/10.1016/j.robot.2024.104618","http://dx.doi.org/10.1016/j.robot.2024.104618")</f>
        <v>http://dx.doi.org/10.1016/j.robot.2024.104618</v>
      </c>
      <c r="BG122" t="s">
        <v>74</v>
      </c>
      <c r="BH122" t="s">
        <v>2656</v>
      </c>
      <c r="BI122">
        <v>14</v>
      </c>
      <c r="BJ122" t="s">
        <v>2657</v>
      </c>
      <c r="BK122" t="s">
        <v>182</v>
      </c>
      <c r="BL122" t="s">
        <v>2658</v>
      </c>
      <c r="BM122" t="s">
        <v>2659</v>
      </c>
      <c r="BN122" t="s">
        <v>74</v>
      </c>
      <c r="BO122" t="s">
        <v>74</v>
      </c>
      <c r="BP122" t="s">
        <v>74</v>
      </c>
      <c r="BQ122" t="s">
        <v>74</v>
      </c>
      <c r="BR122" t="s">
        <v>105</v>
      </c>
      <c r="BS122" t="s">
        <v>2660</v>
      </c>
      <c r="BT122" t="str">
        <f>HYPERLINK("https%3A%2F%2Fwww.webofscience.com%2Fwos%2Fwoscc%2Ffull-record%2FWOS:001178812400001","View Full Record in Web of Science")</f>
        <v>View Full Record in Web of Science</v>
      </c>
    </row>
    <row r="123" spans="1:72" x14ac:dyDescent="0.25">
      <c r="A123" t="s">
        <v>72</v>
      </c>
      <c r="B123" t="s">
        <v>2661</v>
      </c>
      <c r="C123" t="s">
        <v>74</v>
      </c>
      <c r="D123" t="s">
        <v>74</v>
      </c>
      <c r="E123" t="s">
        <v>74</v>
      </c>
      <c r="F123" t="s">
        <v>2662</v>
      </c>
      <c r="G123" t="s">
        <v>74</v>
      </c>
      <c r="H123" t="s">
        <v>74</v>
      </c>
      <c r="I123" t="s">
        <v>2663</v>
      </c>
      <c r="J123" t="s">
        <v>2664</v>
      </c>
      <c r="K123" t="s">
        <v>74</v>
      </c>
      <c r="L123" t="s">
        <v>74</v>
      </c>
      <c r="M123" t="s">
        <v>78</v>
      </c>
      <c r="N123" t="s">
        <v>449</v>
      </c>
      <c r="O123" t="s">
        <v>74</v>
      </c>
      <c r="P123" t="s">
        <v>74</v>
      </c>
      <c r="Q123" t="s">
        <v>74</v>
      </c>
      <c r="R123" t="s">
        <v>74</v>
      </c>
      <c r="S123" t="s">
        <v>74</v>
      </c>
      <c r="T123" t="s">
        <v>2665</v>
      </c>
      <c r="U123" t="s">
        <v>2666</v>
      </c>
      <c r="V123" t="s">
        <v>2667</v>
      </c>
      <c r="W123" t="s">
        <v>2668</v>
      </c>
      <c r="X123" t="s">
        <v>2669</v>
      </c>
      <c r="Y123" t="s">
        <v>2670</v>
      </c>
      <c r="Z123" t="s">
        <v>2671</v>
      </c>
      <c r="AA123" t="s">
        <v>2672</v>
      </c>
      <c r="AB123" t="s">
        <v>2673</v>
      </c>
      <c r="AC123" t="s">
        <v>2674</v>
      </c>
      <c r="AD123" t="s">
        <v>2675</v>
      </c>
      <c r="AE123" t="s">
        <v>2676</v>
      </c>
      <c r="AF123" t="s">
        <v>74</v>
      </c>
      <c r="AG123">
        <v>60</v>
      </c>
      <c r="AH123">
        <v>2</v>
      </c>
      <c r="AI123">
        <v>2</v>
      </c>
      <c r="AJ123">
        <v>2</v>
      </c>
      <c r="AK123">
        <v>8</v>
      </c>
      <c r="AL123" t="s">
        <v>202</v>
      </c>
      <c r="AM123" t="s">
        <v>203</v>
      </c>
      <c r="AN123" t="s">
        <v>204</v>
      </c>
      <c r="AO123" t="s">
        <v>2677</v>
      </c>
      <c r="AP123" t="s">
        <v>2678</v>
      </c>
      <c r="AQ123" t="s">
        <v>74</v>
      </c>
      <c r="AR123" t="s">
        <v>2679</v>
      </c>
      <c r="AS123" t="s">
        <v>2680</v>
      </c>
      <c r="AT123" t="s">
        <v>2681</v>
      </c>
      <c r="AU123">
        <v>2023</v>
      </c>
      <c r="AV123" t="s">
        <v>74</v>
      </c>
      <c r="AW123" t="s">
        <v>74</v>
      </c>
      <c r="AX123" t="s">
        <v>74</v>
      </c>
      <c r="AY123" t="s">
        <v>74</v>
      </c>
      <c r="AZ123" t="s">
        <v>74</v>
      </c>
      <c r="BA123" t="s">
        <v>74</v>
      </c>
      <c r="BB123" t="s">
        <v>74</v>
      </c>
      <c r="BC123" t="s">
        <v>74</v>
      </c>
      <c r="BD123" t="s">
        <v>74</v>
      </c>
      <c r="BE123" t="s">
        <v>2682</v>
      </c>
      <c r="BF123" t="str">
        <f>HYPERLINK("http://dx.doi.org/10.23736/S2724-5276.23.07146-X","http://dx.doi.org/10.23736/S2724-5276.23.07146-X")</f>
        <v>http://dx.doi.org/10.23736/S2724-5276.23.07146-X</v>
      </c>
      <c r="BG123" t="s">
        <v>74</v>
      </c>
      <c r="BH123" t="s">
        <v>2683</v>
      </c>
      <c r="BI123">
        <v>27</v>
      </c>
      <c r="BJ123" t="s">
        <v>2684</v>
      </c>
      <c r="BK123" t="s">
        <v>182</v>
      </c>
      <c r="BL123" t="s">
        <v>2684</v>
      </c>
      <c r="BM123" t="s">
        <v>2685</v>
      </c>
      <c r="BN123">
        <v>37335184</v>
      </c>
      <c r="BO123" t="s">
        <v>74</v>
      </c>
      <c r="BP123" t="s">
        <v>74</v>
      </c>
      <c r="BQ123" t="s">
        <v>74</v>
      </c>
      <c r="BR123" t="s">
        <v>105</v>
      </c>
      <c r="BS123" t="s">
        <v>2686</v>
      </c>
      <c r="BT123" t="str">
        <f>HYPERLINK("https%3A%2F%2Fwww.webofscience.com%2Fwos%2Fwoscc%2Ffull-record%2FWOS:001145920500001","View Full Record in Web of Science")</f>
        <v>View Full Record in Web of Science</v>
      </c>
    </row>
    <row r="124" spans="1:72" x14ac:dyDescent="0.25">
      <c r="A124" t="s">
        <v>72</v>
      </c>
      <c r="B124" t="s">
        <v>2687</v>
      </c>
      <c r="C124" t="s">
        <v>74</v>
      </c>
      <c r="D124" t="s">
        <v>74</v>
      </c>
      <c r="E124" t="s">
        <v>74</v>
      </c>
      <c r="F124" t="s">
        <v>2688</v>
      </c>
      <c r="G124" t="s">
        <v>74</v>
      </c>
      <c r="H124" t="s">
        <v>74</v>
      </c>
      <c r="I124" t="s">
        <v>2689</v>
      </c>
      <c r="J124" t="s">
        <v>2690</v>
      </c>
      <c r="K124" t="s">
        <v>74</v>
      </c>
      <c r="L124" t="s">
        <v>74</v>
      </c>
      <c r="M124" t="s">
        <v>78</v>
      </c>
      <c r="N124" t="s">
        <v>79</v>
      </c>
      <c r="O124" t="s">
        <v>74</v>
      </c>
      <c r="P124" t="s">
        <v>74</v>
      </c>
      <c r="Q124" t="s">
        <v>74</v>
      </c>
      <c r="R124" t="s">
        <v>74</v>
      </c>
      <c r="S124" t="s">
        <v>74</v>
      </c>
      <c r="T124" t="s">
        <v>2691</v>
      </c>
      <c r="U124" t="s">
        <v>2692</v>
      </c>
      <c r="V124" t="s">
        <v>2693</v>
      </c>
      <c r="W124" t="s">
        <v>2694</v>
      </c>
      <c r="X124" t="s">
        <v>2695</v>
      </c>
      <c r="Y124" t="s">
        <v>2696</v>
      </c>
      <c r="Z124" t="s">
        <v>2697</v>
      </c>
      <c r="AA124" t="s">
        <v>74</v>
      </c>
      <c r="AB124" t="s">
        <v>74</v>
      </c>
      <c r="AC124" t="s">
        <v>74</v>
      </c>
      <c r="AD124" t="s">
        <v>74</v>
      </c>
      <c r="AE124" t="s">
        <v>74</v>
      </c>
      <c r="AF124" t="s">
        <v>74</v>
      </c>
      <c r="AG124">
        <v>81</v>
      </c>
      <c r="AH124">
        <v>4</v>
      </c>
      <c r="AI124">
        <v>4</v>
      </c>
      <c r="AJ124">
        <v>30</v>
      </c>
      <c r="AK124">
        <v>30</v>
      </c>
      <c r="AL124" t="s">
        <v>120</v>
      </c>
      <c r="AM124" t="s">
        <v>121</v>
      </c>
      <c r="AN124" t="s">
        <v>122</v>
      </c>
      <c r="AO124" t="s">
        <v>74</v>
      </c>
      <c r="AP124" t="s">
        <v>2698</v>
      </c>
      <c r="AQ124" t="s">
        <v>74</v>
      </c>
      <c r="AR124" t="s">
        <v>2690</v>
      </c>
      <c r="AS124" t="s">
        <v>2699</v>
      </c>
      <c r="AT124" t="s">
        <v>538</v>
      </c>
      <c r="AU124">
        <v>2025</v>
      </c>
      <c r="AV124">
        <v>14</v>
      </c>
      <c r="AW124">
        <v>1</v>
      </c>
      <c r="AX124" t="s">
        <v>74</v>
      </c>
      <c r="AY124" t="s">
        <v>74</v>
      </c>
      <c r="AZ124" t="s">
        <v>74</v>
      </c>
      <c r="BA124" t="s">
        <v>74</v>
      </c>
      <c r="BB124" t="s">
        <v>74</v>
      </c>
      <c r="BC124" t="s">
        <v>74</v>
      </c>
      <c r="BD124">
        <v>16</v>
      </c>
      <c r="BE124" t="s">
        <v>2700</v>
      </c>
      <c r="BF124" t="str">
        <f>HYPERLINK("http://dx.doi.org/10.3390/act14010016","http://dx.doi.org/10.3390/act14010016")</f>
        <v>http://dx.doi.org/10.3390/act14010016</v>
      </c>
      <c r="BG124" t="s">
        <v>74</v>
      </c>
      <c r="BH124" t="s">
        <v>74</v>
      </c>
      <c r="BI124">
        <v>44</v>
      </c>
      <c r="BJ124" t="s">
        <v>2701</v>
      </c>
      <c r="BK124" t="s">
        <v>182</v>
      </c>
      <c r="BL124" t="s">
        <v>2702</v>
      </c>
      <c r="BM124" t="s">
        <v>2703</v>
      </c>
      <c r="BN124" t="s">
        <v>74</v>
      </c>
      <c r="BO124" t="s">
        <v>185</v>
      </c>
      <c r="BP124" t="s">
        <v>74</v>
      </c>
      <c r="BQ124" t="s">
        <v>74</v>
      </c>
      <c r="BR124" t="s">
        <v>105</v>
      </c>
      <c r="BS124" t="s">
        <v>2704</v>
      </c>
      <c r="BT124" t="str">
        <f>HYPERLINK("https%3A%2F%2Fwww.webofscience.com%2Fwos%2Fwoscc%2Ffull-record%2FWOS:001403989700001","View Full Record in Web of Science")</f>
        <v>View Full Record in Web of Science</v>
      </c>
    </row>
    <row r="125" spans="1:72" x14ac:dyDescent="0.25">
      <c r="A125" t="s">
        <v>72</v>
      </c>
      <c r="B125" t="s">
        <v>2705</v>
      </c>
      <c r="C125" t="s">
        <v>74</v>
      </c>
      <c r="D125" t="s">
        <v>74</v>
      </c>
      <c r="E125" t="s">
        <v>74</v>
      </c>
      <c r="F125" t="s">
        <v>2706</v>
      </c>
      <c r="G125" t="s">
        <v>74</v>
      </c>
      <c r="H125" t="s">
        <v>74</v>
      </c>
      <c r="I125" t="s">
        <v>2707</v>
      </c>
      <c r="J125" t="s">
        <v>2708</v>
      </c>
      <c r="K125" t="s">
        <v>74</v>
      </c>
      <c r="L125" t="s">
        <v>74</v>
      </c>
      <c r="M125" t="s">
        <v>78</v>
      </c>
      <c r="N125" t="s">
        <v>79</v>
      </c>
      <c r="O125" t="s">
        <v>74</v>
      </c>
      <c r="P125" t="s">
        <v>74</v>
      </c>
      <c r="Q125" t="s">
        <v>74</v>
      </c>
      <c r="R125" t="s">
        <v>74</v>
      </c>
      <c r="S125" t="s">
        <v>74</v>
      </c>
      <c r="T125" t="s">
        <v>2709</v>
      </c>
      <c r="U125" t="s">
        <v>2710</v>
      </c>
      <c r="V125" t="s">
        <v>2711</v>
      </c>
      <c r="W125" t="s">
        <v>2712</v>
      </c>
      <c r="X125" t="s">
        <v>74</v>
      </c>
      <c r="Y125" t="s">
        <v>2713</v>
      </c>
      <c r="Z125" t="s">
        <v>2714</v>
      </c>
      <c r="AA125" t="s">
        <v>74</v>
      </c>
      <c r="AB125" t="s">
        <v>74</v>
      </c>
      <c r="AC125" t="s">
        <v>74</v>
      </c>
      <c r="AD125" t="s">
        <v>74</v>
      </c>
      <c r="AE125" t="s">
        <v>74</v>
      </c>
      <c r="AF125" t="s">
        <v>74</v>
      </c>
      <c r="AG125">
        <v>131</v>
      </c>
      <c r="AH125">
        <v>75</v>
      </c>
      <c r="AI125">
        <v>88</v>
      </c>
      <c r="AJ125">
        <v>0</v>
      </c>
      <c r="AK125">
        <v>74</v>
      </c>
      <c r="AL125" t="s">
        <v>2529</v>
      </c>
      <c r="AM125" t="s">
        <v>2530</v>
      </c>
      <c r="AN125" t="s">
        <v>2531</v>
      </c>
      <c r="AO125" t="s">
        <v>2715</v>
      </c>
      <c r="AP125" t="s">
        <v>2716</v>
      </c>
      <c r="AQ125" t="s">
        <v>74</v>
      </c>
      <c r="AR125" t="s">
        <v>2717</v>
      </c>
      <c r="AS125" t="s">
        <v>2718</v>
      </c>
      <c r="AT125" t="s">
        <v>326</v>
      </c>
      <c r="AU125">
        <v>2012</v>
      </c>
      <c r="AV125">
        <v>259</v>
      </c>
      <c r="AW125">
        <v>5</v>
      </c>
      <c r="AX125" t="s">
        <v>74</v>
      </c>
      <c r="AY125" t="s">
        <v>74</v>
      </c>
      <c r="AZ125" t="s">
        <v>74</v>
      </c>
      <c r="BA125" t="s">
        <v>74</v>
      </c>
      <c r="BB125">
        <v>817</v>
      </c>
      <c r="BC125">
        <v>832</v>
      </c>
      <c r="BD125" t="s">
        <v>74</v>
      </c>
      <c r="BE125" t="s">
        <v>2719</v>
      </c>
      <c r="BF125" t="str">
        <f>HYPERLINK("http://dx.doi.org/10.1007/s00415-011-6247-y","http://dx.doi.org/10.1007/s00415-011-6247-y")</f>
        <v>http://dx.doi.org/10.1007/s00415-011-6247-y</v>
      </c>
      <c r="BG125" t="s">
        <v>74</v>
      </c>
      <c r="BH125" t="s">
        <v>74</v>
      </c>
      <c r="BI125">
        <v>16</v>
      </c>
      <c r="BJ125" t="s">
        <v>541</v>
      </c>
      <c r="BK125" t="s">
        <v>182</v>
      </c>
      <c r="BL125" t="s">
        <v>375</v>
      </c>
      <c r="BM125" t="s">
        <v>2720</v>
      </c>
      <c r="BN125">
        <v>21964750</v>
      </c>
      <c r="BO125" t="s">
        <v>74</v>
      </c>
      <c r="BP125" t="s">
        <v>74</v>
      </c>
      <c r="BQ125" t="s">
        <v>74</v>
      </c>
      <c r="BR125" t="s">
        <v>105</v>
      </c>
      <c r="BS125" t="s">
        <v>2721</v>
      </c>
      <c r="BT125" t="str">
        <f>HYPERLINK("https%3A%2F%2Fwww.webofscience.com%2Fwos%2Fwoscc%2Ffull-record%2FWOS:000304447900002","View Full Record in Web of Science")</f>
        <v>View Full Record in Web of Science</v>
      </c>
    </row>
    <row r="126" spans="1:72" x14ac:dyDescent="0.25">
      <c r="A126" t="s">
        <v>72</v>
      </c>
      <c r="B126" t="s">
        <v>2722</v>
      </c>
      <c r="C126" t="s">
        <v>74</v>
      </c>
      <c r="D126" t="s">
        <v>74</v>
      </c>
      <c r="E126" t="s">
        <v>74</v>
      </c>
      <c r="F126" t="s">
        <v>2723</v>
      </c>
      <c r="G126" t="s">
        <v>74</v>
      </c>
      <c r="H126" t="s">
        <v>74</v>
      </c>
      <c r="I126" t="s">
        <v>2724</v>
      </c>
      <c r="J126" t="s">
        <v>2725</v>
      </c>
      <c r="K126" t="s">
        <v>74</v>
      </c>
      <c r="L126" t="s">
        <v>74</v>
      </c>
      <c r="M126" t="s">
        <v>78</v>
      </c>
      <c r="N126" t="s">
        <v>79</v>
      </c>
      <c r="O126" t="s">
        <v>74</v>
      </c>
      <c r="P126" t="s">
        <v>74</v>
      </c>
      <c r="Q126" t="s">
        <v>74</v>
      </c>
      <c r="R126" t="s">
        <v>74</v>
      </c>
      <c r="S126" t="s">
        <v>74</v>
      </c>
      <c r="T126" t="s">
        <v>2726</v>
      </c>
      <c r="U126" t="s">
        <v>2727</v>
      </c>
      <c r="V126" t="s">
        <v>2728</v>
      </c>
      <c r="W126" t="s">
        <v>2729</v>
      </c>
      <c r="X126" t="s">
        <v>2730</v>
      </c>
      <c r="Y126" t="s">
        <v>2731</v>
      </c>
      <c r="Z126" t="s">
        <v>2732</v>
      </c>
      <c r="AA126" t="s">
        <v>74</v>
      </c>
      <c r="AB126" t="s">
        <v>2733</v>
      </c>
      <c r="AC126" t="s">
        <v>74</v>
      </c>
      <c r="AD126" t="s">
        <v>74</v>
      </c>
      <c r="AE126" t="s">
        <v>74</v>
      </c>
      <c r="AF126" t="s">
        <v>74</v>
      </c>
      <c r="AG126">
        <v>82</v>
      </c>
      <c r="AH126">
        <v>1</v>
      </c>
      <c r="AI126">
        <v>1</v>
      </c>
      <c r="AJ126">
        <v>3</v>
      </c>
      <c r="AK126">
        <v>6</v>
      </c>
      <c r="AL126" t="s">
        <v>172</v>
      </c>
      <c r="AM126" t="s">
        <v>173</v>
      </c>
      <c r="AN126" t="s">
        <v>174</v>
      </c>
      <c r="AO126" t="s">
        <v>2734</v>
      </c>
      <c r="AP126" t="s">
        <v>2735</v>
      </c>
      <c r="AQ126" t="s">
        <v>74</v>
      </c>
      <c r="AR126" t="s">
        <v>2736</v>
      </c>
      <c r="AS126" t="s">
        <v>2737</v>
      </c>
      <c r="AT126" t="s">
        <v>151</v>
      </c>
      <c r="AU126">
        <v>2025</v>
      </c>
      <c r="AV126">
        <v>26</v>
      </c>
      <c r="AW126">
        <v>1</v>
      </c>
      <c r="AX126" t="s">
        <v>74</v>
      </c>
      <c r="AY126" t="s">
        <v>74</v>
      </c>
      <c r="AZ126" t="s">
        <v>74</v>
      </c>
      <c r="BA126" t="s">
        <v>74</v>
      </c>
      <c r="BB126" t="s">
        <v>74</v>
      </c>
      <c r="BC126" t="s">
        <v>74</v>
      </c>
      <c r="BD126">
        <v>19</v>
      </c>
      <c r="BE126" t="s">
        <v>2738</v>
      </c>
      <c r="BF126" t="str">
        <f>HYPERLINK("http://dx.doi.org/10.1007/s11934-024-01249-x","http://dx.doi.org/10.1007/s11934-024-01249-x")</f>
        <v>http://dx.doi.org/10.1007/s11934-024-01249-x</v>
      </c>
      <c r="BG126" t="s">
        <v>74</v>
      </c>
      <c r="BH126" t="s">
        <v>74</v>
      </c>
      <c r="BI126">
        <v>10</v>
      </c>
      <c r="BJ126" t="s">
        <v>2739</v>
      </c>
      <c r="BK126" t="s">
        <v>182</v>
      </c>
      <c r="BL126" t="s">
        <v>2739</v>
      </c>
      <c r="BM126" t="s">
        <v>2740</v>
      </c>
      <c r="BN126">
        <v>39546126</v>
      </c>
      <c r="BO126" t="s">
        <v>74</v>
      </c>
      <c r="BP126" t="s">
        <v>74</v>
      </c>
      <c r="BQ126" t="s">
        <v>74</v>
      </c>
      <c r="BR126" t="s">
        <v>105</v>
      </c>
      <c r="BS126" t="s">
        <v>2741</v>
      </c>
      <c r="BT126" t="str">
        <f>HYPERLINK("https%3A%2F%2Fwww.webofscience.com%2Fwos%2Fwoscc%2Ffull-record%2FWOS:001355184200001","View Full Record in Web of Science")</f>
        <v>View Full Record in Web of Science</v>
      </c>
    </row>
    <row r="127" spans="1:72" x14ac:dyDescent="0.25">
      <c r="A127" t="s">
        <v>72</v>
      </c>
      <c r="B127" t="s">
        <v>2742</v>
      </c>
      <c r="C127" t="s">
        <v>74</v>
      </c>
      <c r="D127" t="s">
        <v>74</v>
      </c>
      <c r="E127" t="s">
        <v>74</v>
      </c>
      <c r="F127" t="s">
        <v>2743</v>
      </c>
      <c r="G127" t="s">
        <v>74</v>
      </c>
      <c r="H127" t="s">
        <v>74</v>
      </c>
      <c r="I127" t="s">
        <v>2744</v>
      </c>
      <c r="J127" t="s">
        <v>2745</v>
      </c>
      <c r="K127" t="s">
        <v>74</v>
      </c>
      <c r="L127" t="s">
        <v>74</v>
      </c>
      <c r="M127" t="s">
        <v>78</v>
      </c>
      <c r="N127" t="s">
        <v>79</v>
      </c>
      <c r="O127" t="s">
        <v>74</v>
      </c>
      <c r="P127" t="s">
        <v>74</v>
      </c>
      <c r="Q127" t="s">
        <v>74</v>
      </c>
      <c r="R127" t="s">
        <v>74</v>
      </c>
      <c r="S127" t="s">
        <v>74</v>
      </c>
      <c r="T127" t="s">
        <v>2746</v>
      </c>
      <c r="U127" t="s">
        <v>74</v>
      </c>
      <c r="V127" t="s">
        <v>2747</v>
      </c>
      <c r="W127" t="s">
        <v>2748</v>
      </c>
      <c r="X127" t="s">
        <v>2749</v>
      </c>
      <c r="Y127" t="s">
        <v>2750</v>
      </c>
      <c r="Z127" t="s">
        <v>2751</v>
      </c>
      <c r="AA127" t="s">
        <v>2752</v>
      </c>
      <c r="AB127" t="s">
        <v>2753</v>
      </c>
      <c r="AC127" t="s">
        <v>2754</v>
      </c>
      <c r="AD127" t="s">
        <v>2755</v>
      </c>
      <c r="AE127" t="s">
        <v>2756</v>
      </c>
      <c r="AF127" t="s">
        <v>74</v>
      </c>
      <c r="AG127">
        <v>52</v>
      </c>
      <c r="AH127">
        <v>0</v>
      </c>
      <c r="AI127">
        <v>0</v>
      </c>
      <c r="AJ127">
        <v>2</v>
      </c>
      <c r="AK127">
        <v>2</v>
      </c>
      <c r="AL127" t="s">
        <v>120</v>
      </c>
      <c r="AM127" t="s">
        <v>121</v>
      </c>
      <c r="AN127" t="s">
        <v>1221</v>
      </c>
      <c r="AO127" t="s">
        <v>74</v>
      </c>
      <c r="AP127" t="s">
        <v>2757</v>
      </c>
      <c r="AQ127" t="s">
        <v>74</v>
      </c>
      <c r="AR127" t="s">
        <v>2745</v>
      </c>
      <c r="AS127" t="s">
        <v>2758</v>
      </c>
      <c r="AT127" t="s">
        <v>351</v>
      </c>
      <c r="AU127">
        <v>2025</v>
      </c>
      <c r="AV127">
        <v>12</v>
      </c>
      <c r="AW127">
        <v>2</v>
      </c>
      <c r="AX127" t="s">
        <v>74</v>
      </c>
      <c r="AY127" t="s">
        <v>74</v>
      </c>
      <c r="AZ127" t="s">
        <v>74</v>
      </c>
      <c r="BA127" t="s">
        <v>74</v>
      </c>
      <c r="BB127" t="s">
        <v>74</v>
      </c>
      <c r="BC127" t="s">
        <v>74</v>
      </c>
      <c r="BD127">
        <v>204</v>
      </c>
      <c r="BE127" t="s">
        <v>2759</v>
      </c>
      <c r="BF127" t="str">
        <f>HYPERLINK("http://dx.doi.org/10.3390/bioengineering12020204","http://dx.doi.org/10.3390/bioengineering12020204")</f>
        <v>http://dx.doi.org/10.3390/bioengineering12020204</v>
      </c>
      <c r="BG127" t="s">
        <v>74</v>
      </c>
      <c r="BH127" t="s">
        <v>74</v>
      </c>
      <c r="BI127">
        <v>12</v>
      </c>
      <c r="BJ127" t="s">
        <v>2760</v>
      </c>
      <c r="BK127" t="s">
        <v>182</v>
      </c>
      <c r="BL127" t="s">
        <v>2761</v>
      </c>
      <c r="BM127" t="s">
        <v>2762</v>
      </c>
      <c r="BN127">
        <v>40001723</v>
      </c>
      <c r="BO127" t="s">
        <v>185</v>
      </c>
      <c r="BP127" t="s">
        <v>74</v>
      </c>
      <c r="BQ127" t="s">
        <v>74</v>
      </c>
      <c r="BR127" t="s">
        <v>105</v>
      </c>
      <c r="BS127" t="s">
        <v>2763</v>
      </c>
      <c r="BT127" t="str">
        <f>HYPERLINK("https%3A%2F%2Fwww.webofscience.com%2Fwos%2Fwoscc%2Ffull-record%2FWOS:001430506700001","View Full Record in Web of Science")</f>
        <v>View Full Record in Web of Science</v>
      </c>
    </row>
    <row r="128" spans="1:72" x14ac:dyDescent="0.25">
      <c r="A128" t="s">
        <v>72</v>
      </c>
      <c r="B128" t="s">
        <v>2764</v>
      </c>
      <c r="C128" t="s">
        <v>74</v>
      </c>
      <c r="D128" t="s">
        <v>74</v>
      </c>
      <c r="E128" t="s">
        <v>74</v>
      </c>
      <c r="F128" t="s">
        <v>2765</v>
      </c>
      <c r="G128" t="s">
        <v>74</v>
      </c>
      <c r="H128" t="s">
        <v>74</v>
      </c>
      <c r="I128" t="s">
        <v>2766</v>
      </c>
      <c r="J128" t="s">
        <v>2040</v>
      </c>
      <c r="K128" t="s">
        <v>74</v>
      </c>
      <c r="L128" t="s">
        <v>74</v>
      </c>
      <c r="M128" t="s">
        <v>78</v>
      </c>
      <c r="N128" t="s">
        <v>79</v>
      </c>
      <c r="O128" t="s">
        <v>74</v>
      </c>
      <c r="P128" t="s">
        <v>74</v>
      </c>
      <c r="Q128" t="s">
        <v>74</v>
      </c>
      <c r="R128" t="s">
        <v>74</v>
      </c>
      <c r="S128" t="s">
        <v>74</v>
      </c>
      <c r="T128" t="s">
        <v>2767</v>
      </c>
      <c r="U128" t="s">
        <v>2768</v>
      </c>
      <c r="V128" t="s">
        <v>2769</v>
      </c>
      <c r="W128" t="s">
        <v>2770</v>
      </c>
      <c r="X128" t="s">
        <v>2771</v>
      </c>
      <c r="Y128" t="s">
        <v>2772</v>
      </c>
      <c r="Z128" t="s">
        <v>2773</v>
      </c>
      <c r="AA128" t="s">
        <v>2774</v>
      </c>
      <c r="AB128" t="s">
        <v>2775</v>
      </c>
      <c r="AC128" t="s">
        <v>74</v>
      </c>
      <c r="AD128" t="s">
        <v>74</v>
      </c>
      <c r="AE128" t="s">
        <v>74</v>
      </c>
      <c r="AF128" t="s">
        <v>74</v>
      </c>
      <c r="AG128">
        <v>111</v>
      </c>
      <c r="AH128">
        <v>7</v>
      </c>
      <c r="AI128">
        <v>7</v>
      </c>
      <c r="AJ128">
        <v>7</v>
      </c>
      <c r="AK128">
        <v>22</v>
      </c>
      <c r="AL128" t="s">
        <v>120</v>
      </c>
      <c r="AM128" t="s">
        <v>121</v>
      </c>
      <c r="AN128" t="s">
        <v>122</v>
      </c>
      <c r="AO128" t="s">
        <v>74</v>
      </c>
      <c r="AP128" t="s">
        <v>2050</v>
      </c>
      <c r="AQ128" t="s">
        <v>74</v>
      </c>
      <c r="AR128" t="s">
        <v>2051</v>
      </c>
      <c r="AS128" t="s">
        <v>2052</v>
      </c>
      <c r="AT128" t="s">
        <v>126</v>
      </c>
      <c r="AU128">
        <v>2023</v>
      </c>
      <c r="AV128">
        <v>23</v>
      </c>
      <c r="AW128">
        <v>21</v>
      </c>
      <c r="AX128" t="s">
        <v>74</v>
      </c>
      <c r="AY128" t="s">
        <v>74</v>
      </c>
      <c r="AZ128" t="s">
        <v>74</v>
      </c>
      <c r="BA128" t="s">
        <v>74</v>
      </c>
      <c r="BB128" t="s">
        <v>74</v>
      </c>
      <c r="BC128" t="s">
        <v>74</v>
      </c>
      <c r="BD128">
        <v>8950</v>
      </c>
      <c r="BE128" t="s">
        <v>2776</v>
      </c>
      <c r="BF128" t="str">
        <f>HYPERLINK("http://dx.doi.org/10.3390/s23218950","http://dx.doi.org/10.3390/s23218950")</f>
        <v>http://dx.doi.org/10.3390/s23218950</v>
      </c>
      <c r="BG128" t="s">
        <v>74</v>
      </c>
      <c r="BH128" t="s">
        <v>74</v>
      </c>
      <c r="BI128">
        <v>17</v>
      </c>
      <c r="BJ128" t="s">
        <v>2054</v>
      </c>
      <c r="BK128" t="s">
        <v>182</v>
      </c>
      <c r="BL128" t="s">
        <v>2055</v>
      </c>
      <c r="BM128" t="s">
        <v>2777</v>
      </c>
      <c r="BN128">
        <v>37960649</v>
      </c>
      <c r="BO128" t="s">
        <v>355</v>
      </c>
      <c r="BP128" t="s">
        <v>74</v>
      </c>
      <c r="BQ128" t="s">
        <v>74</v>
      </c>
      <c r="BR128" t="s">
        <v>105</v>
      </c>
      <c r="BS128" t="s">
        <v>2778</v>
      </c>
      <c r="BT128" t="str">
        <f>HYPERLINK("https%3A%2F%2Fwww.webofscience.com%2Fwos%2Fwoscc%2Ffull-record%2FWOS:001100347100001","View Full Record in Web of Science")</f>
        <v>View Full Record in Web of Science</v>
      </c>
    </row>
    <row r="129" spans="1:72" x14ac:dyDescent="0.25">
      <c r="A129" t="s">
        <v>72</v>
      </c>
      <c r="B129" t="s">
        <v>2779</v>
      </c>
      <c r="C129" t="s">
        <v>74</v>
      </c>
      <c r="D129" t="s">
        <v>74</v>
      </c>
      <c r="E129" t="s">
        <v>74</v>
      </c>
      <c r="F129" t="s">
        <v>2780</v>
      </c>
      <c r="G129" t="s">
        <v>74</v>
      </c>
      <c r="H129" t="s">
        <v>74</v>
      </c>
      <c r="I129" t="s">
        <v>2781</v>
      </c>
      <c r="J129" t="s">
        <v>892</v>
      </c>
      <c r="K129" t="s">
        <v>74</v>
      </c>
      <c r="L129" t="s">
        <v>74</v>
      </c>
      <c r="M129" t="s">
        <v>78</v>
      </c>
      <c r="N129" t="s">
        <v>79</v>
      </c>
      <c r="O129" t="s">
        <v>74</v>
      </c>
      <c r="P129" t="s">
        <v>74</v>
      </c>
      <c r="Q129" t="s">
        <v>74</v>
      </c>
      <c r="R129" t="s">
        <v>74</v>
      </c>
      <c r="S129" t="s">
        <v>74</v>
      </c>
      <c r="T129" t="s">
        <v>2782</v>
      </c>
      <c r="U129" t="s">
        <v>2783</v>
      </c>
      <c r="V129" t="s">
        <v>2784</v>
      </c>
      <c r="W129" t="s">
        <v>2785</v>
      </c>
      <c r="X129" t="s">
        <v>2786</v>
      </c>
      <c r="Y129" t="s">
        <v>2787</v>
      </c>
      <c r="Z129" t="s">
        <v>2788</v>
      </c>
      <c r="AA129" t="s">
        <v>2789</v>
      </c>
      <c r="AB129" t="s">
        <v>2790</v>
      </c>
      <c r="AC129" t="s">
        <v>74</v>
      </c>
      <c r="AD129" t="s">
        <v>74</v>
      </c>
      <c r="AE129" t="s">
        <v>74</v>
      </c>
      <c r="AF129" t="s">
        <v>74</v>
      </c>
      <c r="AG129">
        <v>58</v>
      </c>
      <c r="AH129">
        <v>15</v>
      </c>
      <c r="AI129">
        <v>15</v>
      </c>
      <c r="AJ129">
        <v>3</v>
      </c>
      <c r="AK129">
        <v>37</v>
      </c>
      <c r="AL129" t="s">
        <v>120</v>
      </c>
      <c r="AM129" t="s">
        <v>121</v>
      </c>
      <c r="AN129" t="s">
        <v>122</v>
      </c>
      <c r="AO129" t="s">
        <v>74</v>
      </c>
      <c r="AP129" t="s">
        <v>905</v>
      </c>
      <c r="AQ129" t="s">
        <v>74</v>
      </c>
      <c r="AR129" t="s">
        <v>906</v>
      </c>
      <c r="AS129" t="s">
        <v>907</v>
      </c>
      <c r="AT129" t="s">
        <v>326</v>
      </c>
      <c r="AU129">
        <v>2022</v>
      </c>
      <c r="AV129">
        <v>19</v>
      </c>
      <c r="AW129">
        <v>9</v>
      </c>
      <c r="AX129" t="s">
        <v>74</v>
      </c>
      <c r="AY129" t="s">
        <v>74</v>
      </c>
      <c r="AZ129" t="s">
        <v>74</v>
      </c>
      <c r="BA129" t="s">
        <v>74</v>
      </c>
      <c r="BB129" t="s">
        <v>74</v>
      </c>
      <c r="BC129" t="s">
        <v>74</v>
      </c>
      <c r="BD129">
        <v>5116</v>
      </c>
      <c r="BE129" t="s">
        <v>2791</v>
      </c>
      <c r="BF129" t="str">
        <f>HYPERLINK("http://dx.doi.org/10.3390/ijerph19095116","http://dx.doi.org/10.3390/ijerph19095116")</f>
        <v>http://dx.doi.org/10.3390/ijerph19095116</v>
      </c>
      <c r="BG129" t="s">
        <v>74</v>
      </c>
      <c r="BH129" t="s">
        <v>74</v>
      </c>
      <c r="BI129">
        <v>12</v>
      </c>
      <c r="BJ129" t="s">
        <v>909</v>
      </c>
      <c r="BK129" t="s">
        <v>102</v>
      </c>
      <c r="BL129" t="s">
        <v>910</v>
      </c>
      <c r="BM129" t="s">
        <v>2792</v>
      </c>
      <c r="BN129">
        <v>35564511</v>
      </c>
      <c r="BO129" t="s">
        <v>131</v>
      </c>
      <c r="BP129" t="s">
        <v>74</v>
      </c>
      <c r="BQ129" t="s">
        <v>74</v>
      </c>
      <c r="BR129" t="s">
        <v>105</v>
      </c>
      <c r="BS129" t="s">
        <v>2793</v>
      </c>
      <c r="BT129" t="str">
        <f>HYPERLINK("https%3A%2F%2Fwww.webofscience.com%2Fwos%2Fwoscc%2Ffull-record%2FWOS:000794541300001","View Full Record in Web of Science")</f>
        <v>View Full Record in Web of Science</v>
      </c>
    </row>
    <row r="130" spans="1:72" x14ac:dyDescent="0.25">
      <c r="A130" t="s">
        <v>72</v>
      </c>
      <c r="B130" t="s">
        <v>2794</v>
      </c>
      <c r="C130" t="s">
        <v>74</v>
      </c>
      <c r="D130" t="s">
        <v>74</v>
      </c>
      <c r="E130" t="s">
        <v>74</v>
      </c>
      <c r="F130" t="s">
        <v>2795</v>
      </c>
      <c r="G130" t="s">
        <v>74</v>
      </c>
      <c r="H130" t="s">
        <v>74</v>
      </c>
      <c r="I130" t="s">
        <v>2796</v>
      </c>
      <c r="J130" t="s">
        <v>2797</v>
      </c>
      <c r="K130" t="s">
        <v>74</v>
      </c>
      <c r="L130" t="s">
        <v>74</v>
      </c>
      <c r="M130" t="s">
        <v>78</v>
      </c>
      <c r="N130" t="s">
        <v>79</v>
      </c>
      <c r="O130" t="s">
        <v>74</v>
      </c>
      <c r="P130" t="s">
        <v>74</v>
      </c>
      <c r="Q130" t="s">
        <v>74</v>
      </c>
      <c r="R130" t="s">
        <v>74</v>
      </c>
      <c r="S130" t="s">
        <v>74</v>
      </c>
      <c r="T130" t="s">
        <v>2798</v>
      </c>
      <c r="U130" t="s">
        <v>2799</v>
      </c>
      <c r="V130" t="s">
        <v>2800</v>
      </c>
      <c r="W130" t="s">
        <v>2801</v>
      </c>
      <c r="X130" t="s">
        <v>2802</v>
      </c>
      <c r="Y130" t="s">
        <v>2803</v>
      </c>
      <c r="Z130" t="s">
        <v>2804</v>
      </c>
      <c r="AA130" t="s">
        <v>74</v>
      </c>
      <c r="AB130" t="s">
        <v>2805</v>
      </c>
      <c r="AC130" t="s">
        <v>2806</v>
      </c>
      <c r="AD130" t="s">
        <v>2807</v>
      </c>
      <c r="AE130" t="s">
        <v>2808</v>
      </c>
      <c r="AF130" t="s">
        <v>74</v>
      </c>
      <c r="AG130">
        <v>102</v>
      </c>
      <c r="AH130">
        <v>66</v>
      </c>
      <c r="AI130">
        <v>77</v>
      </c>
      <c r="AJ130">
        <v>2</v>
      </c>
      <c r="AK130">
        <v>45</v>
      </c>
      <c r="AL130" t="s">
        <v>836</v>
      </c>
      <c r="AM130" t="s">
        <v>532</v>
      </c>
      <c r="AN130" t="s">
        <v>837</v>
      </c>
      <c r="AO130" t="s">
        <v>2809</v>
      </c>
      <c r="AP130" t="s">
        <v>2810</v>
      </c>
      <c r="AQ130" t="s">
        <v>74</v>
      </c>
      <c r="AR130" t="s">
        <v>2797</v>
      </c>
      <c r="AS130" t="s">
        <v>2811</v>
      </c>
      <c r="AT130" t="s">
        <v>304</v>
      </c>
      <c r="AU130">
        <v>2015</v>
      </c>
      <c r="AV130">
        <v>311</v>
      </c>
      <c r="AW130" t="s">
        <v>74</v>
      </c>
      <c r="AX130" t="s">
        <v>74</v>
      </c>
      <c r="AY130" t="s">
        <v>74</v>
      </c>
      <c r="AZ130" t="s">
        <v>74</v>
      </c>
      <c r="BA130" t="s">
        <v>74</v>
      </c>
      <c r="BB130">
        <v>180</v>
      </c>
      <c r="BC130">
        <v>194</v>
      </c>
      <c r="BD130" t="s">
        <v>74</v>
      </c>
      <c r="BE130" t="s">
        <v>2812</v>
      </c>
      <c r="BF130" t="str">
        <f>HYPERLINK("http://dx.doi.org/10.1016/j.neuroscience.2015.10.029","http://dx.doi.org/10.1016/j.neuroscience.2015.10.029")</f>
        <v>http://dx.doi.org/10.1016/j.neuroscience.2015.10.029</v>
      </c>
      <c r="BG130" t="s">
        <v>74</v>
      </c>
      <c r="BH130" t="s">
        <v>74</v>
      </c>
      <c r="BI130">
        <v>15</v>
      </c>
      <c r="BJ130" t="s">
        <v>374</v>
      </c>
      <c r="BK130" t="s">
        <v>182</v>
      </c>
      <c r="BL130" t="s">
        <v>375</v>
      </c>
      <c r="BM130" t="s">
        <v>2813</v>
      </c>
      <c r="BN130">
        <v>26493858</v>
      </c>
      <c r="BO130" t="s">
        <v>74</v>
      </c>
      <c r="BP130" t="s">
        <v>74</v>
      </c>
      <c r="BQ130" t="s">
        <v>74</v>
      </c>
      <c r="BR130" t="s">
        <v>105</v>
      </c>
      <c r="BS130" t="s">
        <v>2814</v>
      </c>
      <c r="BT130" t="str">
        <f>HYPERLINK("https%3A%2F%2Fwww.webofscience.com%2Fwos%2Fwoscc%2Ffull-record%2FWOS:000366144000017","View Full Record in Web of Science")</f>
        <v>View Full Record in Web of Science</v>
      </c>
    </row>
    <row r="131" spans="1:72" x14ac:dyDescent="0.25">
      <c r="A131" t="s">
        <v>72</v>
      </c>
      <c r="B131" t="s">
        <v>2815</v>
      </c>
      <c r="C131" t="s">
        <v>74</v>
      </c>
      <c r="D131" t="s">
        <v>74</v>
      </c>
      <c r="E131" t="s">
        <v>74</v>
      </c>
      <c r="F131" t="s">
        <v>2816</v>
      </c>
      <c r="G131" t="s">
        <v>74</v>
      </c>
      <c r="H131" t="s">
        <v>74</v>
      </c>
      <c r="I131" t="s">
        <v>2817</v>
      </c>
      <c r="J131" t="s">
        <v>2818</v>
      </c>
      <c r="K131" t="s">
        <v>74</v>
      </c>
      <c r="L131" t="s">
        <v>74</v>
      </c>
      <c r="M131" t="s">
        <v>78</v>
      </c>
      <c r="N131" t="s">
        <v>79</v>
      </c>
      <c r="O131" t="s">
        <v>74</v>
      </c>
      <c r="P131" t="s">
        <v>74</v>
      </c>
      <c r="Q131" t="s">
        <v>74</v>
      </c>
      <c r="R131" t="s">
        <v>74</v>
      </c>
      <c r="S131" t="s">
        <v>74</v>
      </c>
      <c r="T131" t="s">
        <v>2819</v>
      </c>
      <c r="U131" t="s">
        <v>2820</v>
      </c>
      <c r="V131" t="s">
        <v>2821</v>
      </c>
      <c r="W131" t="s">
        <v>2822</v>
      </c>
      <c r="X131" t="s">
        <v>2823</v>
      </c>
      <c r="Y131" t="s">
        <v>2824</v>
      </c>
      <c r="Z131" t="s">
        <v>2825</v>
      </c>
      <c r="AA131" t="s">
        <v>74</v>
      </c>
      <c r="AB131" t="s">
        <v>74</v>
      </c>
      <c r="AC131" t="s">
        <v>2826</v>
      </c>
      <c r="AD131" t="s">
        <v>2827</v>
      </c>
      <c r="AE131" t="s">
        <v>2828</v>
      </c>
      <c r="AF131" t="s">
        <v>74</v>
      </c>
      <c r="AG131">
        <v>24</v>
      </c>
      <c r="AH131">
        <v>1</v>
      </c>
      <c r="AI131">
        <v>1</v>
      </c>
      <c r="AJ131">
        <v>10</v>
      </c>
      <c r="AK131">
        <v>32</v>
      </c>
      <c r="AL131" t="s">
        <v>1040</v>
      </c>
      <c r="AM131" t="s">
        <v>1041</v>
      </c>
      <c r="AN131" t="s">
        <v>1042</v>
      </c>
      <c r="AO131" t="s">
        <v>2829</v>
      </c>
      <c r="AP131" t="s">
        <v>74</v>
      </c>
      <c r="AQ131" t="s">
        <v>74</v>
      </c>
      <c r="AR131" t="s">
        <v>2830</v>
      </c>
      <c r="AS131" t="s">
        <v>2831</v>
      </c>
      <c r="AT131" t="s">
        <v>74</v>
      </c>
      <c r="AU131">
        <v>2024</v>
      </c>
      <c r="AV131">
        <v>11</v>
      </c>
      <c r="AW131" t="s">
        <v>74</v>
      </c>
      <c r="AX131" t="s">
        <v>74</v>
      </c>
      <c r="AY131" t="s">
        <v>74</v>
      </c>
      <c r="AZ131" t="s">
        <v>74</v>
      </c>
      <c r="BA131" t="s">
        <v>74</v>
      </c>
      <c r="BB131" t="s">
        <v>74</v>
      </c>
      <c r="BC131" t="s">
        <v>74</v>
      </c>
      <c r="BD131">
        <v>2.3333928241230948E+16</v>
      </c>
      <c r="BE131" t="s">
        <v>2832</v>
      </c>
      <c r="BF131" t="str">
        <f>HYPERLINK("http://dx.doi.org/10.1177/23333928241230948","http://dx.doi.org/10.1177/23333928241230948")</f>
        <v>http://dx.doi.org/10.1177/23333928241230948</v>
      </c>
      <c r="BG131" t="s">
        <v>74</v>
      </c>
      <c r="BH131" t="s">
        <v>74</v>
      </c>
      <c r="BI131">
        <v>13</v>
      </c>
      <c r="BJ131" t="s">
        <v>2833</v>
      </c>
      <c r="BK131" t="s">
        <v>155</v>
      </c>
      <c r="BL131" t="s">
        <v>423</v>
      </c>
      <c r="BM131" t="s">
        <v>2834</v>
      </c>
      <c r="BN131">
        <v>38379713</v>
      </c>
      <c r="BO131" t="s">
        <v>131</v>
      </c>
      <c r="BP131" t="s">
        <v>74</v>
      </c>
      <c r="BQ131" t="s">
        <v>74</v>
      </c>
      <c r="BR131" t="s">
        <v>105</v>
      </c>
      <c r="BS131" t="s">
        <v>2835</v>
      </c>
      <c r="BT131" t="str">
        <f>HYPERLINK("https%3A%2F%2Fwww.webofscience.com%2Fwos%2Fwoscc%2Ffull-record%2FWOS:001164620900001","View Full Record in Web of Science")</f>
        <v>View Full Record in Web of Science</v>
      </c>
    </row>
    <row r="132" spans="1:72" x14ac:dyDescent="0.25">
      <c r="A132" t="s">
        <v>72</v>
      </c>
      <c r="B132" t="s">
        <v>2836</v>
      </c>
      <c r="C132" t="s">
        <v>74</v>
      </c>
      <c r="D132" t="s">
        <v>74</v>
      </c>
      <c r="E132" t="s">
        <v>74</v>
      </c>
      <c r="F132" t="s">
        <v>2837</v>
      </c>
      <c r="G132" t="s">
        <v>74</v>
      </c>
      <c r="H132" t="s">
        <v>74</v>
      </c>
      <c r="I132" t="s">
        <v>2838</v>
      </c>
      <c r="J132" t="s">
        <v>2839</v>
      </c>
      <c r="K132" t="s">
        <v>74</v>
      </c>
      <c r="L132" t="s">
        <v>74</v>
      </c>
      <c r="M132" t="s">
        <v>78</v>
      </c>
      <c r="N132" t="s">
        <v>79</v>
      </c>
      <c r="O132" t="s">
        <v>74</v>
      </c>
      <c r="P132" t="s">
        <v>74</v>
      </c>
      <c r="Q132" t="s">
        <v>74</v>
      </c>
      <c r="R132" t="s">
        <v>74</v>
      </c>
      <c r="S132" t="s">
        <v>74</v>
      </c>
      <c r="T132" t="s">
        <v>2840</v>
      </c>
      <c r="U132" t="s">
        <v>2841</v>
      </c>
      <c r="V132" t="s">
        <v>2842</v>
      </c>
      <c r="W132" t="s">
        <v>2843</v>
      </c>
      <c r="X132" t="s">
        <v>2844</v>
      </c>
      <c r="Y132" t="s">
        <v>2845</v>
      </c>
      <c r="Z132" t="s">
        <v>2846</v>
      </c>
      <c r="AA132" t="s">
        <v>2847</v>
      </c>
      <c r="AB132" t="s">
        <v>2848</v>
      </c>
      <c r="AC132" t="s">
        <v>74</v>
      </c>
      <c r="AD132" t="s">
        <v>74</v>
      </c>
      <c r="AE132" t="s">
        <v>74</v>
      </c>
      <c r="AF132" t="s">
        <v>74</v>
      </c>
      <c r="AG132">
        <v>27</v>
      </c>
      <c r="AH132">
        <v>1</v>
      </c>
      <c r="AI132">
        <v>1</v>
      </c>
      <c r="AJ132">
        <v>0</v>
      </c>
      <c r="AK132">
        <v>0</v>
      </c>
      <c r="AL132" t="s">
        <v>1605</v>
      </c>
      <c r="AM132" t="s">
        <v>1606</v>
      </c>
      <c r="AN132" t="s">
        <v>1607</v>
      </c>
      <c r="AO132" t="s">
        <v>2849</v>
      </c>
      <c r="AP132" t="s">
        <v>74</v>
      </c>
      <c r="AQ132" t="s">
        <v>74</v>
      </c>
      <c r="AR132" t="s">
        <v>2850</v>
      </c>
      <c r="AS132" t="s">
        <v>2851</v>
      </c>
      <c r="AT132" t="s">
        <v>1734</v>
      </c>
      <c r="AU132">
        <v>2025</v>
      </c>
      <c r="AV132">
        <v>65</v>
      </c>
      <c r="AW132" t="s">
        <v>74</v>
      </c>
      <c r="AX132" t="s">
        <v>74</v>
      </c>
      <c r="AY132" t="s">
        <v>74</v>
      </c>
      <c r="AZ132" t="s">
        <v>74</v>
      </c>
      <c r="BA132" t="s">
        <v>74</v>
      </c>
      <c r="BB132">
        <v>1</v>
      </c>
      <c r="BC132">
        <v>7</v>
      </c>
      <c r="BD132" t="s">
        <v>74</v>
      </c>
      <c r="BE132" t="s">
        <v>2852</v>
      </c>
      <c r="BF132" t="str">
        <f>HYPERLINK("http://dx.doi.org/10.1016/j.jor.2024.10.036","http://dx.doi.org/10.1016/j.jor.2024.10.036")</f>
        <v>http://dx.doi.org/10.1016/j.jor.2024.10.036</v>
      </c>
      <c r="BG132" t="s">
        <v>74</v>
      </c>
      <c r="BH132" t="s">
        <v>2290</v>
      </c>
      <c r="BI132">
        <v>7</v>
      </c>
      <c r="BJ132" t="s">
        <v>443</v>
      </c>
      <c r="BK132" t="s">
        <v>155</v>
      </c>
      <c r="BL132" t="s">
        <v>443</v>
      </c>
      <c r="BM132" t="s">
        <v>2853</v>
      </c>
      <c r="BN132">
        <v>39713557</v>
      </c>
      <c r="BO132" t="s">
        <v>74</v>
      </c>
      <c r="BP132" t="s">
        <v>74</v>
      </c>
      <c r="BQ132" t="s">
        <v>74</v>
      </c>
      <c r="BR132" t="s">
        <v>105</v>
      </c>
      <c r="BS132" t="s">
        <v>2854</v>
      </c>
      <c r="BT132" t="str">
        <f>HYPERLINK("https%3A%2F%2Fwww.webofscience.com%2Fwos%2Fwoscc%2Ffull-record%2FWOS:001382131400001","View Full Record in Web of Science")</f>
        <v>View Full Record in Web of Science</v>
      </c>
    </row>
    <row r="133" spans="1:72" x14ac:dyDescent="0.25">
      <c r="A133" t="s">
        <v>72</v>
      </c>
      <c r="B133" t="s">
        <v>2855</v>
      </c>
      <c r="C133" t="s">
        <v>74</v>
      </c>
      <c r="D133" t="s">
        <v>74</v>
      </c>
      <c r="E133" t="s">
        <v>74</v>
      </c>
      <c r="F133" t="s">
        <v>2856</v>
      </c>
      <c r="G133" t="s">
        <v>74</v>
      </c>
      <c r="H133" t="s">
        <v>74</v>
      </c>
      <c r="I133" t="s">
        <v>2857</v>
      </c>
      <c r="J133" t="s">
        <v>2858</v>
      </c>
      <c r="K133" t="s">
        <v>74</v>
      </c>
      <c r="L133" t="s">
        <v>74</v>
      </c>
      <c r="M133" t="s">
        <v>78</v>
      </c>
      <c r="N133" t="s">
        <v>79</v>
      </c>
      <c r="O133" t="s">
        <v>74</v>
      </c>
      <c r="P133" t="s">
        <v>74</v>
      </c>
      <c r="Q133" t="s">
        <v>74</v>
      </c>
      <c r="R133" t="s">
        <v>74</v>
      </c>
      <c r="S133" t="s">
        <v>74</v>
      </c>
      <c r="T133" t="s">
        <v>2859</v>
      </c>
      <c r="U133" t="s">
        <v>2860</v>
      </c>
      <c r="V133" t="s">
        <v>2861</v>
      </c>
      <c r="W133" t="s">
        <v>2862</v>
      </c>
      <c r="X133" t="s">
        <v>2863</v>
      </c>
      <c r="Y133" t="s">
        <v>2864</v>
      </c>
      <c r="Z133" t="s">
        <v>2865</v>
      </c>
      <c r="AA133" t="s">
        <v>2866</v>
      </c>
      <c r="AB133" t="s">
        <v>2867</v>
      </c>
      <c r="AC133" t="s">
        <v>74</v>
      </c>
      <c r="AD133" t="s">
        <v>74</v>
      </c>
      <c r="AE133" t="s">
        <v>74</v>
      </c>
      <c r="AF133" t="s">
        <v>74</v>
      </c>
      <c r="AG133">
        <v>101</v>
      </c>
      <c r="AH133">
        <v>4</v>
      </c>
      <c r="AI133">
        <v>4</v>
      </c>
      <c r="AJ133">
        <v>3</v>
      </c>
      <c r="AK133">
        <v>6</v>
      </c>
      <c r="AL133" t="s">
        <v>2529</v>
      </c>
      <c r="AM133" t="s">
        <v>2530</v>
      </c>
      <c r="AN133" t="s">
        <v>2531</v>
      </c>
      <c r="AO133" t="s">
        <v>2868</v>
      </c>
      <c r="AP133" t="s">
        <v>2869</v>
      </c>
      <c r="AQ133" t="s">
        <v>74</v>
      </c>
      <c r="AR133" t="s">
        <v>2870</v>
      </c>
      <c r="AS133" t="s">
        <v>2871</v>
      </c>
      <c r="AT133" t="s">
        <v>1471</v>
      </c>
      <c r="AU133">
        <v>2024</v>
      </c>
      <c r="AV133">
        <v>44</v>
      </c>
      <c r="AW133">
        <v>3</v>
      </c>
      <c r="AX133" t="s">
        <v>74</v>
      </c>
      <c r="AY133" t="s">
        <v>74</v>
      </c>
      <c r="AZ133" t="s">
        <v>74</v>
      </c>
      <c r="BA133" t="s">
        <v>74</v>
      </c>
      <c r="BB133">
        <v>399</v>
      </c>
      <c r="BC133">
        <v>411</v>
      </c>
      <c r="BD133" t="s">
        <v>74</v>
      </c>
      <c r="BE133" t="s">
        <v>2872</v>
      </c>
      <c r="BF133" t="str">
        <f>HYPERLINK("http://dx.doi.org/10.1007/s00296-023-05520-1","http://dx.doi.org/10.1007/s00296-023-05520-1")</f>
        <v>http://dx.doi.org/10.1007/s00296-023-05520-1</v>
      </c>
      <c r="BG133" t="s">
        <v>74</v>
      </c>
      <c r="BH133" t="s">
        <v>1966</v>
      </c>
      <c r="BI133">
        <v>13</v>
      </c>
      <c r="BJ133" t="s">
        <v>515</v>
      </c>
      <c r="BK133" t="s">
        <v>182</v>
      </c>
      <c r="BL133" t="s">
        <v>515</v>
      </c>
      <c r="BM133" t="s">
        <v>2873</v>
      </c>
      <c r="BN133">
        <v>38253904</v>
      </c>
      <c r="BO133" t="s">
        <v>74</v>
      </c>
      <c r="BP133" t="s">
        <v>74</v>
      </c>
      <c r="BQ133" t="s">
        <v>74</v>
      </c>
      <c r="BR133" t="s">
        <v>105</v>
      </c>
      <c r="BS133" t="s">
        <v>2874</v>
      </c>
      <c r="BT133" t="str">
        <f>HYPERLINK("https%3A%2F%2Fwww.webofscience.com%2Fwos%2Fwoscc%2Ffull-record%2FWOS:001152248800001","View Full Record in Web of Science")</f>
        <v>View Full Record in Web of Science</v>
      </c>
    </row>
    <row r="134" spans="1:72" x14ac:dyDescent="0.25">
      <c r="A134" t="s">
        <v>72</v>
      </c>
      <c r="B134" t="s">
        <v>2875</v>
      </c>
      <c r="C134" t="s">
        <v>74</v>
      </c>
      <c r="D134" t="s">
        <v>74</v>
      </c>
      <c r="E134" t="s">
        <v>74</v>
      </c>
      <c r="F134" t="s">
        <v>2876</v>
      </c>
      <c r="G134" t="s">
        <v>74</v>
      </c>
      <c r="H134" t="s">
        <v>74</v>
      </c>
      <c r="I134" t="s">
        <v>2877</v>
      </c>
      <c r="J134" t="s">
        <v>406</v>
      </c>
      <c r="K134" t="s">
        <v>74</v>
      </c>
      <c r="L134" t="s">
        <v>74</v>
      </c>
      <c r="M134" t="s">
        <v>78</v>
      </c>
      <c r="N134" t="s">
        <v>79</v>
      </c>
      <c r="O134" t="s">
        <v>74</v>
      </c>
      <c r="P134" t="s">
        <v>74</v>
      </c>
      <c r="Q134" t="s">
        <v>74</v>
      </c>
      <c r="R134" t="s">
        <v>74</v>
      </c>
      <c r="S134" t="s">
        <v>74</v>
      </c>
      <c r="T134" t="s">
        <v>2878</v>
      </c>
      <c r="U134" t="s">
        <v>2879</v>
      </c>
      <c r="V134" t="s">
        <v>2880</v>
      </c>
      <c r="W134" t="s">
        <v>2881</v>
      </c>
      <c r="X134" t="s">
        <v>2882</v>
      </c>
      <c r="Y134" t="s">
        <v>2883</v>
      </c>
      <c r="Z134" t="s">
        <v>2884</v>
      </c>
      <c r="AA134" t="s">
        <v>2885</v>
      </c>
      <c r="AB134" t="s">
        <v>2886</v>
      </c>
      <c r="AC134" t="s">
        <v>74</v>
      </c>
      <c r="AD134" t="s">
        <v>74</v>
      </c>
      <c r="AE134" t="s">
        <v>74</v>
      </c>
      <c r="AF134" t="s">
        <v>74</v>
      </c>
      <c r="AG134">
        <v>116</v>
      </c>
      <c r="AH134">
        <v>2</v>
      </c>
      <c r="AI134">
        <v>2</v>
      </c>
      <c r="AJ134">
        <v>9</v>
      </c>
      <c r="AK134">
        <v>14</v>
      </c>
      <c r="AL134" t="s">
        <v>120</v>
      </c>
      <c r="AM134" t="s">
        <v>121</v>
      </c>
      <c r="AN134" t="s">
        <v>122</v>
      </c>
      <c r="AO134" t="s">
        <v>74</v>
      </c>
      <c r="AP134" t="s">
        <v>417</v>
      </c>
      <c r="AQ134" t="s">
        <v>74</v>
      </c>
      <c r="AR134" t="s">
        <v>418</v>
      </c>
      <c r="AS134" t="s">
        <v>419</v>
      </c>
      <c r="AT134" t="s">
        <v>634</v>
      </c>
      <c r="AU134">
        <v>2024</v>
      </c>
      <c r="AV134">
        <v>12</v>
      </c>
      <c r="AW134">
        <v>16</v>
      </c>
      <c r="AX134" t="s">
        <v>74</v>
      </c>
      <c r="AY134" t="s">
        <v>74</v>
      </c>
      <c r="AZ134" t="s">
        <v>74</v>
      </c>
      <c r="BA134" t="s">
        <v>74</v>
      </c>
      <c r="BB134" t="s">
        <v>74</v>
      </c>
      <c r="BC134" t="s">
        <v>74</v>
      </c>
      <c r="BD134">
        <v>1636</v>
      </c>
      <c r="BE134" t="s">
        <v>2887</v>
      </c>
      <c r="BF134" t="str">
        <f>HYPERLINK("http://dx.doi.org/10.3390/healthcare12161636","http://dx.doi.org/10.3390/healthcare12161636")</f>
        <v>http://dx.doi.org/10.3390/healthcare12161636</v>
      </c>
      <c r="BG134" t="s">
        <v>74</v>
      </c>
      <c r="BH134" t="s">
        <v>74</v>
      </c>
      <c r="BI134">
        <v>17</v>
      </c>
      <c r="BJ134" t="s">
        <v>422</v>
      </c>
      <c r="BK134" t="s">
        <v>102</v>
      </c>
      <c r="BL134" t="s">
        <v>423</v>
      </c>
      <c r="BM134" t="s">
        <v>2888</v>
      </c>
      <c r="BN134">
        <v>39201194</v>
      </c>
      <c r="BO134" t="s">
        <v>355</v>
      </c>
      <c r="BP134" t="s">
        <v>74</v>
      </c>
      <c r="BQ134" t="s">
        <v>74</v>
      </c>
      <c r="BR134" t="s">
        <v>105</v>
      </c>
      <c r="BS134" t="s">
        <v>2889</v>
      </c>
      <c r="BT134" t="str">
        <f>HYPERLINK("https%3A%2F%2Fwww.webofscience.com%2Fwos%2Fwoscc%2Ffull-record%2FWOS:001307358100001","View Full Record in Web of Science")</f>
        <v>View Full Record in Web of Science</v>
      </c>
    </row>
    <row r="135" spans="1:72" x14ac:dyDescent="0.25">
      <c r="A135" t="s">
        <v>72</v>
      </c>
      <c r="B135" t="s">
        <v>2890</v>
      </c>
      <c r="C135" t="s">
        <v>74</v>
      </c>
      <c r="D135" t="s">
        <v>74</v>
      </c>
      <c r="E135" t="s">
        <v>74</v>
      </c>
      <c r="F135" t="s">
        <v>2891</v>
      </c>
      <c r="G135" t="s">
        <v>74</v>
      </c>
      <c r="H135" t="s">
        <v>74</v>
      </c>
      <c r="I135" t="s">
        <v>2892</v>
      </c>
      <c r="J135" t="s">
        <v>2893</v>
      </c>
      <c r="K135" t="s">
        <v>74</v>
      </c>
      <c r="L135" t="s">
        <v>74</v>
      </c>
      <c r="M135" t="s">
        <v>78</v>
      </c>
      <c r="N135" t="s">
        <v>79</v>
      </c>
      <c r="O135" t="s">
        <v>74</v>
      </c>
      <c r="P135" t="s">
        <v>74</v>
      </c>
      <c r="Q135" t="s">
        <v>74</v>
      </c>
      <c r="R135" t="s">
        <v>74</v>
      </c>
      <c r="S135" t="s">
        <v>74</v>
      </c>
      <c r="T135" t="s">
        <v>2894</v>
      </c>
      <c r="U135" t="s">
        <v>2895</v>
      </c>
      <c r="V135" t="s">
        <v>2896</v>
      </c>
      <c r="W135" t="s">
        <v>2897</v>
      </c>
      <c r="X135" t="s">
        <v>2898</v>
      </c>
      <c r="Y135" t="s">
        <v>2899</v>
      </c>
      <c r="Z135" t="s">
        <v>2900</v>
      </c>
      <c r="AA135" t="s">
        <v>2901</v>
      </c>
      <c r="AB135" t="s">
        <v>2902</v>
      </c>
      <c r="AC135" t="s">
        <v>74</v>
      </c>
      <c r="AD135" t="s">
        <v>74</v>
      </c>
      <c r="AE135" t="s">
        <v>74</v>
      </c>
      <c r="AF135" t="s">
        <v>74</v>
      </c>
      <c r="AG135">
        <v>48</v>
      </c>
      <c r="AH135">
        <v>18</v>
      </c>
      <c r="AI135">
        <v>20</v>
      </c>
      <c r="AJ135">
        <v>2</v>
      </c>
      <c r="AK135">
        <v>28</v>
      </c>
      <c r="AL135" t="s">
        <v>92</v>
      </c>
      <c r="AM135" t="s">
        <v>93</v>
      </c>
      <c r="AN135" t="s">
        <v>94</v>
      </c>
      <c r="AO135" t="s">
        <v>2903</v>
      </c>
      <c r="AP135" t="s">
        <v>2904</v>
      </c>
      <c r="AQ135" t="s">
        <v>74</v>
      </c>
      <c r="AR135" t="s">
        <v>2905</v>
      </c>
      <c r="AS135" t="s">
        <v>2906</v>
      </c>
      <c r="AT135" t="s">
        <v>2907</v>
      </c>
      <c r="AU135">
        <v>2019</v>
      </c>
      <c r="AV135">
        <v>129</v>
      </c>
      <c r="AW135">
        <v>4</v>
      </c>
      <c r="AX135" t="s">
        <v>74</v>
      </c>
      <c r="AY135" t="s">
        <v>74</v>
      </c>
      <c r="AZ135" t="s">
        <v>74</v>
      </c>
      <c r="BA135" t="s">
        <v>74</v>
      </c>
      <c r="BB135">
        <v>369</v>
      </c>
      <c r="BC135">
        <v>383</v>
      </c>
      <c r="BD135" t="s">
        <v>74</v>
      </c>
      <c r="BE135" t="s">
        <v>2908</v>
      </c>
      <c r="BF135" t="str">
        <f>HYPERLINK("http://dx.doi.org/10.1080/00207454.2018.1536051","http://dx.doi.org/10.1080/00207454.2018.1536051")</f>
        <v>http://dx.doi.org/10.1080/00207454.2018.1536051</v>
      </c>
      <c r="BG135" t="s">
        <v>74</v>
      </c>
      <c r="BH135" t="s">
        <v>74</v>
      </c>
      <c r="BI135">
        <v>15</v>
      </c>
      <c r="BJ135" t="s">
        <v>374</v>
      </c>
      <c r="BK135" t="s">
        <v>182</v>
      </c>
      <c r="BL135" t="s">
        <v>375</v>
      </c>
      <c r="BM135" t="s">
        <v>2909</v>
      </c>
      <c r="BN135">
        <v>30311823</v>
      </c>
      <c r="BO135" t="s">
        <v>74</v>
      </c>
      <c r="BP135" t="s">
        <v>74</v>
      </c>
      <c r="BQ135" t="s">
        <v>74</v>
      </c>
      <c r="BR135" t="s">
        <v>105</v>
      </c>
      <c r="BS135" t="s">
        <v>2910</v>
      </c>
      <c r="BT135" t="str">
        <f>HYPERLINK("https%3A%2F%2Fwww.webofscience.com%2Fwos%2Fwoscc%2Ffull-record%2FWOS:000461190500008","View Full Record in Web of Science")</f>
        <v>View Full Record in Web of Science</v>
      </c>
    </row>
    <row r="136" spans="1:72" x14ac:dyDescent="0.25">
      <c r="A136" t="s">
        <v>72</v>
      </c>
      <c r="B136" t="s">
        <v>2911</v>
      </c>
      <c r="C136" t="s">
        <v>74</v>
      </c>
      <c r="D136" t="s">
        <v>74</v>
      </c>
      <c r="E136" t="s">
        <v>74</v>
      </c>
      <c r="F136" t="s">
        <v>2912</v>
      </c>
      <c r="G136" t="s">
        <v>74</v>
      </c>
      <c r="H136" t="s">
        <v>74</v>
      </c>
      <c r="I136" t="s">
        <v>2913</v>
      </c>
      <c r="J136" t="s">
        <v>2136</v>
      </c>
      <c r="K136" t="s">
        <v>74</v>
      </c>
      <c r="L136" t="s">
        <v>74</v>
      </c>
      <c r="M136" t="s">
        <v>78</v>
      </c>
      <c r="N136" t="s">
        <v>79</v>
      </c>
      <c r="O136" t="s">
        <v>74</v>
      </c>
      <c r="P136" t="s">
        <v>74</v>
      </c>
      <c r="Q136" t="s">
        <v>74</v>
      </c>
      <c r="R136" t="s">
        <v>74</v>
      </c>
      <c r="S136" t="s">
        <v>74</v>
      </c>
      <c r="T136" t="s">
        <v>74</v>
      </c>
      <c r="U136" t="s">
        <v>2914</v>
      </c>
      <c r="V136" t="s">
        <v>2915</v>
      </c>
      <c r="W136" t="s">
        <v>2916</v>
      </c>
      <c r="X136" t="s">
        <v>2917</v>
      </c>
      <c r="Y136" t="s">
        <v>2918</v>
      </c>
      <c r="Z136" t="s">
        <v>2919</v>
      </c>
      <c r="AA136" t="s">
        <v>2920</v>
      </c>
      <c r="AB136" t="s">
        <v>2921</v>
      </c>
      <c r="AC136" t="s">
        <v>74</v>
      </c>
      <c r="AD136" t="s">
        <v>74</v>
      </c>
      <c r="AE136" t="s">
        <v>74</v>
      </c>
      <c r="AF136" t="s">
        <v>74</v>
      </c>
      <c r="AG136">
        <v>45</v>
      </c>
      <c r="AH136">
        <v>17</v>
      </c>
      <c r="AI136">
        <v>17</v>
      </c>
      <c r="AJ136">
        <v>1</v>
      </c>
      <c r="AK136">
        <v>20</v>
      </c>
      <c r="AL136" t="s">
        <v>297</v>
      </c>
      <c r="AM136" t="s">
        <v>298</v>
      </c>
      <c r="AN136" t="s">
        <v>299</v>
      </c>
      <c r="AO136" t="s">
        <v>2147</v>
      </c>
      <c r="AP136" t="s">
        <v>2148</v>
      </c>
      <c r="AQ136" t="s">
        <v>74</v>
      </c>
      <c r="AR136" t="s">
        <v>2136</v>
      </c>
      <c r="AS136" t="s">
        <v>2136</v>
      </c>
      <c r="AT136" t="s">
        <v>1070</v>
      </c>
      <c r="AU136">
        <v>2018</v>
      </c>
      <c r="AV136">
        <v>10</v>
      </c>
      <c r="AW136">
        <v>6</v>
      </c>
      <c r="AX136" t="s">
        <v>74</v>
      </c>
      <c r="AY136" t="s">
        <v>74</v>
      </c>
      <c r="AZ136" t="s">
        <v>74</v>
      </c>
      <c r="BA136" t="s">
        <v>74</v>
      </c>
      <c r="BB136">
        <v>636</v>
      </c>
      <c r="BC136">
        <v>645</v>
      </c>
      <c r="BD136" t="s">
        <v>74</v>
      </c>
      <c r="BE136" t="s">
        <v>2922</v>
      </c>
      <c r="BF136" t="str">
        <f>HYPERLINK("http://dx.doi.org/10.1016/j.pmrj.2017.12.011","http://dx.doi.org/10.1016/j.pmrj.2017.12.011")</f>
        <v>http://dx.doi.org/10.1016/j.pmrj.2017.12.011</v>
      </c>
      <c r="BG136" t="s">
        <v>74</v>
      </c>
      <c r="BH136" t="s">
        <v>74</v>
      </c>
      <c r="BI136">
        <v>10</v>
      </c>
      <c r="BJ136" t="s">
        <v>236</v>
      </c>
      <c r="BK136" t="s">
        <v>102</v>
      </c>
      <c r="BL136" t="s">
        <v>236</v>
      </c>
      <c r="BM136" t="s">
        <v>2923</v>
      </c>
      <c r="BN136">
        <v>29366918</v>
      </c>
      <c r="BO136" t="s">
        <v>74</v>
      </c>
      <c r="BP136" t="s">
        <v>74</v>
      </c>
      <c r="BQ136" t="s">
        <v>74</v>
      </c>
      <c r="BR136" t="s">
        <v>105</v>
      </c>
      <c r="BS136" t="s">
        <v>2924</v>
      </c>
      <c r="BT136" t="str">
        <f>HYPERLINK("https%3A%2F%2Fwww.webofscience.com%2Fwos%2Fwoscc%2Ffull-record%2FWOS:000436503700009","View Full Record in Web of Science")</f>
        <v>View Full Record in Web of Science</v>
      </c>
    </row>
    <row r="137" spans="1:72" x14ac:dyDescent="0.25">
      <c r="A137" t="s">
        <v>72</v>
      </c>
      <c r="B137" t="s">
        <v>2925</v>
      </c>
      <c r="C137" t="s">
        <v>74</v>
      </c>
      <c r="D137" t="s">
        <v>74</v>
      </c>
      <c r="E137" t="s">
        <v>74</v>
      </c>
      <c r="F137" t="s">
        <v>2926</v>
      </c>
      <c r="G137" t="s">
        <v>74</v>
      </c>
      <c r="H137" t="s">
        <v>74</v>
      </c>
      <c r="I137" t="s">
        <v>2927</v>
      </c>
      <c r="J137" t="s">
        <v>243</v>
      </c>
      <c r="K137" t="s">
        <v>74</v>
      </c>
      <c r="L137" t="s">
        <v>74</v>
      </c>
      <c r="M137" t="s">
        <v>78</v>
      </c>
      <c r="N137" t="s">
        <v>79</v>
      </c>
      <c r="O137" t="s">
        <v>74</v>
      </c>
      <c r="P137" t="s">
        <v>74</v>
      </c>
      <c r="Q137" t="s">
        <v>74</v>
      </c>
      <c r="R137" t="s">
        <v>74</v>
      </c>
      <c r="S137" t="s">
        <v>74</v>
      </c>
      <c r="T137" t="s">
        <v>2928</v>
      </c>
      <c r="U137" t="s">
        <v>2929</v>
      </c>
      <c r="V137" t="s">
        <v>2930</v>
      </c>
      <c r="W137" t="s">
        <v>2931</v>
      </c>
      <c r="X137" t="s">
        <v>2932</v>
      </c>
      <c r="Y137" t="s">
        <v>2933</v>
      </c>
      <c r="Z137" t="s">
        <v>2934</v>
      </c>
      <c r="AA137" t="s">
        <v>2935</v>
      </c>
      <c r="AB137" t="s">
        <v>2936</v>
      </c>
      <c r="AC137" t="s">
        <v>2937</v>
      </c>
      <c r="AD137" t="s">
        <v>2937</v>
      </c>
      <c r="AE137" t="s">
        <v>2938</v>
      </c>
      <c r="AF137" t="s">
        <v>74</v>
      </c>
      <c r="AG137">
        <v>140</v>
      </c>
      <c r="AH137">
        <v>10</v>
      </c>
      <c r="AI137">
        <v>10</v>
      </c>
      <c r="AJ137">
        <v>9</v>
      </c>
      <c r="AK137">
        <v>38</v>
      </c>
      <c r="AL137" t="s">
        <v>253</v>
      </c>
      <c r="AM137" t="s">
        <v>227</v>
      </c>
      <c r="AN137" t="s">
        <v>254</v>
      </c>
      <c r="AO137" t="s">
        <v>255</v>
      </c>
      <c r="AP137" t="s">
        <v>256</v>
      </c>
      <c r="AQ137" t="s">
        <v>74</v>
      </c>
      <c r="AR137" t="s">
        <v>257</v>
      </c>
      <c r="AS137" t="s">
        <v>258</v>
      </c>
      <c r="AT137" t="s">
        <v>2939</v>
      </c>
      <c r="AU137">
        <v>2024</v>
      </c>
      <c r="AV137">
        <v>19</v>
      </c>
      <c r="AW137">
        <v>5</v>
      </c>
      <c r="AX137" t="s">
        <v>74</v>
      </c>
      <c r="AY137" t="s">
        <v>74</v>
      </c>
      <c r="AZ137" t="s">
        <v>74</v>
      </c>
      <c r="BA137" t="s">
        <v>74</v>
      </c>
      <c r="BB137">
        <v>1817</v>
      </c>
      <c r="BC137">
        <v>1848</v>
      </c>
      <c r="BD137" t="s">
        <v>74</v>
      </c>
      <c r="BE137" t="s">
        <v>2940</v>
      </c>
      <c r="BF137" t="str">
        <f>HYPERLINK("http://dx.doi.org/10.1080/17483107.2023.2239277","http://dx.doi.org/10.1080/17483107.2023.2239277")</f>
        <v>http://dx.doi.org/10.1080/17483107.2023.2239277</v>
      </c>
      <c r="BG137" t="s">
        <v>74</v>
      </c>
      <c r="BH137" t="s">
        <v>2941</v>
      </c>
      <c r="BI137">
        <v>32</v>
      </c>
      <c r="BJ137" t="s">
        <v>101</v>
      </c>
      <c r="BK137" t="s">
        <v>462</v>
      </c>
      <c r="BL137" t="s">
        <v>101</v>
      </c>
      <c r="BM137" t="s">
        <v>2942</v>
      </c>
      <c r="BN137">
        <v>37498115</v>
      </c>
      <c r="BO137" t="s">
        <v>309</v>
      </c>
      <c r="BP137" t="s">
        <v>74</v>
      </c>
      <c r="BQ137" t="s">
        <v>74</v>
      </c>
      <c r="BR137" t="s">
        <v>105</v>
      </c>
      <c r="BS137" t="s">
        <v>2943</v>
      </c>
      <c r="BT137" t="str">
        <f>HYPERLINK("https%3A%2F%2Fwww.webofscience.com%2Fwos%2Fwoscc%2Ffull-record%2FWOS:001034595500001","View Full Record in Web of Science")</f>
        <v>View Full Record in Web of Science</v>
      </c>
    </row>
    <row r="138" spans="1:72" x14ac:dyDescent="0.25">
      <c r="A138" t="s">
        <v>72</v>
      </c>
      <c r="B138" t="s">
        <v>2944</v>
      </c>
      <c r="C138" t="s">
        <v>74</v>
      </c>
      <c r="D138" t="s">
        <v>74</v>
      </c>
      <c r="E138" t="s">
        <v>74</v>
      </c>
      <c r="F138" t="s">
        <v>2945</v>
      </c>
      <c r="G138" t="s">
        <v>74</v>
      </c>
      <c r="H138" t="s">
        <v>74</v>
      </c>
      <c r="I138" t="s">
        <v>2946</v>
      </c>
      <c r="J138" t="s">
        <v>110</v>
      </c>
      <c r="K138" t="s">
        <v>74</v>
      </c>
      <c r="L138" t="s">
        <v>74</v>
      </c>
      <c r="M138" t="s">
        <v>78</v>
      </c>
      <c r="N138" t="s">
        <v>79</v>
      </c>
      <c r="O138" t="s">
        <v>74</v>
      </c>
      <c r="P138" t="s">
        <v>74</v>
      </c>
      <c r="Q138" t="s">
        <v>74</v>
      </c>
      <c r="R138" t="s">
        <v>74</v>
      </c>
      <c r="S138" t="s">
        <v>74</v>
      </c>
      <c r="T138" t="s">
        <v>2947</v>
      </c>
      <c r="U138" t="s">
        <v>2948</v>
      </c>
      <c r="V138" t="s">
        <v>2949</v>
      </c>
      <c r="W138" t="s">
        <v>2950</v>
      </c>
      <c r="X138" t="s">
        <v>2951</v>
      </c>
      <c r="Y138" t="s">
        <v>2952</v>
      </c>
      <c r="Z138" t="s">
        <v>2953</v>
      </c>
      <c r="AA138" t="s">
        <v>2954</v>
      </c>
      <c r="AB138" t="s">
        <v>2955</v>
      </c>
      <c r="AC138" t="s">
        <v>2956</v>
      </c>
      <c r="AD138" t="s">
        <v>2956</v>
      </c>
      <c r="AE138" t="s">
        <v>171</v>
      </c>
      <c r="AF138" t="s">
        <v>74</v>
      </c>
      <c r="AG138">
        <v>49</v>
      </c>
      <c r="AH138">
        <v>3</v>
      </c>
      <c r="AI138">
        <v>3</v>
      </c>
      <c r="AJ138">
        <v>4</v>
      </c>
      <c r="AK138">
        <v>5</v>
      </c>
      <c r="AL138" t="s">
        <v>120</v>
      </c>
      <c r="AM138" t="s">
        <v>121</v>
      </c>
      <c r="AN138" t="s">
        <v>122</v>
      </c>
      <c r="AO138" t="s">
        <v>74</v>
      </c>
      <c r="AP138" t="s">
        <v>123</v>
      </c>
      <c r="AQ138" t="s">
        <v>74</v>
      </c>
      <c r="AR138" t="s">
        <v>124</v>
      </c>
      <c r="AS138" t="s">
        <v>125</v>
      </c>
      <c r="AT138" t="s">
        <v>351</v>
      </c>
      <c r="AU138">
        <v>2024</v>
      </c>
      <c r="AV138">
        <v>13</v>
      </c>
      <c r="AW138">
        <v>4</v>
      </c>
      <c r="AX138" t="s">
        <v>74</v>
      </c>
      <c r="AY138" t="s">
        <v>74</v>
      </c>
      <c r="AZ138" t="s">
        <v>74</v>
      </c>
      <c r="BA138" t="s">
        <v>74</v>
      </c>
      <c r="BB138" t="s">
        <v>74</v>
      </c>
      <c r="BC138" t="s">
        <v>74</v>
      </c>
      <c r="BD138">
        <v>1105</v>
      </c>
      <c r="BE138" t="s">
        <v>2957</v>
      </c>
      <c r="BF138" t="str">
        <f>HYPERLINK("http://dx.doi.org/10.3390/jcm13041105","http://dx.doi.org/10.3390/jcm13041105")</f>
        <v>http://dx.doi.org/10.3390/jcm13041105</v>
      </c>
      <c r="BG138" t="s">
        <v>74</v>
      </c>
      <c r="BH138" t="s">
        <v>74</v>
      </c>
      <c r="BI138">
        <v>14</v>
      </c>
      <c r="BJ138" t="s">
        <v>128</v>
      </c>
      <c r="BK138" t="s">
        <v>182</v>
      </c>
      <c r="BL138" t="s">
        <v>129</v>
      </c>
      <c r="BM138" t="s">
        <v>2958</v>
      </c>
      <c r="BN138">
        <v>38398415</v>
      </c>
      <c r="BO138" t="s">
        <v>2959</v>
      </c>
      <c r="BP138" t="s">
        <v>74</v>
      </c>
      <c r="BQ138" t="s">
        <v>74</v>
      </c>
      <c r="BR138" t="s">
        <v>105</v>
      </c>
      <c r="BS138" t="s">
        <v>2960</v>
      </c>
      <c r="BT138" t="str">
        <f>HYPERLINK("https%3A%2F%2Fwww.webofscience.com%2Fwos%2Fwoscc%2Ffull-record%2FWOS:001175199600001","View Full Record in Web of Science")</f>
        <v>View Full Record in Web of Science</v>
      </c>
    </row>
    <row r="139" spans="1:72" x14ac:dyDescent="0.25">
      <c r="A139" t="s">
        <v>72</v>
      </c>
      <c r="B139" t="s">
        <v>2961</v>
      </c>
      <c r="C139" t="s">
        <v>74</v>
      </c>
      <c r="D139" t="s">
        <v>74</v>
      </c>
      <c r="E139" t="s">
        <v>74</v>
      </c>
      <c r="F139" t="s">
        <v>2962</v>
      </c>
      <c r="G139" t="s">
        <v>74</v>
      </c>
      <c r="H139" t="s">
        <v>74</v>
      </c>
      <c r="I139" t="s">
        <v>2963</v>
      </c>
      <c r="J139" t="s">
        <v>2964</v>
      </c>
      <c r="K139" t="s">
        <v>74</v>
      </c>
      <c r="L139" t="s">
        <v>74</v>
      </c>
      <c r="M139" t="s">
        <v>78</v>
      </c>
      <c r="N139" t="s">
        <v>79</v>
      </c>
      <c r="O139" t="s">
        <v>74</v>
      </c>
      <c r="P139" t="s">
        <v>74</v>
      </c>
      <c r="Q139" t="s">
        <v>74</v>
      </c>
      <c r="R139" t="s">
        <v>74</v>
      </c>
      <c r="S139" t="s">
        <v>74</v>
      </c>
      <c r="T139" t="s">
        <v>74</v>
      </c>
      <c r="U139" t="s">
        <v>2965</v>
      </c>
      <c r="V139" t="s">
        <v>2966</v>
      </c>
      <c r="W139" t="s">
        <v>2967</v>
      </c>
      <c r="X139" t="s">
        <v>2968</v>
      </c>
      <c r="Y139" t="s">
        <v>2969</v>
      </c>
      <c r="Z139" t="s">
        <v>2970</v>
      </c>
      <c r="AA139" t="s">
        <v>2971</v>
      </c>
      <c r="AB139" t="s">
        <v>2972</v>
      </c>
      <c r="AC139" t="s">
        <v>2973</v>
      </c>
      <c r="AD139" t="s">
        <v>2974</v>
      </c>
      <c r="AE139" t="s">
        <v>2975</v>
      </c>
      <c r="AF139" t="s">
        <v>74</v>
      </c>
      <c r="AG139">
        <v>327</v>
      </c>
      <c r="AH139">
        <v>377</v>
      </c>
      <c r="AI139">
        <v>393</v>
      </c>
      <c r="AJ139">
        <v>60</v>
      </c>
      <c r="AK139">
        <v>943</v>
      </c>
      <c r="AL139" t="s">
        <v>531</v>
      </c>
      <c r="AM139" t="s">
        <v>532</v>
      </c>
      <c r="AN139" t="s">
        <v>533</v>
      </c>
      <c r="AO139" t="s">
        <v>2976</v>
      </c>
      <c r="AP139" t="s">
        <v>2977</v>
      </c>
      <c r="AQ139" t="s">
        <v>74</v>
      </c>
      <c r="AR139" t="s">
        <v>2978</v>
      </c>
      <c r="AS139" t="s">
        <v>2979</v>
      </c>
      <c r="AT139" t="s">
        <v>1070</v>
      </c>
      <c r="AU139">
        <v>2020</v>
      </c>
      <c r="AV139">
        <v>36</v>
      </c>
      <c r="AW139" t="s">
        <v>74</v>
      </c>
      <c r="AX139" t="s">
        <v>74</v>
      </c>
      <c r="AY139" t="s">
        <v>74</v>
      </c>
      <c r="AZ139" t="s">
        <v>74</v>
      </c>
      <c r="BA139" t="s">
        <v>74</v>
      </c>
      <c r="BB139">
        <v>158</v>
      </c>
      <c r="BC139">
        <v>179</v>
      </c>
      <c r="BD139" t="s">
        <v>74</v>
      </c>
      <c r="BE139" t="s">
        <v>2980</v>
      </c>
      <c r="BF139" t="str">
        <f>HYPERLINK("http://dx.doi.org/10.1016/j.mattod.2019.12.004","http://dx.doi.org/10.1016/j.mattod.2019.12.004")</f>
        <v>http://dx.doi.org/10.1016/j.mattod.2019.12.004</v>
      </c>
      <c r="BG139" t="s">
        <v>74</v>
      </c>
      <c r="BH139" t="s">
        <v>74</v>
      </c>
      <c r="BI139">
        <v>22</v>
      </c>
      <c r="BJ139" t="s">
        <v>2291</v>
      </c>
      <c r="BK139" t="s">
        <v>182</v>
      </c>
      <c r="BL139" t="s">
        <v>2292</v>
      </c>
      <c r="BM139" t="s">
        <v>2981</v>
      </c>
      <c r="BN139" t="s">
        <v>74</v>
      </c>
      <c r="BO139" t="s">
        <v>74</v>
      </c>
      <c r="BP139" t="s">
        <v>869</v>
      </c>
      <c r="BQ139" t="s">
        <v>870</v>
      </c>
      <c r="BR139" t="s">
        <v>105</v>
      </c>
      <c r="BS139" t="s">
        <v>2982</v>
      </c>
      <c r="BT139" t="str">
        <f>HYPERLINK("https%3A%2F%2Fwww.webofscience.com%2Fwos%2Fwoscc%2Ffull-record%2FWOS:000540750100028","View Full Record in Web of Science")</f>
        <v>View Full Record in Web of Science</v>
      </c>
    </row>
    <row r="140" spans="1:72" x14ac:dyDescent="0.25">
      <c r="A140" t="s">
        <v>72</v>
      </c>
      <c r="B140" t="s">
        <v>2983</v>
      </c>
      <c r="C140" t="s">
        <v>74</v>
      </c>
      <c r="D140" t="s">
        <v>74</v>
      </c>
      <c r="E140" t="s">
        <v>74</v>
      </c>
      <c r="F140" t="s">
        <v>2984</v>
      </c>
      <c r="G140" t="s">
        <v>74</v>
      </c>
      <c r="H140" t="s">
        <v>74</v>
      </c>
      <c r="I140" t="s">
        <v>2985</v>
      </c>
      <c r="J140" t="s">
        <v>2986</v>
      </c>
      <c r="K140" t="s">
        <v>74</v>
      </c>
      <c r="L140" t="s">
        <v>74</v>
      </c>
      <c r="M140" t="s">
        <v>78</v>
      </c>
      <c r="N140" t="s">
        <v>79</v>
      </c>
      <c r="O140" t="s">
        <v>74</v>
      </c>
      <c r="P140" t="s">
        <v>74</v>
      </c>
      <c r="Q140" t="s">
        <v>74</v>
      </c>
      <c r="R140" t="s">
        <v>74</v>
      </c>
      <c r="S140" t="s">
        <v>74</v>
      </c>
      <c r="T140" t="s">
        <v>2987</v>
      </c>
      <c r="U140" t="s">
        <v>2988</v>
      </c>
      <c r="V140" t="s">
        <v>2989</v>
      </c>
      <c r="W140" t="s">
        <v>2990</v>
      </c>
      <c r="X140" t="s">
        <v>2991</v>
      </c>
      <c r="Y140" t="s">
        <v>2992</v>
      </c>
      <c r="Z140" t="s">
        <v>2993</v>
      </c>
      <c r="AA140" t="s">
        <v>74</v>
      </c>
      <c r="AB140" t="s">
        <v>2994</v>
      </c>
      <c r="AC140" t="s">
        <v>2995</v>
      </c>
      <c r="AD140" t="s">
        <v>2996</v>
      </c>
      <c r="AE140" t="s">
        <v>2997</v>
      </c>
      <c r="AF140" t="s">
        <v>74</v>
      </c>
      <c r="AG140">
        <v>104</v>
      </c>
      <c r="AH140">
        <v>6</v>
      </c>
      <c r="AI140">
        <v>7</v>
      </c>
      <c r="AJ140">
        <v>4</v>
      </c>
      <c r="AK140">
        <v>111</v>
      </c>
      <c r="AL140" t="s">
        <v>2998</v>
      </c>
      <c r="AM140" t="s">
        <v>2999</v>
      </c>
      <c r="AN140" t="s">
        <v>3000</v>
      </c>
      <c r="AO140" t="s">
        <v>3001</v>
      </c>
      <c r="AP140" t="s">
        <v>74</v>
      </c>
      <c r="AQ140" t="s">
        <v>74</v>
      </c>
      <c r="AR140" t="s">
        <v>2986</v>
      </c>
      <c r="AS140" t="s">
        <v>3002</v>
      </c>
      <c r="AT140" t="s">
        <v>1471</v>
      </c>
      <c r="AU140">
        <v>2021</v>
      </c>
      <c r="AV140">
        <v>7</v>
      </c>
      <c r="AW140">
        <v>3</v>
      </c>
      <c r="AX140" t="s">
        <v>74</v>
      </c>
      <c r="AY140" t="s">
        <v>74</v>
      </c>
      <c r="AZ140" t="s">
        <v>74</v>
      </c>
      <c r="BA140" t="s">
        <v>74</v>
      </c>
      <c r="BB140">
        <v>238</v>
      </c>
      <c r="BC140">
        <v>252</v>
      </c>
      <c r="BD140" t="s">
        <v>74</v>
      </c>
      <c r="BE140" t="s">
        <v>3003</v>
      </c>
      <c r="BF140" t="str">
        <f>HYPERLINK("http://dx.doi.org/10.1002/cnma.202000608","http://dx.doi.org/10.1002/cnma.202000608")</f>
        <v>http://dx.doi.org/10.1002/cnma.202000608</v>
      </c>
      <c r="BG140" t="s">
        <v>74</v>
      </c>
      <c r="BH140" t="s">
        <v>2576</v>
      </c>
      <c r="BI140">
        <v>15</v>
      </c>
      <c r="BJ140" t="s">
        <v>3004</v>
      </c>
      <c r="BK140" t="s">
        <v>182</v>
      </c>
      <c r="BL140" t="s">
        <v>3005</v>
      </c>
      <c r="BM140" t="s">
        <v>3006</v>
      </c>
      <c r="BN140" t="s">
        <v>74</v>
      </c>
      <c r="BO140" t="s">
        <v>74</v>
      </c>
      <c r="BP140" t="s">
        <v>74</v>
      </c>
      <c r="BQ140" t="s">
        <v>74</v>
      </c>
      <c r="BR140" t="s">
        <v>105</v>
      </c>
      <c r="BS140" t="s">
        <v>3007</v>
      </c>
      <c r="BT140" t="str">
        <f>HYPERLINK("https%3A%2F%2Fwww.webofscience.com%2Fwos%2Fwoscc%2Ffull-record%2FWOS:000612485600001","View Full Record in Web of Science")</f>
        <v>View Full Record in Web of Science</v>
      </c>
    </row>
    <row r="141" spans="1:72" x14ac:dyDescent="0.25">
      <c r="A141" t="s">
        <v>72</v>
      </c>
      <c r="B141" t="s">
        <v>3008</v>
      </c>
      <c r="C141" t="s">
        <v>74</v>
      </c>
      <c r="D141" t="s">
        <v>74</v>
      </c>
      <c r="E141" t="s">
        <v>74</v>
      </c>
      <c r="F141" t="s">
        <v>3009</v>
      </c>
      <c r="G141" t="s">
        <v>74</v>
      </c>
      <c r="H141" t="s">
        <v>74</v>
      </c>
      <c r="I141" t="s">
        <v>3010</v>
      </c>
      <c r="J141" t="s">
        <v>2543</v>
      </c>
      <c r="K141" t="s">
        <v>74</v>
      </c>
      <c r="L141" t="s">
        <v>74</v>
      </c>
      <c r="M141" t="s">
        <v>78</v>
      </c>
      <c r="N141" t="s">
        <v>79</v>
      </c>
      <c r="O141" t="s">
        <v>74</v>
      </c>
      <c r="P141" t="s">
        <v>74</v>
      </c>
      <c r="Q141" t="s">
        <v>74</v>
      </c>
      <c r="R141" t="s">
        <v>74</v>
      </c>
      <c r="S141" t="s">
        <v>74</v>
      </c>
      <c r="T141" t="s">
        <v>3011</v>
      </c>
      <c r="U141" t="s">
        <v>3012</v>
      </c>
      <c r="V141" t="s">
        <v>3013</v>
      </c>
      <c r="W141" t="s">
        <v>3014</v>
      </c>
      <c r="X141" t="s">
        <v>3015</v>
      </c>
      <c r="Y141" t="s">
        <v>3016</v>
      </c>
      <c r="Z141" t="s">
        <v>3017</v>
      </c>
      <c r="AA141" t="s">
        <v>3018</v>
      </c>
      <c r="AB141" t="s">
        <v>3019</v>
      </c>
      <c r="AC141" t="s">
        <v>3020</v>
      </c>
      <c r="AD141" t="s">
        <v>3020</v>
      </c>
      <c r="AE141" t="s">
        <v>3021</v>
      </c>
      <c r="AF141" t="s">
        <v>74</v>
      </c>
      <c r="AG141">
        <v>102</v>
      </c>
      <c r="AH141">
        <v>3</v>
      </c>
      <c r="AI141">
        <v>3</v>
      </c>
      <c r="AJ141">
        <v>1</v>
      </c>
      <c r="AK141">
        <v>2</v>
      </c>
      <c r="AL141" t="s">
        <v>120</v>
      </c>
      <c r="AM141" t="s">
        <v>121</v>
      </c>
      <c r="AN141" t="s">
        <v>122</v>
      </c>
      <c r="AO141" t="s">
        <v>74</v>
      </c>
      <c r="AP141" t="s">
        <v>2553</v>
      </c>
      <c r="AQ141" t="s">
        <v>74</v>
      </c>
      <c r="AR141" t="s">
        <v>2554</v>
      </c>
      <c r="AS141" t="s">
        <v>2555</v>
      </c>
      <c r="AT141" t="s">
        <v>1734</v>
      </c>
      <c r="AU141">
        <v>2024</v>
      </c>
      <c r="AV141">
        <v>14</v>
      </c>
      <c r="AW141">
        <v>7</v>
      </c>
      <c r="AX141" t="s">
        <v>74</v>
      </c>
      <c r="AY141" t="s">
        <v>74</v>
      </c>
      <c r="AZ141" t="s">
        <v>74</v>
      </c>
      <c r="BA141" t="s">
        <v>74</v>
      </c>
      <c r="BB141" t="s">
        <v>74</v>
      </c>
      <c r="BC141" t="s">
        <v>74</v>
      </c>
      <c r="BD141">
        <v>631</v>
      </c>
      <c r="BE141" t="s">
        <v>3022</v>
      </c>
      <c r="BF141" t="str">
        <f>HYPERLINK("http://dx.doi.org/10.3390/brainsci14070631","http://dx.doi.org/10.3390/brainsci14070631")</f>
        <v>http://dx.doi.org/10.3390/brainsci14070631</v>
      </c>
      <c r="BG141" t="s">
        <v>74</v>
      </c>
      <c r="BH141" t="s">
        <v>74</v>
      </c>
      <c r="BI141">
        <v>13</v>
      </c>
      <c r="BJ141" t="s">
        <v>374</v>
      </c>
      <c r="BK141" t="s">
        <v>182</v>
      </c>
      <c r="BL141" t="s">
        <v>375</v>
      </c>
      <c r="BM141" t="s">
        <v>3023</v>
      </c>
      <c r="BN141">
        <v>39061372</v>
      </c>
      <c r="BO141" t="s">
        <v>355</v>
      </c>
      <c r="BP141" t="s">
        <v>74</v>
      </c>
      <c r="BQ141" t="s">
        <v>74</v>
      </c>
      <c r="BR141" t="s">
        <v>105</v>
      </c>
      <c r="BS141" t="s">
        <v>3024</v>
      </c>
      <c r="BT141" t="str">
        <f>HYPERLINK("https%3A%2F%2Fwww.webofscience.com%2Fwos%2Fwoscc%2Ffull-record%2FWOS:001276653800001","View Full Record in Web of Science")</f>
        <v>View Full Record in Web of Science</v>
      </c>
    </row>
    <row r="142" spans="1:72" x14ac:dyDescent="0.25">
      <c r="A142" t="s">
        <v>72</v>
      </c>
      <c r="B142" t="s">
        <v>3025</v>
      </c>
      <c r="C142" t="s">
        <v>74</v>
      </c>
      <c r="D142" t="s">
        <v>74</v>
      </c>
      <c r="E142" t="s">
        <v>74</v>
      </c>
      <c r="F142" t="s">
        <v>3026</v>
      </c>
      <c r="G142" t="s">
        <v>74</v>
      </c>
      <c r="H142" t="s">
        <v>74</v>
      </c>
      <c r="I142" t="s">
        <v>3027</v>
      </c>
      <c r="J142" t="s">
        <v>3028</v>
      </c>
      <c r="K142" t="s">
        <v>74</v>
      </c>
      <c r="L142" t="s">
        <v>74</v>
      </c>
      <c r="M142" t="s">
        <v>78</v>
      </c>
      <c r="N142" t="s">
        <v>79</v>
      </c>
      <c r="O142" t="s">
        <v>74</v>
      </c>
      <c r="P142" t="s">
        <v>74</v>
      </c>
      <c r="Q142" t="s">
        <v>74</v>
      </c>
      <c r="R142" t="s">
        <v>74</v>
      </c>
      <c r="S142" t="s">
        <v>74</v>
      </c>
      <c r="T142" t="s">
        <v>3029</v>
      </c>
      <c r="U142" t="s">
        <v>3030</v>
      </c>
      <c r="V142" t="s">
        <v>3031</v>
      </c>
      <c r="W142" t="s">
        <v>3032</v>
      </c>
      <c r="X142" t="s">
        <v>3033</v>
      </c>
      <c r="Y142" t="s">
        <v>3034</v>
      </c>
      <c r="Z142" t="s">
        <v>3035</v>
      </c>
      <c r="AA142" t="s">
        <v>3036</v>
      </c>
      <c r="AB142" t="s">
        <v>3037</v>
      </c>
      <c r="AC142" t="s">
        <v>74</v>
      </c>
      <c r="AD142" t="s">
        <v>74</v>
      </c>
      <c r="AE142" t="s">
        <v>74</v>
      </c>
      <c r="AF142" t="s">
        <v>74</v>
      </c>
      <c r="AG142">
        <v>184</v>
      </c>
      <c r="AH142">
        <v>7</v>
      </c>
      <c r="AI142">
        <v>8</v>
      </c>
      <c r="AJ142">
        <v>2</v>
      </c>
      <c r="AK142">
        <v>10</v>
      </c>
      <c r="AL142" t="s">
        <v>3038</v>
      </c>
      <c r="AM142" t="s">
        <v>3039</v>
      </c>
      <c r="AN142" t="s">
        <v>3040</v>
      </c>
      <c r="AO142" t="s">
        <v>3041</v>
      </c>
      <c r="AP142" t="s">
        <v>3042</v>
      </c>
      <c r="AQ142" t="s">
        <v>74</v>
      </c>
      <c r="AR142" t="s">
        <v>3043</v>
      </c>
      <c r="AS142" t="s">
        <v>3044</v>
      </c>
      <c r="AT142" t="s">
        <v>1070</v>
      </c>
      <c r="AU142">
        <v>2021</v>
      </c>
      <c r="AV142">
        <v>340</v>
      </c>
      <c r="AW142" t="s">
        <v>74</v>
      </c>
      <c r="AX142" t="s">
        <v>74</v>
      </c>
      <c r="AY142" t="s">
        <v>74</v>
      </c>
      <c r="AZ142" t="s">
        <v>74</v>
      </c>
      <c r="BA142" t="s">
        <v>74</v>
      </c>
      <c r="BB142" t="s">
        <v>74</v>
      </c>
      <c r="BC142" t="s">
        <v>74</v>
      </c>
      <c r="BD142">
        <v>113647</v>
      </c>
      <c r="BE142" t="s">
        <v>3045</v>
      </c>
      <c r="BF142" t="str">
        <f>HYPERLINK("http://dx.doi.org/10.1016/j.expneurol.2021.113647","http://dx.doi.org/10.1016/j.expneurol.2021.113647")</f>
        <v>http://dx.doi.org/10.1016/j.expneurol.2021.113647</v>
      </c>
      <c r="BG142" t="s">
        <v>74</v>
      </c>
      <c r="BH142" t="s">
        <v>3046</v>
      </c>
      <c r="BI142">
        <v>15</v>
      </c>
      <c r="BJ142" t="s">
        <v>374</v>
      </c>
      <c r="BK142" t="s">
        <v>102</v>
      </c>
      <c r="BL142" t="s">
        <v>375</v>
      </c>
      <c r="BM142" t="s">
        <v>3047</v>
      </c>
      <c r="BN142">
        <v>33600814</v>
      </c>
      <c r="BO142" t="s">
        <v>3048</v>
      </c>
      <c r="BP142" t="s">
        <v>74</v>
      </c>
      <c r="BQ142" t="s">
        <v>74</v>
      </c>
      <c r="BR142" t="s">
        <v>105</v>
      </c>
      <c r="BS142" t="s">
        <v>3049</v>
      </c>
      <c r="BT142" t="str">
        <f>HYPERLINK("https%3A%2F%2Fwww.webofscience.com%2Fwos%2Fwoscc%2Ffull-record%2FWOS:000649737600010","View Full Record in Web of Science")</f>
        <v>View Full Record in Web of Science</v>
      </c>
    </row>
    <row r="143" spans="1:72" x14ac:dyDescent="0.25">
      <c r="A143" t="s">
        <v>72</v>
      </c>
      <c r="B143" t="s">
        <v>3050</v>
      </c>
      <c r="C143" t="s">
        <v>74</v>
      </c>
      <c r="D143" t="s">
        <v>74</v>
      </c>
      <c r="E143" t="s">
        <v>74</v>
      </c>
      <c r="F143" t="s">
        <v>3051</v>
      </c>
      <c r="G143" t="s">
        <v>74</v>
      </c>
      <c r="H143" t="s">
        <v>74</v>
      </c>
      <c r="I143" t="s">
        <v>3052</v>
      </c>
      <c r="J143" t="s">
        <v>3053</v>
      </c>
      <c r="K143" t="s">
        <v>74</v>
      </c>
      <c r="L143" t="s">
        <v>74</v>
      </c>
      <c r="M143" t="s">
        <v>78</v>
      </c>
      <c r="N143" t="s">
        <v>79</v>
      </c>
      <c r="O143" t="s">
        <v>74</v>
      </c>
      <c r="P143" t="s">
        <v>74</v>
      </c>
      <c r="Q143" t="s">
        <v>74</v>
      </c>
      <c r="R143" t="s">
        <v>74</v>
      </c>
      <c r="S143" t="s">
        <v>74</v>
      </c>
      <c r="T143" t="s">
        <v>3054</v>
      </c>
      <c r="U143" t="s">
        <v>3055</v>
      </c>
      <c r="V143" t="s">
        <v>3056</v>
      </c>
      <c r="W143" t="s">
        <v>3057</v>
      </c>
      <c r="X143" t="s">
        <v>3058</v>
      </c>
      <c r="Y143" t="s">
        <v>3059</v>
      </c>
      <c r="Z143" t="s">
        <v>3060</v>
      </c>
      <c r="AA143" t="s">
        <v>3061</v>
      </c>
      <c r="AB143" t="s">
        <v>3062</v>
      </c>
      <c r="AC143" t="s">
        <v>3063</v>
      </c>
      <c r="AD143" t="s">
        <v>3064</v>
      </c>
      <c r="AE143" t="s">
        <v>3065</v>
      </c>
      <c r="AF143" t="s">
        <v>74</v>
      </c>
      <c r="AG143">
        <v>40</v>
      </c>
      <c r="AH143">
        <v>77</v>
      </c>
      <c r="AI143">
        <v>89</v>
      </c>
      <c r="AJ143">
        <v>2</v>
      </c>
      <c r="AK143">
        <v>48</v>
      </c>
      <c r="AL143" t="s">
        <v>92</v>
      </c>
      <c r="AM143" t="s">
        <v>93</v>
      </c>
      <c r="AN143" t="s">
        <v>94</v>
      </c>
      <c r="AO143" t="s">
        <v>3066</v>
      </c>
      <c r="AP143" t="s">
        <v>3067</v>
      </c>
      <c r="AQ143" t="s">
        <v>74</v>
      </c>
      <c r="AR143" t="s">
        <v>3068</v>
      </c>
      <c r="AS143" t="s">
        <v>3069</v>
      </c>
      <c r="AT143" t="s">
        <v>1734</v>
      </c>
      <c r="AU143">
        <v>2013</v>
      </c>
      <c r="AV143">
        <v>36</v>
      </c>
      <c r="AW143">
        <v>4</v>
      </c>
      <c r="AX143" t="s">
        <v>74</v>
      </c>
      <c r="AY143" t="s">
        <v>74</v>
      </c>
      <c r="AZ143" t="s">
        <v>74</v>
      </c>
      <c r="BA143" t="s">
        <v>74</v>
      </c>
      <c r="BB143">
        <v>273</v>
      </c>
      <c r="BC143">
        <v>289</v>
      </c>
      <c r="BD143" t="s">
        <v>74</v>
      </c>
      <c r="BE143" t="s">
        <v>3070</v>
      </c>
      <c r="BF143" t="str">
        <f>HYPERLINK("http://dx.doi.org/10.1179/2045772313Y.0000000132","http://dx.doi.org/10.1179/2045772313Y.0000000132")</f>
        <v>http://dx.doi.org/10.1179/2045772313Y.0000000132</v>
      </c>
      <c r="BG143" t="s">
        <v>74</v>
      </c>
      <c r="BH143" t="s">
        <v>74</v>
      </c>
      <c r="BI143">
        <v>17</v>
      </c>
      <c r="BJ143" t="s">
        <v>541</v>
      </c>
      <c r="BK143" t="s">
        <v>182</v>
      </c>
      <c r="BL143" t="s">
        <v>375</v>
      </c>
      <c r="BM143" t="s">
        <v>3071</v>
      </c>
      <c r="BN143">
        <v>23820143</v>
      </c>
      <c r="BO143" t="s">
        <v>2246</v>
      </c>
      <c r="BP143" t="s">
        <v>74</v>
      </c>
      <c r="BQ143" t="s">
        <v>74</v>
      </c>
      <c r="BR143" t="s">
        <v>105</v>
      </c>
      <c r="BS143" t="s">
        <v>3072</v>
      </c>
      <c r="BT143" t="str">
        <f>HYPERLINK("https%3A%2F%2Fwww.webofscience.com%2Fwos%2Fwoscc%2Ffull-record%2FWOS:000321574200003","View Full Record in Web of Science")</f>
        <v>View Full Record in Web of Science</v>
      </c>
    </row>
    <row r="144" spans="1:72" x14ac:dyDescent="0.25">
      <c r="A144" t="s">
        <v>72</v>
      </c>
      <c r="B144" t="s">
        <v>3073</v>
      </c>
      <c r="C144" t="s">
        <v>74</v>
      </c>
      <c r="D144" t="s">
        <v>74</v>
      </c>
      <c r="E144" t="s">
        <v>74</v>
      </c>
      <c r="F144" t="s">
        <v>3074</v>
      </c>
      <c r="G144" t="s">
        <v>74</v>
      </c>
      <c r="H144" t="s">
        <v>74</v>
      </c>
      <c r="I144" t="s">
        <v>3075</v>
      </c>
      <c r="J144" t="s">
        <v>3076</v>
      </c>
      <c r="K144" t="s">
        <v>74</v>
      </c>
      <c r="L144" t="s">
        <v>74</v>
      </c>
      <c r="M144" t="s">
        <v>1876</v>
      </c>
      <c r="N144" t="s">
        <v>79</v>
      </c>
      <c r="O144" t="s">
        <v>74</v>
      </c>
      <c r="P144" t="s">
        <v>74</v>
      </c>
      <c r="Q144" t="s">
        <v>74</v>
      </c>
      <c r="R144" t="s">
        <v>74</v>
      </c>
      <c r="S144" t="s">
        <v>74</v>
      </c>
      <c r="T144" t="s">
        <v>3077</v>
      </c>
      <c r="U144" t="s">
        <v>3078</v>
      </c>
      <c r="V144" t="s">
        <v>3079</v>
      </c>
      <c r="W144" t="s">
        <v>3080</v>
      </c>
      <c r="X144" t="s">
        <v>3081</v>
      </c>
      <c r="Y144" t="s">
        <v>3082</v>
      </c>
      <c r="Z144" t="s">
        <v>3083</v>
      </c>
      <c r="AA144" t="s">
        <v>3084</v>
      </c>
      <c r="AB144" t="s">
        <v>3085</v>
      </c>
      <c r="AC144" t="s">
        <v>74</v>
      </c>
      <c r="AD144" t="s">
        <v>74</v>
      </c>
      <c r="AE144" t="s">
        <v>74</v>
      </c>
      <c r="AF144" t="s">
        <v>74</v>
      </c>
      <c r="AG144">
        <v>42</v>
      </c>
      <c r="AH144">
        <v>2</v>
      </c>
      <c r="AI144">
        <v>2</v>
      </c>
      <c r="AJ144">
        <v>0</v>
      </c>
      <c r="AK144">
        <v>11</v>
      </c>
      <c r="AL144" t="s">
        <v>3086</v>
      </c>
      <c r="AM144" t="s">
        <v>3087</v>
      </c>
      <c r="AN144" t="s">
        <v>3088</v>
      </c>
      <c r="AO144" t="s">
        <v>3089</v>
      </c>
      <c r="AP144" t="s">
        <v>3090</v>
      </c>
      <c r="AQ144" t="s">
        <v>74</v>
      </c>
      <c r="AR144" t="s">
        <v>3076</v>
      </c>
      <c r="AS144" t="s">
        <v>3091</v>
      </c>
      <c r="AT144" t="s">
        <v>326</v>
      </c>
      <c r="AU144">
        <v>2023</v>
      </c>
      <c r="AV144">
        <v>36</v>
      </c>
      <c r="AW144">
        <v>3</v>
      </c>
      <c r="AX144" t="s">
        <v>74</v>
      </c>
      <c r="AY144" t="s">
        <v>74</v>
      </c>
      <c r="AZ144" t="s">
        <v>74</v>
      </c>
      <c r="BA144" t="s">
        <v>74</v>
      </c>
      <c r="BB144">
        <v>156</v>
      </c>
      <c r="BC144">
        <v>167</v>
      </c>
      <c r="BD144" t="s">
        <v>74</v>
      </c>
      <c r="BE144" t="s">
        <v>3092</v>
      </c>
      <c r="BF144" t="str">
        <f>HYPERLINK("http://dx.doi.org/10.1024/1012-5302/a000891","http://dx.doi.org/10.1024/1012-5302/a000891")</f>
        <v>http://dx.doi.org/10.1024/1012-5302/a000891</v>
      </c>
      <c r="BG144" t="s">
        <v>74</v>
      </c>
      <c r="BH144" t="s">
        <v>3093</v>
      </c>
      <c r="BI144">
        <v>12</v>
      </c>
      <c r="BJ144" t="s">
        <v>3094</v>
      </c>
      <c r="BK144" t="s">
        <v>102</v>
      </c>
      <c r="BL144" t="s">
        <v>3094</v>
      </c>
      <c r="BM144" t="s">
        <v>3095</v>
      </c>
      <c r="BN144">
        <v>35770717</v>
      </c>
      <c r="BO144" t="s">
        <v>238</v>
      </c>
      <c r="BP144" t="s">
        <v>74</v>
      </c>
      <c r="BQ144" t="s">
        <v>74</v>
      </c>
      <c r="BR144" t="s">
        <v>105</v>
      </c>
      <c r="BS144" t="s">
        <v>3096</v>
      </c>
      <c r="BT144" t="str">
        <f>HYPERLINK("https%3A%2F%2Fwww.webofscience.com%2Fwos%2Fwoscc%2Ffull-record%2FWOS:000819036500001","View Full Record in Web of Science")</f>
        <v>View Full Record in Web of Science</v>
      </c>
    </row>
    <row r="145" spans="1:72" x14ac:dyDescent="0.25">
      <c r="A145" t="s">
        <v>72</v>
      </c>
      <c r="B145" t="s">
        <v>3097</v>
      </c>
      <c r="C145" t="s">
        <v>74</v>
      </c>
      <c r="D145" t="s">
        <v>74</v>
      </c>
      <c r="E145" t="s">
        <v>74</v>
      </c>
      <c r="F145" t="s">
        <v>3098</v>
      </c>
      <c r="G145" t="s">
        <v>74</v>
      </c>
      <c r="H145" t="s">
        <v>74</v>
      </c>
      <c r="I145" t="s">
        <v>3099</v>
      </c>
      <c r="J145" t="s">
        <v>3100</v>
      </c>
      <c r="K145" t="s">
        <v>74</v>
      </c>
      <c r="L145" t="s">
        <v>74</v>
      </c>
      <c r="M145" t="s">
        <v>78</v>
      </c>
      <c r="N145" t="s">
        <v>79</v>
      </c>
      <c r="O145" t="s">
        <v>74</v>
      </c>
      <c r="P145" t="s">
        <v>74</v>
      </c>
      <c r="Q145" t="s">
        <v>74</v>
      </c>
      <c r="R145" t="s">
        <v>74</v>
      </c>
      <c r="S145" t="s">
        <v>74</v>
      </c>
      <c r="T145" t="s">
        <v>3101</v>
      </c>
      <c r="U145" t="s">
        <v>3102</v>
      </c>
      <c r="V145" t="s">
        <v>3103</v>
      </c>
      <c r="W145" t="s">
        <v>3104</v>
      </c>
      <c r="X145" t="s">
        <v>3105</v>
      </c>
      <c r="Y145" t="s">
        <v>3106</v>
      </c>
      <c r="Z145" t="s">
        <v>3107</v>
      </c>
      <c r="AA145" t="s">
        <v>3108</v>
      </c>
      <c r="AB145" t="s">
        <v>3109</v>
      </c>
      <c r="AC145" t="s">
        <v>74</v>
      </c>
      <c r="AD145" t="s">
        <v>74</v>
      </c>
      <c r="AE145" t="s">
        <v>3110</v>
      </c>
      <c r="AF145" t="s">
        <v>74</v>
      </c>
      <c r="AG145">
        <v>29</v>
      </c>
      <c r="AH145">
        <v>2</v>
      </c>
      <c r="AI145">
        <v>2</v>
      </c>
      <c r="AJ145">
        <v>4</v>
      </c>
      <c r="AK145">
        <v>7</v>
      </c>
      <c r="AL145" t="s">
        <v>297</v>
      </c>
      <c r="AM145" t="s">
        <v>298</v>
      </c>
      <c r="AN145" t="s">
        <v>299</v>
      </c>
      <c r="AO145" t="s">
        <v>3111</v>
      </c>
      <c r="AP145" t="s">
        <v>3112</v>
      </c>
      <c r="AQ145" t="s">
        <v>74</v>
      </c>
      <c r="AR145" t="s">
        <v>3113</v>
      </c>
      <c r="AS145" t="s">
        <v>3114</v>
      </c>
      <c r="AT145" t="s">
        <v>1888</v>
      </c>
      <c r="AU145">
        <v>2024</v>
      </c>
      <c r="AV145">
        <v>48</v>
      </c>
      <c r="AW145">
        <v>10</v>
      </c>
      <c r="AX145" t="s">
        <v>74</v>
      </c>
      <c r="AY145" t="s">
        <v>74</v>
      </c>
      <c r="AZ145" t="s">
        <v>74</v>
      </c>
      <c r="BA145" t="s">
        <v>74</v>
      </c>
      <c r="BB145">
        <v>1077</v>
      </c>
      <c r="BC145">
        <v>1084</v>
      </c>
      <c r="BD145" t="s">
        <v>74</v>
      </c>
      <c r="BE145" t="s">
        <v>3115</v>
      </c>
      <c r="BF145" t="str">
        <f>HYPERLINK("http://dx.doi.org/10.1111/aor.14822","http://dx.doi.org/10.1111/aor.14822")</f>
        <v>http://dx.doi.org/10.1111/aor.14822</v>
      </c>
      <c r="BG145" t="s">
        <v>74</v>
      </c>
      <c r="BH145" t="s">
        <v>3116</v>
      </c>
      <c r="BI145">
        <v>8</v>
      </c>
      <c r="BJ145" t="s">
        <v>3117</v>
      </c>
      <c r="BK145" t="s">
        <v>182</v>
      </c>
      <c r="BL145" t="s">
        <v>3118</v>
      </c>
      <c r="BM145" t="s">
        <v>3119</v>
      </c>
      <c r="BN145">
        <v>39023334</v>
      </c>
      <c r="BO145" t="s">
        <v>309</v>
      </c>
      <c r="BP145" t="s">
        <v>74</v>
      </c>
      <c r="BQ145" t="s">
        <v>74</v>
      </c>
      <c r="BR145" t="s">
        <v>105</v>
      </c>
      <c r="BS145" t="s">
        <v>3120</v>
      </c>
      <c r="BT145" t="str">
        <f>HYPERLINK("https%3A%2F%2Fwww.webofscience.com%2Fwos%2Fwoscc%2Ffull-record%2FWOS:001270682600001","View Full Record in Web of Science")</f>
        <v>View Full Record in Web of Science</v>
      </c>
    </row>
    <row r="146" spans="1:72" x14ac:dyDescent="0.25">
      <c r="A146" t="s">
        <v>72</v>
      </c>
      <c r="B146" t="s">
        <v>3121</v>
      </c>
      <c r="C146" t="s">
        <v>74</v>
      </c>
      <c r="D146" t="s">
        <v>74</v>
      </c>
      <c r="E146" t="s">
        <v>74</v>
      </c>
      <c r="F146" t="s">
        <v>3122</v>
      </c>
      <c r="G146" t="s">
        <v>74</v>
      </c>
      <c r="H146" t="s">
        <v>74</v>
      </c>
      <c r="I146" t="s">
        <v>3123</v>
      </c>
      <c r="J146" t="s">
        <v>2708</v>
      </c>
      <c r="K146" t="s">
        <v>74</v>
      </c>
      <c r="L146" t="s">
        <v>74</v>
      </c>
      <c r="M146" t="s">
        <v>78</v>
      </c>
      <c r="N146" t="s">
        <v>79</v>
      </c>
      <c r="O146" t="s">
        <v>74</v>
      </c>
      <c r="P146" t="s">
        <v>74</v>
      </c>
      <c r="Q146" t="s">
        <v>74</v>
      </c>
      <c r="R146" t="s">
        <v>74</v>
      </c>
      <c r="S146" t="s">
        <v>74</v>
      </c>
      <c r="T146" t="s">
        <v>3124</v>
      </c>
      <c r="U146" t="s">
        <v>3125</v>
      </c>
      <c r="V146" t="s">
        <v>3126</v>
      </c>
      <c r="W146" t="s">
        <v>3127</v>
      </c>
      <c r="X146" t="s">
        <v>3128</v>
      </c>
      <c r="Y146" t="s">
        <v>3129</v>
      </c>
      <c r="Z146" t="s">
        <v>3130</v>
      </c>
      <c r="AA146" t="s">
        <v>3131</v>
      </c>
      <c r="AB146" t="s">
        <v>3132</v>
      </c>
      <c r="AC146" t="s">
        <v>3133</v>
      </c>
      <c r="AD146" t="s">
        <v>3134</v>
      </c>
      <c r="AE146" t="s">
        <v>3135</v>
      </c>
      <c r="AF146" t="s">
        <v>74</v>
      </c>
      <c r="AG146">
        <v>78</v>
      </c>
      <c r="AH146">
        <v>0</v>
      </c>
      <c r="AI146">
        <v>0</v>
      </c>
      <c r="AJ146">
        <v>8</v>
      </c>
      <c r="AK146">
        <v>8</v>
      </c>
      <c r="AL146" t="s">
        <v>2529</v>
      </c>
      <c r="AM146" t="s">
        <v>2530</v>
      </c>
      <c r="AN146" t="s">
        <v>2531</v>
      </c>
      <c r="AO146" t="s">
        <v>2715</v>
      </c>
      <c r="AP146" t="s">
        <v>2716</v>
      </c>
      <c r="AQ146" t="s">
        <v>74</v>
      </c>
      <c r="AR146" t="s">
        <v>2717</v>
      </c>
      <c r="AS146" t="s">
        <v>2718</v>
      </c>
      <c r="AT146" t="s">
        <v>538</v>
      </c>
      <c r="AU146">
        <v>2025</v>
      </c>
      <c r="AV146">
        <v>272</v>
      </c>
      <c r="AW146">
        <v>1</v>
      </c>
      <c r="AX146" t="s">
        <v>74</v>
      </c>
      <c r="AY146" t="s">
        <v>74</v>
      </c>
      <c r="AZ146" t="s">
        <v>74</v>
      </c>
      <c r="BA146" t="s">
        <v>74</v>
      </c>
      <c r="BB146" t="s">
        <v>74</v>
      </c>
      <c r="BC146" t="s">
        <v>74</v>
      </c>
      <c r="BD146">
        <v>22</v>
      </c>
      <c r="BE146" t="s">
        <v>3136</v>
      </c>
      <c r="BF146" t="str">
        <f>HYPERLINK("http://dx.doi.org/10.1007/s00415-024-12798-z","http://dx.doi.org/10.1007/s00415-024-12798-z")</f>
        <v>http://dx.doi.org/10.1007/s00415-024-12798-z</v>
      </c>
      <c r="BG146" t="s">
        <v>74</v>
      </c>
      <c r="BH146" t="s">
        <v>74</v>
      </c>
      <c r="BI146">
        <v>13</v>
      </c>
      <c r="BJ146" t="s">
        <v>541</v>
      </c>
      <c r="BK146" t="s">
        <v>182</v>
      </c>
      <c r="BL146" t="s">
        <v>375</v>
      </c>
      <c r="BM146" t="s">
        <v>3137</v>
      </c>
      <c r="BN146">
        <v>39666104</v>
      </c>
      <c r="BO146" t="s">
        <v>74</v>
      </c>
      <c r="BP146" t="s">
        <v>74</v>
      </c>
      <c r="BQ146" t="s">
        <v>74</v>
      </c>
      <c r="BR146" t="s">
        <v>105</v>
      </c>
      <c r="BS146" t="s">
        <v>3138</v>
      </c>
      <c r="BT146" t="str">
        <f>HYPERLINK("https%3A%2F%2Fwww.webofscience.com%2Fwos%2Fwoscc%2Ffull-record%2FWOS:001377344900044","View Full Record in Web of Science")</f>
        <v>View Full Record in Web of Science</v>
      </c>
    </row>
    <row r="147" spans="1:72" x14ac:dyDescent="0.25">
      <c r="A147" t="s">
        <v>72</v>
      </c>
      <c r="B147" t="s">
        <v>3139</v>
      </c>
      <c r="C147" t="s">
        <v>74</v>
      </c>
      <c r="D147" t="s">
        <v>74</v>
      </c>
      <c r="E147" t="s">
        <v>74</v>
      </c>
      <c r="F147" t="s">
        <v>3140</v>
      </c>
      <c r="G147" t="s">
        <v>74</v>
      </c>
      <c r="H147" t="s">
        <v>74</v>
      </c>
      <c r="I147" t="s">
        <v>3141</v>
      </c>
      <c r="J147" t="s">
        <v>571</v>
      </c>
      <c r="K147" t="s">
        <v>74</v>
      </c>
      <c r="L147" t="s">
        <v>74</v>
      </c>
      <c r="M147" t="s">
        <v>78</v>
      </c>
      <c r="N147" t="s">
        <v>79</v>
      </c>
      <c r="O147" t="s">
        <v>74</v>
      </c>
      <c r="P147" t="s">
        <v>74</v>
      </c>
      <c r="Q147" t="s">
        <v>74</v>
      </c>
      <c r="R147" t="s">
        <v>74</v>
      </c>
      <c r="S147" t="s">
        <v>74</v>
      </c>
      <c r="T147" t="s">
        <v>3142</v>
      </c>
      <c r="U147" t="s">
        <v>3143</v>
      </c>
      <c r="V147" t="s">
        <v>3144</v>
      </c>
      <c r="W147" t="s">
        <v>3145</v>
      </c>
      <c r="X147" t="s">
        <v>3146</v>
      </c>
      <c r="Y147" t="s">
        <v>3147</v>
      </c>
      <c r="Z147" t="s">
        <v>3148</v>
      </c>
      <c r="AA147" t="s">
        <v>74</v>
      </c>
      <c r="AB147" t="s">
        <v>3149</v>
      </c>
      <c r="AC147" t="s">
        <v>3150</v>
      </c>
      <c r="AD147" t="s">
        <v>3151</v>
      </c>
      <c r="AE147" t="s">
        <v>74</v>
      </c>
      <c r="AF147" t="s">
        <v>74</v>
      </c>
      <c r="AG147">
        <v>72</v>
      </c>
      <c r="AH147">
        <v>4</v>
      </c>
      <c r="AI147">
        <v>6</v>
      </c>
      <c r="AJ147">
        <v>0</v>
      </c>
      <c r="AK147">
        <v>9</v>
      </c>
      <c r="AL147" t="s">
        <v>583</v>
      </c>
      <c r="AM147" t="s">
        <v>275</v>
      </c>
      <c r="AN147" t="s">
        <v>584</v>
      </c>
      <c r="AO147" t="s">
        <v>585</v>
      </c>
      <c r="AP147" t="s">
        <v>74</v>
      </c>
      <c r="AQ147" t="s">
        <v>74</v>
      </c>
      <c r="AR147" t="s">
        <v>571</v>
      </c>
      <c r="AS147" t="s">
        <v>586</v>
      </c>
      <c r="AT147" t="s">
        <v>326</v>
      </c>
      <c r="AU147">
        <v>2021</v>
      </c>
      <c r="AV147">
        <v>11</v>
      </c>
      <c r="AW147">
        <v>5</v>
      </c>
      <c r="AX147" t="s">
        <v>74</v>
      </c>
      <c r="AY147" t="s">
        <v>74</v>
      </c>
      <c r="AZ147" t="s">
        <v>74</v>
      </c>
      <c r="BA147" t="s">
        <v>74</v>
      </c>
      <c r="BB147" t="s">
        <v>74</v>
      </c>
      <c r="BC147" t="s">
        <v>74</v>
      </c>
      <c r="BD147" t="s">
        <v>3152</v>
      </c>
      <c r="BE147" t="s">
        <v>3153</v>
      </c>
      <c r="BF147" t="str">
        <f>HYPERLINK("http://dx.doi.org/10.1136/bmjopen-2020-045051","http://dx.doi.org/10.1136/bmjopen-2020-045051")</f>
        <v>http://dx.doi.org/10.1136/bmjopen-2020-045051</v>
      </c>
      <c r="BG147" t="s">
        <v>74</v>
      </c>
      <c r="BH147" t="s">
        <v>74</v>
      </c>
      <c r="BI147">
        <v>6</v>
      </c>
      <c r="BJ147" t="s">
        <v>128</v>
      </c>
      <c r="BK147" t="s">
        <v>102</v>
      </c>
      <c r="BL147" t="s">
        <v>129</v>
      </c>
      <c r="BM147" t="s">
        <v>3154</v>
      </c>
      <c r="BN147">
        <v>33980527</v>
      </c>
      <c r="BO147" t="s">
        <v>355</v>
      </c>
      <c r="BP147" t="s">
        <v>74</v>
      </c>
      <c r="BQ147" t="s">
        <v>74</v>
      </c>
      <c r="BR147" t="s">
        <v>105</v>
      </c>
      <c r="BS147" t="s">
        <v>3155</v>
      </c>
      <c r="BT147" t="str">
        <f>HYPERLINK("https%3A%2F%2Fwww.webofscience.com%2Fwos%2Fwoscc%2Ffull-record%2FWOS:000763981800006","View Full Record in Web of Science")</f>
        <v>View Full Record in Web of Science</v>
      </c>
    </row>
    <row r="148" spans="1:72" x14ac:dyDescent="0.25">
      <c r="A148" t="s">
        <v>72</v>
      </c>
      <c r="B148" t="s">
        <v>3156</v>
      </c>
      <c r="C148" t="s">
        <v>74</v>
      </c>
      <c r="D148" t="s">
        <v>74</v>
      </c>
      <c r="E148" t="s">
        <v>74</v>
      </c>
      <c r="F148" t="s">
        <v>3157</v>
      </c>
      <c r="G148" t="s">
        <v>74</v>
      </c>
      <c r="H148" t="s">
        <v>74</v>
      </c>
      <c r="I148" t="s">
        <v>3158</v>
      </c>
      <c r="J148" t="s">
        <v>3053</v>
      </c>
      <c r="K148" t="s">
        <v>74</v>
      </c>
      <c r="L148" t="s">
        <v>74</v>
      </c>
      <c r="M148" t="s">
        <v>78</v>
      </c>
      <c r="N148" t="s">
        <v>79</v>
      </c>
      <c r="O148" t="s">
        <v>74</v>
      </c>
      <c r="P148" t="s">
        <v>74</v>
      </c>
      <c r="Q148" t="s">
        <v>74</v>
      </c>
      <c r="R148" t="s">
        <v>74</v>
      </c>
      <c r="S148" t="s">
        <v>74</v>
      </c>
      <c r="T148" t="s">
        <v>3159</v>
      </c>
      <c r="U148" t="s">
        <v>3160</v>
      </c>
      <c r="V148" t="s">
        <v>3161</v>
      </c>
      <c r="W148" t="s">
        <v>3162</v>
      </c>
      <c r="X148" t="s">
        <v>3163</v>
      </c>
      <c r="Y148" t="s">
        <v>3164</v>
      </c>
      <c r="Z148" t="s">
        <v>3165</v>
      </c>
      <c r="AA148" t="s">
        <v>3166</v>
      </c>
      <c r="AB148" t="s">
        <v>3167</v>
      </c>
      <c r="AC148" t="s">
        <v>3168</v>
      </c>
      <c r="AD148" t="s">
        <v>3169</v>
      </c>
      <c r="AE148" t="s">
        <v>3170</v>
      </c>
      <c r="AF148" t="s">
        <v>74</v>
      </c>
      <c r="AG148">
        <v>34</v>
      </c>
      <c r="AH148">
        <v>4</v>
      </c>
      <c r="AI148">
        <v>4</v>
      </c>
      <c r="AJ148">
        <v>0</v>
      </c>
      <c r="AK148">
        <v>8</v>
      </c>
      <c r="AL148" t="s">
        <v>92</v>
      </c>
      <c r="AM148" t="s">
        <v>93</v>
      </c>
      <c r="AN148" t="s">
        <v>94</v>
      </c>
      <c r="AO148" t="s">
        <v>3066</v>
      </c>
      <c r="AP148" t="s">
        <v>3067</v>
      </c>
      <c r="AQ148" t="s">
        <v>74</v>
      </c>
      <c r="AR148" t="s">
        <v>3068</v>
      </c>
      <c r="AS148" t="s">
        <v>3069</v>
      </c>
      <c r="AT148" t="s">
        <v>863</v>
      </c>
      <c r="AU148">
        <v>2024</v>
      </c>
      <c r="AV148">
        <v>47</v>
      </c>
      <c r="AW148">
        <v>1</v>
      </c>
      <c r="AX148" t="s">
        <v>74</v>
      </c>
      <c r="AY148" t="s">
        <v>74</v>
      </c>
      <c r="AZ148" t="s">
        <v>74</v>
      </c>
      <c r="BA148" t="s">
        <v>74</v>
      </c>
      <c r="BB148">
        <v>6</v>
      </c>
      <c r="BC148">
        <v>14</v>
      </c>
      <c r="BD148" t="s">
        <v>74</v>
      </c>
      <c r="BE148" t="s">
        <v>3171</v>
      </c>
      <c r="BF148" t="str">
        <f>HYPERLINK("http://dx.doi.org/10.1080/10790268.2023.2188392","http://dx.doi.org/10.1080/10790268.2023.2188392")</f>
        <v>http://dx.doi.org/10.1080/10790268.2023.2188392</v>
      </c>
      <c r="BG148" t="s">
        <v>74</v>
      </c>
      <c r="BH148" t="s">
        <v>3172</v>
      </c>
      <c r="BI148">
        <v>9</v>
      </c>
      <c r="BJ148" t="s">
        <v>541</v>
      </c>
      <c r="BK148" t="s">
        <v>182</v>
      </c>
      <c r="BL148" t="s">
        <v>375</v>
      </c>
      <c r="BM148" t="s">
        <v>3173</v>
      </c>
      <c r="BN148">
        <v>36972206</v>
      </c>
      <c r="BO148" t="s">
        <v>2246</v>
      </c>
      <c r="BP148" t="s">
        <v>74</v>
      </c>
      <c r="BQ148" t="s">
        <v>74</v>
      </c>
      <c r="BR148" t="s">
        <v>105</v>
      </c>
      <c r="BS148" t="s">
        <v>3174</v>
      </c>
      <c r="BT148" t="str">
        <f>HYPERLINK("https%3A%2F%2Fwww.webofscience.com%2Fwos%2Fwoscc%2Ffull-record%2FWOS:000956905900001","View Full Record in Web of Science")</f>
        <v>View Full Record in Web of Science</v>
      </c>
    </row>
    <row r="149" spans="1:72" x14ac:dyDescent="0.25">
      <c r="A149" t="s">
        <v>72</v>
      </c>
      <c r="B149" t="s">
        <v>3175</v>
      </c>
      <c r="C149" t="s">
        <v>74</v>
      </c>
      <c r="D149" t="s">
        <v>74</v>
      </c>
      <c r="E149" t="s">
        <v>74</v>
      </c>
      <c r="F149" t="s">
        <v>3176</v>
      </c>
      <c r="G149" t="s">
        <v>74</v>
      </c>
      <c r="H149" t="s">
        <v>74</v>
      </c>
      <c r="I149" t="s">
        <v>3177</v>
      </c>
      <c r="J149" t="s">
        <v>3178</v>
      </c>
      <c r="K149" t="s">
        <v>74</v>
      </c>
      <c r="L149" t="s">
        <v>74</v>
      </c>
      <c r="M149" t="s">
        <v>78</v>
      </c>
      <c r="N149" t="s">
        <v>79</v>
      </c>
      <c r="O149" t="s">
        <v>74</v>
      </c>
      <c r="P149" t="s">
        <v>74</v>
      </c>
      <c r="Q149" t="s">
        <v>74</v>
      </c>
      <c r="R149" t="s">
        <v>74</v>
      </c>
      <c r="S149" t="s">
        <v>74</v>
      </c>
      <c r="T149" t="s">
        <v>3179</v>
      </c>
      <c r="U149" t="s">
        <v>74</v>
      </c>
      <c r="V149" t="s">
        <v>3180</v>
      </c>
      <c r="W149" t="s">
        <v>3181</v>
      </c>
      <c r="X149" t="s">
        <v>3182</v>
      </c>
      <c r="Y149" t="s">
        <v>3183</v>
      </c>
      <c r="Z149" t="s">
        <v>3184</v>
      </c>
      <c r="AA149" t="s">
        <v>3185</v>
      </c>
      <c r="AB149" t="s">
        <v>74</v>
      </c>
      <c r="AC149" t="s">
        <v>3186</v>
      </c>
      <c r="AD149" t="s">
        <v>3187</v>
      </c>
      <c r="AE149" t="s">
        <v>3188</v>
      </c>
      <c r="AF149" t="s">
        <v>74</v>
      </c>
      <c r="AG149">
        <v>38</v>
      </c>
      <c r="AH149">
        <v>0</v>
      </c>
      <c r="AI149">
        <v>0</v>
      </c>
      <c r="AJ149">
        <v>6</v>
      </c>
      <c r="AK149">
        <v>6</v>
      </c>
      <c r="AL149" t="s">
        <v>274</v>
      </c>
      <c r="AM149" t="s">
        <v>275</v>
      </c>
      <c r="AN149" t="s">
        <v>276</v>
      </c>
      <c r="AO149" t="s">
        <v>3189</v>
      </c>
      <c r="AP149" t="s">
        <v>3190</v>
      </c>
      <c r="AQ149" t="s">
        <v>74</v>
      </c>
      <c r="AR149" t="s">
        <v>3191</v>
      </c>
      <c r="AS149" t="s">
        <v>3192</v>
      </c>
      <c r="AT149" t="s">
        <v>3193</v>
      </c>
      <c r="AU149">
        <v>2025</v>
      </c>
      <c r="AV149">
        <v>30</v>
      </c>
      <c r="AW149">
        <v>1</v>
      </c>
      <c r="AX149" t="s">
        <v>74</v>
      </c>
      <c r="AY149" t="s">
        <v>74</v>
      </c>
      <c r="AZ149" t="s">
        <v>74</v>
      </c>
      <c r="BA149" t="s">
        <v>74</v>
      </c>
      <c r="BB149" t="s">
        <v>74</v>
      </c>
      <c r="BC149" t="s">
        <v>74</v>
      </c>
      <c r="BD149">
        <v>382</v>
      </c>
      <c r="BE149" t="s">
        <v>3194</v>
      </c>
      <c r="BF149" t="str">
        <f>HYPERLINK("http://dx.doi.org/10.1186/s40001-025-02603-6","http://dx.doi.org/10.1186/s40001-025-02603-6")</f>
        <v>http://dx.doi.org/10.1186/s40001-025-02603-6</v>
      </c>
      <c r="BG149" t="s">
        <v>74</v>
      </c>
      <c r="BH149" t="s">
        <v>74</v>
      </c>
      <c r="BI149">
        <v>11</v>
      </c>
      <c r="BJ149" t="s">
        <v>738</v>
      </c>
      <c r="BK149" t="s">
        <v>182</v>
      </c>
      <c r="BL149" t="s">
        <v>739</v>
      </c>
      <c r="BM149" t="s">
        <v>3195</v>
      </c>
      <c r="BN149">
        <v>40369671</v>
      </c>
      <c r="BO149" t="s">
        <v>185</v>
      </c>
      <c r="BP149" t="s">
        <v>74</v>
      </c>
      <c r="BQ149" t="s">
        <v>74</v>
      </c>
      <c r="BR149" t="s">
        <v>105</v>
      </c>
      <c r="BS149" t="s">
        <v>3196</v>
      </c>
      <c r="BT149" t="str">
        <f>HYPERLINK("https%3A%2F%2Fwww.webofscience.com%2Fwos%2Fwoscc%2Ffull-record%2FWOS:001488517900001","View Full Record in Web of Science")</f>
        <v>View Full Record in Web of Science</v>
      </c>
    </row>
    <row r="150" spans="1:72" x14ac:dyDescent="0.25">
      <c r="A150" t="s">
        <v>72</v>
      </c>
      <c r="B150" t="s">
        <v>3197</v>
      </c>
      <c r="C150" t="s">
        <v>74</v>
      </c>
      <c r="D150" t="s">
        <v>74</v>
      </c>
      <c r="E150" t="s">
        <v>74</v>
      </c>
      <c r="F150" t="s">
        <v>3198</v>
      </c>
      <c r="G150" t="s">
        <v>74</v>
      </c>
      <c r="H150" t="s">
        <v>74</v>
      </c>
      <c r="I150" t="s">
        <v>3199</v>
      </c>
      <c r="J150" t="s">
        <v>594</v>
      </c>
      <c r="K150" t="s">
        <v>74</v>
      </c>
      <c r="L150" t="s">
        <v>74</v>
      </c>
      <c r="M150" t="s">
        <v>78</v>
      </c>
      <c r="N150" t="s">
        <v>79</v>
      </c>
      <c r="O150" t="s">
        <v>74</v>
      </c>
      <c r="P150" t="s">
        <v>74</v>
      </c>
      <c r="Q150" t="s">
        <v>74</v>
      </c>
      <c r="R150" t="s">
        <v>74</v>
      </c>
      <c r="S150" t="s">
        <v>74</v>
      </c>
      <c r="T150" t="s">
        <v>3200</v>
      </c>
      <c r="U150" t="s">
        <v>3201</v>
      </c>
      <c r="V150" t="s">
        <v>3202</v>
      </c>
      <c r="W150" t="s">
        <v>3203</v>
      </c>
      <c r="X150" t="s">
        <v>3204</v>
      </c>
      <c r="Y150" t="s">
        <v>3205</v>
      </c>
      <c r="Z150" t="s">
        <v>3206</v>
      </c>
      <c r="AA150" t="s">
        <v>3207</v>
      </c>
      <c r="AB150" t="s">
        <v>3208</v>
      </c>
      <c r="AC150" t="s">
        <v>3209</v>
      </c>
      <c r="AD150" t="s">
        <v>3210</v>
      </c>
      <c r="AE150" t="s">
        <v>3211</v>
      </c>
      <c r="AF150" t="s">
        <v>74</v>
      </c>
      <c r="AG150">
        <v>67</v>
      </c>
      <c r="AH150">
        <v>19</v>
      </c>
      <c r="AI150">
        <v>20</v>
      </c>
      <c r="AJ150">
        <v>5</v>
      </c>
      <c r="AK150">
        <v>35</v>
      </c>
      <c r="AL150" t="s">
        <v>274</v>
      </c>
      <c r="AM150" t="s">
        <v>275</v>
      </c>
      <c r="AN150" t="s">
        <v>276</v>
      </c>
      <c r="AO150" t="s">
        <v>74</v>
      </c>
      <c r="AP150" t="s">
        <v>606</v>
      </c>
      <c r="AQ150" t="s">
        <v>74</v>
      </c>
      <c r="AR150" t="s">
        <v>607</v>
      </c>
      <c r="AS150" t="s">
        <v>608</v>
      </c>
      <c r="AT150" t="s">
        <v>3212</v>
      </c>
      <c r="AU150">
        <v>2021</v>
      </c>
      <c r="AV150">
        <v>18</v>
      </c>
      <c r="AW150">
        <v>1</v>
      </c>
      <c r="AX150" t="s">
        <v>74</v>
      </c>
      <c r="AY150" t="s">
        <v>74</v>
      </c>
      <c r="AZ150" t="s">
        <v>74</v>
      </c>
      <c r="BA150" t="s">
        <v>74</v>
      </c>
      <c r="BB150" t="s">
        <v>74</v>
      </c>
      <c r="BC150" t="s">
        <v>74</v>
      </c>
      <c r="BD150">
        <v>181</v>
      </c>
      <c r="BE150" t="s">
        <v>3213</v>
      </c>
      <c r="BF150" t="str">
        <f>HYPERLINK("http://dx.doi.org/10.1186/s12984-021-00976-3","http://dx.doi.org/10.1186/s12984-021-00976-3")</f>
        <v>http://dx.doi.org/10.1186/s12984-021-00976-3</v>
      </c>
      <c r="BG150" t="s">
        <v>74</v>
      </c>
      <c r="BH150" t="s">
        <v>74</v>
      </c>
      <c r="BI150">
        <v>24</v>
      </c>
      <c r="BJ150" t="s">
        <v>611</v>
      </c>
      <c r="BK150" t="s">
        <v>102</v>
      </c>
      <c r="BL150" t="s">
        <v>612</v>
      </c>
      <c r="BM150" t="s">
        <v>3214</v>
      </c>
      <c r="BN150">
        <v>34953497</v>
      </c>
      <c r="BO150" t="s">
        <v>355</v>
      </c>
      <c r="BP150" t="s">
        <v>74</v>
      </c>
      <c r="BQ150" t="s">
        <v>74</v>
      </c>
      <c r="BR150" t="s">
        <v>105</v>
      </c>
      <c r="BS150" t="s">
        <v>3215</v>
      </c>
      <c r="BT150" t="str">
        <f>HYPERLINK("https%3A%2F%2Fwww.webofscience.com%2Fwos%2Fwoscc%2Ffull-record%2FWOS:000734180500001","View Full Record in Web of Science")</f>
        <v>View Full Record in Web of Science</v>
      </c>
    </row>
    <row r="151" spans="1:72" x14ac:dyDescent="0.25">
      <c r="A151" t="s">
        <v>72</v>
      </c>
      <c r="B151" t="s">
        <v>3216</v>
      </c>
      <c r="C151" t="s">
        <v>74</v>
      </c>
      <c r="D151" t="s">
        <v>74</v>
      </c>
      <c r="E151" t="s">
        <v>74</v>
      </c>
      <c r="F151" t="s">
        <v>3217</v>
      </c>
      <c r="G151" t="s">
        <v>74</v>
      </c>
      <c r="H151" t="s">
        <v>74</v>
      </c>
      <c r="I151" t="s">
        <v>3218</v>
      </c>
      <c r="J151" t="s">
        <v>3219</v>
      </c>
      <c r="K151" t="s">
        <v>74</v>
      </c>
      <c r="L151" t="s">
        <v>74</v>
      </c>
      <c r="M151" t="s">
        <v>78</v>
      </c>
      <c r="N151" t="s">
        <v>79</v>
      </c>
      <c r="O151" t="s">
        <v>74</v>
      </c>
      <c r="P151" t="s">
        <v>74</v>
      </c>
      <c r="Q151" t="s">
        <v>74</v>
      </c>
      <c r="R151" t="s">
        <v>74</v>
      </c>
      <c r="S151" t="s">
        <v>74</v>
      </c>
      <c r="T151" t="s">
        <v>3220</v>
      </c>
      <c r="U151" t="s">
        <v>3221</v>
      </c>
      <c r="V151" t="s">
        <v>3222</v>
      </c>
      <c r="W151" t="s">
        <v>3223</v>
      </c>
      <c r="X151" t="s">
        <v>3224</v>
      </c>
      <c r="Y151" t="s">
        <v>3225</v>
      </c>
      <c r="Z151" t="s">
        <v>74</v>
      </c>
      <c r="AA151" t="s">
        <v>3226</v>
      </c>
      <c r="AB151" t="s">
        <v>3227</v>
      </c>
      <c r="AC151" t="s">
        <v>74</v>
      </c>
      <c r="AD151" t="s">
        <v>74</v>
      </c>
      <c r="AE151" t="s">
        <v>74</v>
      </c>
      <c r="AF151" t="s">
        <v>74</v>
      </c>
      <c r="AG151">
        <v>102</v>
      </c>
      <c r="AH151">
        <v>33</v>
      </c>
      <c r="AI151">
        <v>37</v>
      </c>
      <c r="AJ151">
        <v>2</v>
      </c>
      <c r="AK151">
        <v>40</v>
      </c>
      <c r="AL151" t="s">
        <v>346</v>
      </c>
      <c r="AM151" t="s">
        <v>227</v>
      </c>
      <c r="AN151" t="s">
        <v>347</v>
      </c>
      <c r="AO151" t="s">
        <v>3228</v>
      </c>
      <c r="AP151" t="s">
        <v>3229</v>
      </c>
      <c r="AQ151" t="s">
        <v>74</v>
      </c>
      <c r="AR151" t="s">
        <v>3230</v>
      </c>
      <c r="AS151" t="s">
        <v>3231</v>
      </c>
      <c r="AT151" t="s">
        <v>126</v>
      </c>
      <c r="AU151">
        <v>2018</v>
      </c>
      <c r="AV151">
        <v>97</v>
      </c>
      <c r="AW151">
        <v>11</v>
      </c>
      <c r="AX151" t="s">
        <v>74</v>
      </c>
      <c r="AY151" t="s">
        <v>74</v>
      </c>
      <c r="AZ151" t="s">
        <v>74</v>
      </c>
      <c r="BA151" t="s">
        <v>74</v>
      </c>
      <c r="BB151">
        <v>793</v>
      </c>
      <c r="BC151">
        <v>807</v>
      </c>
      <c r="BD151" t="s">
        <v>74</v>
      </c>
      <c r="BE151" t="s">
        <v>3232</v>
      </c>
      <c r="BF151" t="str">
        <f>HYPERLINK("http://dx.doi.org/10.1097/PHM.0000000000000970","http://dx.doi.org/10.1097/PHM.0000000000000970")</f>
        <v>http://dx.doi.org/10.1097/PHM.0000000000000970</v>
      </c>
      <c r="BG151" t="s">
        <v>74</v>
      </c>
      <c r="BH151" t="s">
        <v>74</v>
      </c>
      <c r="BI151">
        <v>15</v>
      </c>
      <c r="BJ151" t="s">
        <v>236</v>
      </c>
      <c r="BK151" t="s">
        <v>102</v>
      </c>
      <c r="BL151" t="s">
        <v>236</v>
      </c>
      <c r="BM151" t="s">
        <v>3233</v>
      </c>
      <c r="BN151">
        <v>29794531</v>
      </c>
      <c r="BO151" t="s">
        <v>74</v>
      </c>
      <c r="BP151" t="s">
        <v>74</v>
      </c>
      <c r="BQ151" t="s">
        <v>74</v>
      </c>
      <c r="BR151" t="s">
        <v>105</v>
      </c>
      <c r="BS151" t="s">
        <v>3234</v>
      </c>
      <c r="BT151" t="str">
        <f>HYPERLINK("https%3A%2F%2Fwww.webofscience.com%2Fwos%2Fwoscc%2Ffull-record%2FWOS:000447732700009","View Full Record in Web of Science")</f>
        <v>View Full Record in Web of Science</v>
      </c>
    </row>
    <row r="152" spans="1:72" x14ac:dyDescent="0.25">
      <c r="A152" t="s">
        <v>72</v>
      </c>
      <c r="B152" t="s">
        <v>3235</v>
      </c>
      <c r="C152" t="s">
        <v>74</v>
      </c>
      <c r="D152" t="s">
        <v>74</v>
      </c>
      <c r="E152" t="s">
        <v>74</v>
      </c>
      <c r="F152" t="s">
        <v>3236</v>
      </c>
      <c r="G152" t="s">
        <v>74</v>
      </c>
      <c r="H152" t="s">
        <v>74</v>
      </c>
      <c r="I152" t="s">
        <v>3237</v>
      </c>
      <c r="J152" t="s">
        <v>3238</v>
      </c>
      <c r="K152" t="s">
        <v>74</v>
      </c>
      <c r="L152" t="s">
        <v>74</v>
      </c>
      <c r="M152" t="s">
        <v>78</v>
      </c>
      <c r="N152" t="s">
        <v>79</v>
      </c>
      <c r="O152" t="s">
        <v>74</v>
      </c>
      <c r="P152" t="s">
        <v>74</v>
      </c>
      <c r="Q152" t="s">
        <v>74</v>
      </c>
      <c r="R152" t="s">
        <v>74</v>
      </c>
      <c r="S152" t="s">
        <v>74</v>
      </c>
      <c r="T152" t="s">
        <v>3239</v>
      </c>
      <c r="U152" t="s">
        <v>3240</v>
      </c>
      <c r="V152" t="s">
        <v>3241</v>
      </c>
      <c r="W152" t="s">
        <v>3242</v>
      </c>
      <c r="X152" t="s">
        <v>3243</v>
      </c>
      <c r="Y152" t="s">
        <v>3244</v>
      </c>
      <c r="Z152" t="s">
        <v>3245</v>
      </c>
      <c r="AA152" t="s">
        <v>3246</v>
      </c>
      <c r="AB152" t="s">
        <v>3247</v>
      </c>
      <c r="AC152" t="s">
        <v>3248</v>
      </c>
      <c r="AD152" t="s">
        <v>3249</v>
      </c>
      <c r="AE152" t="s">
        <v>3250</v>
      </c>
      <c r="AF152" t="s">
        <v>74</v>
      </c>
      <c r="AG152">
        <v>79</v>
      </c>
      <c r="AH152">
        <v>24</v>
      </c>
      <c r="AI152">
        <v>25</v>
      </c>
      <c r="AJ152">
        <v>1</v>
      </c>
      <c r="AK152">
        <v>27</v>
      </c>
      <c r="AL152" t="s">
        <v>202</v>
      </c>
      <c r="AM152" t="s">
        <v>203</v>
      </c>
      <c r="AN152" t="s">
        <v>204</v>
      </c>
      <c r="AO152" t="s">
        <v>3251</v>
      </c>
      <c r="AP152" t="s">
        <v>3252</v>
      </c>
      <c r="AQ152" t="s">
        <v>74</v>
      </c>
      <c r="AR152" t="s">
        <v>3253</v>
      </c>
      <c r="AS152" t="s">
        <v>3254</v>
      </c>
      <c r="AT152" t="s">
        <v>487</v>
      </c>
      <c r="AU152">
        <v>2018</v>
      </c>
      <c r="AV152">
        <v>62</v>
      </c>
      <c r="AW152">
        <v>2</v>
      </c>
      <c r="AX152" t="s">
        <v>74</v>
      </c>
      <c r="AY152" t="s">
        <v>74</v>
      </c>
      <c r="AZ152" t="s">
        <v>74</v>
      </c>
      <c r="BA152" t="s">
        <v>74</v>
      </c>
      <c r="BB152">
        <v>187</v>
      </c>
      <c r="BC152">
        <v>202</v>
      </c>
      <c r="BD152" t="s">
        <v>74</v>
      </c>
      <c r="BE152" t="s">
        <v>3255</v>
      </c>
      <c r="BF152" t="str">
        <f>HYPERLINK("http://dx.doi.org/10.23736/S0390-5616.17.04277-1","http://dx.doi.org/10.23736/S0390-5616.17.04277-1")</f>
        <v>http://dx.doi.org/10.23736/S0390-5616.17.04277-1</v>
      </c>
      <c r="BG152" t="s">
        <v>74</v>
      </c>
      <c r="BH152" t="s">
        <v>74</v>
      </c>
      <c r="BI152">
        <v>16</v>
      </c>
      <c r="BJ152" t="s">
        <v>3256</v>
      </c>
      <c r="BK152" t="s">
        <v>182</v>
      </c>
      <c r="BL152" t="s">
        <v>1508</v>
      </c>
      <c r="BM152" t="s">
        <v>3257</v>
      </c>
      <c r="BN152">
        <v>29154509</v>
      </c>
      <c r="BO152" t="s">
        <v>3048</v>
      </c>
      <c r="BP152" t="s">
        <v>74</v>
      </c>
      <c r="BQ152" t="s">
        <v>74</v>
      </c>
      <c r="BR152" t="s">
        <v>105</v>
      </c>
      <c r="BS152" t="s">
        <v>3258</v>
      </c>
      <c r="BT152" t="str">
        <f>HYPERLINK("https%3A%2F%2Fwww.webofscience.com%2Fwos%2Fwoscc%2Ffull-record%2FWOS:000445305500009","View Full Record in Web of Science")</f>
        <v>View Full Record in Web of Science</v>
      </c>
    </row>
    <row r="153" spans="1:72" x14ac:dyDescent="0.25">
      <c r="A153" t="s">
        <v>72</v>
      </c>
      <c r="B153" t="s">
        <v>3259</v>
      </c>
      <c r="C153" t="s">
        <v>74</v>
      </c>
      <c r="D153" t="s">
        <v>74</v>
      </c>
      <c r="E153" t="s">
        <v>74</v>
      </c>
      <c r="F153" t="s">
        <v>3260</v>
      </c>
      <c r="G153" t="s">
        <v>74</v>
      </c>
      <c r="H153" t="s">
        <v>74</v>
      </c>
      <c r="I153" t="s">
        <v>3261</v>
      </c>
      <c r="J153" t="s">
        <v>3262</v>
      </c>
      <c r="K153" t="s">
        <v>74</v>
      </c>
      <c r="L153" t="s">
        <v>74</v>
      </c>
      <c r="M153" t="s">
        <v>78</v>
      </c>
      <c r="N153" t="s">
        <v>79</v>
      </c>
      <c r="O153" t="s">
        <v>74</v>
      </c>
      <c r="P153" t="s">
        <v>74</v>
      </c>
      <c r="Q153" t="s">
        <v>74</v>
      </c>
      <c r="R153" t="s">
        <v>74</v>
      </c>
      <c r="S153" t="s">
        <v>74</v>
      </c>
      <c r="T153" t="s">
        <v>3263</v>
      </c>
      <c r="U153" t="s">
        <v>3264</v>
      </c>
      <c r="V153" t="s">
        <v>3265</v>
      </c>
      <c r="W153" t="s">
        <v>3266</v>
      </c>
      <c r="X153" t="s">
        <v>3267</v>
      </c>
      <c r="Y153" t="s">
        <v>3268</v>
      </c>
      <c r="Z153" t="s">
        <v>3269</v>
      </c>
      <c r="AA153" t="s">
        <v>3270</v>
      </c>
      <c r="AB153" t="s">
        <v>3271</v>
      </c>
      <c r="AC153" t="s">
        <v>3272</v>
      </c>
      <c r="AD153" t="s">
        <v>3273</v>
      </c>
      <c r="AE153" t="s">
        <v>3274</v>
      </c>
      <c r="AF153" t="s">
        <v>74</v>
      </c>
      <c r="AG153">
        <v>52</v>
      </c>
      <c r="AH153">
        <v>10</v>
      </c>
      <c r="AI153">
        <v>10</v>
      </c>
      <c r="AJ153">
        <v>5</v>
      </c>
      <c r="AK153">
        <v>5</v>
      </c>
      <c r="AL153" t="s">
        <v>120</v>
      </c>
      <c r="AM153" t="s">
        <v>121</v>
      </c>
      <c r="AN153" t="s">
        <v>122</v>
      </c>
      <c r="AO153" t="s">
        <v>74</v>
      </c>
      <c r="AP153" t="s">
        <v>3275</v>
      </c>
      <c r="AQ153" t="s">
        <v>74</v>
      </c>
      <c r="AR153" t="s">
        <v>3276</v>
      </c>
      <c r="AS153" t="s">
        <v>3277</v>
      </c>
      <c r="AT153" t="s">
        <v>1070</v>
      </c>
      <c r="AU153">
        <v>2022</v>
      </c>
      <c r="AV153">
        <v>2</v>
      </c>
      <c r="AW153">
        <v>2</v>
      </c>
      <c r="AX153" t="s">
        <v>74</v>
      </c>
      <c r="AY153" t="s">
        <v>74</v>
      </c>
      <c r="AZ153" t="s">
        <v>74</v>
      </c>
      <c r="BA153" t="s">
        <v>74</v>
      </c>
      <c r="BB153">
        <v>293</v>
      </c>
      <c r="BC153">
        <v>303</v>
      </c>
      <c r="BD153" t="s">
        <v>74</v>
      </c>
      <c r="BE153" t="s">
        <v>3278</v>
      </c>
      <c r="BF153" t="str">
        <f>HYPERLINK("http://dx.doi.org/10.3390/disabilities2020021","http://dx.doi.org/10.3390/disabilities2020021")</f>
        <v>http://dx.doi.org/10.3390/disabilities2020021</v>
      </c>
      <c r="BG153" t="s">
        <v>74</v>
      </c>
      <c r="BH153" t="s">
        <v>74</v>
      </c>
      <c r="BI153">
        <v>11</v>
      </c>
      <c r="BJ153" t="s">
        <v>101</v>
      </c>
      <c r="BK153" t="s">
        <v>155</v>
      </c>
      <c r="BL153" t="s">
        <v>101</v>
      </c>
      <c r="BM153" t="s">
        <v>3279</v>
      </c>
      <c r="BN153" t="s">
        <v>74</v>
      </c>
      <c r="BO153" t="s">
        <v>1374</v>
      </c>
      <c r="BP153" t="s">
        <v>74</v>
      </c>
      <c r="BQ153" t="s">
        <v>74</v>
      </c>
      <c r="BR153" t="s">
        <v>105</v>
      </c>
      <c r="BS153" t="s">
        <v>3280</v>
      </c>
      <c r="BT153" t="str">
        <f>HYPERLINK("https%3A%2F%2Fwww.webofscience.com%2Fwos%2Fwoscc%2Ffull-record%2FWOS:001274759800001","View Full Record in Web of Science")</f>
        <v>View Full Record in Web of Science</v>
      </c>
    </row>
    <row r="154" spans="1:72" x14ac:dyDescent="0.25">
      <c r="A154" t="s">
        <v>72</v>
      </c>
      <c r="B154" t="s">
        <v>3281</v>
      </c>
      <c r="C154" t="s">
        <v>74</v>
      </c>
      <c r="D154" t="s">
        <v>74</v>
      </c>
      <c r="E154" t="s">
        <v>74</v>
      </c>
      <c r="F154" t="s">
        <v>3282</v>
      </c>
      <c r="G154" t="s">
        <v>74</v>
      </c>
      <c r="H154" t="s">
        <v>74</v>
      </c>
      <c r="I154" t="s">
        <v>3283</v>
      </c>
      <c r="J154" t="s">
        <v>642</v>
      </c>
      <c r="K154" t="s">
        <v>74</v>
      </c>
      <c r="L154" t="s">
        <v>74</v>
      </c>
      <c r="M154" t="s">
        <v>78</v>
      </c>
      <c r="N154" t="s">
        <v>79</v>
      </c>
      <c r="O154" t="s">
        <v>74</v>
      </c>
      <c r="P154" t="s">
        <v>74</v>
      </c>
      <c r="Q154" t="s">
        <v>74</v>
      </c>
      <c r="R154" t="s">
        <v>74</v>
      </c>
      <c r="S154" t="s">
        <v>74</v>
      </c>
      <c r="T154" t="s">
        <v>3284</v>
      </c>
      <c r="U154" t="s">
        <v>3285</v>
      </c>
      <c r="V154" t="s">
        <v>3286</v>
      </c>
      <c r="W154" t="s">
        <v>3287</v>
      </c>
      <c r="X154" t="s">
        <v>3288</v>
      </c>
      <c r="Y154" t="s">
        <v>3289</v>
      </c>
      <c r="Z154" t="s">
        <v>3290</v>
      </c>
      <c r="AA154" t="s">
        <v>74</v>
      </c>
      <c r="AB154" t="s">
        <v>3291</v>
      </c>
      <c r="AC154" t="s">
        <v>3292</v>
      </c>
      <c r="AD154" t="s">
        <v>3293</v>
      </c>
      <c r="AE154" t="s">
        <v>3294</v>
      </c>
      <c r="AF154" t="s">
        <v>74</v>
      </c>
      <c r="AG154">
        <v>37</v>
      </c>
      <c r="AH154">
        <v>18</v>
      </c>
      <c r="AI154">
        <v>18</v>
      </c>
      <c r="AJ154">
        <v>1</v>
      </c>
      <c r="AK154">
        <v>21</v>
      </c>
      <c r="AL154" t="s">
        <v>557</v>
      </c>
      <c r="AM154" t="s">
        <v>275</v>
      </c>
      <c r="AN154" t="s">
        <v>558</v>
      </c>
      <c r="AO154" t="s">
        <v>655</v>
      </c>
      <c r="AP154" t="s">
        <v>656</v>
      </c>
      <c r="AQ154" t="s">
        <v>74</v>
      </c>
      <c r="AR154" t="s">
        <v>657</v>
      </c>
      <c r="AS154" t="s">
        <v>658</v>
      </c>
      <c r="AT154" t="s">
        <v>1734</v>
      </c>
      <c r="AU154">
        <v>2022</v>
      </c>
      <c r="AV154">
        <v>36</v>
      </c>
      <c r="AW154">
        <v>7</v>
      </c>
      <c r="AX154" t="s">
        <v>74</v>
      </c>
      <c r="AY154" t="s">
        <v>74</v>
      </c>
      <c r="AZ154" t="s">
        <v>74</v>
      </c>
      <c r="BA154" t="s">
        <v>74</v>
      </c>
      <c r="BB154">
        <v>873</v>
      </c>
      <c r="BC154">
        <v>882</v>
      </c>
      <c r="BD154">
        <v>2692155221087084</v>
      </c>
      <c r="BE154" t="s">
        <v>3295</v>
      </c>
      <c r="BF154" t="str">
        <f>HYPERLINK("http://dx.doi.org/10.1177/02692155221087084","http://dx.doi.org/10.1177/02692155221087084")</f>
        <v>http://dx.doi.org/10.1177/02692155221087084</v>
      </c>
      <c r="BG154" t="s">
        <v>74</v>
      </c>
      <c r="BH154" t="s">
        <v>3296</v>
      </c>
      <c r="BI154">
        <v>10</v>
      </c>
      <c r="BJ154" t="s">
        <v>101</v>
      </c>
      <c r="BK154" t="s">
        <v>182</v>
      </c>
      <c r="BL154" t="s">
        <v>101</v>
      </c>
      <c r="BM154" t="s">
        <v>3297</v>
      </c>
      <c r="BN154">
        <v>35331027</v>
      </c>
      <c r="BO154" t="s">
        <v>3048</v>
      </c>
      <c r="BP154" t="s">
        <v>74</v>
      </c>
      <c r="BQ154" t="s">
        <v>74</v>
      </c>
      <c r="BR154" t="s">
        <v>105</v>
      </c>
      <c r="BS154" t="s">
        <v>3298</v>
      </c>
      <c r="BT154" t="str">
        <f>HYPERLINK("https%3A%2F%2Fwww.webofscience.com%2Fwos%2Fwoscc%2Ffull-record%2FWOS:000780781300001","View Full Record in Web of Science")</f>
        <v>View Full Record in Web of Science</v>
      </c>
    </row>
    <row r="155" spans="1:72" x14ac:dyDescent="0.25">
      <c r="A155" t="s">
        <v>72</v>
      </c>
      <c r="B155" t="s">
        <v>3299</v>
      </c>
      <c r="C155" t="s">
        <v>74</v>
      </c>
      <c r="D155" t="s">
        <v>74</v>
      </c>
      <c r="E155" t="s">
        <v>74</v>
      </c>
      <c r="F155" t="s">
        <v>3300</v>
      </c>
      <c r="G155" t="s">
        <v>74</v>
      </c>
      <c r="H155" t="s">
        <v>74</v>
      </c>
      <c r="I155" t="s">
        <v>3301</v>
      </c>
      <c r="J155" t="s">
        <v>594</v>
      </c>
      <c r="K155" t="s">
        <v>74</v>
      </c>
      <c r="L155" t="s">
        <v>74</v>
      </c>
      <c r="M155" t="s">
        <v>78</v>
      </c>
      <c r="N155" t="s">
        <v>79</v>
      </c>
      <c r="O155" t="s">
        <v>74</v>
      </c>
      <c r="P155" t="s">
        <v>74</v>
      </c>
      <c r="Q155" t="s">
        <v>74</v>
      </c>
      <c r="R155" t="s">
        <v>74</v>
      </c>
      <c r="S155" t="s">
        <v>74</v>
      </c>
      <c r="T155" t="s">
        <v>3302</v>
      </c>
      <c r="U155" t="s">
        <v>3303</v>
      </c>
      <c r="V155" t="s">
        <v>3304</v>
      </c>
      <c r="W155" t="s">
        <v>3305</v>
      </c>
      <c r="X155" t="s">
        <v>3306</v>
      </c>
      <c r="Y155" t="s">
        <v>3307</v>
      </c>
      <c r="Z155" t="s">
        <v>3308</v>
      </c>
      <c r="AA155" t="s">
        <v>3309</v>
      </c>
      <c r="AB155" t="s">
        <v>74</v>
      </c>
      <c r="AC155" t="s">
        <v>3310</v>
      </c>
      <c r="AD155" t="s">
        <v>2755</v>
      </c>
      <c r="AE155" t="s">
        <v>3311</v>
      </c>
      <c r="AF155" t="s">
        <v>74</v>
      </c>
      <c r="AG155">
        <v>235</v>
      </c>
      <c r="AH155">
        <v>0</v>
      </c>
      <c r="AI155">
        <v>0</v>
      </c>
      <c r="AJ155">
        <v>16</v>
      </c>
      <c r="AK155">
        <v>16</v>
      </c>
      <c r="AL155" t="s">
        <v>274</v>
      </c>
      <c r="AM155" t="s">
        <v>275</v>
      </c>
      <c r="AN155" t="s">
        <v>276</v>
      </c>
      <c r="AO155" t="s">
        <v>74</v>
      </c>
      <c r="AP155" t="s">
        <v>606</v>
      </c>
      <c r="AQ155" t="s">
        <v>74</v>
      </c>
      <c r="AR155" t="s">
        <v>607</v>
      </c>
      <c r="AS155" t="s">
        <v>608</v>
      </c>
      <c r="AT155" t="s">
        <v>3312</v>
      </c>
      <c r="AU155">
        <v>2025</v>
      </c>
      <c r="AV155">
        <v>22</v>
      </c>
      <c r="AW155">
        <v>1</v>
      </c>
      <c r="AX155" t="s">
        <v>74</v>
      </c>
      <c r="AY155" t="s">
        <v>74</v>
      </c>
      <c r="AZ155" t="s">
        <v>74</v>
      </c>
      <c r="BA155" t="s">
        <v>74</v>
      </c>
      <c r="BB155" t="s">
        <v>74</v>
      </c>
      <c r="BC155" t="s">
        <v>74</v>
      </c>
      <c r="BD155">
        <v>79</v>
      </c>
      <c r="BE155" t="s">
        <v>3313</v>
      </c>
      <c r="BF155" t="str">
        <f>HYPERLINK("http://dx.doi.org/10.1186/s12984-025-01605-z","http://dx.doi.org/10.1186/s12984-025-01605-z")</f>
        <v>http://dx.doi.org/10.1186/s12984-025-01605-z</v>
      </c>
      <c r="BG155" t="s">
        <v>74</v>
      </c>
      <c r="BH155" t="s">
        <v>74</v>
      </c>
      <c r="BI155">
        <v>20</v>
      </c>
      <c r="BJ155" t="s">
        <v>611</v>
      </c>
      <c r="BK155" t="s">
        <v>182</v>
      </c>
      <c r="BL155" t="s">
        <v>612</v>
      </c>
      <c r="BM155" t="s">
        <v>3314</v>
      </c>
      <c r="BN155">
        <v>40205472</v>
      </c>
      <c r="BO155" t="s">
        <v>185</v>
      </c>
      <c r="BP155" t="s">
        <v>74</v>
      </c>
      <c r="BQ155" t="s">
        <v>74</v>
      </c>
      <c r="BR155" t="s">
        <v>105</v>
      </c>
      <c r="BS155" t="s">
        <v>3315</v>
      </c>
      <c r="BT155" t="str">
        <f>HYPERLINK("https%3A%2F%2Fwww.webofscience.com%2Fwos%2Fwoscc%2Ffull-record%2FWOS:001462636700001","View Full Record in Web of Science")</f>
        <v>View Full Record in Web of Science</v>
      </c>
    </row>
    <row r="156" spans="1:72" x14ac:dyDescent="0.25">
      <c r="A156" t="s">
        <v>72</v>
      </c>
      <c r="B156" t="s">
        <v>3316</v>
      </c>
      <c r="C156" t="s">
        <v>74</v>
      </c>
      <c r="D156" t="s">
        <v>74</v>
      </c>
      <c r="E156" t="s">
        <v>74</v>
      </c>
      <c r="F156" t="s">
        <v>3317</v>
      </c>
      <c r="G156" t="s">
        <v>74</v>
      </c>
      <c r="H156" t="s">
        <v>74</v>
      </c>
      <c r="I156" t="s">
        <v>3318</v>
      </c>
      <c r="J156" t="s">
        <v>594</v>
      </c>
      <c r="K156" t="s">
        <v>74</v>
      </c>
      <c r="L156" t="s">
        <v>74</v>
      </c>
      <c r="M156" t="s">
        <v>78</v>
      </c>
      <c r="N156" t="s">
        <v>79</v>
      </c>
      <c r="O156" t="s">
        <v>74</v>
      </c>
      <c r="P156" t="s">
        <v>74</v>
      </c>
      <c r="Q156" t="s">
        <v>74</v>
      </c>
      <c r="R156" t="s">
        <v>74</v>
      </c>
      <c r="S156" t="s">
        <v>74</v>
      </c>
      <c r="T156" t="s">
        <v>74</v>
      </c>
      <c r="U156" t="s">
        <v>3319</v>
      </c>
      <c r="V156" t="s">
        <v>3320</v>
      </c>
      <c r="W156" t="s">
        <v>3321</v>
      </c>
      <c r="X156" t="s">
        <v>3322</v>
      </c>
      <c r="Y156" t="s">
        <v>3323</v>
      </c>
      <c r="Z156" t="s">
        <v>3324</v>
      </c>
      <c r="AA156" t="s">
        <v>3325</v>
      </c>
      <c r="AB156" t="s">
        <v>3326</v>
      </c>
      <c r="AC156" t="s">
        <v>3327</v>
      </c>
      <c r="AD156" t="s">
        <v>3328</v>
      </c>
      <c r="AE156" t="s">
        <v>3329</v>
      </c>
      <c r="AF156" t="s">
        <v>74</v>
      </c>
      <c r="AG156">
        <v>200</v>
      </c>
      <c r="AH156">
        <v>374</v>
      </c>
      <c r="AI156">
        <v>443</v>
      </c>
      <c r="AJ156">
        <v>13</v>
      </c>
      <c r="AK156">
        <v>250</v>
      </c>
      <c r="AL156" t="s">
        <v>274</v>
      </c>
      <c r="AM156" t="s">
        <v>275</v>
      </c>
      <c r="AN156" t="s">
        <v>276</v>
      </c>
      <c r="AO156" t="s">
        <v>74</v>
      </c>
      <c r="AP156" t="s">
        <v>606</v>
      </c>
      <c r="AQ156" t="s">
        <v>74</v>
      </c>
      <c r="AR156" t="s">
        <v>607</v>
      </c>
      <c r="AS156" t="s">
        <v>608</v>
      </c>
      <c r="AT156" t="s">
        <v>3330</v>
      </c>
      <c r="AU156">
        <v>2011</v>
      </c>
      <c r="AV156">
        <v>8</v>
      </c>
      <c r="AW156" t="s">
        <v>74</v>
      </c>
      <c r="AX156" t="s">
        <v>74</v>
      </c>
      <c r="AY156" t="s">
        <v>74</v>
      </c>
      <c r="AZ156" t="s">
        <v>74</v>
      </c>
      <c r="BA156" t="s">
        <v>74</v>
      </c>
      <c r="BB156" t="s">
        <v>74</v>
      </c>
      <c r="BC156" t="s">
        <v>74</v>
      </c>
      <c r="BD156">
        <v>66</v>
      </c>
      <c r="BE156" t="s">
        <v>3331</v>
      </c>
      <c r="BF156" t="str">
        <f>HYPERLINK("http://dx.doi.org/10.1186/1743-0003-8-66","http://dx.doi.org/10.1186/1743-0003-8-66")</f>
        <v>http://dx.doi.org/10.1186/1743-0003-8-66</v>
      </c>
      <c r="BG156" t="s">
        <v>74</v>
      </c>
      <c r="BH156" t="s">
        <v>74</v>
      </c>
      <c r="BI156">
        <v>19</v>
      </c>
      <c r="BJ156" t="s">
        <v>611</v>
      </c>
      <c r="BK156" t="s">
        <v>182</v>
      </c>
      <c r="BL156" t="s">
        <v>612</v>
      </c>
      <c r="BM156" t="s">
        <v>3332</v>
      </c>
      <c r="BN156">
        <v>22165907</v>
      </c>
      <c r="BO156" t="s">
        <v>355</v>
      </c>
      <c r="BP156" t="s">
        <v>74</v>
      </c>
      <c r="BQ156" t="s">
        <v>74</v>
      </c>
      <c r="BR156" t="s">
        <v>105</v>
      </c>
      <c r="BS156" t="s">
        <v>3333</v>
      </c>
      <c r="BT156" t="str">
        <f>HYPERLINK("https%3A%2F%2Fwww.webofscience.com%2Fwos%2Fwoscc%2Ffull-record%2FWOS:000299262700001","View Full Record in Web of Science")</f>
        <v>View Full Record in Web of Science</v>
      </c>
    </row>
    <row r="157" spans="1:72" x14ac:dyDescent="0.25">
      <c r="A157" t="s">
        <v>72</v>
      </c>
      <c r="B157" t="s">
        <v>3334</v>
      </c>
      <c r="C157" t="s">
        <v>74</v>
      </c>
      <c r="D157" t="s">
        <v>74</v>
      </c>
      <c r="E157" t="s">
        <v>74</v>
      </c>
      <c r="F157" t="s">
        <v>3335</v>
      </c>
      <c r="G157" t="s">
        <v>74</v>
      </c>
      <c r="H157" t="s">
        <v>74</v>
      </c>
      <c r="I157" t="s">
        <v>3336</v>
      </c>
      <c r="J157" t="s">
        <v>3337</v>
      </c>
      <c r="K157" t="s">
        <v>74</v>
      </c>
      <c r="L157" t="s">
        <v>74</v>
      </c>
      <c r="M157" t="s">
        <v>78</v>
      </c>
      <c r="N157" t="s">
        <v>79</v>
      </c>
      <c r="O157" t="s">
        <v>74</v>
      </c>
      <c r="P157" t="s">
        <v>74</v>
      </c>
      <c r="Q157" t="s">
        <v>74</v>
      </c>
      <c r="R157" t="s">
        <v>74</v>
      </c>
      <c r="S157" t="s">
        <v>74</v>
      </c>
      <c r="T157" t="s">
        <v>3338</v>
      </c>
      <c r="U157" t="s">
        <v>3339</v>
      </c>
      <c r="V157" t="s">
        <v>3340</v>
      </c>
      <c r="W157" t="s">
        <v>3341</v>
      </c>
      <c r="X157" t="s">
        <v>3342</v>
      </c>
      <c r="Y157" t="s">
        <v>3343</v>
      </c>
      <c r="Z157" t="s">
        <v>3344</v>
      </c>
      <c r="AA157" t="s">
        <v>3345</v>
      </c>
      <c r="AB157" t="s">
        <v>3346</v>
      </c>
      <c r="AC157" t="s">
        <v>74</v>
      </c>
      <c r="AD157" t="s">
        <v>74</v>
      </c>
      <c r="AE157" t="s">
        <v>74</v>
      </c>
      <c r="AF157" t="s">
        <v>74</v>
      </c>
      <c r="AG157">
        <v>117</v>
      </c>
      <c r="AH157">
        <v>35</v>
      </c>
      <c r="AI157">
        <v>36</v>
      </c>
      <c r="AJ157">
        <v>7</v>
      </c>
      <c r="AK157">
        <v>42</v>
      </c>
      <c r="AL157" t="s">
        <v>274</v>
      </c>
      <c r="AM157" t="s">
        <v>275</v>
      </c>
      <c r="AN157" t="s">
        <v>276</v>
      </c>
      <c r="AO157" t="s">
        <v>74</v>
      </c>
      <c r="AP157" t="s">
        <v>3347</v>
      </c>
      <c r="AQ157" t="s">
        <v>74</v>
      </c>
      <c r="AR157" t="s">
        <v>3348</v>
      </c>
      <c r="AS157" t="s">
        <v>3349</v>
      </c>
      <c r="AT157" t="s">
        <v>609</v>
      </c>
      <c r="AU157">
        <v>2022</v>
      </c>
      <c r="AV157">
        <v>22</v>
      </c>
      <c r="AW157">
        <v>1</v>
      </c>
      <c r="AX157" t="s">
        <v>74</v>
      </c>
      <c r="AY157" t="s">
        <v>74</v>
      </c>
      <c r="AZ157" t="s">
        <v>74</v>
      </c>
      <c r="BA157" t="s">
        <v>74</v>
      </c>
      <c r="BB157" t="s">
        <v>74</v>
      </c>
      <c r="BC157" t="s">
        <v>74</v>
      </c>
      <c r="BD157">
        <v>523</v>
      </c>
      <c r="BE157" t="s">
        <v>3350</v>
      </c>
      <c r="BF157" t="str">
        <f>HYPERLINK("http://dx.doi.org/10.1186/s12913-022-07821-w","http://dx.doi.org/10.1186/s12913-022-07821-w")</f>
        <v>http://dx.doi.org/10.1186/s12913-022-07821-w</v>
      </c>
      <c r="BG157" t="s">
        <v>74</v>
      </c>
      <c r="BH157" t="s">
        <v>74</v>
      </c>
      <c r="BI157">
        <v>16</v>
      </c>
      <c r="BJ157" t="s">
        <v>423</v>
      </c>
      <c r="BK157" t="s">
        <v>102</v>
      </c>
      <c r="BL157" t="s">
        <v>423</v>
      </c>
      <c r="BM157" t="s">
        <v>3351</v>
      </c>
      <c r="BN157">
        <v>35443710</v>
      </c>
      <c r="BO157" t="s">
        <v>131</v>
      </c>
      <c r="BP157" t="s">
        <v>74</v>
      </c>
      <c r="BQ157" t="s">
        <v>74</v>
      </c>
      <c r="BR157" t="s">
        <v>105</v>
      </c>
      <c r="BS157" t="s">
        <v>3352</v>
      </c>
      <c r="BT157" t="str">
        <f>HYPERLINK("https%3A%2F%2Fwww.webofscience.com%2Fwos%2Fwoscc%2Ffull-record%2FWOS:000784137100004","View Full Record in Web of Science")</f>
        <v>View Full Record in Web of Science</v>
      </c>
    </row>
    <row r="158" spans="1:72" x14ac:dyDescent="0.25">
      <c r="A158" t="s">
        <v>72</v>
      </c>
      <c r="B158" t="s">
        <v>3353</v>
      </c>
      <c r="C158" t="s">
        <v>74</v>
      </c>
      <c r="D158" t="s">
        <v>74</v>
      </c>
      <c r="E158" t="s">
        <v>74</v>
      </c>
      <c r="F158" t="s">
        <v>3354</v>
      </c>
      <c r="G158" t="s">
        <v>74</v>
      </c>
      <c r="H158" t="s">
        <v>74</v>
      </c>
      <c r="I158" t="s">
        <v>3355</v>
      </c>
      <c r="J158" t="s">
        <v>110</v>
      </c>
      <c r="K158" t="s">
        <v>74</v>
      </c>
      <c r="L158" t="s">
        <v>74</v>
      </c>
      <c r="M158" t="s">
        <v>78</v>
      </c>
      <c r="N158" t="s">
        <v>79</v>
      </c>
      <c r="O158" t="s">
        <v>74</v>
      </c>
      <c r="P158" t="s">
        <v>74</v>
      </c>
      <c r="Q158" t="s">
        <v>74</v>
      </c>
      <c r="R158" t="s">
        <v>74</v>
      </c>
      <c r="S158" t="s">
        <v>74</v>
      </c>
      <c r="T158" t="s">
        <v>3356</v>
      </c>
      <c r="U158" t="s">
        <v>3357</v>
      </c>
      <c r="V158" t="s">
        <v>3358</v>
      </c>
      <c r="W158" t="s">
        <v>3359</v>
      </c>
      <c r="X158" t="s">
        <v>3360</v>
      </c>
      <c r="Y158" t="s">
        <v>3361</v>
      </c>
      <c r="Z158" t="s">
        <v>3362</v>
      </c>
      <c r="AA158" t="s">
        <v>74</v>
      </c>
      <c r="AB158" t="s">
        <v>3363</v>
      </c>
      <c r="AC158" t="s">
        <v>3364</v>
      </c>
      <c r="AD158" t="s">
        <v>3365</v>
      </c>
      <c r="AE158" t="s">
        <v>3366</v>
      </c>
      <c r="AF158" t="s">
        <v>74</v>
      </c>
      <c r="AG158">
        <v>82</v>
      </c>
      <c r="AH158">
        <v>1</v>
      </c>
      <c r="AI158">
        <v>1</v>
      </c>
      <c r="AJ158">
        <v>3</v>
      </c>
      <c r="AK158">
        <v>6</v>
      </c>
      <c r="AL158" t="s">
        <v>120</v>
      </c>
      <c r="AM158" t="s">
        <v>121</v>
      </c>
      <c r="AN158" t="s">
        <v>1221</v>
      </c>
      <c r="AO158" t="s">
        <v>74</v>
      </c>
      <c r="AP158" t="s">
        <v>123</v>
      </c>
      <c r="AQ158" t="s">
        <v>74</v>
      </c>
      <c r="AR158" t="s">
        <v>124</v>
      </c>
      <c r="AS158" t="s">
        <v>125</v>
      </c>
      <c r="AT158" t="s">
        <v>126</v>
      </c>
      <c r="AU158">
        <v>2024</v>
      </c>
      <c r="AV158">
        <v>13</v>
      </c>
      <c r="AW158">
        <v>21</v>
      </c>
      <c r="AX158" t="s">
        <v>74</v>
      </c>
      <c r="AY158" t="s">
        <v>74</v>
      </c>
      <c r="AZ158" t="s">
        <v>74</v>
      </c>
      <c r="BA158" t="s">
        <v>74</v>
      </c>
      <c r="BB158" t="s">
        <v>74</v>
      </c>
      <c r="BC158" t="s">
        <v>74</v>
      </c>
      <c r="BD158">
        <v>6616</v>
      </c>
      <c r="BE158" t="s">
        <v>3367</v>
      </c>
      <c r="BF158" t="str">
        <f>HYPERLINK("http://dx.doi.org/10.3390/jcm13216616","http://dx.doi.org/10.3390/jcm13216616")</f>
        <v>http://dx.doi.org/10.3390/jcm13216616</v>
      </c>
      <c r="BG158" t="s">
        <v>74</v>
      </c>
      <c r="BH158" t="s">
        <v>74</v>
      </c>
      <c r="BI158">
        <v>28</v>
      </c>
      <c r="BJ158" t="s">
        <v>128</v>
      </c>
      <c r="BK158" t="s">
        <v>182</v>
      </c>
      <c r="BL158" t="s">
        <v>129</v>
      </c>
      <c r="BM158" t="s">
        <v>3368</v>
      </c>
      <c r="BN158">
        <v>39518755</v>
      </c>
      <c r="BO158" t="s">
        <v>185</v>
      </c>
      <c r="BP158" t="s">
        <v>74</v>
      </c>
      <c r="BQ158" t="s">
        <v>74</v>
      </c>
      <c r="BR158" t="s">
        <v>105</v>
      </c>
      <c r="BS158" t="s">
        <v>3369</v>
      </c>
      <c r="BT158" t="str">
        <f>HYPERLINK("https%3A%2F%2Fwww.webofscience.com%2Fwos%2Fwoscc%2Ffull-record%2FWOS:001351367100001","View Full Record in Web of Science")</f>
        <v>View Full Record in Web of Science</v>
      </c>
    </row>
    <row r="159" spans="1:72" x14ac:dyDescent="0.25">
      <c r="A159" t="s">
        <v>72</v>
      </c>
      <c r="B159" t="s">
        <v>3370</v>
      </c>
      <c r="C159" t="s">
        <v>74</v>
      </c>
      <c r="D159" t="s">
        <v>74</v>
      </c>
      <c r="E159" t="s">
        <v>74</v>
      </c>
      <c r="F159" t="s">
        <v>3371</v>
      </c>
      <c r="G159" t="s">
        <v>74</v>
      </c>
      <c r="H159" t="s">
        <v>74</v>
      </c>
      <c r="I159" t="s">
        <v>3372</v>
      </c>
      <c r="J159" t="s">
        <v>3373</v>
      </c>
      <c r="K159" t="s">
        <v>74</v>
      </c>
      <c r="L159" t="s">
        <v>74</v>
      </c>
      <c r="M159" t="s">
        <v>78</v>
      </c>
      <c r="N159" t="s">
        <v>79</v>
      </c>
      <c r="O159" t="s">
        <v>74</v>
      </c>
      <c r="P159" t="s">
        <v>74</v>
      </c>
      <c r="Q159" t="s">
        <v>74</v>
      </c>
      <c r="R159" t="s">
        <v>74</v>
      </c>
      <c r="S159" t="s">
        <v>74</v>
      </c>
      <c r="T159" t="s">
        <v>3374</v>
      </c>
      <c r="U159" t="s">
        <v>3375</v>
      </c>
      <c r="V159" t="s">
        <v>3376</v>
      </c>
      <c r="W159" t="s">
        <v>3377</v>
      </c>
      <c r="X159" t="s">
        <v>74</v>
      </c>
      <c r="Y159" t="s">
        <v>3378</v>
      </c>
      <c r="Z159" t="s">
        <v>3379</v>
      </c>
      <c r="AA159" t="s">
        <v>3380</v>
      </c>
      <c r="AB159" t="s">
        <v>3381</v>
      </c>
      <c r="AC159" t="s">
        <v>74</v>
      </c>
      <c r="AD159" t="s">
        <v>74</v>
      </c>
      <c r="AE159" t="s">
        <v>74</v>
      </c>
      <c r="AF159" t="s">
        <v>74</v>
      </c>
      <c r="AG159">
        <v>37</v>
      </c>
      <c r="AH159">
        <v>2</v>
      </c>
      <c r="AI159">
        <v>3</v>
      </c>
      <c r="AJ159">
        <v>1</v>
      </c>
      <c r="AK159">
        <v>2</v>
      </c>
      <c r="AL159" t="s">
        <v>996</v>
      </c>
      <c r="AM159" t="s">
        <v>275</v>
      </c>
      <c r="AN159" t="s">
        <v>997</v>
      </c>
      <c r="AO159" t="s">
        <v>3382</v>
      </c>
      <c r="AP159" t="s">
        <v>3383</v>
      </c>
      <c r="AQ159" t="s">
        <v>74</v>
      </c>
      <c r="AR159" t="s">
        <v>3384</v>
      </c>
      <c r="AS159" t="s">
        <v>3385</v>
      </c>
      <c r="AT159" t="s">
        <v>326</v>
      </c>
      <c r="AU159">
        <v>2024</v>
      </c>
      <c r="AV159">
        <v>34</v>
      </c>
      <c r="AW159">
        <v>4</v>
      </c>
      <c r="AX159" t="s">
        <v>74</v>
      </c>
      <c r="AY159" t="s">
        <v>74</v>
      </c>
      <c r="AZ159" t="s">
        <v>74</v>
      </c>
      <c r="BA159" t="s">
        <v>74</v>
      </c>
      <c r="BB159">
        <v>1741</v>
      </c>
      <c r="BC159">
        <v>1748</v>
      </c>
      <c r="BD159" t="s">
        <v>74</v>
      </c>
      <c r="BE159" t="s">
        <v>3386</v>
      </c>
      <c r="BF159" t="str">
        <f>HYPERLINK("http://dx.doi.org/10.1007/s00590-024-03876-z","http://dx.doi.org/10.1007/s00590-024-03876-z")</f>
        <v>http://dx.doi.org/10.1007/s00590-024-03876-z</v>
      </c>
      <c r="BG159" t="s">
        <v>74</v>
      </c>
      <c r="BH159" t="s">
        <v>3387</v>
      </c>
      <c r="BI159">
        <v>8</v>
      </c>
      <c r="BJ159" t="s">
        <v>3388</v>
      </c>
      <c r="BK159" t="s">
        <v>155</v>
      </c>
      <c r="BL159" t="s">
        <v>3388</v>
      </c>
      <c r="BM159" t="s">
        <v>3389</v>
      </c>
      <c r="BN159">
        <v>38461457</v>
      </c>
      <c r="BO159" t="s">
        <v>74</v>
      </c>
      <c r="BP159" t="s">
        <v>74</v>
      </c>
      <c r="BQ159" t="s">
        <v>74</v>
      </c>
      <c r="BR159" t="s">
        <v>105</v>
      </c>
      <c r="BS159" t="s">
        <v>3390</v>
      </c>
      <c r="BT159" t="str">
        <f>HYPERLINK("https%3A%2F%2Fwww.webofscience.com%2Fwos%2Fwoscc%2Ffull-record%2FWOS:001179102600001","View Full Record in Web of Science")</f>
        <v>View Full Record in Web of Science</v>
      </c>
    </row>
    <row r="160" spans="1:72" x14ac:dyDescent="0.25">
      <c r="A160" t="s">
        <v>72</v>
      </c>
      <c r="B160" t="s">
        <v>3391</v>
      </c>
      <c r="C160" t="s">
        <v>74</v>
      </c>
      <c r="D160" t="s">
        <v>74</v>
      </c>
      <c r="E160" t="s">
        <v>74</v>
      </c>
      <c r="F160" t="s">
        <v>3392</v>
      </c>
      <c r="G160" t="s">
        <v>74</v>
      </c>
      <c r="H160" t="s">
        <v>74</v>
      </c>
      <c r="I160" t="s">
        <v>3393</v>
      </c>
      <c r="J160" t="s">
        <v>2136</v>
      </c>
      <c r="K160" t="s">
        <v>74</v>
      </c>
      <c r="L160" t="s">
        <v>74</v>
      </c>
      <c r="M160" t="s">
        <v>78</v>
      </c>
      <c r="N160" t="s">
        <v>79</v>
      </c>
      <c r="O160" t="s">
        <v>74</v>
      </c>
      <c r="P160" t="s">
        <v>74</v>
      </c>
      <c r="Q160" t="s">
        <v>74</v>
      </c>
      <c r="R160" t="s">
        <v>74</v>
      </c>
      <c r="S160" t="s">
        <v>74</v>
      </c>
      <c r="T160" t="s">
        <v>74</v>
      </c>
      <c r="U160" t="s">
        <v>3394</v>
      </c>
      <c r="V160" t="s">
        <v>3395</v>
      </c>
      <c r="W160" t="s">
        <v>3396</v>
      </c>
      <c r="X160" t="s">
        <v>3397</v>
      </c>
      <c r="Y160" t="s">
        <v>3398</v>
      </c>
      <c r="Z160" t="s">
        <v>3399</v>
      </c>
      <c r="AA160" t="s">
        <v>3400</v>
      </c>
      <c r="AB160" t="s">
        <v>74</v>
      </c>
      <c r="AC160" t="s">
        <v>74</v>
      </c>
      <c r="AD160" t="s">
        <v>74</v>
      </c>
      <c r="AE160" t="s">
        <v>74</v>
      </c>
      <c r="AF160" t="s">
        <v>74</v>
      </c>
      <c r="AG160">
        <v>65</v>
      </c>
      <c r="AH160">
        <v>118</v>
      </c>
      <c r="AI160">
        <v>130</v>
      </c>
      <c r="AJ160">
        <v>6</v>
      </c>
      <c r="AK160">
        <v>83</v>
      </c>
      <c r="AL160" t="s">
        <v>297</v>
      </c>
      <c r="AM160" t="s">
        <v>298</v>
      </c>
      <c r="AN160" t="s">
        <v>299</v>
      </c>
      <c r="AO160" t="s">
        <v>2147</v>
      </c>
      <c r="AP160" t="s">
        <v>2148</v>
      </c>
      <c r="AQ160" t="s">
        <v>74</v>
      </c>
      <c r="AR160" t="s">
        <v>2136</v>
      </c>
      <c r="AS160" t="s">
        <v>2136</v>
      </c>
      <c r="AT160" t="s">
        <v>538</v>
      </c>
      <c r="AU160">
        <v>2017</v>
      </c>
      <c r="AV160">
        <v>9</v>
      </c>
      <c r="AW160">
        <v>1</v>
      </c>
      <c r="AX160" t="s">
        <v>74</v>
      </c>
      <c r="AY160" t="s">
        <v>74</v>
      </c>
      <c r="AZ160" t="s">
        <v>74</v>
      </c>
      <c r="BA160" t="s">
        <v>74</v>
      </c>
      <c r="BB160">
        <v>46</v>
      </c>
      <c r="BC160">
        <v>62</v>
      </c>
      <c r="BD160" t="s">
        <v>74</v>
      </c>
      <c r="BE160" t="s">
        <v>3401</v>
      </c>
      <c r="BF160" t="str">
        <f>HYPERLINK("http://dx.doi.org/10.1016/j.pmrj.2016.07.534","http://dx.doi.org/10.1016/j.pmrj.2016.07.534")</f>
        <v>http://dx.doi.org/10.1016/j.pmrj.2016.07.534</v>
      </c>
      <c r="BG160" t="s">
        <v>74</v>
      </c>
      <c r="BH160" t="s">
        <v>74</v>
      </c>
      <c r="BI160">
        <v>17</v>
      </c>
      <c r="BJ160" t="s">
        <v>236</v>
      </c>
      <c r="BK160" t="s">
        <v>182</v>
      </c>
      <c r="BL160" t="s">
        <v>236</v>
      </c>
      <c r="BM160" t="s">
        <v>3402</v>
      </c>
      <c r="BN160">
        <v>27565639</v>
      </c>
      <c r="BO160" t="s">
        <v>74</v>
      </c>
      <c r="BP160" t="s">
        <v>74</v>
      </c>
      <c r="BQ160" t="s">
        <v>74</v>
      </c>
      <c r="BR160" t="s">
        <v>105</v>
      </c>
      <c r="BS160" t="s">
        <v>3403</v>
      </c>
      <c r="BT160" t="str">
        <f>HYPERLINK("https%3A%2F%2Fwww.webofscience.com%2Fwos%2Fwoscc%2Ffull-record%2FWOS:000392464200008","View Full Record in Web of Science")</f>
        <v>View Full Record in Web of Science</v>
      </c>
    </row>
    <row r="161" spans="1:72" x14ac:dyDescent="0.25">
      <c r="A161" t="s">
        <v>72</v>
      </c>
      <c r="B161" t="s">
        <v>3404</v>
      </c>
      <c r="C161" t="s">
        <v>74</v>
      </c>
      <c r="D161" t="s">
        <v>74</v>
      </c>
      <c r="E161" t="s">
        <v>74</v>
      </c>
      <c r="F161" t="s">
        <v>3405</v>
      </c>
      <c r="G161" t="s">
        <v>74</v>
      </c>
      <c r="H161" t="s">
        <v>74</v>
      </c>
      <c r="I161" t="s">
        <v>3406</v>
      </c>
      <c r="J161" t="s">
        <v>594</v>
      </c>
      <c r="K161" t="s">
        <v>74</v>
      </c>
      <c r="L161" t="s">
        <v>74</v>
      </c>
      <c r="M161" t="s">
        <v>78</v>
      </c>
      <c r="N161" t="s">
        <v>79</v>
      </c>
      <c r="O161" t="s">
        <v>74</v>
      </c>
      <c r="P161" t="s">
        <v>74</v>
      </c>
      <c r="Q161" t="s">
        <v>74</v>
      </c>
      <c r="R161" t="s">
        <v>74</v>
      </c>
      <c r="S161" t="s">
        <v>74</v>
      </c>
      <c r="T161" t="s">
        <v>3407</v>
      </c>
      <c r="U161" t="s">
        <v>3408</v>
      </c>
      <c r="V161" t="s">
        <v>3409</v>
      </c>
      <c r="W161" t="s">
        <v>3410</v>
      </c>
      <c r="X161" t="s">
        <v>3411</v>
      </c>
      <c r="Y161" t="s">
        <v>3412</v>
      </c>
      <c r="Z161" t="s">
        <v>3413</v>
      </c>
      <c r="AA161" t="s">
        <v>3414</v>
      </c>
      <c r="AB161" t="s">
        <v>3415</v>
      </c>
      <c r="AC161" t="s">
        <v>3416</v>
      </c>
      <c r="AD161" t="s">
        <v>3417</v>
      </c>
      <c r="AE161" t="s">
        <v>3418</v>
      </c>
      <c r="AF161" t="s">
        <v>74</v>
      </c>
      <c r="AG161">
        <v>78</v>
      </c>
      <c r="AH161">
        <v>44</v>
      </c>
      <c r="AI161">
        <v>46</v>
      </c>
      <c r="AJ161">
        <v>3</v>
      </c>
      <c r="AK161">
        <v>31</v>
      </c>
      <c r="AL161" t="s">
        <v>274</v>
      </c>
      <c r="AM161" t="s">
        <v>275</v>
      </c>
      <c r="AN161" t="s">
        <v>276</v>
      </c>
      <c r="AO161" t="s">
        <v>74</v>
      </c>
      <c r="AP161" t="s">
        <v>606</v>
      </c>
      <c r="AQ161" t="s">
        <v>74</v>
      </c>
      <c r="AR161" t="s">
        <v>607</v>
      </c>
      <c r="AS161" t="s">
        <v>608</v>
      </c>
      <c r="AT161" t="s">
        <v>3419</v>
      </c>
      <c r="AU161">
        <v>2018</v>
      </c>
      <c r="AV161">
        <v>15</v>
      </c>
      <c r="AW161" t="s">
        <v>74</v>
      </c>
      <c r="AX161" t="s">
        <v>74</v>
      </c>
      <c r="AY161" t="s">
        <v>74</v>
      </c>
      <c r="AZ161" t="s">
        <v>74</v>
      </c>
      <c r="BA161" t="s">
        <v>74</v>
      </c>
      <c r="BB161" t="s">
        <v>74</v>
      </c>
      <c r="BC161" t="s">
        <v>74</v>
      </c>
      <c r="BD161">
        <v>107</v>
      </c>
      <c r="BE161" t="s">
        <v>3420</v>
      </c>
      <c r="BF161" t="str">
        <f>HYPERLINK("http://dx.doi.org/10.1186/s12984-018-0449-9","http://dx.doi.org/10.1186/s12984-018-0449-9")</f>
        <v>http://dx.doi.org/10.1186/s12984-018-0449-9</v>
      </c>
      <c r="BG161" t="s">
        <v>74</v>
      </c>
      <c r="BH161" t="s">
        <v>74</v>
      </c>
      <c r="BI161">
        <v>19</v>
      </c>
      <c r="BJ161" t="s">
        <v>611</v>
      </c>
      <c r="BK161" t="s">
        <v>102</v>
      </c>
      <c r="BL161" t="s">
        <v>612</v>
      </c>
      <c r="BM161" t="s">
        <v>3421</v>
      </c>
      <c r="BN161">
        <v>30454009</v>
      </c>
      <c r="BO161" t="s">
        <v>131</v>
      </c>
      <c r="BP161" t="s">
        <v>74</v>
      </c>
      <c r="BQ161" t="s">
        <v>74</v>
      </c>
      <c r="BR161" t="s">
        <v>105</v>
      </c>
      <c r="BS161" t="s">
        <v>3422</v>
      </c>
      <c r="BT161" t="str">
        <f>HYPERLINK("https%3A%2F%2Fwww.webofscience.com%2Fwos%2Fwoscc%2Ffull-record%2FWOS:000451210400001","View Full Record in Web of Science")</f>
        <v>View Full Record in Web of Science</v>
      </c>
    </row>
    <row r="162" spans="1:72" x14ac:dyDescent="0.25">
      <c r="A162" t="s">
        <v>72</v>
      </c>
      <c r="B162" t="s">
        <v>3423</v>
      </c>
      <c r="C162" t="s">
        <v>74</v>
      </c>
      <c r="D162" t="s">
        <v>74</v>
      </c>
      <c r="E162" t="s">
        <v>74</v>
      </c>
      <c r="F162" t="s">
        <v>3424</v>
      </c>
      <c r="G162" t="s">
        <v>74</v>
      </c>
      <c r="H162" t="s">
        <v>74</v>
      </c>
      <c r="I162" t="s">
        <v>3425</v>
      </c>
      <c r="J162" t="s">
        <v>594</v>
      </c>
      <c r="K162" t="s">
        <v>74</v>
      </c>
      <c r="L162" t="s">
        <v>74</v>
      </c>
      <c r="M162" t="s">
        <v>78</v>
      </c>
      <c r="N162" t="s">
        <v>79</v>
      </c>
      <c r="O162" t="s">
        <v>74</v>
      </c>
      <c r="P162" t="s">
        <v>74</v>
      </c>
      <c r="Q162" t="s">
        <v>74</v>
      </c>
      <c r="R162" t="s">
        <v>74</v>
      </c>
      <c r="S162" t="s">
        <v>74</v>
      </c>
      <c r="T162" t="s">
        <v>3426</v>
      </c>
      <c r="U162" t="s">
        <v>3427</v>
      </c>
      <c r="V162" t="s">
        <v>3428</v>
      </c>
      <c r="W162" t="s">
        <v>3429</v>
      </c>
      <c r="X162" t="s">
        <v>3430</v>
      </c>
      <c r="Y162" t="s">
        <v>3431</v>
      </c>
      <c r="Z162" t="s">
        <v>3432</v>
      </c>
      <c r="AA162" t="s">
        <v>3433</v>
      </c>
      <c r="AB162" t="s">
        <v>3434</v>
      </c>
      <c r="AC162" t="s">
        <v>3435</v>
      </c>
      <c r="AD162" t="s">
        <v>3436</v>
      </c>
      <c r="AE162" t="s">
        <v>3437</v>
      </c>
      <c r="AF162" t="s">
        <v>74</v>
      </c>
      <c r="AG162">
        <v>118</v>
      </c>
      <c r="AH162">
        <v>275</v>
      </c>
      <c r="AI162">
        <v>304</v>
      </c>
      <c r="AJ162">
        <v>1</v>
      </c>
      <c r="AK162">
        <v>153</v>
      </c>
      <c r="AL162" t="s">
        <v>274</v>
      </c>
      <c r="AM162" t="s">
        <v>275</v>
      </c>
      <c r="AN162" t="s">
        <v>276</v>
      </c>
      <c r="AO162" t="s">
        <v>74</v>
      </c>
      <c r="AP162" t="s">
        <v>606</v>
      </c>
      <c r="AQ162" t="s">
        <v>74</v>
      </c>
      <c r="AR162" t="s">
        <v>607</v>
      </c>
      <c r="AS162" t="s">
        <v>608</v>
      </c>
      <c r="AT162" t="s">
        <v>3438</v>
      </c>
      <c r="AU162">
        <v>2014</v>
      </c>
      <c r="AV162">
        <v>11</v>
      </c>
      <c r="AW162" t="s">
        <v>74</v>
      </c>
      <c r="AX162" t="s">
        <v>74</v>
      </c>
      <c r="AY162" t="s">
        <v>74</v>
      </c>
      <c r="AZ162" t="s">
        <v>74</v>
      </c>
      <c r="BA162" t="s">
        <v>74</v>
      </c>
      <c r="BB162" t="s">
        <v>74</v>
      </c>
      <c r="BC162" t="s">
        <v>74</v>
      </c>
      <c r="BD162">
        <v>111</v>
      </c>
      <c r="BE162" t="s">
        <v>3439</v>
      </c>
      <c r="BF162" t="str">
        <f>HYPERLINK("http://dx.doi.org/10.1186/1743-0003-11-111","http://dx.doi.org/10.1186/1743-0003-11-111")</f>
        <v>http://dx.doi.org/10.1186/1743-0003-11-111</v>
      </c>
      <c r="BG162" t="s">
        <v>74</v>
      </c>
      <c r="BH162" t="s">
        <v>74</v>
      </c>
      <c r="BI162">
        <v>15</v>
      </c>
      <c r="BJ162" t="s">
        <v>611</v>
      </c>
      <c r="BK162" t="s">
        <v>182</v>
      </c>
      <c r="BL162" t="s">
        <v>612</v>
      </c>
      <c r="BM162" t="s">
        <v>3440</v>
      </c>
      <c r="BN162">
        <v>25012864</v>
      </c>
      <c r="BO162" t="s">
        <v>355</v>
      </c>
      <c r="BP162" t="s">
        <v>74</v>
      </c>
      <c r="BQ162" t="s">
        <v>74</v>
      </c>
      <c r="BR162" t="s">
        <v>105</v>
      </c>
      <c r="BS162" t="s">
        <v>3441</v>
      </c>
      <c r="BT162" t="str">
        <f>HYPERLINK("https%3A%2F%2Fwww.webofscience.com%2Fwos%2Fwoscc%2Ffull-record%2FWOS:000339574600001","View Full Record in Web of Science")</f>
        <v>View Full Record in Web of Science</v>
      </c>
    </row>
    <row r="163" spans="1:72" x14ac:dyDescent="0.25">
      <c r="A163" t="s">
        <v>72</v>
      </c>
      <c r="B163" t="s">
        <v>3442</v>
      </c>
      <c r="C163" t="s">
        <v>74</v>
      </c>
      <c r="D163" t="s">
        <v>74</v>
      </c>
      <c r="E163" t="s">
        <v>74</v>
      </c>
      <c r="F163" t="s">
        <v>3443</v>
      </c>
      <c r="G163" t="s">
        <v>74</v>
      </c>
      <c r="H163" t="s">
        <v>74</v>
      </c>
      <c r="I163" t="s">
        <v>3444</v>
      </c>
      <c r="J163" t="s">
        <v>3445</v>
      </c>
      <c r="K163" t="s">
        <v>74</v>
      </c>
      <c r="L163" t="s">
        <v>74</v>
      </c>
      <c r="M163" t="s">
        <v>78</v>
      </c>
      <c r="N163" t="s">
        <v>79</v>
      </c>
      <c r="O163" t="s">
        <v>74</v>
      </c>
      <c r="P163" t="s">
        <v>74</v>
      </c>
      <c r="Q163" t="s">
        <v>74</v>
      </c>
      <c r="R163" t="s">
        <v>74</v>
      </c>
      <c r="S163" t="s">
        <v>74</v>
      </c>
      <c r="T163" t="s">
        <v>3446</v>
      </c>
      <c r="U163" t="s">
        <v>3447</v>
      </c>
      <c r="V163" t="s">
        <v>3448</v>
      </c>
      <c r="W163" t="s">
        <v>3449</v>
      </c>
      <c r="X163" t="s">
        <v>3450</v>
      </c>
      <c r="Y163" t="s">
        <v>3451</v>
      </c>
      <c r="Z163" t="s">
        <v>3452</v>
      </c>
      <c r="AA163" t="s">
        <v>3453</v>
      </c>
      <c r="AB163" t="s">
        <v>74</v>
      </c>
      <c r="AC163" t="s">
        <v>3454</v>
      </c>
      <c r="AD163" t="s">
        <v>3454</v>
      </c>
      <c r="AE163" t="s">
        <v>3455</v>
      </c>
      <c r="AF163" t="s">
        <v>74</v>
      </c>
      <c r="AG163">
        <v>265</v>
      </c>
      <c r="AH163">
        <v>0</v>
      </c>
      <c r="AI163">
        <v>0</v>
      </c>
      <c r="AJ163">
        <v>0</v>
      </c>
      <c r="AK163">
        <v>0</v>
      </c>
      <c r="AL163" t="s">
        <v>3456</v>
      </c>
      <c r="AM163" t="s">
        <v>3457</v>
      </c>
      <c r="AN163" t="s">
        <v>3458</v>
      </c>
      <c r="AO163" t="s">
        <v>3459</v>
      </c>
      <c r="AP163" t="s">
        <v>74</v>
      </c>
      <c r="AQ163" t="s">
        <v>74</v>
      </c>
      <c r="AR163" t="s">
        <v>3460</v>
      </c>
      <c r="AS163" t="s">
        <v>3461</v>
      </c>
      <c r="AT163" t="s">
        <v>74</v>
      </c>
      <c r="AU163">
        <v>2025</v>
      </c>
      <c r="AV163">
        <v>16</v>
      </c>
      <c r="AW163" t="s">
        <v>74</v>
      </c>
      <c r="AX163" t="s">
        <v>74</v>
      </c>
      <c r="AY163" t="s">
        <v>74</v>
      </c>
      <c r="AZ163" t="s">
        <v>74</v>
      </c>
      <c r="BA163" t="s">
        <v>74</v>
      </c>
      <c r="BB163">
        <v>67</v>
      </c>
      <c r="BC163">
        <v>93</v>
      </c>
      <c r="BD163" t="s">
        <v>74</v>
      </c>
      <c r="BE163" t="s">
        <v>3462</v>
      </c>
      <c r="BF163" t="str">
        <f>HYPERLINK("http://dx.doi.org/10.2147/POR.S396198","http://dx.doi.org/10.2147/POR.S396198")</f>
        <v>http://dx.doi.org/10.2147/POR.S396198</v>
      </c>
      <c r="BG163" t="s">
        <v>74</v>
      </c>
      <c r="BH163" t="s">
        <v>74</v>
      </c>
      <c r="BI163">
        <v>27</v>
      </c>
      <c r="BJ163" t="s">
        <v>128</v>
      </c>
      <c r="BK163" t="s">
        <v>155</v>
      </c>
      <c r="BL163" t="s">
        <v>129</v>
      </c>
      <c r="BM163" t="s">
        <v>3463</v>
      </c>
      <c r="BN163">
        <v>40125472</v>
      </c>
      <c r="BO163" t="s">
        <v>185</v>
      </c>
      <c r="BP163" t="s">
        <v>74</v>
      </c>
      <c r="BQ163" t="s">
        <v>74</v>
      </c>
      <c r="BR163" t="s">
        <v>105</v>
      </c>
      <c r="BS163" t="s">
        <v>3464</v>
      </c>
      <c r="BT163" t="str">
        <f>HYPERLINK("https%3A%2F%2Fwww.webofscience.com%2Fwos%2Fwoscc%2Ffull-record%2FWOS:001447606500001","View Full Record in Web of Science")</f>
        <v>View Full Record in Web of Science</v>
      </c>
    </row>
    <row r="164" spans="1:72" x14ac:dyDescent="0.25">
      <c r="A164" t="s">
        <v>72</v>
      </c>
      <c r="B164" t="s">
        <v>3465</v>
      </c>
      <c r="C164" t="s">
        <v>74</v>
      </c>
      <c r="D164" t="s">
        <v>74</v>
      </c>
      <c r="E164" t="s">
        <v>74</v>
      </c>
      <c r="F164" t="s">
        <v>3466</v>
      </c>
      <c r="G164" t="s">
        <v>74</v>
      </c>
      <c r="H164" t="s">
        <v>74</v>
      </c>
      <c r="I164" t="s">
        <v>3467</v>
      </c>
      <c r="J164" t="s">
        <v>3468</v>
      </c>
      <c r="K164" t="s">
        <v>74</v>
      </c>
      <c r="L164" t="s">
        <v>74</v>
      </c>
      <c r="M164" t="s">
        <v>78</v>
      </c>
      <c r="N164" t="s">
        <v>79</v>
      </c>
      <c r="O164" t="s">
        <v>74</v>
      </c>
      <c r="P164" t="s">
        <v>74</v>
      </c>
      <c r="Q164" t="s">
        <v>74</v>
      </c>
      <c r="R164" t="s">
        <v>74</v>
      </c>
      <c r="S164" t="s">
        <v>74</v>
      </c>
      <c r="T164" t="s">
        <v>3469</v>
      </c>
      <c r="U164" t="s">
        <v>3470</v>
      </c>
      <c r="V164" t="s">
        <v>3471</v>
      </c>
      <c r="W164" t="s">
        <v>3472</v>
      </c>
      <c r="X164" t="s">
        <v>3473</v>
      </c>
      <c r="Y164" t="s">
        <v>3474</v>
      </c>
      <c r="Z164" t="s">
        <v>3475</v>
      </c>
      <c r="AA164" t="s">
        <v>74</v>
      </c>
      <c r="AB164" t="s">
        <v>74</v>
      </c>
      <c r="AC164" t="s">
        <v>3476</v>
      </c>
      <c r="AD164" t="s">
        <v>3477</v>
      </c>
      <c r="AE164" t="s">
        <v>3478</v>
      </c>
      <c r="AF164" t="s">
        <v>74</v>
      </c>
      <c r="AG164">
        <v>96</v>
      </c>
      <c r="AH164">
        <v>6</v>
      </c>
      <c r="AI164">
        <v>6</v>
      </c>
      <c r="AJ164">
        <v>1</v>
      </c>
      <c r="AK164">
        <v>19</v>
      </c>
      <c r="AL164" t="s">
        <v>531</v>
      </c>
      <c r="AM164" t="s">
        <v>2343</v>
      </c>
      <c r="AN164" t="s">
        <v>2344</v>
      </c>
      <c r="AO164" t="s">
        <v>3479</v>
      </c>
      <c r="AP164" t="s">
        <v>3480</v>
      </c>
      <c r="AQ164" t="s">
        <v>74</v>
      </c>
      <c r="AR164" t="s">
        <v>3481</v>
      </c>
      <c r="AS164" t="s">
        <v>3482</v>
      </c>
      <c r="AT164" t="s">
        <v>487</v>
      </c>
      <c r="AU164">
        <v>2022</v>
      </c>
      <c r="AV164">
        <v>94</v>
      </c>
      <c r="AW164" t="s">
        <v>74</v>
      </c>
      <c r="AX164" t="s">
        <v>74</v>
      </c>
      <c r="AY164" t="s">
        <v>74</v>
      </c>
      <c r="AZ164" t="s">
        <v>74</v>
      </c>
      <c r="BA164" t="s">
        <v>74</v>
      </c>
      <c r="BB164" t="s">
        <v>74</v>
      </c>
      <c r="BC164" t="s">
        <v>74</v>
      </c>
      <c r="BD164">
        <v>105629</v>
      </c>
      <c r="BE164" t="s">
        <v>3483</v>
      </c>
      <c r="BF164" t="str">
        <f>HYPERLINK("http://dx.doi.org/10.1016/j.clinbiomech.2022.105629","http://dx.doi.org/10.1016/j.clinbiomech.2022.105629")</f>
        <v>http://dx.doi.org/10.1016/j.clinbiomech.2022.105629</v>
      </c>
      <c r="BG164" t="s">
        <v>74</v>
      </c>
      <c r="BH164" t="s">
        <v>3296</v>
      </c>
      <c r="BI164">
        <v>12</v>
      </c>
      <c r="BJ164" t="s">
        <v>3484</v>
      </c>
      <c r="BK164" t="s">
        <v>182</v>
      </c>
      <c r="BL164" t="s">
        <v>3485</v>
      </c>
      <c r="BM164" t="s">
        <v>3486</v>
      </c>
      <c r="BN164">
        <v>35344781</v>
      </c>
      <c r="BO164" t="s">
        <v>1052</v>
      </c>
      <c r="BP164" t="s">
        <v>74</v>
      </c>
      <c r="BQ164" t="s">
        <v>74</v>
      </c>
      <c r="BR164" t="s">
        <v>105</v>
      </c>
      <c r="BS164" t="s">
        <v>3487</v>
      </c>
      <c r="BT164" t="str">
        <f>HYPERLINK("https%3A%2F%2Fwww.webofscience.com%2Fwos%2Fwoscc%2Ffull-record%2FWOS:000793159600006","View Full Record in Web of Science")</f>
        <v>View Full Record in Web of Science</v>
      </c>
    </row>
    <row r="165" spans="1:72" x14ac:dyDescent="0.25">
      <c r="A165" t="s">
        <v>72</v>
      </c>
      <c r="B165" t="s">
        <v>3488</v>
      </c>
      <c r="C165" t="s">
        <v>74</v>
      </c>
      <c r="D165" t="s">
        <v>74</v>
      </c>
      <c r="E165" t="s">
        <v>74</v>
      </c>
      <c r="F165" t="s">
        <v>3489</v>
      </c>
      <c r="G165" t="s">
        <v>74</v>
      </c>
      <c r="H165" t="s">
        <v>74</v>
      </c>
      <c r="I165" t="s">
        <v>3490</v>
      </c>
      <c r="J165" t="s">
        <v>785</v>
      </c>
      <c r="K165" t="s">
        <v>74</v>
      </c>
      <c r="L165" t="s">
        <v>74</v>
      </c>
      <c r="M165" t="s">
        <v>78</v>
      </c>
      <c r="N165" t="s">
        <v>79</v>
      </c>
      <c r="O165" t="s">
        <v>74</v>
      </c>
      <c r="P165" t="s">
        <v>74</v>
      </c>
      <c r="Q165" t="s">
        <v>74</v>
      </c>
      <c r="R165" t="s">
        <v>74</v>
      </c>
      <c r="S165" t="s">
        <v>74</v>
      </c>
      <c r="T165" t="s">
        <v>3491</v>
      </c>
      <c r="U165" t="s">
        <v>3492</v>
      </c>
      <c r="V165" t="s">
        <v>3493</v>
      </c>
      <c r="W165" t="s">
        <v>3494</v>
      </c>
      <c r="X165" t="s">
        <v>3495</v>
      </c>
      <c r="Y165" t="s">
        <v>3496</v>
      </c>
      <c r="Z165" t="s">
        <v>3497</v>
      </c>
      <c r="AA165" t="s">
        <v>3498</v>
      </c>
      <c r="AB165" t="s">
        <v>3499</v>
      </c>
      <c r="AC165" t="s">
        <v>74</v>
      </c>
      <c r="AD165" t="s">
        <v>74</v>
      </c>
      <c r="AE165" t="s">
        <v>74</v>
      </c>
      <c r="AF165" t="s">
        <v>74</v>
      </c>
      <c r="AG165">
        <v>89</v>
      </c>
      <c r="AH165">
        <v>36</v>
      </c>
      <c r="AI165">
        <v>38</v>
      </c>
      <c r="AJ165">
        <v>1</v>
      </c>
      <c r="AK165">
        <v>46</v>
      </c>
      <c r="AL165" t="s">
        <v>172</v>
      </c>
      <c r="AM165" t="s">
        <v>173</v>
      </c>
      <c r="AN165" t="s">
        <v>174</v>
      </c>
      <c r="AO165" t="s">
        <v>798</v>
      </c>
      <c r="AP165" t="s">
        <v>799</v>
      </c>
      <c r="AQ165" t="s">
        <v>74</v>
      </c>
      <c r="AR165" t="s">
        <v>800</v>
      </c>
      <c r="AS165" t="s">
        <v>801</v>
      </c>
      <c r="AT165" t="s">
        <v>151</v>
      </c>
      <c r="AU165">
        <v>2019</v>
      </c>
      <c r="AV165">
        <v>47</v>
      </c>
      <c r="AW165">
        <v>12</v>
      </c>
      <c r="AX165" t="s">
        <v>74</v>
      </c>
      <c r="AY165" t="s">
        <v>74</v>
      </c>
      <c r="AZ165" t="s">
        <v>74</v>
      </c>
      <c r="BA165" t="s">
        <v>74</v>
      </c>
      <c r="BB165">
        <v>2489</v>
      </c>
      <c r="BC165">
        <v>2513</v>
      </c>
      <c r="BD165" t="s">
        <v>74</v>
      </c>
      <c r="BE165" t="s">
        <v>3500</v>
      </c>
      <c r="BF165" t="str">
        <f>HYPERLINK("http://dx.doi.org/10.1007/s10439-019-02319-9","http://dx.doi.org/10.1007/s10439-019-02319-9")</f>
        <v>http://dx.doi.org/10.1007/s10439-019-02319-9</v>
      </c>
      <c r="BG165" t="s">
        <v>74</v>
      </c>
      <c r="BH165" t="s">
        <v>74</v>
      </c>
      <c r="BI165">
        <v>25</v>
      </c>
      <c r="BJ165" t="s">
        <v>282</v>
      </c>
      <c r="BK165" t="s">
        <v>182</v>
      </c>
      <c r="BL165" t="s">
        <v>183</v>
      </c>
      <c r="BM165" t="s">
        <v>3501</v>
      </c>
      <c r="BN165">
        <v>31372856</v>
      </c>
      <c r="BO165" t="s">
        <v>74</v>
      </c>
      <c r="BP165" t="s">
        <v>74</v>
      </c>
      <c r="BQ165" t="s">
        <v>74</v>
      </c>
      <c r="BR165" t="s">
        <v>105</v>
      </c>
      <c r="BS165" t="s">
        <v>3502</v>
      </c>
      <c r="BT165" t="str">
        <f>HYPERLINK("https%3A%2F%2Fwww.webofscience.com%2Fwos%2Fwoscc%2Ffull-record%2FWOS:000510851900013","View Full Record in Web of Science")</f>
        <v>View Full Record in Web of Science</v>
      </c>
    </row>
    <row r="166" spans="1:72" x14ac:dyDescent="0.25">
      <c r="A166" t="s">
        <v>72</v>
      </c>
      <c r="B166" t="s">
        <v>3503</v>
      </c>
      <c r="C166" t="s">
        <v>74</v>
      </c>
      <c r="D166" t="s">
        <v>74</v>
      </c>
      <c r="E166" t="s">
        <v>74</v>
      </c>
      <c r="F166" t="s">
        <v>3504</v>
      </c>
      <c r="G166" t="s">
        <v>74</v>
      </c>
      <c r="H166" t="s">
        <v>74</v>
      </c>
      <c r="I166" t="s">
        <v>3505</v>
      </c>
      <c r="J166" t="s">
        <v>214</v>
      </c>
      <c r="K166" t="s">
        <v>74</v>
      </c>
      <c r="L166" t="s">
        <v>74</v>
      </c>
      <c r="M166" t="s">
        <v>78</v>
      </c>
      <c r="N166" t="s">
        <v>79</v>
      </c>
      <c r="O166" t="s">
        <v>74</v>
      </c>
      <c r="P166" t="s">
        <v>74</v>
      </c>
      <c r="Q166" t="s">
        <v>74</v>
      </c>
      <c r="R166" t="s">
        <v>74</v>
      </c>
      <c r="S166" t="s">
        <v>74</v>
      </c>
      <c r="T166" t="s">
        <v>3506</v>
      </c>
      <c r="U166" t="s">
        <v>3507</v>
      </c>
      <c r="V166" t="s">
        <v>3508</v>
      </c>
      <c r="W166" t="s">
        <v>3509</v>
      </c>
      <c r="X166" t="s">
        <v>3510</v>
      </c>
      <c r="Y166" t="s">
        <v>3511</v>
      </c>
      <c r="Z166" t="s">
        <v>3512</v>
      </c>
      <c r="AA166" t="s">
        <v>74</v>
      </c>
      <c r="AB166" t="s">
        <v>74</v>
      </c>
      <c r="AC166" t="s">
        <v>74</v>
      </c>
      <c r="AD166" t="s">
        <v>74</v>
      </c>
      <c r="AE166" t="s">
        <v>74</v>
      </c>
      <c r="AF166" t="s">
        <v>74</v>
      </c>
      <c r="AG166">
        <v>65</v>
      </c>
      <c r="AH166">
        <v>165</v>
      </c>
      <c r="AI166">
        <v>183</v>
      </c>
      <c r="AJ166">
        <v>0</v>
      </c>
      <c r="AK166">
        <v>69</v>
      </c>
      <c r="AL166" t="s">
        <v>226</v>
      </c>
      <c r="AM166" t="s">
        <v>227</v>
      </c>
      <c r="AN166" t="s">
        <v>228</v>
      </c>
      <c r="AO166" t="s">
        <v>229</v>
      </c>
      <c r="AP166" t="s">
        <v>230</v>
      </c>
      <c r="AQ166" t="s">
        <v>74</v>
      </c>
      <c r="AR166" t="s">
        <v>231</v>
      </c>
      <c r="AS166" t="s">
        <v>232</v>
      </c>
      <c r="AT166" t="s">
        <v>126</v>
      </c>
      <c r="AU166">
        <v>2013</v>
      </c>
      <c r="AV166">
        <v>94</v>
      </c>
      <c r="AW166">
        <v>11</v>
      </c>
      <c r="AX166" t="s">
        <v>74</v>
      </c>
      <c r="AY166" t="s">
        <v>74</v>
      </c>
      <c r="AZ166" t="s">
        <v>74</v>
      </c>
      <c r="BA166" t="s">
        <v>74</v>
      </c>
      <c r="BB166">
        <v>2297</v>
      </c>
      <c r="BC166">
        <v>2308</v>
      </c>
      <c r="BD166" t="s">
        <v>74</v>
      </c>
      <c r="BE166" t="s">
        <v>3513</v>
      </c>
      <c r="BF166" t="str">
        <f>HYPERLINK("http://dx.doi.org/10.1016/j.apmr.2013.06.023","http://dx.doi.org/10.1016/j.apmr.2013.06.023")</f>
        <v>http://dx.doi.org/10.1016/j.apmr.2013.06.023</v>
      </c>
      <c r="BG166" t="s">
        <v>74</v>
      </c>
      <c r="BH166" t="s">
        <v>74</v>
      </c>
      <c r="BI166">
        <v>12</v>
      </c>
      <c r="BJ166" t="s">
        <v>236</v>
      </c>
      <c r="BK166" t="s">
        <v>182</v>
      </c>
      <c r="BL166" t="s">
        <v>236</v>
      </c>
      <c r="BM166" t="s">
        <v>3514</v>
      </c>
      <c r="BN166">
        <v>23850614</v>
      </c>
      <c r="BO166" t="s">
        <v>74</v>
      </c>
      <c r="BP166" t="s">
        <v>74</v>
      </c>
      <c r="BQ166" t="s">
        <v>74</v>
      </c>
      <c r="BR166" t="s">
        <v>105</v>
      </c>
      <c r="BS166" t="s">
        <v>3515</v>
      </c>
      <c r="BT166" t="str">
        <f>HYPERLINK("https%3A%2F%2Fwww.webofscience.com%2Fwos%2Fwoscc%2Ffull-record%2FWOS:000326852600036","View Full Record in Web of Science")</f>
        <v>View Full Record in Web of Science</v>
      </c>
    </row>
    <row r="167" spans="1:72" x14ac:dyDescent="0.25">
      <c r="A167" t="s">
        <v>72</v>
      </c>
      <c r="B167" t="s">
        <v>3516</v>
      </c>
      <c r="C167" t="s">
        <v>74</v>
      </c>
      <c r="D167" t="s">
        <v>74</v>
      </c>
      <c r="E167" t="s">
        <v>74</v>
      </c>
      <c r="F167" t="s">
        <v>3517</v>
      </c>
      <c r="G167" t="s">
        <v>74</v>
      </c>
      <c r="H167" t="s">
        <v>74</v>
      </c>
      <c r="I167" t="s">
        <v>3518</v>
      </c>
      <c r="J167" t="s">
        <v>2091</v>
      </c>
      <c r="K167" t="s">
        <v>74</v>
      </c>
      <c r="L167" t="s">
        <v>74</v>
      </c>
      <c r="M167" t="s">
        <v>78</v>
      </c>
      <c r="N167" t="s">
        <v>79</v>
      </c>
      <c r="O167" t="s">
        <v>74</v>
      </c>
      <c r="P167" t="s">
        <v>74</v>
      </c>
      <c r="Q167" t="s">
        <v>74</v>
      </c>
      <c r="R167" t="s">
        <v>74</v>
      </c>
      <c r="S167" t="s">
        <v>74</v>
      </c>
      <c r="T167" t="s">
        <v>3519</v>
      </c>
      <c r="U167" t="s">
        <v>3520</v>
      </c>
      <c r="V167" t="s">
        <v>3521</v>
      </c>
      <c r="W167" t="s">
        <v>3522</v>
      </c>
      <c r="X167" t="s">
        <v>3523</v>
      </c>
      <c r="Y167" t="s">
        <v>3524</v>
      </c>
      <c r="Z167" t="s">
        <v>3525</v>
      </c>
      <c r="AA167" t="s">
        <v>3526</v>
      </c>
      <c r="AB167" t="s">
        <v>3527</v>
      </c>
      <c r="AC167" t="s">
        <v>74</v>
      </c>
      <c r="AD167" t="s">
        <v>74</v>
      </c>
      <c r="AE167" t="s">
        <v>3528</v>
      </c>
      <c r="AF167" t="s">
        <v>74</v>
      </c>
      <c r="AG167">
        <v>49</v>
      </c>
      <c r="AH167">
        <v>1</v>
      </c>
      <c r="AI167">
        <v>1</v>
      </c>
      <c r="AJ167">
        <v>13</v>
      </c>
      <c r="AK167">
        <v>18</v>
      </c>
      <c r="AL167" t="s">
        <v>120</v>
      </c>
      <c r="AM167" t="s">
        <v>121</v>
      </c>
      <c r="AN167" t="s">
        <v>122</v>
      </c>
      <c r="AO167" t="s">
        <v>74</v>
      </c>
      <c r="AP167" t="s">
        <v>2104</v>
      </c>
      <c r="AQ167" t="s">
        <v>74</v>
      </c>
      <c r="AR167" t="s">
        <v>2105</v>
      </c>
      <c r="AS167" t="s">
        <v>2106</v>
      </c>
      <c r="AT167" t="s">
        <v>420</v>
      </c>
      <c r="AU167">
        <v>2024</v>
      </c>
      <c r="AV167">
        <v>14</v>
      </c>
      <c r="AW167">
        <v>18</v>
      </c>
      <c r="AX167" t="s">
        <v>74</v>
      </c>
      <c r="AY167" t="s">
        <v>74</v>
      </c>
      <c r="AZ167" t="s">
        <v>74</v>
      </c>
      <c r="BA167" t="s">
        <v>74</v>
      </c>
      <c r="BB167" t="s">
        <v>74</v>
      </c>
      <c r="BC167" t="s">
        <v>74</v>
      </c>
      <c r="BD167">
        <v>8248</v>
      </c>
      <c r="BE167" t="s">
        <v>3529</v>
      </c>
      <c r="BF167" t="str">
        <f>HYPERLINK("http://dx.doi.org/10.3390/app14188248","http://dx.doi.org/10.3390/app14188248")</f>
        <v>http://dx.doi.org/10.3390/app14188248</v>
      </c>
      <c r="BG167" t="s">
        <v>74</v>
      </c>
      <c r="BH167" t="s">
        <v>74</v>
      </c>
      <c r="BI167">
        <v>16</v>
      </c>
      <c r="BJ167" t="s">
        <v>2109</v>
      </c>
      <c r="BK167" t="s">
        <v>182</v>
      </c>
      <c r="BL167" t="s">
        <v>2110</v>
      </c>
      <c r="BM167" t="s">
        <v>3530</v>
      </c>
      <c r="BN167" t="s">
        <v>74</v>
      </c>
      <c r="BO167" t="s">
        <v>185</v>
      </c>
      <c r="BP167" t="s">
        <v>74</v>
      </c>
      <c r="BQ167" t="s">
        <v>74</v>
      </c>
      <c r="BR167" t="s">
        <v>105</v>
      </c>
      <c r="BS167" t="s">
        <v>3531</v>
      </c>
      <c r="BT167" t="str">
        <f>HYPERLINK("https%3A%2F%2Fwww.webofscience.com%2Fwos%2Fwoscc%2Ffull-record%2FWOS:001323656400001","View Full Record in Web of Science")</f>
        <v>View Full Record in Web of Science</v>
      </c>
    </row>
    <row r="168" spans="1:72" x14ac:dyDescent="0.25">
      <c r="A168" t="s">
        <v>72</v>
      </c>
      <c r="B168" t="s">
        <v>3532</v>
      </c>
      <c r="C168" t="s">
        <v>74</v>
      </c>
      <c r="D168" t="s">
        <v>74</v>
      </c>
      <c r="E168" t="s">
        <v>74</v>
      </c>
      <c r="F168" t="s">
        <v>3533</v>
      </c>
      <c r="G168" t="s">
        <v>74</v>
      </c>
      <c r="H168" t="s">
        <v>74</v>
      </c>
      <c r="I168" t="s">
        <v>3534</v>
      </c>
      <c r="J168" t="s">
        <v>3535</v>
      </c>
      <c r="K168" t="s">
        <v>74</v>
      </c>
      <c r="L168" t="s">
        <v>74</v>
      </c>
      <c r="M168" t="s">
        <v>78</v>
      </c>
      <c r="N168" t="s">
        <v>79</v>
      </c>
      <c r="O168" t="s">
        <v>74</v>
      </c>
      <c r="P168" t="s">
        <v>74</v>
      </c>
      <c r="Q168" t="s">
        <v>74</v>
      </c>
      <c r="R168" t="s">
        <v>74</v>
      </c>
      <c r="S168" t="s">
        <v>74</v>
      </c>
      <c r="T168" t="s">
        <v>3536</v>
      </c>
      <c r="U168" t="s">
        <v>3537</v>
      </c>
      <c r="V168" t="s">
        <v>3538</v>
      </c>
      <c r="W168" t="s">
        <v>3539</v>
      </c>
      <c r="X168" t="s">
        <v>3540</v>
      </c>
      <c r="Y168" t="s">
        <v>3541</v>
      </c>
      <c r="Z168" t="s">
        <v>3542</v>
      </c>
      <c r="AA168" t="s">
        <v>3543</v>
      </c>
      <c r="AB168" t="s">
        <v>3544</v>
      </c>
      <c r="AC168" t="s">
        <v>74</v>
      </c>
      <c r="AD168" t="s">
        <v>74</v>
      </c>
      <c r="AE168" t="s">
        <v>74</v>
      </c>
      <c r="AF168" t="s">
        <v>74</v>
      </c>
      <c r="AG168">
        <v>60</v>
      </c>
      <c r="AH168">
        <v>24</v>
      </c>
      <c r="AI168">
        <v>25</v>
      </c>
      <c r="AJ168">
        <v>0</v>
      </c>
      <c r="AK168">
        <v>36</v>
      </c>
      <c r="AL168" t="s">
        <v>3545</v>
      </c>
      <c r="AM168" t="s">
        <v>3546</v>
      </c>
      <c r="AN168" t="s">
        <v>3547</v>
      </c>
      <c r="AO168" t="s">
        <v>3548</v>
      </c>
      <c r="AP168" t="s">
        <v>74</v>
      </c>
      <c r="AQ168" t="s">
        <v>74</v>
      </c>
      <c r="AR168" t="s">
        <v>3549</v>
      </c>
      <c r="AS168" t="s">
        <v>3550</v>
      </c>
      <c r="AT168" t="s">
        <v>351</v>
      </c>
      <c r="AU168">
        <v>2011</v>
      </c>
      <c r="AV168">
        <v>17</v>
      </c>
      <c r="AW168">
        <v>2</v>
      </c>
      <c r="AX168" t="s">
        <v>74</v>
      </c>
      <c r="AY168" t="s">
        <v>74</v>
      </c>
      <c r="AZ168" t="s">
        <v>74</v>
      </c>
      <c r="BA168" t="s">
        <v>74</v>
      </c>
      <c r="BB168" t="s">
        <v>3551</v>
      </c>
      <c r="BC168" t="s">
        <v>3552</v>
      </c>
      <c r="BD168" t="s">
        <v>74</v>
      </c>
      <c r="BE168" t="s">
        <v>3553</v>
      </c>
      <c r="BF168" t="str">
        <f>HYPERLINK("http://dx.doi.org/10.12659/MSM.881382","http://dx.doi.org/10.12659/MSM.881382")</f>
        <v>http://dx.doi.org/10.12659/MSM.881382</v>
      </c>
      <c r="BG168" t="s">
        <v>74</v>
      </c>
      <c r="BH168" t="s">
        <v>74</v>
      </c>
      <c r="BI168">
        <v>19</v>
      </c>
      <c r="BJ168" t="s">
        <v>738</v>
      </c>
      <c r="BK168" t="s">
        <v>182</v>
      </c>
      <c r="BL168" t="s">
        <v>739</v>
      </c>
      <c r="BM168" t="s">
        <v>3554</v>
      </c>
      <c r="BN168">
        <v>21278702</v>
      </c>
      <c r="BO168" t="s">
        <v>3555</v>
      </c>
      <c r="BP168" t="s">
        <v>74</v>
      </c>
      <c r="BQ168" t="s">
        <v>74</v>
      </c>
      <c r="BR168" t="s">
        <v>105</v>
      </c>
      <c r="BS168" t="s">
        <v>3556</v>
      </c>
      <c r="BT168" t="str">
        <f>HYPERLINK("https%3A%2F%2Fwww.webofscience.com%2Fwos%2Fwoscc%2Ffull-record%2FWOS:000287599700020","View Full Record in Web of Science")</f>
        <v>View Full Record in Web of Science</v>
      </c>
    </row>
    <row r="169" spans="1:72" x14ac:dyDescent="0.25">
      <c r="A169" t="s">
        <v>72</v>
      </c>
      <c r="B169" t="s">
        <v>3557</v>
      </c>
      <c r="C169" t="s">
        <v>74</v>
      </c>
      <c r="D169" t="s">
        <v>74</v>
      </c>
      <c r="E169" t="s">
        <v>74</v>
      </c>
      <c r="F169" t="s">
        <v>3558</v>
      </c>
      <c r="G169" t="s">
        <v>74</v>
      </c>
      <c r="H169" t="s">
        <v>74</v>
      </c>
      <c r="I169" t="s">
        <v>3559</v>
      </c>
      <c r="J169" t="s">
        <v>571</v>
      </c>
      <c r="K169" t="s">
        <v>74</v>
      </c>
      <c r="L169" t="s">
        <v>74</v>
      </c>
      <c r="M169" t="s">
        <v>78</v>
      </c>
      <c r="N169" t="s">
        <v>79</v>
      </c>
      <c r="O169" t="s">
        <v>74</v>
      </c>
      <c r="P169" t="s">
        <v>74</v>
      </c>
      <c r="Q169" t="s">
        <v>74</v>
      </c>
      <c r="R169" t="s">
        <v>74</v>
      </c>
      <c r="S169" t="s">
        <v>74</v>
      </c>
      <c r="T169" t="s">
        <v>3560</v>
      </c>
      <c r="U169" t="s">
        <v>3561</v>
      </c>
      <c r="V169" t="s">
        <v>3562</v>
      </c>
      <c r="W169" t="s">
        <v>3563</v>
      </c>
      <c r="X169" t="s">
        <v>3564</v>
      </c>
      <c r="Y169" t="s">
        <v>3565</v>
      </c>
      <c r="Z169" t="s">
        <v>3566</v>
      </c>
      <c r="AA169" t="s">
        <v>74</v>
      </c>
      <c r="AB169" t="s">
        <v>3567</v>
      </c>
      <c r="AC169" t="s">
        <v>74</v>
      </c>
      <c r="AD169" t="s">
        <v>74</v>
      </c>
      <c r="AE169" t="s">
        <v>74</v>
      </c>
      <c r="AF169" t="s">
        <v>74</v>
      </c>
      <c r="AG169">
        <v>46</v>
      </c>
      <c r="AH169">
        <v>13</v>
      </c>
      <c r="AI169">
        <v>13</v>
      </c>
      <c r="AJ169">
        <v>4</v>
      </c>
      <c r="AK169">
        <v>18</v>
      </c>
      <c r="AL169" t="s">
        <v>583</v>
      </c>
      <c r="AM169" t="s">
        <v>275</v>
      </c>
      <c r="AN169" t="s">
        <v>584</v>
      </c>
      <c r="AO169" t="s">
        <v>585</v>
      </c>
      <c r="AP169" t="s">
        <v>74</v>
      </c>
      <c r="AQ169" t="s">
        <v>74</v>
      </c>
      <c r="AR169" t="s">
        <v>571</v>
      </c>
      <c r="AS169" t="s">
        <v>586</v>
      </c>
      <c r="AT169" t="s">
        <v>420</v>
      </c>
      <c r="AU169">
        <v>2023</v>
      </c>
      <c r="AV169">
        <v>13</v>
      </c>
      <c r="AW169">
        <v>9</v>
      </c>
      <c r="AX169" t="s">
        <v>74</v>
      </c>
      <c r="AY169" t="s">
        <v>74</v>
      </c>
      <c r="AZ169" t="s">
        <v>74</v>
      </c>
      <c r="BA169" t="s">
        <v>74</v>
      </c>
      <c r="BB169" t="s">
        <v>74</v>
      </c>
      <c r="BC169" t="s">
        <v>74</v>
      </c>
      <c r="BD169" t="s">
        <v>3568</v>
      </c>
      <c r="BE169" t="s">
        <v>3569</v>
      </c>
      <c r="BF169" t="str">
        <f>HYPERLINK("http://dx.doi.org/10.1136/bmjopen-2023-074481","http://dx.doi.org/10.1136/bmjopen-2023-074481")</f>
        <v>http://dx.doi.org/10.1136/bmjopen-2023-074481</v>
      </c>
      <c r="BG169" t="s">
        <v>74</v>
      </c>
      <c r="BH169" t="s">
        <v>74</v>
      </c>
      <c r="BI169">
        <v>11</v>
      </c>
      <c r="BJ169" t="s">
        <v>128</v>
      </c>
      <c r="BK169" t="s">
        <v>182</v>
      </c>
      <c r="BL169" t="s">
        <v>129</v>
      </c>
      <c r="BM169" t="s">
        <v>3570</v>
      </c>
      <c r="BN169">
        <v>37709309</v>
      </c>
      <c r="BO169" t="s">
        <v>355</v>
      </c>
      <c r="BP169" t="s">
        <v>74</v>
      </c>
      <c r="BQ169" t="s">
        <v>74</v>
      </c>
      <c r="BR169" t="s">
        <v>105</v>
      </c>
      <c r="BS169" t="s">
        <v>3571</v>
      </c>
      <c r="BT169" t="str">
        <f>HYPERLINK("https%3A%2F%2Fwww.webofscience.com%2Fwos%2Fwoscc%2Ffull-record%2FWOS:001127161700036","View Full Record in Web of Science")</f>
        <v>View Full Record in Web of Science</v>
      </c>
    </row>
    <row r="170" spans="1:72" x14ac:dyDescent="0.25">
      <c r="A170" t="s">
        <v>72</v>
      </c>
      <c r="B170" t="s">
        <v>3572</v>
      </c>
      <c r="C170" t="s">
        <v>74</v>
      </c>
      <c r="D170" t="s">
        <v>74</v>
      </c>
      <c r="E170" t="s">
        <v>74</v>
      </c>
      <c r="F170" t="s">
        <v>3573</v>
      </c>
      <c r="G170" t="s">
        <v>74</v>
      </c>
      <c r="H170" t="s">
        <v>74</v>
      </c>
      <c r="I170" t="s">
        <v>3574</v>
      </c>
      <c r="J170" t="s">
        <v>214</v>
      </c>
      <c r="K170" t="s">
        <v>74</v>
      </c>
      <c r="L170" t="s">
        <v>74</v>
      </c>
      <c r="M170" t="s">
        <v>78</v>
      </c>
      <c r="N170" t="s">
        <v>79</v>
      </c>
      <c r="O170" t="s">
        <v>74</v>
      </c>
      <c r="P170" t="s">
        <v>74</v>
      </c>
      <c r="Q170" t="s">
        <v>74</v>
      </c>
      <c r="R170" t="s">
        <v>74</v>
      </c>
      <c r="S170" t="s">
        <v>74</v>
      </c>
      <c r="T170" t="s">
        <v>3575</v>
      </c>
      <c r="U170" t="s">
        <v>3576</v>
      </c>
      <c r="V170" t="s">
        <v>3577</v>
      </c>
      <c r="W170" t="s">
        <v>3578</v>
      </c>
      <c r="X170" t="s">
        <v>3579</v>
      </c>
      <c r="Y170" t="s">
        <v>3580</v>
      </c>
      <c r="Z170" t="s">
        <v>3581</v>
      </c>
      <c r="AA170" t="s">
        <v>3582</v>
      </c>
      <c r="AB170" t="s">
        <v>3583</v>
      </c>
      <c r="AC170" t="s">
        <v>74</v>
      </c>
      <c r="AD170" t="s">
        <v>74</v>
      </c>
      <c r="AE170" t="s">
        <v>74</v>
      </c>
      <c r="AF170" t="s">
        <v>74</v>
      </c>
      <c r="AG170">
        <v>39</v>
      </c>
      <c r="AH170">
        <v>0</v>
      </c>
      <c r="AI170">
        <v>0</v>
      </c>
      <c r="AJ170">
        <v>1</v>
      </c>
      <c r="AK170">
        <v>1</v>
      </c>
      <c r="AL170" t="s">
        <v>226</v>
      </c>
      <c r="AM170" t="s">
        <v>227</v>
      </c>
      <c r="AN170" t="s">
        <v>228</v>
      </c>
      <c r="AO170" t="s">
        <v>229</v>
      </c>
      <c r="AP170" t="s">
        <v>230</v>
      </c>
      <c r="AQ170" t="s">
        <v>74</v>
      </c>
      <c r="AR170" t="s">
        <v>231</v>
      </c>
      <c r="AS170" t="s">
        <v>232</v>
      </c>
      <c r="AT170" t="s">
        <v>1471</v>
      </c>
      <c r="AU170">
        <v>2025</v>
      </c>
      <c r="AV170">
        <v>106</v>
      </c>
      <c r="AW170">
        <v>3</v>
      </c>
      <c r="AX170" t="s">
        <v>74</v>
      </c>
      <c r="AY170" t="s">
        <v>74</v>
      </c>
      <c r="AZ170" t="s">
        <v>74</v>
      </c>
      <c r="BA170" t="s">
        <v>74</v>
      </c>
      <c r="BB170">
        <v>424</v>
      </c>
      <c r="BC170">
        <v>432</v>
      </c>
      <c r="BD170" t="s">
        <v>74</v>
      </c>
      <c r="BE170" t="s">
        <v>3584</v>
      </c>
      <c r="BF170" t="str">
        <f>HYPERLINK("http://dx.doi.org/10.1016/j.apmr.2024.09.014","http://dx.doi.org/10.1016/j.apmr.2024.09.014")</f>
        <v>http://dx.doi.org/10.1016/j.apmr.2024.09.014</v>
      </c>
      <c r="BG170" t="s">
        <v>74</v>
      </c>
      <c r="BH170" t="s">
        <v>3585</v>
      </c>
      <c r="BI170">
        <v>9</v>
      </c>
      <c r="BJ170" t="s">
        <v>236</v>
      </c>
      <c r="BK170" t="s">
        <v>182</v>
      </c>
      <c r="BL170" t="s">
        <v>236</v>
      </c>
      <c r="BM170" t="s">
        <v>3586</v>
      </c>
      <c r="BN170">
        <v>39395709</v>
      </c>
      <c r="BO170" t="s">
        <v>74</v>
      </c>
      <c r="BP170" t="s">
        <v>74</v>
      </c>
      <c r="BQ170" t="s">
        <v>74</v>
      </c>
      <c r="BR170" t="s">
        <v>105</v>
      </c>
      <c r="BS170" t="s">
        <v>3587</v>
      </c>
      <c r="BT170" t="str">
        <f>HYPERLINK("https%3A%2F%2Fwww.webofscience.com%2Fwos%2Fwoscc%2Ffull-record%2FWOS:001436936400001","View Full Record in Web of Science")</f>
        <v>View Full Record in Web of Science</v>
      </c>
    </row>
    <row r="171" spans="1:72" x14ac:dyDescent="0.25">
      <c r="A171" t="s">
        <v>72</v>
      </c>
      <c r="B171" t="s">
        <v>3588</v>
      </c>
      <c r="C171" t="s">
        <v>74</v>
      </c>
      <c r="D171" t="s">
        <v>74</v>
      </c>
      <c r="E171" t="s">
        <v>74</v>
      </c>
      <c r="F171" t="s">
        <v>3589</v>
      </c>
      <c r="G171" t="s">
        <v>74</v>
      </c>
      <c r="H171" t="s">
        <v>74</v>
      </c>
      <c r="I171" t="s">
        <v>3590</v>
      </c>
      <c r="J171" t="s">
        <v>3591</v>
      </c>
      <c r="K171" t="s">
        <v>74</v>
      </c>
      <c r="L171" t="s">
        <v>74</v>
      </c>
      <c r="M171" t="s">
        <v>78</v>
      </c>
      <c r="N171" t="s">
        <v>79</v>
      </c>
      <c r="O171" t="s">
        <v>74</v>
      </c>
      <c r="P171" t="s">
        <v>74</v>
      </c>
      <c r="Q171" t="s">
        <v>74</v>
      </c>
      <c r="R171" t="s">
        <v>74</v>
      </c>
      <c r="S171" t="s">
        <v>74</v>
      </c>
      <c r="T171" t="s">
        <v>3592</v>
      </c>
      <c r="U171" t="s">
        <v>3593</v>
      </c>
      <c r="V171" t="s">
        <v>3594</v>
      </c>
      <c r="W171" t="s">
        <v>3595</v>
      </c>
      <c r="X171" t="s">
        <v>3596</v>
      </c>
      <c r="Y171" t="s">
        <v>3597</v>
      </c>
      <c r="Z171" t="s">
        <v>3598</v>
      </c>
      <c r="AA171" t="s">
        <v>3599</v>
      </c>
      <c r="AB171" t="s">
        <v>3600</v>
      </c>
      <c r="AC171" t="s">
        <v>74</v>
      </c>
      <c r="AD171" t="s">
        <v>74</v>
      </c>
      <c r="AE171" t="s">
        <v>74</v>
      </c>
      <c r="AF171" t="s">
        <v>74</v>
      </c>
      <c r="AG171">
        <v>38</v>
      </c>
      <c r="AH171">
        <v>3</v>
      </c>
      <c r="AI171">
        <v>3</v>
      </c>
      <c r="AJ171">
        <v>2</v>
      </c>
      <c r="AK171">
        <v>8</v>
      </c>
      <c r="AL171" t="s">
        <v>3601</v>
      </c>
      <c r="AM171" t="s">
        <v>3602</v>
      </c>
      <c r="AN171" t="s">
        <v>3603</v>
      </c>
      <c r="AO171" t="s">
        <v>3604</v>
      </c>
      <c r="AP171" t="s">
        <v>74</v>
      </c>
      <c r="AQ171" t="s">
        <v>74</v>
      </c>
      <c r="AR171" t="s">
        <v>3605</v>
      </c>
      <c r="AS171" t="s">
        <v>3606</v>
      </c>
      <c r="AT171" t="s">
        <v>74</v>
      </c>
      <c r="AU171">
        <v>2023</v>
      </c>
      <c r="AV171">
        <v>27</v>
      </c>
      <c r="AW171">
        <v>11</v>
      </c>
      <c r="AX171" t="s">
        <v>74</v>
      </c>
      <c r="AY171" t="s">
        <v>74</v>
      </c>
      <c r="AZ171" t="s">
        <v>74</v>
      </c>
      <c r="BA171" t="s">
        <v>74</v>
      </c>
      <c r="BB171">
        <v>4812</v>
      </c>
      <c r="BC171">
        <v>4827</v>
      </c>
      <c r="BD171" t="s">
        <v>74</v>
      </c>
      <c r="BE171" t="s">
        <v>74</v>
      </c>
      <c r="BF171" t="s">
        <v>74</v>
      </c>
      <c r="BG171" t="s">
        <v>74</v>
      </c>
      <c r="BH171" t="s">
        <v>74</v>
      </c>
      <c r="BI171">
        <v>16</v>
      </c>
      <c r="BJ171" t="s">
        <v>2268</v>
      </c>
      <c r="BK171" t="s">
        <v>182</v>
      </c>
      <c r="BL171" t="s">
        <v>2268</v>
      </c>
      <c r="BM171" t="s">
        <v>3607</v>
      </c>
      <c r="BN171">
        <v>37318455</v>
      </c>
      <c r="BO171" t="s">
        <v>74</v>
      </c>
      <c r="BP171" t="s">
        <v>74</v>
      </c>
      <c r="BQ171" t="s">
        <v>74</v>
      </c>
      <c r="BR171" t="s">
        <v>105</v>
      </c>
      <c r="BS171" t="s">
        <v>3608</v>
      </c>
      <c r="BT171" t="str">
        <f>HYPERLINK("https%3A%2F%2Fwww.webofscience.com%2Fwos%2Fwoscc%2Ffull-record%2FWOS:001022537400001","View Full Record in Web of Science")</f>
        <v>View Full Record in Web of Science</v>
      </c>
    </row>
    <row r="172" spans="1:72" x14ac:dyDescent="0.25">
      <c r="A172" t="s">
        <v>72</v>
      </c>
      <c r="B172" t="s">
        <v>3609</v>
      </c>
      <c r="C172" t="s">
        <v>74</v>
      </c>
      <c r="D172" t="s">
        <v>74</v>
      </c>
      <c r="E172" t="s">
        <v>74</v>
      </c>
      <c r="F172" t="s">
        <v>3610</v>
      </c>
      <c r="G172" t="s">
        <v>74</v>
      </c>
      <c r="H172" t="s">
        <v>74</v>
      </c>
      <c r="I172" t="s">
        <v>3611</v>
      </c>
      <c r="J172" t="s">
        <v>3053</v>
      </c>
      <c r="K172" t="s">
        <v>74</v>
      </c>
      <c r="L172" t="s">
        <v>74</v>
      </c>
      <c r="M172" t="s">
        <v>78</v>
      </c>
      <c r="N172" t="s">
        <v>79</v>
      </c>
      <c r="O172" t="s">
        <v>74</v>
      </c>
      <c r="P172" t="s">
        <v>74</v>
      </c>
      <c r="Q172" t="s">
        <v>74</v>
      </c>
      <c r="R172" t="s">
        <v>74</v>
      </c>
      <c r="S172" t="s">
        <v>74</v>
      </c>
      <c r="T172" t="s">
        <v>3612</v>
      </c>
      <c r="U172" t="s">
        <v>3613</v>
      </c>
      <c r="V172" t="s">
        <v>3614</v>
      </c>
      <c r="W172" t="s">
        <v>3615</v>
      </c>
      <c r="X172" t="s">
        <v>3616</v>
      </c>
      <c r="Y172" t="s">
        <v>3617</v>
      </c>
      <c r="Z172" t="s">
        <v>3618</v>
      </c>
      <c r="AA172" t="s">
        <v>74</v>
      </c>
      <c r="AB172" t="s">
        <v>3619</v>
      </c>
      <c r="AC172" t="s">
        <v>3620</v>
      </c>
      <c r="AD172" t="s">
        <v>3621</v>
      </c>
      <c r="AE172" t="s">
        <v>3622</v>
      </c>
      <c r="AF172" t="s">
        <v>74</v>
      </c>
      <c r="AG172">
        <v>70</v>
      </c>
      <c r="AH172">
        <v>57</v>
      </c>
      <c r="AI172">
        <v>63</v>
      </c>
      <c r="AJ172">
        <v>1</v>
      </c>
      <c r="AK172">
        <v>50</v>
      </c>
      <c r="AL172" t="s">
        <v>92</v>
      </c>
      <c r="AM172" t="s">
        <v>93</v>
      </c>
      <c r="AN172" t="s">
        <v>94</v>
      </c>
      <c r="AO172" t="s">
        <v>3066</v>
      </c>
      <c r="AP172" t="s">
        <v>3067</v>
      </c>
      <c r="AQ172" t="s">
        <v>74</v>
      </c>
      <c r="AR172" t="s">
        <v>3068</v>
      </c>
      <c r="AS172" t="s">
        <v>3069</v>
      </c>
      <c r="AT172" t="s">
        <v>420</v>
      </c>
      <c r="AU172">
        <v>2012</v>
      </c>
      <c r="AV172">
        <v>35</v>
      </c>
      <c r="AW172">
        <v>5</v>
      </c>
      <c r="AX172" t="s">
        <v>74</v>
      </c>
      <c r="AY172" t="s">
        <v>74</v>
      </c>
      <c r="AZ172" t="s">
        <v>152</v>
      </c>
      <c r="BA172" t="s">
        <v>74</v>
      </c>
      <c r="BB172">
        <v>293</v>
      </c>
      <c r="BC172">
        <v>304</v>
      </c>
      <c r="BD172" t="s">
        <v>74</v>
      </c>
      <c r="BE172" t="s">
        <v>3623</v>
      </c>
      <c r="BF172" t="str">
        <f>HYPERLINK("http://dx.doi.org/10.1179/2045772312Y.0000000036","http://dx.doi.org/10.1179/2045772312Y.0000000036")</f>
        <v>http://dx.doi.org/10.1179/2045772312Y.0000000036</v>
      </c>
      <c r="BG172" t="s">
        <v>74</v>
      </c>
      <c r="BH172" t="s">
        <v>74</v>
      </c>
      <c r="BI172">
        <v>12</v>
      </c>
      <c r="BJ172" t="s">
        <v>541</v>
      </c>
      <c r="BK172" t="s">
        <v>102</v>
      </c>
      <c r="BL172" t="s">
        <v>375</v>
      </c>
      <c r="BM172" t="s">
        <v>3624</v>
      </c>
      <c r="BN172">
        <v>23031166</v>
      </c>
      <c r="BO172" t="s">
        <v>2246</v>
      </c>
      <c r="BP172" t="s">
        <v>74</v>
      </c>
      <c r="BQ172" t="s">
        <v>74</v>
      </c>
      <c r="BR172" t="s">
        <v>105</v>
      </c>
      <c r="BS172" t="s">
        <v>3625</v>
      </c>
      <c r="BT172" t="str">
        <f>HYPERLINK("https%3A%2F%2Fwww.webofscience.com%2Fwos%2Fwoscc%2Ffull-record%2FWOS:000309945000005","View Full Record in Web of Science")</f>
        <v>View Full Record in Web of Science</v>
      </c>
    </row>
    <row r="173" spans="1:72" x14ac:dyDescent="0.25">
      <c r="A173" t="s">
        <v>72</v>
      </c>
      <c r="B173" t="s">
        <v>3626</v>
      </c>
      <c r="C173" t="s">
        <v>74</v>
      </c>
      <c r="D173" t="s">
        <v>74</v>
      </c>
      <c r="E173" t="s">
        <v>74</v>
      </c>
      <c r="F173" t="s">
        <v>3627</v>
      </c>
      <c r="G173" t="s">
        <v>74</v>
      </c>
      <c r="H173" t="s">
        <v>74</v>
      </c>
      <c r="I173" t="s">
        <v>3628</v>
      </c>
      <c r="J173" t="s">
        <v>3629</v>
      </c>
      <c r="K173" t="s">
        <v>74</v>
      </c>
      <c r="L173" t="s">
        <v>74</v>
      </c>
      <c r="M173" t="s">
        <v>78</v>
      </c>
      <c r="N173" t="s">
        <v>79</v>
      </c>
      <c r="O173" t="s">
        <v>74</v>
      </c>
      <c r="P173" t="s">
        <v>74</v>
      </c>
      <c r="Q173" t="s">
        <v>74</v>
      </c>
      <c r="R173" t="s">
        <v>74</v>
      </c>
      <c r="S173" t="s">
        <v>74</v>
      </c>
      <c r="T173" t="s">
        <v>3630</v>
      </c>
      <c r="U173" t="s">
        <v>3631</v>
      </c>
      <c r="V173" t="s">
        <v>3632</v>
      </c>
      <c r="W173" t="s">
        <v>3633</v>
      </c>
      <c r="X173" t="s">
        <v>3634</v>
      </c>
      <c r="Y173" t="s">
        <v>3635</v>
      </c>
      <c r="Z173" t="s">
        <v>3636</v>
      </c>
      <c r="AA173" t="s">
        <v>3637</v>
      </c>
      <c r="AB173" t="s">
        <v>3638</v>
      </c>
      <c r="AC173" t="s">
        <v>3639</v>
      </c>
      <c r="AD173" t="s">
        <v>3639</v>
      </c>
      <c r="AE173" t="s">
        <v>3640</v>
      </c>
      <c r="AF173" t="s">
        <v>74</v>
      </c>
      <c r="AG173">
        <v>90</v>
      </c>
      <c r="AH173">
        <v>5</v>
      </c>
      <c r="AI173">
        <v>5</v>
      </c>
      <c r="AJ173">
        <v>1</v>
      </c>
      <c r="AK173">
        <v>3</v>
      </c>
      <c r="AL173" t="s">
        <v>1605</v>
      </c>
      <c r="AM173" t="s">
        <v>1606</v>
      </c>
      <c r="AN173" t="s">
        <v>1607</v>
      </c>
      <c r="AO173" t="s">
        <v>3641</v>
      </c>
      <c r="AP173" t="s">
        <v>74</v>
      </c>
      <c r="AQ173" t="s">
        <v>74</v>
      </c>
      <c r="AR173" t="s">
        <v>3642</v>
      </c>
      <c r="AS173" t="s">
        <v>3643</v>
      </c>
      <c r="AT173" t="s">
        <v>1471</v>
      </c>
      <c r="AU173">
        <v>2021</v>
      </c>
      <c r="AV173">
        <v>3</v>
      </c>
      <c r="AW173">
        <v>1</v>
      </c>
      <c r="AX173" t="s">
        <v>74</v>
      </c>
      <c r="AY173" t="s">
        <v>74</v>
      </c>
      <c r="AZ173" t="s">
        <v>74</v>
      </c>
      <c r="BA173" t="s">
        <v>74</v>
      </c>
      <c r="BB173" t="s">
        <v>74</v>
      </c>
      <c r="BC173" t="s">
        <v>74</v>
      </c>
      <c r="BD173">
        <v>100104</v>
      </c>
      <c r="BE173" t="s">
        <v>3644</v>
      </c>
      <c r="BF173" t="str">
        <f>HYPERLINK("http://dx.doi.org/10.1016/j.arrct.2021.100104","http://dx.doi.org/10.1016/j.arrct.2021.100104")</f>
        <v>http://dx.doi.org/10.1016/j.arrct.2021.100104</v>
      </c>
      <c r="BG173" t="s">
        <v>74</v>
      </c>
      <c r="BH173" t="s">
        <v>74</v>
      </c>
      <c r="BI173">
        <v>19</v>
      </c>
      <c r="BJ173" t="s">
        <v>101</v>
      </c>
      <c r="BK173" t="s">
        <v>155</v>
      </c>
      <c r="BL173" t="s">
        <v>101</v>
      </c>
      <c r="BM173" t="s">
        <v>3645</v>
      </c>
      <c r="BN173">
        <v>33778477</v>
      </c>
      <c r="BO173" t="s">
        <v>131</v>
      </c>
      <c r="BP173" t="s">
        <v>74</v>
      </c>
      <c r="BQ173" t="s">
        <v>74</v>
      </c>
      <c r="BR173" t="s">
        <v>105</v>
      </c>
      <c r="BS173" t="s">
        <v>3646</v>
      </c>
      <c r="BT173" t="str">
        <f>HYPERLINK("https%3A%2F%2Fwww.webofscience.com%2Fwos%2Fwoscc%2Ffull-record%2FWOS:001134976600014","View Full Record in Web of Science")</f>
        <v>View Full Record in Web of Science</v>
      </c>
    </row>
    <row r="174" spans="1:72" x14ac:dyDescent="0.25">
      <c r="A174" t="s">
        <v>72</v>
      </c>
      <c r="B174" t="s">
        <v>3647</v>
      </c>
      <c r="C174" t="s">
        <v>74</v>
      </c>
      <c r="D174" t="s">
        <v>74</v>
      </c>
      <c r="E174" t="s">
        <v>74</v>
      </c>
      <c r="F174" t="s">
        <v>3648</v>
      </c>
      <c r="G174" t="s">
        <v>74</v>
      </c>
      <c r="H174" t="s">
        <v>74</v>
      </c>
      <c r="I174" t="s">
        <v>3649</v>
      </c>
      <c r="J174" t="s">
        <v>406</v>
      </c>
      <c r="K174" t="s">
        <v>74</v>
      </c>
      <c r="L174" t="s">
        <v>74</v>
      </c>
      <c r="M174" t="s">
        <v>78</v>
      </c>
      <c r="N174" t="s">
        <v>79</v>
      </c>
      <c r="O174" t="s">
        <v>74</v>
      </c>
      <c r="P174" t="s">
        <v>74</v>
      </c>
      <c r="Q174" t="s">
        <v>74</v>
      </c>
      <c r="R174" t="s">
        <v>74</v>
      </c>
      <c r="S174" t="s">
        <v>74</v>
      </c>
      <c r="T174" t="s">
        <v>3650</v>
      </c>
      <c r="U174" t="s">
        <v>3651</v>
      </c>
      <c r="V174" t="s">
        <v>3652</v>
      </c>
      <c r="W174" t="s">
        <v>3653</v>
      </c>
      <c r="X174" t="s">
        <v>3654</v>
      </c>
      <c r="Y174" t="s">
        <v>3655</v>
      </c>
      <c r="Z174" t="s">
        <v>3656</v>
      </c>
      <c r="AA174" t="s">
        <v>74</v>
      </c>
      <c r="AB174" t="s">
        <v>3657</v>
      </c>
      <c r="AC174" t="s">
        <v>3658</v>
      </c>
      <c r="AD174" t="s">
        <v>3654</v>
      </c>
      <c r="AE174" t="s">
        <v>3659</v>
      </c>
      <c r="AF174" t="s">
        <v>74</v>
      </c>
      <c r="AG174">
        <v>44</v>
      </c>
      <c r="AH174">
        <v>51</v>
      </c>
      <c r="AI174">
        <v>54</v>
      </c>
      <c r="AJ174">
        <v>12</v>
      </c>
      <c r="AK174">
        <v>108</v>
      </c>
      <c r="AL174" t="s">
        <v>120</v>
      </c>
      <c r="AM174" t="s">
        <v>121</v>
      </c>
      <c r="AN174" t="s">
        <v>122</v>
      </c>
      <c r="AO174" t="s">
        <v>74</v>
      </c>
      <c r="AP174" t="s">
        <v>417</v>
      </c>
      <c r="AQ174" t="s">
        <v>74</v>
      </c>
      <c r="AR174" t="s">
        <v>418</v>
      </c>
      <c r="AS174" t="s">
        <v>419</v>
      </c>
      <c r="AT174" t="s">
        <v>1471</v>
      </c>
      <c r="AU174">
        <v>2021</v>
      </c>
      <c r="AV174">
        <v>9</v>
      </c>
      <c r="AW174">
        <v>3</v>
      </c>
      <c r="AX174" t="s">
        <v>74</v>
      </c>
      <c r="AY174" t="s">
        <v>74</v>
      </c>
      <c r="AZ174" t="s">
        <v>74</v>
      </c>
      <c r="BA174" t="s">
        <v>74</v>
      </c>
      <c r="BB174" t="s">
        <v>74</v>
      </c>
      <c r="BC174" t="s">
        <v>74</v>
      </c>
      <c r="BD174">
        <v>293</v>
      </c>
      <c r="BE174" t="s">
        <v>3660</v>
      </c>
      <c r="BF174" t="str">
        <f>HYPERLINK("http://dx.doi.org/10.3390/healthcare9030293","http://dx.doi.org/10.3390/healthcare9030293")</f>
        <v>http://dx.doi.org/10.3390/healthcare9030293</v>
      </c>
      <c r="BG174" t="s">
        <v>74</v>
      </c>
      <c r="BH174" t="s">
        <v>74</v>
      </c>
      <c r="BI174">
        <v>25</v>
      </c>
      <c r="BJ174" t="s">
        <v>422</v>
      </c>
      <c r="BK174" t="s">
        <v>102</v>
      </c>
      <c r="BL174" t="s">
        <v>423</v>
      </c>
      <c r="BM174" t="s">
        <v>3661</v>
      </c>
      <c r="BN174">
        <v>33800099</v>
      </c>
      <c r="BO174" t="s">
        <v>355</v>
      </c>
      <c r="BP174" t="s">
        <v>74</v>
      </c>
      <c r="BQ174" t="s">
        <v>74</v>
      </c>
      <c r="BR174" t="s">
        <v>105</v>
      </c>
      <c r="BS174" t="s">
        <v>3662</v>
      </c>
      <c r="BT174" t="str">
        <f>HYPERLINK("https%3A%2F%2Fwww.webofscience.com%2Fwos%2Fwoscc%2Ffull-record%2FWOS:000633702900001","View Full Record in Web of Science")</f>
        <v>View Full Record in Web of Science</v>
      </c>
    </row>
    <row r="175" spans="1:72" x14ac:dyDescent="0.25">
      <c r="A175" t="s">
        <v>72</v>
      </c>
      <c r="B175" t="s">
        <v>3663</v>
      </c>
      <c r="C175" t="s">
        <v>74</v>
      </c>
      <c r="D175" t="s">
        <v>74</v>
      </c>
      <c r="E175" t="s">
        <v>74</v>
      </c>
      <c r="F175" t="s">
        <v>3664</v>
      </c>
      <c r="G175" t="s">
        <v>74</v>
      </c>
      <c r="H175" t="s">
        <v>74</v>
      </c>
      <c r="I175" t="s">
        <v>3665</v>
      </c>
      <c r="J175" t="s">
        <v>3666</v>
      </c>
      <c r="K175" t="s">
        <v>74</v>
      </c>
      <c r="L175" t="s">
        <v>74</v>
      </c>
      <c r="M175" t="s">
        <v>78</v>
      </c>
      <c r="N175" t="s">
        <v>79</v>
      </c>
      <c r="O175" t="s">
        <v>74</v>
      </c>
      <c r="P175" t="s">
        <v>74</v>
      </c>
      <c r="Q175" t="s">
        <v>74</v>
      </c>
      <c r="R175" t="s">
        <v>74</v>
      </c>
      <c r="S175" t="s">
        <v>74</v>
      </c>
      <c r="T175" t="s">
        <v>74</v>
      </c>
      <c r="U175" t="s">
        <v>3667</v>
      </c>
      <c r="V175" t="s">
        <v>3668</v>
      </c>
      <c r="W175" t="s">
        <v>3669</v>
      </c>
      <c r="X175" t="s">
        <v>3670</v>
      </c>
      <c r="Y175" t="s">
        <v>3671</v>
      </c>
      <c r="Z175" t="s">
        <v>3672</v>
      </c>
      <c r="AA175" t="s">
        <v>3673</v>
      </c>
      <c r="AB175" t="s">
        <v>3674</v>
      </c>
      <c r="AC175" t="s">
        <v>74</v>
      </c>
      <c r="AD175" t="s">
        <v>74</v>
      </c>
      <c r="AE175" t="s">
        <v>74</v>
      </c>
      <c r="AF175" t="s">
        <v>74</v>
      </c>
      <c r="AG175">
        <v>32</v>
      </c>
      <c r="AH175">
        <v>52</v>
      </c>
      <c r="AI175">
        <v>57</v>
      </c>
      <c r="AJ175">
        <v>4</v>
      </c>
      <c r="AK175">
        <v>13</v>
      </c>
      <c r="AL175" t="s">
        <v>3675</v>
      </c>
      <c r="AM175" t="s">
        <v>173</v>
      </c>
      <c r="AN175" t="s">
        <v>3676</v>
      </c>
      <c r="AO175" t="s">
        <v>3677</v>
      </c>
      <c r="AP175" t="s">
        <v>3678</v>
      </c>
      <c r="AQ175" t="s">
        <v>74</v>
      </c>
      <c r="AR175" t="s">
        <v>3679</v>
      </c>
      <c r="AS175" t="s">
        <v>3680</v>
      </c>
      <c r="AT175" t="s">
        <v>151</v>
      </c>
      <c r="AU175">
        <v>2021</v>
      </c>
      <c r="AV175">
        <v>96</v>
      </c>
      <c r="AW175">
        <v>12</v>
      </c>
      <c r="AX175" t="s">
        <v>74</v>
      </c>
      <c r="AY175" t="s">
        <v>74</v>
      </c>
      <c r="AZ175" t="s">
        <v>74</v>
      </c>
      <c r="BA175" t="s">
        <v>74</v>
      </c>
      <c r="BB175">
        <v>3122</v>
      </c>
      <c r="BC175">
        <v>3129</v>
      </c>
      <c r="BD175" t="s">
        <v>74</v>
      </c>
      <c r="BE175" t="s">
        <v>3681</v>
      </c>
      <c r="BF175" t="str">
        <f>HYPERLINK("http://dx.doi.org/10.1016/j.mayocp.2021.09.005","http://dx.doi.org/10.1016/j.mayocp.2021.09.005")</f>
        <v>http://dx.doi.org/10.1016/j.mayocp.2021.09.005</v>
      </c>
      <c r="BG175" t="s">
        <v>74</v>
      </c>
      <c r="BH175" t="s">
        <v>235</v>
      </c>
      <c r="BI175">
        <v>8</v>
      </c>
      <c r="BJ175" t="s">
        <v>128</v>
      </c>
      <c r="BK175" t="s">
        <v>182</v>
      </c>
      <c r="BL175" t="s">
        <v>129</v>
      </c>
      <c r="BM175" t="s">
        <v>3682</v>
      </c>
      <c r="BN175">
        <v>34863399</v>
      </c>
      <c r="BO175" t="s">
        <v>1052</v>
      </c>
      <c r="BP175" t="s">
        <v>74</v>
      </c>
      <c r="BQ175" t="s">
        <v>74</v>
      </c>
      <c r="BR175" t="s">
        <v>105</v>
      </c>
      <c r="BS175" t="s">
        <v>3683</v>
      </c>
      <c r="BT175" t="str">
        <f>HYPERLINK("https%3A%2F%2Fwww.webofscience.com%2Fwos%2Fwoscc%2Ffull-record%2FWOS:000726699200026","View Full Record in Web of Science")</f>
        <v>View Full Record in Web of Science</v>
      </c>
    </row>
    <row r="176" spans="1:72" x14ac:dyDescent="0.25">
      <c r="A176" t="s">
        <v>72</v>
      </c>
      <c r="B176" t="s">
        <v>3684</v>
      </c>
      <c r="C176" t="s">
        <v>74</v>
      </c>
      <c r="D176" t="s">
        <v>74</v>
      </c>
      <c r="E176" t="s">
        <v>74</v>
      </c>
      <c r="F176" t="s">
        <v>3685</v>
      </c>
      <c r="G176" t="s">
        <v>74</v>
      </c>
      <c r="H176" t="s">
        <v>74</v>
      </c>
      <c r="I176" t="s">
        <v>3686</v>
      </c>
      <c r="J176" t="s">
        <v>3687</v>
      </c>
      <c r="K176" t="s">
        <v>74</v>
      </c>
      <c r="L176" t="s">
        <v>74</v>
      </c>
      <c r="M176" t="s">
        <v>78</v>
      </c>
      <c r="N176" t="s">
        <v>79</v>
      </c>
      <c r="O176" t="s">
        <v>74</v>
      </c>
      <c r="P176" t="s">
        <v>74</v>
      </c>
      <c r="Q176" t="s">
        <v>74</v>
      </c>
      <c r="R176" t="s">
        <v>74</v>
      </c>
      <c r="S176" t="s">
        <v>74</v>
      </c>
      <c r="T176" t="s">
        <v>3688</v>
      </c>
      <c r="U176" t="s">
        <v>3689</v>
      </c>
      <c r="V176" t="s">
        <v>3690</v>
      </c>
      <c r="W176" t="s">
        <v>3691</v>
      </c>
      <c r="X176" t="s">
        <v>3692</v>
      </c>
      <c r="Y176" t="s">
        <v>3693</v>
      </c>
      <c r="Z176" t="s">
        <v>3694</v>
      </c>
      <c r="AA176" t="s">
        <v>3695</v>
      </c>
      <c r="AB176" t="s">
        <v>3696</v>
      </c>
      <c r="AC176" t="s">
        <v>74</v>
      </c>
      <c r="AD176" t="s">
        <v>74</v>
      </c>
      <c r="AE176" t="s">
        <v>74</v>
      </c>
      <c r="AF176" t="s">
        <v>74</v>
      </c>
      <c r="AG176">
        <v>233</v>
      </c>
      <c r="AH176">
        <v>192</v>
      </c>
      <c r="AI176">
        <v>205</v>
      </c>
      <c r="AJ176">
        <v>31</v>
      </c>
      <c r="AK176">
        <v>346</v>
      </c>
      <c r="AL176" t="s">
        <v>2998</v>
      </c>
      <c r="AM176" t="s">
        <v>2999</v>
      </c>
      <c r="AN176" t="s">
        <v>3000</v>
      </c>
      <c r="AO176" t="s">
        <v>3697</v>
      </c>
      <c r="AP176" t="s">
        <v>3698</v>
      </c>
      <c r="AQ176" t="s">
        <v>74</v>
      </c>
      <c r="AR176" t="s">
        <v>3699</v>
      </c>
      <c r="AS176" t="s">
        <v>3700</v>
      </c>
      <c r="AT176" t="s">
        <v>420</v>
      </c>
      <c r="AU176">
        <v>2021</v>
      </c>
      <c r="AV176">
        <v>31</v>
      </c>
      <c r="AW176">
        <v>39</v>
      </c>
      <c r="AX176" t="s">
        <v>74</v>
      </c>
      <c r="AY176" t="s">
        <v>74</v>
      </c>
      <c r="AZ176" t="s">
        <v>152</v>
      </c>
      <c r="BA176" t="s">
        <v>74</v>
      </c>
      <c r="BB176" t="s">
        <v>74</v>
      </c>
      <c r="BC176" t="s">
        <v>74</v>
      </c>
      <c r="BD176">
        <v>2007428</v>
      </c>
      <c r="BE176" t="s">
        <v>3701</v>
      </c>
      <c r="BF176" t="str">
        <f>HYPERLINK("http://dx.doi.org/10.1002/adfm.202007428","http://dx.doi.org/10.1002/adfm.202007428")</f>
        <v>http://dx.doi.org/10.1002/adfm.202007428</v>
      </c>
      <c r="BG176" t="s">
        <v>74</v>
      </c>
      <c r="BH176" t="s">
        <v>2488</v>
      </c>
      <c r="BI176">
        <v>26</v>
      </c>
      <c r="BJ176" t="s">
        <v>3702</v>
      </c>
      <c r="BK176" t="s">
        <v>182</v>
      </c>
      <c r="BL176" t="s">
        <v>3703</v>
      </c>
      <c r="BM176" t="s">
        <v>3704</v>
      </c>
      <c r="BN176" t="s">
        <v>74</v>
      </c>
      <c r="BO176" t="s">
        <v>74</v>
      </c>
      <c r="BP176" t="s">
        <v>74</v>
      </c>
      <c r="BQ176" t="s">
        <v>74</v>
      </c>
      <c r="BR176" t="s">
        <v>105</v>
      </c>
      <c r="BS176" t="s">
        <v>3705</v>
      </c>
      <c r="BT176" t="str">
        <f>HYPERLINK("https%3A%2F%2Fwww.webofscience.com%2Fwos%2Fwoscc%2Ffull-record%2FWOS:000603655900001","View Full Record in Web of Science")</f>
        <v>View Full Record in Web of Science</v>
      </c>
    </row>
    <row r="177" spans="1:72" x14ac:dyDescent="0.25">
      <c r="A177" t="s">
        <v>72</v>
      </c>
      <c r="B177" t="s">
        <v>3706</v>
      </c>
      <c r="C177" t="s">
        <v>74</v>
      </c>
      <c r="D177" t="s">
        <v>74</v>
      </c>
      <c r="E177" t="s">
        <v>74</v>
      </c>
      <c r="F177" t="s">
        <v>3707</v>
      </c>
      <c r="G177" t="s">
        <v>74</v>
      </c>
      <c r="H177" t="s">
        <v>74</v>
      </c>
      <c r="I177" t="s">
        <v>3708</v>
      </c>
      <c r="J177" t="s">
        <v>2157</v>
      </c>
      <c r="K177" t="s">
        <v>74</v>
      </c>
      <c r="L177" t="s">
        <v>74</v>
      </c>
      <c r="M177" t="s">
        <v>78</v>
      </c>
      <c r="N177" t="s">
        <v>79</v>
      </c>
      <c r="O177" t="s">
        <v>74</v>
      </c>
      <c r="P177" t="s">
        <v>74</v>
      </c>
      <c r="Q177" t="s">
        <v>74</v>
      </c>
      <c r="R177" t="s">
        <v>74</v>
      </c>
      <c r="S177" t="s">
        <v>74</v>
      </c>
      <c r="T177" t="s">
        <v>3709</v>
      </c>
      <c r="U177" t="s">
        <v>3710</v>
      </c>
      <c r="V177" t="s">
        <v>3711</v>
      </c>
      <c r="W177" t="s">
        <v>3712</v>
      </c>
      <c r="X177" t="s">
        <v>3713</v>
      </c>
      <c r="Y177" t="s">
        <v>3714</v>
      </c>
      <c r="Z177" t="s">
        <v>3715</v>
      </c>
      <c r="AA177" t="s">
        <v>3716</v>
      </c>
      <c r="AB177" t="s">
        <v>3717</v>
      </c>
      <c r="AC177" t="s">
        <v>3718</v>
      </c>
      <c r="AD177" t="s">
        <v>3719</v>
      </c>
      <c r="AE177" t="s">
        <v>3720</v>
      </c>
      <c r="AF177" t="s">
        <v>74</v>
      </c>
      <c r="AG177">
        <v>70</v>
      </c>
      <c r="AH177">
        <v>17</v>
      </c>
      <c r="AI177">
        <v>19</v>
      </c>
      <c r="AJ177">
        <v>2</v>
      </c>
      <c r="AK177">
        <v>65</v>
      </c>
      <c r="AL177" t="s">
        <v>92</v>
      </c>
      <c r="AM177" t="s">
        <v>93</v>
      </c>
      <c r="AN177" t="s">
        <v>94</v>
      </c>
      <c r="AO177" t="s">
        <v>2170</v>
      </c>
      <c r="AP177" t="s">
        <v>2171</v>
      </c>
      <c r="AQ177" t="s">
        <v>74</v>
      </c>
      <c r="AR177" t="s">
        <v>2172</v>
      </c>
      <c r="AS177" t="s">
        <v>2173</v>
      </c>
      <c r="AT177" t="s">
        <v>74</v>
      </c>
      <c r="AU177">
        <v>2015</v>
      </c>
      <c r="AV177">
        <v>12</v>
      </c>
      <c r="AW177">
        <v>6</v>
      </c>
      <c r="AX177" t="s">
        <v>74</v>
      </c>
      <c r="AY177" t="s">
        <v>74</v>
      </c>
      <c r="AZ177" t="s">
        <v>74</v>
      </c>
      <c r="BA177" t="s">
        <v>74</v>
      </c>
      <c r="BB177">
        <v>703</v>
      </c>
      <c r="BC177">
        <v>715</v>
      </c>
      <c r="BD177" t="s">
        <v>74</v>
      </c>
      <c r="BE177" t="s">
        <v>3721</v>
      </c>
      <c r="BF177" t="str">
        <f>HYPERLINK("http://dx.doi.org/10.1586/17434440.2015.1091722","http://dx.doi.org/10.1586/17434440.2015.1091722")</f>
        <v>http://dx.doi.org/10.1586/17434440.2015.1091722</v>
      </c>
      <c r="BG177" t="s">
        <v>74</v>
      </c>
      <c r="BH177" t="s">
        <v>74</v>
      </c>
      <c r="BI177">
        <v>13</v>
      </c>
      <c r="BJ177" t="s">
        <v>282</v>
      </c>
      <c r="BK177" t="s">
        <v>182</v>
      </c>
      <c r="BL177" t="s">
        <v>183</v>
      </c>
      <c r="BM177" t="s">
        <v>3722</v>
      </c>
      <c r="BN177">
        <v>26415110</v>
      </c>
      <c r="BO177" t="s">
        <v>74</v>
      </c>
      <c r="BP177" t="s">
        <v>74</v>
      </c>
      <c r="BQ177" t="s">
        <v>74</v>
      </c>
      <c r="BR177" t="s">
        <v>105</v>
      </c>
      <c r="BS177" t="s">
        <v>3723</v>
      </c>
      <c r="BT177" t="str">
        <f>HYPERLINK("https%3A%2F%2Fwww.webofscience.com%2Fwos%2Fwoscc%2Ffull-record%2FWOS:000369871400007","View Full Record in Web of Science")</f>
        <v>View Full Record in Web of Science</v>
      </c>
    </row>
    <row r="178" spans="1:72" x14ac:dyDescent="0.25">
      <c r="A178" t="s">
        <v>72</v>
      </c>
      <c r="B178" t="s">
        <v>3724</v>
      </c>
      <c r="C178" t="s">
        <v>74</v>
      </c>
      <c r="D178" t="s">
        <v>74</v>
      </c>
      <c r="E178" t="s">
        <v>74</v>
      </c>
      <c r="F178" t="s">
        <v>3725</v>
      </c>
      <c r="G178" t="s">
        <v>74</v>
      </c>
      <c r="H178" t="s">
        <v>74</v>
      </c>
      <c r="I178" t="s">
        <v>3726</v>
      </c>
      <c r="J178" t="s">
        <v>892</v>
      </c>
      <c r="K178" t="s">
        <v>74</v>
      </c>
      <c r="L178" t="s">
        <v>74</v>
      </c>
      <c r="M178" t="s">
        <v>78</v>
      </c>
      <c r="N178" t="s">
        <v>79</v>
      </c>
      <c r="O178" t="s">
        <v>74</v>
      </c>
      <c r="P178" t="s">
        <v>74</v>
      </c>
      <c r="Q178" t="s">
        <v>74</v>
      </c>
      <c r="R178" t="s">
        <v>74</v>
      </c>
      <c r="S178" t="s">
        <v>74</v>
      </c>
      <c r="T178" t="s">
        <v>3727</v>
      </c>
      <c r="U178" t="s">
        <v>3728</v>
      </c>
      <c r="V178" t="s">
        <v>3729</v>
      </c>
      <c r="W178" t="s">
        <v>3730</v>
      </c>
      <c r="X178" t="s">
        <v>3731</v>
      </c>
      <c r="Y178" t="s">
        <v>3732</v>
      </c>
      <c r="Z178" t="s">
        <v>3733</v>
      </c>
      <c r="AA178" t="s">
        <v>3734</v>
      </c>
      <c r="AB178" t="s">
        <v>3735</v>
      </c>
      <c r="AC178" t="s">
        <v>74</v>
      </c>
      <c r="AD178" t="s">
        <v>74</v>
      </c>
      <c r="AE178" t="s">
        <v>74</v>
      </c>
      <c r="AF178" t="s">
        <v>74</v>
      </c>
      <c r="AG178">
        <v>175</v>
      </c>
      <c r="AH178">
        <v>2</v>
      </c>
      <c r="AI178">
        <v>2</v>
      </c>
      <c r="AJ178">
        <v>2</v>
      </c>
      <c r="AK178">
        <v>45</v>
      </c>
      <c r="AL178" t="s">
        <v>120</v>
      </c>
      <c r="AM178" t="s">
        <v>121</v>
      </c>
      <c r="AN178" t="s">
        <v>122</v>
      </c>
      <c r="AO178" t="s">
        <v>74</v>
      </c>
      <c r="AP178" t="s">
        <v>905</v>
      </c>
      <c r="AQ178" t="s">
        <v>74</v>
      </c>
      <c r="AR178" t="s">
        <v>906</v>
      </c>
      <c r="AS178" t="s">
        <v>907</v>
      </c>
      <c r="AT178" t="s">
        <v>634</v>
      </c>
      <c r="AU178">
        <v>2022</v>
      </c>
      <c r="AV178">
        <v>19</v>
      </c>
      <c r="AW178">
        <v>15</v>
      </c>
      <c r="AX178" t="s">
        <v>74</v>
      </c>
      <c r="AY178" t="s">
        <v>74</v>
      </c>
      <c r="AZ178" t="s">
        <v>74</v>
      </c>
      <c r="BA178" t="s">
        <v>74</v>
      </c>
      <c r="BB178" t="s">
        <v>74</v>
      </c>
      <c r="BC178" t="s">
        <v>74</v>
      </c>
      <c r="BD178">
        <v>9233</v>
      </c>
      <c r="BE178" t="s">
        <v>3736</v>
      </c>
      <c r="BF178" t="str">
        <f>HYPERLINK("http://dx.doi.org/10.3390/ijerph19159233","http://dx.doi.org/10.3390/ijerph19159233")</f>
        <v>http://dx.doi.org/10.3390/ijerph19159233</v>
      </c>
      <c r="BG178" t="s">
        <v>74</v>
      </c>
      <c r="BH178" t="s">
        <v>74</v>
      </c>
      <c r="BI178">
        <v>18</v>
      </c>
      <c r="BJ178" t="s">
        <v>909</v>
      </c>
      <c r="BK178" t="s">
        <v>102</v>
      </c>
      <c r="BL178" t="s">
        <v>910</v>
      </c>
      <c r="BM178" t="s">
        <v>3737</v>
      </c>
      <c r="BN178">
        <v>35954587</v>
      </c>
      <c r="BO178" t="s">
        <v>355</v>
      </c>
      <c r="BP178" t="s">
        <v>74</v>
      </c>
      <c r="BQ178" t="s">
        <v>74</v>
      </c>
      <c r="BR178" t="s">
        <v>105</v>
      </c>
      <c r="BS178" t="s">
        <v>3738</v>
      </c>
      <c r="BT178" t="str">
        <f>HYPERLINK("https%3A%2F%2Fwww.webofscience.com%2Fwos%2Fwoscc%2Ffull-record%2FWOS:000839364800001","View Full Record in Web of Science")</f>
        <v>View Full Record in Web of Science</v>
      </c>
    </row>
    <row r="179" spans="1:72" x14ac:dyDescent="0.25">
      <c r="A179" t="s">
        <v>72</v>
      </c>
      <c r="B179" t="s">
        <v>3739</v>
      </c>
      <c r="C179" t="s">
        <v>74</v>
      </c>
      <c r="D179" t="s">
        <v>74</v>
      </c>
      <c r="E179" t="s">
        <v>74</v>
      </c>
      <c r="F179" t="s">
        <v>3740</v>
      </c>
      <c r="G179" t="s">
        <v>74</v>
      </c>
      <c r="H179" t="s">
        <v>3741</v>
      </c>
      <c r="I179" t="s">
        <v>3742</v>
      </c>
      <c r="J179" t="s">
        <v>190</v>
      </c>
      <c r="K179" t="s">
        <v>74</v>
      </c>
      <c r="L179" t="s">
        <v>74</v>
      </c>
      <c r="M179" t="s">
        <v>78</v>
      </c>
      <c r="N179" t="s">
        <v>79</v>
      </c>
      <c r="O179" t="s">
        <v>74</v>
      </c>
      <c r="P179" t="s">
        <v>74</v>
      </c>
      <c r="Q179" t="s">
        <v>74</v>
      </c>
      <c r="R179" t="s">
        <v>74</v>
      </c>
      <c r="S179" t="s">
        <v>74</v>
      </c>
      <c r="T179" t="s">
        <v>3743</v>
      </c>
      <c r="U179" t="s">
        <v>3744</v>
      </c>
      <c r="V179" t="s">
        <v>3745</v>
      </c>
      <c r="W179" t="s">
        <v>3746</v>
      </c>
      <c r="X179" t="s">
        <v>3747</v>
      </c>
      <c r="Y179" t="s">
        <v>3748</v>
      </c>
      <c r="Z179" t="s">
        <v>3749</v>
      </c>
      <c r="AA179" t="s">
        <v>3750</v>
      </c>
      <c r="AB179" t="s">
        <v>3751</v>
      </c>
      <c r="AC179" t="s">
        <v>74</v>
      </c>
      <c r="AD179" t="s">
        <v>74</v>
      </c>
      <c r="AE179" t="s">
        <v>74</v>
      </c>
      <c r="AF179" t="s">
        <v>74</v>
      </c>
      <c r="AG179">
        <v>53</v>
      </c>
      <c r="AH179">
        <v>30</v>
      </c>
      <c r="AI179">
        <v>31</v>
      </c>
      <c r="AJ179">
        <v>0</v>
      </c>
      <c r="AK179">
        <v>21</v>
      </c>
      <c r="AL179" t="s">
        <v>202</v>
      </c>
      <c r="AM179" t="s">
        <v>203</v>
      </c>
      <c r="AN179" t="s">
        <v>204</v>
      </c>
      <c r="AO179" t="s">
        <v>205</v>
      </c>
      <c r="AP179" t="s">
        <v>206</v>
      </c>
      <c r="AQ179" t="s">
        <v>74</v>
      </c>
      <c r="AR179" t="s">
        <v>207</v>
      </c>
      <c r="AS179" t="s">
        <v>208</v>
      </c>
      <c r="AT179" t="s">
        <v>487</v>
      </c>
      <c r="AU179">
        <v>2021</v>
      </c>
      <c r="AV179">
        <v>57</v>
      </c>
      <c r="AW179">
        <v>2</v>
      </c>
      <c r="AX179" t="s">
        <v>74</v>
      </c>
      <c r="AY179" t="s">
        <v>74</v>
      </c>
      <c r="AZ179" t="s">
        <v>74</v>
      </c>
      <c r="BA179" t="s">
        <v>74</v>
      </c>
      <c r="BB179">
        <v>246</v>
      </c>
      <c r="BC179">
        <v>253</v>
      </c>
      <c r="BD179" t="s">
        <v>74</v>
      </c>
      <c r="BE179" t="s">
        <v>3752</v>
      </c>
      <c r="BF179" t="str">
        <f>HYPERLINK("http://dx.doi.org/10.23736/S1973-9087.21.06692-2","http://dx.doi.org/10.23736/S1973-9087.21.06692-2")</f>
        <v>http://dx.doi.org/10.23736/S1973-9087.21.06692-2</v>
      </c>
      <c r="BG179" t="s">
        <v>74</v>
      </c>
      <c r="BH179" t="s">
        <v>74</v>
      </c>
      <c r="BI179">
        <v>8</v>
      </c>
      <c r="BJ179" t="s">
        <v>101</v>
      </c>
      <c r="BK179" t="s">
        <v>182</v>
      </c>
      <c r="BL179" t="s">
        <v>101</v>
      </c>
      <c r="BM179" t="s">
        <v>3753</v>
      </c>
      <c r="BN179">
        <v>33541044</v>
      </c>
      <c r="BO179" t="s">
        <v>74</v>
      </c>
      <c r="BP179" t="s">
        <v>74</v>
      </c>
      <c r="BQ179" t="s">
        <v>74</v>
      </c>
      <c r="BR179" t="s">
        <v>105</v>
      </c>
      <c r="BS179" t="s">
        <v>3754</v>
      </c>
      <c r="BT179" t="str">
        <f>HYPERLINK("https%3A%2F%2Fwww.webofscience.com%2Fwos%2Fwoscc%2Ffull-record%2FWOS:000650215100009","View Full Record in Web of Science")</f>
        <v>View Full Record in Web of Science</v>
      </c>
    </row>
    <row r="180" spans="1:72" x14ac:dyDescent="0.25">
      <c r="A180" t="s">
        <v>72</v>
      </c>
      <c r="B180" t="s">
        <v>3755</v>
      </c>
      <c r="C180" t="s">
        <v>74</v>
      </c>
      <c r="D180" t="s">
        <v>74</v>
      </c>
      <c r="E180" t="s">
        <v>74</v>
      </c>
      <c r="F180" t="s">
        <v>3756</v>
      </c>
      <c r="G180" t="s">
        <v>74</v>
      </c>
      <c r="H180" t="s">
        <v>74</v>
      </c>
      <c r="I180" t="s">
        <v>3757</v>
      </c>
      <c r="J180" t="s">
        <v>594</v>
      </c>
      <c r="K180" t="s">
        <v>74</v>
      </c>
      <c r="L180" t="s">
        <v>74</v>
      </c>
      <c r="M180" t="s">
        <v>78</v>
      </c>
      <c r="N180" t="s">
        <v>79</v>
      </c>
      <c r="O180" t="s">
        <v>74</v>
      </c>
      <c r="P180" t="s">
        <v>74</v>
      </c>
      <c r="Q180" t="s">
        <v>74</v>
      </c>
      <c r="R180" t="s">
        <v>74</v>
      </c>
      <c r="S180" t="s">
        <v>74</v>
      </c>
      <c r="T180" t="s">
        <v>3758</v>
      </c>
      <c r="U180" t="s">
        <v>3759</v>
      </c>
      <c r="V180" t="s">
        <v>3760</v>
      </c>
      <c r="W180" t="s">
        <v>3761</v>
      </c>
      <c r="X180" t="s">
        <v>1013</v>
      </c>
      <c r="Y180" t="s">
        <v>3762</v>
      </c>
      <c r="Z180" t="s">
        <v>3763</v>
      </c>
      <c r="AA180" t="s">
        <v>3764</v>
      </c>
      <c r="AB180" t="s">
        <v>3765</v>
      </c>
      <c r="AC180" t="s">
        <v>3766</v>
      </c>
      <c r="AD180" t="s">
        <v>3767</v>
      </c>
      <c r="AE180" t="s">
        <v>3768</v>
      </c>
      <c r="AF180" t="s">
        <v>74</v>
      </c>
      <c r="AG180">
        <v>140</v>
      </c>
      <c r="AH180">
        <v>255</v>
      </c>
      <c r="AI180">
        <v>285</v>
      </c>
      <c r="AJ180">
        <v>11</v>
      </c>
      <c r="AK180">
        <v>127</v>
      </c>
      <c r="AL180" t="s">
        <v>274</v>
      </c>
      <c r="AM180" t="s">
        <v>275</v>
      </c>
      <c r="AN180" t="s">
        <v>276</v>
      </c>
      <c r="AO180" t="s">
        <v>74</v>
      </c>
      <c r="AP180" t="s">
        <v>606</v>
      </c>
      <c r="AQ180" t="s">
        <v>74</v>
      </c>
      <c r="AR180" t="s">
        <v>607</v>
      </c>
      <c r="AS180" t="s">
        <v>608</v>
      </c>
      <c r="AT180" t="s">
        <v>3769</v>
      </c>
      <c r="AU180">
        <v>2018</v>
      </c>
      <c r="AV180">
        <v>15</v>
      </c>
      <c r="AW180" t="s">
        <v>74</v>
      </c>
      <c r="AX180" t="s">
        <v>74</v>
      </c>
      <c r="AY180" t="s">
        <v>74</v>
      </c>
      <c r="AZ180" t="s">
        <v>74</v>
      </c>
      <c r="BA180" t="s">
        <v>74</v>
      </c>
      <c r="BB180" t="s">
        <v>74</v>
      </c>
      <c r="BC180" t="s">
        <v>74</v>
      </c>
      <c r="BD180">
        <v>46</v>
      </c>
      <c r="BE180" t="s">
        <v>3770</v>
      </c>
      <c r="BF180" t="str">
        <f>HYPERLINK("http://dx.doi.org/10.1186/s12984-018-0383-x","http://dx.doi.org/10.1186/s12984-018-0383-x")</f>
        <v>http://dx.doi.org/10.1186/s12984-018-0383-x</v>
      </c>
      <c r="BG180" t="s">
        <v>74</v>
      </c>
      <c r="BH180" t="s">
        <v>74</v>
      </c>
      <c r="BI180">
        <v>15</v>
      </c>
      <c r="BJ180" t="s">
        <v>611</v>
      </c>
      <c r="BK180" t="s">
        <v>102</v>
      </c>
      <c r="BL180" t="s">
        <v>612</v>
      </c>
      <c r="BM180" t="s">
        <v>3771</v>
      </c>
      <c r="BN180">
        <v>29866106</v>
      </c>
      <c r="BO180" t="s">
        <v>3772</v>
      </c>
      <c r="BP180" t="s">
        <v>74</v>
      </c>
      <c r="BQ180" t="s">
        <v>74</v>
      </c>
      <c r="BR180" t="s">
        <v>105</v>
      </c>
      <c r="BS180" t="s">
        <v>3773</v>
      </c>
      <c r="BT180" t="str">
        <f>HYPERLINK("https%3A%2F%2Fwww.webofscience.com%2Fwos%2Fwoscc%2Ffull-record%2FWOS:000434287800001","View Full Record in Web of Science")</f>
        <v>View Full Record in Web of Science</v>
      </c>
    </row>
    <row r="181" spans="1:72" x14ac:dyDescent="0.25">
      <c r="A181" t="s">
        <v>72</v>
      </c>
      <c r="B181" t="s">
        <v>3774</v>
      </c>
      <c r="C181" t="s">
        <v>74</v>
      </c>
      <c r="D181" t="s">
        <v>74</v>
      </c>
      <c r="E181" t="s">
        <v>74</v>
      </c>
      <c r="F181" t="s">
        <v>3775</v>
      </c>
      <c r="G181" t="s">
        <v>74</v>
      </c>
      <c r="H181" t="s">
        <v>74</v>
      </c>
      <c r="I181" t="s">
        <v>3776</v>
      </c>
      <c r="J181" t="s">
        <v>214</v>
      </c>
      <c r="K181" t="s">
        <v>74</v>
      </c>
      <c r="L181" t="s">
        <v>74</v>
      </c>
      <c r="M181" t="s">
        <v>78</v>
      </c>
      <c r="N181" t="s">
        <v>79</v>
      </c>
      <c r="O181" t="s">
        <v>74</v>
      </c>
      <c r="P181" t="s">
        <v>74</v>
      </c>
      <c r="Q181" t="s">
        <v>74</v>
      </c>
      <c r="R181" t="s">
        <v>74</v>
      </c>
      <c r="S181" t="s">
        <v>74</v>
      </c>
      <c r="T181" t="s">
        <v>3777</v>
      </c>
      <c r="U181" t="s">
        <v>3778</v>
      </c>
      <c r="V181" t="s">
        <v>3779</v>
      </c>
      <c r="W181" t="s">
        <v>3780</v>
      </c>
      <c r="X181" t="s">
        <v>3781</v>
      </c>
      <c r="Y181" t="s">
        <v>3782</v>
      </c>
      <c r="Z181" t="s">
        <v>3783</v>
      </c>
      <c r="AA181" t="s">
        <v>3784</v>
      </c>
      <c r="AB181" t="s">
        <v>3785</v>
      </c>
      <c r="AC181" t="s">
        <v>3786</v>
      </c>
      <c r="AD181" t="s">
        <v>3787</v>
      </c>
      <c r="AE181" t="s">
        <v>3788</v>
      </c>
      <c r="AF181" t="s">
        <v>74</v>
      </c>
      <c r="AG181">
        <v>180</v>
      </c>
      <c r="AH181">
        <v>38</v>
      </c>
      <c r="AI181">
        <v>40</v>
      </c>
      <c r="AJ181">
        <v>2</v>
      </c>
      <c r="AK181">
        <v>61</v>
      </c>
      <c r="AL181" t="s">
        <v>226</v>
      </c>
      <c r="AM181" t="s">
        <v>227</v>
      </c>
      <c r="AN181" t="s">
        <v>228</v>
      </c>
      <c r="AO181" t="s">
        <v>229</v>
      </c>
      <c r="AP181" t="s">
        <v>230</v>
      </c>
      <c r="AQ181" t="s">
        <v>74</v>
      </c>
      <c r="AR181" t="s">
        <v>231</v>
      </c>
      <c r="AS181" t="s">
        <v>232</v>
      </c>
      <c r="AT181" t="s">
        <v>351</v>
      </c>
      <c r="AU181">
        <v>2019</v>
      </c>
      <c r="AV181">
        <v>100</v>
      </c>
      <c r="AW181">
        <v>2</v>
      </c>
      <c r="AX181" t="s">
        <v>74</v>
      </c>
      <c r="AY181" t="s">
        <v>74</v>
      </c>
      <c r="AZ181" t="s">
        <v>74</v>
      </c>
      <c r="BA181" t="s">
        <v>74</v>
      </c>
      <c r="BB181">
        <v>366</v>
      </c>
      <c r="BC181">
        <v>378</v>
      </c>
      <c r="BD181" t="s">
        <v>74</v>
      </c>
      <c r="BE181" t="s">
        <v>3789</v>
      </c>
      <c r="BF181" t="str">
        <f>HYPERLINK("http://dx.doi.org/10.1016/j.apmr.2018.09.123","http://dx.doi.org/10.1016/j.apmr.2018.09.123")</f>
        <v>http://dx.doi.org/10.1016/j.apmr.2018.09.123</v>
      </c>
      <c r="BG181" t="s">
        <v>74</v>
      </c>
      <c r="BH181" t="s">
        <v>74</v>
      </c>
      <c r="BI181">
        <v>13</v>
      </c>
      <c r="BJ181" t="s">
        <v>236</v>
      </c>
      <c r="BK181" t="s">
        <v>102</v>
      </c>
      <c r="BL181" t="s">
        <v>236</v>
      </c>
      <c r="BM181" t="s">
        <v>3790</v>
      </c>
      <c r="BN181">
        <v>30686327</v>
      </c>
      <c r="BO181" t="s">
        <v>74</v>
      </c>
      <c r="BP181" t="s">
        <v>74</v>
      </c>
      <c r="BQ181" t="s">
        <v>74</v>
      </c>
      <c r="BR181" t="s">
        <v>105</v>
      </c>
      <c r="BS181" t="s">
        <v>3791</v>
      </c>
      <c r="BT181" t="str">
        <f>HYPERLINK("https%3A%2F%2Fwww.webofscience.com%2Fwos%2Fwoscc%2Ffull-record%2FWOS:000458597000019","View Full Record in Web of Science")</f>
        <v>View Full Record in Web of Science</v>
      </c>
    </row>
    <row r="182" spans="1:72" x14ac:dyDescent="0.25">
      <c r="A182" t="s">
        <v>72</v>
      </c>
      <c r="B182" t="s">
        <v>3792</v>
      </c>
      <c r="C182" t="s">
        <v>74</v>
      </c>
      <c r="D182" t="s">
        <v>74</v>
      </c>
      <c r="E182" t="s">
        <v>74</v>
      </c>
      <c r="F182" t="s">
        <v>3793</v>
      </c>
      <c r="G182" t="s">
        <v>74</v>
      </c>
      <c r="H182" t="s">
        <v>74</v>
      </c>
      <c r="I182" t="s">
        <v>3794</v>
      </c>
      <c r="J182" t="s">
        <v>3795</v>
      </c>
      <c r="K182" t="s">
        <v>74</v>
      </c>
      <c r="L182" t="s">
        <v>74</v>
      </c>
      <c r="M182" t="s">
        <v>78</v>
      </c>
      <c r="N182" t="s">
        <v>79</v>
      </c>
      <c r="O182" t="s">
        <v>74</v>
      </c>
      <c r="P182" t="s">
        <v>74</v>
      </c>
      <c r="Q182" t="s">
        <v>74</v>
      </c>
      <c r="R182" t="s">
        <v>74</v>
      </c>
      <c r="S182" t="s">
        <v>74</v>
      </c>
      <c r="T182" t="s">
        <v>74</v>
      </c>
      <c r="U182" t="s">
        <v>3796</v>
      </c>
      <c r="V182" t="s">
        <v>3797</v>
      </c>
      <c r="W182" t="s">
        <v>3798</v>
      </c>
      <c r="X182" t="s">
        <v>3799</v>
      </c>
      <c r="Y182" t="s">
        <v>3800</v>
      </c>
      <c r="Z182" t="s">
        <v>3801</v>
      </c>
      <c r="AA182" t="s">
        <v>74</v>
      </c>
      <c r="AB182" t="s">
        <v>3802</v>
      </c>
      <c r="AC182" t="s">
        <v>3803</v>
      </c>
      <c r="AD182" t="s">
        <v>3803</v>
      </c>
      <c r="AE182" t="s">
        <v>3804</v>
      </c>
      <c r="AF182" t="s">
        <v>74</v>
      </c>
      <c r="AG182">
        <v>99</v>
      </c>
      <c r="AH182">
        <v>25</v>
      </c>
      <c r="AI182">
        <v>28</v>
      </c>
      <c r="AJ182">
        <v>0</v>
      </c>
      <c r="AK182">
        <v>23</v>
      </c>
      <c r="AL182" t="s">
        <v>274</v>
      </c>
      <c r="AM182" t="s">
        <v>275</v>
      </c>
      <c r="AN182" t="s">
        <v>276</v>
      </c>
      <c r="AO182" t="s">
        <v>74</v>
      </c>
      <c r="AP182" t="s">
        <v>3805</v>
      </c>
      <c r="AQ182" t="s">
        <v>74</v>
      </c>
      <c r="AR182" t="s">
        <v>3806</v>
      </c>
      <c r="AS182" t="s">
        <v>3807</v>
      </c>
      <c r="AT182" t="s">
        <v>1633</v>
      </c>
      <c r="AU182">
        <v>2009</v>
      </c>
      <c r="AV182">
        <v>9</v>
      </c>
      <c r="AW182" t="s">
        <v>74</v>
      </c>
      <c r="AX182" t="s">
        <v>74</v>
      </c>
      <c r="AY182" t="s">
        <v>74</v>
      </c>
      <c r="AZ182" t="s">
        <v>74</v>
      </c>
      <c r="BA182" t="s">
        <v>74</v>
      </c>
      <c r="BB182" t="s">
        <v>74</v>
      </c>
      <c r="BC182" t="s">
        <v>74</v>
      </c>
      <c r="BD182">
        <v>57</v>
      </c>
      <c r="BE182" t="s">
        <v>3808</v>
      </c>
      <c r="BF182" t="str">
        <f>HYPERLINK("http://dx.doi.org/10.1186/1471-2377-9-57","http://dx.doi.org/10.1186/1471-2377-9-57")</f>
        <v>http://dx.doi.org/10.1186/1471-2377-9-57</v>
      </c>
      <c r="BG182" t="s">
        <v>74</v>
      </c>
      <c r="BH182" t="s">
        <v>74</v>
      </c>
      <c r="BI182">
        <v>14</v>
      </c>
      <c r="BJ182" t="s">
        <v>541</v>
      </c>
      <c r="BK182" t="s">
        <v>102</v>
      </c>
      <c r="BL182" t="s">
        <v>375</v>
      </c>
      <c r="BM182" t="s">
        <v>3809</v>
      </c>
      <c r="BN182">
        <v>19895679</v>
      </c>
      <c r="BO182" t="s">
        <v>355</v>
      </c>
      <c r="BP182" t="s">
        <v>74</v>
      </c>
      <c r="BQ182" t="s">
        <v>74</v>
      </c>
      <c r="BR182" t="s">
        <v>105</v>
      </c>
      <c r="BS182" t="s">
        <v>3810</v>
      </c>
      <c r="BT182" t="str">
        <f>HYPERLINK("https%3A%2F%2Fwww.webofscience.com%2Fwos%2Fwoscc%2Ffull-record%2FWOS:000272055100001","View Full Record in Web of Science")</f>
        <v>View Full Record in Web of Science</v>
      </c>
    </row>
    <row r="183" spans="1:72" x14ac:dyDescent="0.25">
      <c r="A183" t="s">
        <v>72</v>
      </c>
      <c r="B183" t="s">
        <v>3811</v>
      </c>
      <c r="C183" t="s">
        <v>74</v>
      </c>
      <c r="D183" t="s">
        <v>74</v>
      </c>
      <c r="E183" t="s">
        <v>74</v>
      </c>
      <c r="F183" t="s">
        <v>3812</v>
      </c>
      <c r="G183" t="s">
        <v>74</v>
      </c>
      <c r="H183" t="s">
        <v>74</v>
      </c>
      <c r="I183" t="s">
        <v>3813</v>
      </c>
      <c r="J183" t="s">
        <v>265</v>
      </c>
      <c r="K183" t="s">
        <v>74</v>
      </c>
      <c r="L183" t="s">
        <v>74</v>
      </c>
      <c r="M183" t="s">
        <v>78</v>
      </c>
      <c r="N183" t="s">
        <v>79</v>
      </c>
      <c r="O183" t="s">
        <v>74</v>
      </c>
      <c r="P183" t="s">
        <v>74</v>
      </c>
      <c r="Q183" t="s">
        <v>74</v>
      </c>
      <c r="R183" t="s">
        <v>74</v>
      </c>
      <c r="S183" t="s">
        <v>74</v>
      </c>
      <c r="T183" t="s">
        <v>3814</v>
      </c>
      <c r="U183" t="s">
        <v>3815</v>
      </c>
      <c r="V183" t="s">
        <v>3816</v>
      </c>
      <c r="W183" t="s">
        <v>3817</v>
      </c>
      <c r="X183" t="s">
        <v>3818</v>
      </c>
      <c r="Y183" t="s">
        <v>3819</v>
      </c>
      <c r="Z183" t="s">
        <v>3820</v>
      </c>
      <c r="AA183" t="s">
        <v>3821</v>
      </c>
      <c r="AB183" t="s">
        <v>3822</v>
      </c>
      <c r="AC183" t="s">
        <v>3823</v>
      </c>
      <c r="AD183" t="s">
        <v>3824</v>
      </c>
      <c r="AE183" t="s">
        <v>3825</v>
      </c>
      <c r="AF183" t="s">
        <v>74</v>
      </c>
      <c r="AG183">
        <v>124</v>
      </c>
      <c r="AH183">
        <v>9</v>
      </c>
      <c r="AI183">
        <v>9</v>
      </c>
      <c r="AJ183">
        <v>5</v>
      </c>
      <c r="AK183">
        <v>40</v>
      </c>
      <c r="AL183" t="s">
        <v>274</v>
      </c>
      <c r="AM183" t="s">
        <v>275</v>
      </c>
      <c r="AN183" t="s">
        <v>276</v>
      </c>
      <c r="AO183" t="s">
        <v>74</v>
      </c>
      <c r="AP183" t="s">
        <v>277</v>
      </c>
      <c r="AQ183" t="s">
        <v>74</v>
      </c>
      <c r="AR183" t="s">
        <v>278</v>
      </c>
      <c r="AS183" t="s">
        <v>279</v>
      </c>
      <c r="AT183" t="s">
        <v>3826</v>
      </c>
      <c r="AU183">
        <v>2023</v>
      </c>
      <c r="AV183">
        <v>22</v>
      </c>
      <c r="AW183">
        <v>1</v>
      </c>
      <c r="AX183" t="s">
        <v>74</v>
      </c>
      <c r="AY183" t="s">
        <v>74</v>
      </c>
      <c r="AZ183" t="s">
        <v>74</v>
      </c>
      <c r="BA183" t="s">
        <v>74</v>
      </c>
      <c r="BB183" t="s">
        <v>74</v>
      </c>
      <c r="BC183" t="s">
        <v>74</v>
      </c>
      <c r="BD183">
        <v>67</v>
      </c>
      <c r="BE183" t="s">
        <v>3827</v>
      </c>
      <c r="BF183" t="str">
        <f>HYPERLINK("http://dx.doi.org/10.1186/s12938-023-01133-8","http://dx.doi.org/10.1186/s12938-023-01133-8")</f>
        <v>http://dx.doi.org/10.1186/s12938-023-01133-8</v>
      </c>
      <c r="BG183" t="s">
        <v>74</v>
      </c>
      <c r="BH183" t="s">
        <v>74</v>
      </c>
      <c r="BI183">
        <v>24</v>
      </c>
      <c r="BJ183" t="s">
        <v>282</v>
      </c>
      <c r="BK183" t="s">
        <v>182</v>
      </c>
      <c r="BL183" t="s">
        <v>183</v>
      </c>
      <c r="BM183" t="s">
        <v>3828</v>
      </c>
      <c r="BN183">
        <v>37424017</v>
      </c>
      <c r="BO183" t="s">
        <v>355</v>
      </c>
      <c r="BP183" t="s">
        <v>74</v>
      </c>
      <c r="BQ183" t="s">
        <v>74</v>
      </c>
      <c r="BR183" t="s">
        <v>105</v>
      </c>
      <c r="BS183" t="s">
        <v>3829</v>
      </c>
      <c r="BT183" t="str">
        <f>HYPERLINK("https%3A%2F%2Fwww.webofscience.com%2Fwos%2Fwoscc%2Ffull-record%2FWOS:001025120800001","View Full Record in Web of Science")</f>
        <v>View Full Record in Web of Science</v>
      </c>
    </row>
    <row r="184" spans="1:72" x14ac:dyDescent="0.25">
      <c r="A184" t="s">
        <v>72</v>
      </c>
      <c r="B184" t="s">
        <v>3830</v>
      </c>
      <c r="C184" t="s">
        <v>74</v>
      </c>
      <c r="D184" t="s">
        <v>74</v>
      </c>
      <c r="E184" t="s">
        <v>74</v>
      </c>
      <c r="F184" t="s">
        <v>3831</v>
      </c>
      <c r="G184" t="s">
        <v>74</v>
      </c>
      <c r="H184" t="s">
        <v>74</v>
      </c>
      <c r="I184" t="s">
        <v>3832</v>
      </c>
      <c r="J184" t="s">
        <v>382</v>
      </c>
      <c r="K184" t="s">
        <v>74</v>
      </c>
      <c r="L184" t="s">
        <v>74</v>
      </c>
      <c r="M184" t="s">
        <v>78</v>
      </c>
      <c r="N184" t="s">
        <v>79</v>
      </c>
      <c r="O184" t="s">
        <v>74</v>
      </c>
      <c r="P184" t="s">
        <v>74</v>
      </c>
      <c r="Q184" t="s">
        <v>74</v>
      </c>
      <c r="R184" t="s">
        <v>74</v>
      </c>
      <c r="S184" t="s">
        <v>74</v>
      </c>
      <c r="T184" t="s">
        <v>3833</v>
      </c>
      <c r="U184" t="s">
        <v>3834</v>
      </c>
      <c r="V184" t="s">
        <v>3835</v>
      </c>
      <c r="W184" t="s">
        <v>3836</v>
      </c>
      <c r="X184" t="s">
        <v>3837</v>
      </c>
      <c r="Y184" t="s">
        <v>3838</v>
      </c>
      <c r="Z184" t="s">
        <v>3839</v>
      </c>
      <c r="AA184" t="s">
        <v>3840</v>
      </c>
      <c r="AB184" t="s">
        <v>3841</v>
      </c>
      <c r="AC184" t="s">
        <v>74</v>
      </c>
      <c r="AD184" t="s">
        <v>74</v>
      </c>
      <c r="AE184" t="s">
        <v>74</v>
      </c>
      <c r="AF184" t="s">
        <v>74</v>
      </c>
      <c r="AG184">
        <v>80</v>
      </c>
      <c r="AH184">
        <v>47</v>
      </c>
      <c r="AI184">
        <v>51</v>
      </c>
      <c r="AJ184">
        <v>3</v>
      </c>
      <c r="AK184">
        <v>36</v>
      </c>
      <c r="AL184" t="s">
        <v>392</v>
      </c>
      <c r="AM184" t="s">
        <v>393</v>
      </c>
      <c r="AN184" t="s">
        <v>394</v>
      </c>
      <c r="AO184" t="s">
        <v>395</v>
      </c>
      <c r="AP184" t="s">
        <v>74</v>
      </c>
      <c r="AQ184" t="s">
        <v>74</v>
      </c>
      <c r="AR184" t="s">
        <v>396</v>
      </c>
      <c r="AS184" t="s">
        <v>397</v>
      </c>
      <c r="AT184" t="s">
        <v>3842</v>
      </c>
      <c r="AU184">
        <v>2021</v>
      </c>
      <c r="AV184">
        <v>12</v>
      </c>
      <c r="AW184" t="s">
        <v>74</v>
      </c>
      <c r="AX184" t="s">
        <v>74</v>
      </c>
      <c r="AY184" t="s">
        <v>74</v>
      </c>
      <c r="AZ184" t="s">
        <v>74</v>
      </c>
      <c r="BA184" t="s">
        <v>74</v>
      </c>
      <c r="BB184" t="s">
        <v>74</v>
      </c>
      <c r="BC184" t="s">
        <v>74</v>
      </c>
      <c r="BD184">
        <v>661815</v>
      </c>
      <c r="BE184" t="s">
        <v>3843</v>
      </c>
      <c r="BF184" t="str">
        <f>HYPERLINK("http://dx.doi.org/10.3389/fneur.2021.661815","http://dx.doi.org/10.3389/fneur.2021.661815")</f>
        <v>http://dx.doi.org/10.3389/fneur.2021.661815</v>
      </c>
      <c r="BG184" t="s">
        <v>74</v>
      </c>
      <c r="BH184" t="s">
        <v>74</v>
      </c>
      <c r="BI184">
        <v>13</v>
      </c>
      <c r="BJ184" t="s">
        <v>400</v>
      </c>
      <c r="BK184" t="s">
        <v>102</v>
      </c>
      <c r="BL184" t="s">
        <v>375</v>
      </c>
      <c r="BM184" t="s">
        <v>3844</v>
      </c>
      <c r="BN184">
        <v>34295298</v>
      </c>
      <c r="BO184" t="s">
        <v>355</v>
      </c>
      <c r="BP184" t="s">
        <v>74</v>
      </c>
      <c r="BQ184" t="s">
        <v>74</v>
      </c>
      <c r="BR184" t="s">
        <v>105</v>
      </c>
      <c r="BS184" t="s">
        <v>3845</v>
      </c>
      <c r="BT184" t="str">
        <f>HYPERLINK("https%3A%2F%2Fwww.webofscience.com%2Fwos%2Fwoscc%2Ffull-record%2FWOS:000674467000001","View Full Record in Web of Science")</f>
        <v>View Full Record in Web of Science</v>
      </c>
    </row>
    <row r="185" spans="1:72" x14ac:dyDescent="0.25">
      <c r="A185" t="s">
        <v>72</v>
      </c>
      <c r="B185" t="s">
        <v>3846</v>
      </c>
      <c r="C185" t="s">
        <v>74</v>
      </c>
      <c r="D185" t="s">
        <v>74</v>
      </c>
      <c r="E185" t="s">
        <v>74</v>
      </c>
      <c r="F185" t="s">
        <v>3847</v>
      </c>
      <c r="G185" t="s">
        <v>74</v>
      </c>
      <c r="H185" t="s">
        <v>74</v>
      </c>
      <c r="I185" t="s">
        <v>3848</v>
      </c>
      <c r="J185" t="s">
        <v>3849</v>
      </c>
      <c r="K185" t="s">
        <v>74</v>
      </c>
      <c r="L185" t="s">
        <v>74</v>
      </c>
      <c r="M185" t="s">
        <v>78</v>
      </c>
      <c r="N185" t="s">
        <v>79</v>
      </c>
      <c r="O185" t="s">
        <v>74</v>
      </c>
      <c r="P185" t="s">
        <v>74</v>
      </c>
      <c r="Q185" t="s">
        <v>74</v>
      </c>
      <c r="R185" t="s">
        <v>74</v>
      </c>
      <c r="S185" t="s">
        <v>74</v>
      </c>
      <c r="T185" t="s">
        <v>3850</v>
      </c>
      <c r="U185" t="s">
        <v>3851</v>
      </c>
      <c r="V185" t="s">
        <v>3852</v>
      </c>
      <c r="W185" t="s">
        <v>3853</v>
      </c>
      <c r="X185" t="s">
        <v>3854</v>
      </c>
      <c r="Y185" t="s">
        <v>3855</v>
      </c>
      <c r="Z185" t="s">
        <v>3856</v>
      </c>
      <c r="AA185" t="s">
        <v>3673</v>
      </c>
      <c r="AB185" t="s">
        <v>3857</v>
      </c>
      <c r="AC185" t="s">
        <v>74</v>
      </c>
      <c r="AD185" t="s">
        <v>74</v>
      </c>
      <c r="AE185" t="s">
        <v>74</v>
      </c>
      <c r="AF185" t="s">
        <v>74</v>
      </c>
      <c r="AG185">
        <v>88</v>
      </c>
      <c r="AH185">
        <v>3</v>
      </c>
      <c r="AI185">
        <v>3</v>
      </c>
      <c r="AJ185">
        <v>3</v>
      </c>
      <c r="AK185">
        <v>16</v>
      </c>
      <c r="AL185" t="s">
        <v>202</v>
      </c>
      <c r="AM185" t="s">
        <v>203</v>
      </c>
      <c r="AN185" t="s">
        <v>204</v>
      </c>
      <c r="AO185" t="s">
        <v>3858</v>
      </c>
      <c r="AP185" t="s">
        <v>3859</v>
      </c>
      <c r="AQ185" t="s">
        <v>74</v>
      </c>
      <c r="AR185" t="s">
        <v>3860</v>
      </c>
      <c r="AS185" t="s">
        <v>3861</v>
      </c>
      <c r="AT185" t="s">
        <v>634</v>
      </c>
      <c r="AU185">
        <v>2023</v>
      </c>
      <c r="AV185">
        <v>114</v>
      </c>
      <c r="AW185">
        <v>4</v>
      </c>
      <c r="AX185" t="s">
        <v>74</v>
      </c>
      <c r="AY185" t="s">
        <v>74</v>
      </c>
      <c r="AZ185" t="s">
        <v>74</v>
      </c>
      <c r="BA185" t="s">
        <v>74</v>
      </c>
      <c r="BB185">
        <v>516</v>
      </c>
      <c r="BC185">
        <v>528</v>
      </c>
      <c r="BD185" t="s">
        <v>74</v>
      </c>
      <c r="BE185" t="s">
        <v>3862</v>
      </c>
      <c r="BF185" t="str">
        <f>HYPERLINK("http://dx.doi.org/10.23736/S0026-4806.22.08396-3","http://dx.doi.org/10.23736/S0026-4806.22.08396-3")</f>
        <v>http://dx.doi.org/10.23736/S0026-4806.22.08396-3</v>
      </c>
      <c r="BG185" t="s">
        <v>74</v>
      </c>
      <c r="BH185" t="s">
        <v>74</v>
      </c>
      <c r="BI185">
        <v>13</v>
      </c>
      <c r="BJ185" t="s">
        <v>128</v>
      </c>
      <c r="BK185" t="s">
        <v>182</v>
      </c>
      <c r="BL185" t="s">
        <v>129</v>
      </c>
      <c r="BM185" t="s">
        <v>3863</v>
      </c>
      <c r="BN185">
        <v>36786749</v>
      </c>
      <c r="BO185" t="s">
        <v>74</v>
      </c>
      <c r="BP185" t="s">
        <v>74</v>
      </c>
      <c r="BQ185" t="s">
        <v>74</v>
      </c>
      <c r="BR185" t="s">
        <v>105</v>
      </c>
      <c r="BS185" t="s">
        <v>3864</v>
      </c>
      <c r="BT185" t="str">
        <f>HYPERLINK("https%3A%2F%2Fwww.webofscience.com%2Fwos%2Fwoscc%2Ffull-record%2FWOS:001046699100010","View Full Record in Web of Science")</f>
        <v>View Full Record in Web of Science</v>
      </c>
    </row>
    <row r="186" spans="1:72" x14ac:dyDescent="0.25">
      <c r="A186" t="s">
        <v>72</v>
      </c>
      <c r="B186" t="s">
        <v>3865</v>
      </c>
      <c r="C186" t="s">
        <v>74</v>
      </c>
      <c r="D186" t="s">
        <v>74</v>
      </c>
      <c r="E186" t="s">
        <v>74</v>
      </c>
      <c r="F186" t="s">
        <v>3866</v>
      </c>
      <c r="G186" t="s">
        <v>74</v>
      </c>
      <c r="H186" t="s">
        <v>74</v>
      </c>
      <c r="I186" t="s">
        <v>3867</v>
      </c>
      <c r="J186" t="s">
        <v>3868</v>
      </c>
      <c r="K186" t="s">
        <v>74</v>
      </c>
      <c r="L186" t="s">
        <v>74</v>
      </c>
      <c r="M186" t="s">
        <v>78</v>
      </c>
      <c r="N186" t="s">
        <v>79</v>
      </c>
      <c r="O186" t="s">
        <v>74</v>
      </c>
      <c r="P186" t="s">
        <v>74</v>
      </c>
      <c r="Q186" t="s">
        <v>74</v>
      </c>
      <c r="R186" t="s">
        <v>74</v>
      </c>
      <c r="S186" t="s">
        <v>74</v>
      </c>
      <c r="T186" t="s">
        <v>3869</v>
      </c>
      <c r="U186" t="s">
        <v>3870</v>
      </c>
      <c r="V186" t="s">
        <v>3871</v>
      </c>
      <c r="W186" t="s">
        <v>3872</v>
      </c>
      <c r="X186" t="s">
        <v>3873</v>
      </c>
      <c r="Y186" t="s">
        <v>3874</v>
      </c>
      <c r="Z186" t="s">
        <v>3875</v>
      </c>
      <c r="AA186" t="s">
        <v>3876</v>
      </c>
      <c r="AB186" t="s">
        <v>3877</v>
      </c>
      <c r="AC186" t="s">
        <v>3878</v>
      </c>
      <c r="AD186" t="s">
        <v>3879</v>
      </c>
      <c r="AE186" t="s">
        <v>3880</v>
      </c>
      <c r="AF186" t="s">
        <v>74</v>
      </c>
      <c r="AG186">
        <v>287</v>
      </c>
      <c r="AH186">
        <v>5</v>
      </c>
      <c r="AI186">
        <v>5</v>
      </c>
      <c r="AJ186">
        <v>17</v>
      </c>
      <c r="AK186">
        <v>80</v>
      </c>
      <c r="AL186" t="s">
        <v>2998</v>
      </c>
      <c r="AM186" t="s">
        <v>2999</v>
      </c>
      <c r="AN186" t="s">
        <v>3000</v>
      </c>
      <c r="AO186" t="s">
        <v>3881</v>
      </c>
      <c r="AP186" t="s">
        <v>74</v>
      </c>
      <c r="AQ186" t="s">
        <v>74</v>
      </c>
      <c r="AR186" t="s">
        <v>3868</v>
      </c>
      <c r="AS186" t="s">
        <v>3882</v>
      </c>
      <c r="AT186" t="s">
        <v>538</v>
      </c>
      <c r="AU186">
        <v>2024</v>
      </c>
      <c r="AV186">
        <v>8</v>
      </c>
      <c r="AW186">
        <v>1</v>
      </c>
      <c r="AX186" t="s">
        <v>74</v>
      </c>
      <c r="AY186" t="s">
        <v>74</v>
      </c>
      <c r="AZ186" t="s">
        <v>74</v>
      </c>
      <c r="BA186" t="s">
        <v>74</v>
      </c>
      <c r="BB186" t="s">
        <v>74</v>
      </c>
      <c r="BC186" t="s">
        <v>74</v>
      </c>
      <c r="BD186" t="s">
        <v>74</v>
      </c>
      <c r="BE186" t="s">
        <v>3883</v>
      </c>
      <c r="BF186" t="str">
        <f>HYPERLINK("http://dx.doi.org/10.1002/smtd.202301095","http://dx.doi.org/10.1002/smtd.202301095")</f>
        <v>http://dx.doi.org/10.1002/smtd.202301095</v>
      </c>
      <c r="BG186" t="s">
        <v>74</v>
      </c>
      <c r="BH186" t="s">
        <v>636</v>
      </c>
      <c r="BI186">
        <v>30</v>
      </c>
      <c r="BJ186" t="s">
        <v>3884</v>
      </c>
      <c r="BK186" t="s">
        <v>182</v>
      </c>
      <c r="BL186" t="s">
        <v>3005</v>
      </c>
      <c r="BM186" t="s">
        <v>3885</v>
      </c>
      <c r="BN186">
        <v>37884456</v>
      </c>
      <c r="BO186" t="s">
        <v>74</v>
      </c>
      <c r="BP186" t="s">
        <v>74</v>
      </c>
      <c r="BQ186" t="s">
        <v>74</v>
      </c>
      <c r="BR186" t="s">
        <v>105</v>
      </c>
      <c r="BS186" t="s">
        <v>3886</v>
      </c>
      <c r="BT186" t="str">
        <f>HYPERLINK("https%3A%2F%2Fwww.webofscience.com%2Fwos%2Fwoscc%2Ffull-record%2FWOS:001090512500001","View Full Record in Web of Science")</f>
        <v>View Full Record in Web of Science</v>
      </c>
    </row>
    <row r="187" spans="1:72" x14ac:dyDescent="0.25">
      <c r="A187" t="s">
        <v>72</v>
      </c>
      <c r="B187" t="s">
        <v>3887</v>
      </c>
      <c r="C187" t="s">
        <v>74</v>
      </c>
      <c r="D187" t="s">
        <v>74</v>
      </c>
      <c r="E187" t="s">
        <v>74</v>
      </c>
      <c r="F187" t="s">
        <v>3888</v>
      </c>
      <c r="G187" t="s">
        <v>74</v>
      </c>
      <c r="H187" t="s">
        <v>74</v>
      </c>
      <c r="I187" t="s">
        <v>3889</v>
      </c>
      <c r="J187" t="s">
        <v>594</v>
      </c>
      <c r="K187" t="s">
        <v>74</v>
      </c>
      <c r="L187" t="s">
        <v>74</v>
      </c>
      <c r="M187" t="s">
        <v>78</v>
      </c>
      <c r="N187" t="s">
        <v>79</v>
      </c>
      <c r="O187" t="s">
        <v>74</v>
      </c>
      <c r="P187" t="s">
        <v>74</v>
      </c>
      <c r="Q187" t="s">
        <v>74</v>
      </c>
      <c r="R187" t="s">
        <v>74</v>
      </c>
      <c r="S187" t="s">
        <v>74</v>
      </c>
      <c r="T187" t="s">
        <v>3890</v>
      </c>
      <c r="U187" t="s">
        <v>3891</v>
      </c>
      <c r="V187" t="s">
        <v>3892</v>
      </c>
      <c r="W187" t="s">
        <v>3893</v>
      </c>
      <c r="X187" t="s">
        <v>3894</v>
      </c>
      <c r="Y187" t="s">
        <v>3895</v>
      </c>
      <c r="Z187" t="s">
        <v>3896</v>
      </c>
      <c r="AA187" t="s">
        <v>3897</v>
      </c>
      <c r="AB187" t="s">
        <v>3898</v>
      </c>
      <c r="AC187" t="s">
        <v>74</v>
      </c>
      <c r="AD187" t="s">
        <v>74</v>
      </c>
      <c r="AE187" t="s">
        <v>74</v>
      </c>
      <c r="AF187" t="s">
        <v>74</v>
      </c>
      <c r="AG187">
        <v>158</v>
      </c>
      <c r="AH187">
        <v>39</v>
      </c>
      <c r="AI187">
        <v>42</v>
      </c>
      <c r="AJ187">
        <v>17</v>
      </c>
      <c r="AK187">
        <v>103</v>
      </c>
      <c r="AL187" t="s">
        <v>274</v>
      </c>
      <c r="AM187" t="s">
        <v>275</v>
      </c>
      <c r="AN187" t="s">
        <v>276</v>
      </c>
      <c r="AO187" t="s">
        <v>74</v>
      </c>
      <c r="AP187" t="s">
        <v>606</v>
      </c>
      <c r="AQ187" t="s">
        <v>74</v>
      </c>
      <c r="AR187" t="s">
        <v>607</v>
      </c>
      <c r="AS187" t="s">
        <v>608</v>
      </c>
      <c r="AT187" t="s">
        <v>3899</v>
      </c>
      <c r="AU187">
        <v>2023</v>
      </c>
      <c r="AV187">
        <v>20</v>
      </c>
      <c r="AW187">
        <v>1</v>
      </c>
      <c r="AX187" t="s">
        <v>74</v>
      </c>
      <c r="AY187" t="s">
        <v>74</v>
      </c>
      <c r="AZ187" t="s">
        <v>74</v>
      </c>
      <c r="BA187" t="s">
        <v>74</v>
      </c>
      <c r="BB187" t="s">
        <v>74</v>
      </c>
      <c r="BC187" t="s">
        <v>74</v>
      </c>
      <c r="BD187">
        <v>21</v>
      </c>
      <c r="BE187" t="s">
        <v>3900</v>
      </c>
      <c r="BF187" t="str">
        <f>HYPERLINK("http://dx.doi.org/10.1186/s12984-023-01142-7","http://dx.doi.org/10.1186/s12984-023-01142-7")</f>
        <v>http://dx.doi.org/10.1186/s12984-023-01142-7</v>
      </c>
      <c r="BG187" t="s">
        <v>74</v>
      </c>
      <c r="BH187" t="s">
        <v>74</v>
      </c>
      <c r="BI187">
        <v>32</v>
      </c>
      <c r="BJ187" t="s">
        <v>611</v>
      </c>
      <c r="BK187" t="s">
        <v>182</v>
      </c>
      <c r="BL187" t="s">
        <v>612</v>
      </c>
      <c r="BM187" t="s">
        <v>3901</v>
      </c>
      <c r="BN187">
        <v>36793077</v>
      </c>
      <c r="BO187" t="s">
        <v>131</v>
      </c>
      <c r="BP187" t="s">
        <v>74</v>
      </c>
      <c r="BQ187" t="s">
        <v>74</v>
      </c>
      <c r="BR187" t="s">
        <v>105</v>
      </c>
      <c r="BS187" t="s">
        <v>3902</v>
      </c>
      <c r="BT187" t="str">
        <f>HYPERLINK("https%3A%2F%2Fwww.webofscience.com%2Fwos%2Fwoscc%2Ffull-record%2FWOS:000934101100002","View Full Record in Web of Science")</f>
        <v>View Full Record in Web of Science</v>
      </c>
    </row>
    <row r="188" spans="1:72" x14ac:dyDescent="0.25">
      <c r="A188" t="s">
        <v>72</v>
      </c>
      <c r="B188" t="s">
        <v>3903</v>
      </c>
      <c r="C188" t="s">
        <v>74</v>
      </c>
      <c r="D188" t="s">
        <v>74</v>
      </c>
      <c r="E188" t="s">
        <v>74</v>
      </c>
      <c r="F188" t="s">
        <v>3904</v>
      </c>
      <c r="G188" t="s">
        <v>74</v>
      </c>
      <c r="H188" t="s">
        <v>74</v>
      </c>
      <c r="I188" t="s">
        <v>3905</v>
      </c>
      <c r="J188" t="s">
        <v>3906</v>
      </c>
      <c r="K188" t="s">
        <v>74</v>
      </c>
      <c r="L188" t="s">
        <v>74</v>
      </c>
      <c r="M188" t="s">
        <v>78</v>
      </c>
      <c r="N188" t="s">
        <v>79</v>
      </c>
      <c r="O188" t="s">
        <v>74</v>
      </c>
      <c r="P188" t="s">
        <v>74</v>
      </c>
      <c r="Q188" t="s">
        <v>74</v>
      </c>
      <c r="R188" t="s">
        <v>74</v>
      </c>
      <c r="S188" t="s">
        <v>74</v>
      </c>
      <c r="T188" t="s">
        <v>74</v>
      </c>
      <c r="U188" t="s">
        <v>3907</v>
      </c>
      <c r="V188" t="s">
        <v>3908</v>
      </c>
      <c r="W188" t="s">
        <v>3909</v>
      </c>
      <c r="X188" t="s">
        <v>74</v>
      </c>
      <c r="Y188" t="s">
        <v>3910</v>
      </c>
      <c r="Z188" t="s">
        <v>3911</v>
      </c>
      <c r="AA188" t="s">
        <v>3912</v>
      </c>
      <c r="AB188" t="s">
        <v>3913</v>
      </c>
      <c r="AC188" t="s">
        <v>3914</v>
      </c>
      <c r="AD188" t="s">
        <v>3915</v>
      </c>
      <c r="AE188" t="s">
        <v>74</v>
      </c>
      <c r="AF188" t="s">
        <v>74</v>
      </c>
      <c r="AG188">
        <v>55</v>
      </c>
      <c r="AH188">
        <v>261</v>
      </c>
      <c r="AI188">
        <v>277</v>
      </c>
      <c r="AJ188">
        <v>2</v>
      </c>
      <c r="AK188">
        <v>23</v>
      </c>
      <c r="AL188" t="s">
        <v>3916</v>
      </c>
      <c r="AM188" t="s">
        <v>298</v>
      </c>
      <c r="AN188" t="s">
        <v>299</v>
      </c>
      <c r="AO188" t="s">
        <v>3917</v>
      </c>
      <c r="AP188" t="s">
        <v>3918</v>
      </c>
      <c r="AQ188" t="s">
        <v>74</v>
      </c>
      <c r="AR188" t="s">
        <v>3919</v>
      </c>
      <c r="AS188" t="s">
        <v>3920</v>
      </c>
      <c r="AT188" t="s">
        <v>74</v>
      </c>
      <c r="AU188">
        <v>2007</v>
      </c>
      <c r="AV188" t="s">
        <v>74</v>
      </c>
      <c r="AW188">
        <v>4</v>
      </c>
      <c r="AX188" t="s">
        <v>74</v>
      </c>
      <c r="AY188" t="s">
        <v>74</v>
      </c>
      <c r="AZ188" t="s">
        <v>74</v>
      </c>
      <c r="BA188" t="s">
        <v>74</v>
      </c>
      <c r="BB188" t="s">
        <v>74</v>
      </c>
      <c r="BC188" t="s">
        <v>74</v>
      </c>
      <c r="BD188" t="s">
        <v>3921</v>
      </c>
      <c r="BE188" t="s">
        <v>3922</v>
      </c>
      <c r="BF188" t="str">
        <f>HYPERLINK("http://dx.doi.org/10.1002/14651858.CD006185.pub2","http://dx.doi.org/10.1002/14651858.CD006185.pub2")</f>
        <v>http://dx.doi.org/10.1002/14651858.CD006185.pub2</v>
      </c>
      <c r="BG188" t="s">
        <v>74</v>
      </c>
      <c r="BH188" t="s">
        <v>74</v>
      </c>
      <c r="BI188">
        <v>34</v>
      </c>
      <c r="BJ188" t="s">
        <v>128</v>
      </c>
      <c r="BK188" t="s">
        <v>182</v>
      </c>
      <c r="BL188" t="s">
        <v>129</v>
      </c>
      <c r="BM188" t="s">
        <v>3923</v>
      </c>
      <c r="BN188">
        <v>17943893</v>
      </c>
      <c r="BO188" t="s">
        <v>74</v>
      </c>
      <c r="BP188" t="s">
        <v>74</v>
      </c>
      <c r="BQ188" t="s">
        <v>74</v>
      </c>
      <c r="BR188" t="s">
        <v>105</v>
      </c>
      <c r="BS188" t="s">
        <v>3924</v>
      </c>
      <c r="BT188" t="str">
        <f>HYPERLINK("https%3A%2F%2Fwww.webofscience.com%2Fwos%2Fwoscc%2Ffull-record%2FWOS:000250188700076","View Full Record in Web of Science")</f>
        <v>View Full Record in Web of Science</v>
      </c>
    </row>
    <row r="189" spans="1:72" x14ac:dyDescent="0.25">
      <c r="A189" t="s">
        <v>72</v>
      </c>
      <c r="B189" t="s">
        <v>3925</v>
      </c>
      <c r="C189" t="s">
        <v>74</v>
      </c>
      <c r="D189" t="s">
        <v>74</v>
      </c>
      <c r="E189" t="s">
        <v>74</v>
      </c>
      <c r="F189" t="s">
        <v>3926</v>
      </c>
      <c r="G189" t="s">
        <v>74</v>
      </c>
      <c r="H189" t="s">
        <v>74</v>
      </c>
      <c r="I189" t="s">
        <v>3927</v>
      </c>
      <c r="J189" t="s">
        <v>382</v>
      </c>
      <c r="K189" t="s">
        <v>74</v>
      </c>
      <c r="L189" t="s">
        <v>74</v>
      </c>
      <c r="M189" t="s">
        <v>78</v>
      </c>
      <c r="N189" t="s">
        <v>79</v>
      </c>
      <c r="O189" t="s">
        <v>74</v>
      </c>
      <c r="P189" t="s">
        <v>74</v>
      </c>
      <c r="Q189" t="s">
        <v>74</v>
      </c>
      <c r="R189" t="s">
        <v>74</v>
      </c>
      <c r="S189" t="s">
        <v>74</v>
      </c>
      <c r="T189" t="s">
        <v>3928</v>
      </c>
      <c r="U189" t="s">
        <v>3929</v>
      </c>
      <c r="V189" t="s">
        <v>3930</v>
      </c>
      <c r="W189" t="s">
        <v>3931</v>
      </c>
      <c r="X189" t="s">
        <v>74</v>
      </c>
      <c r="Y189" t="s">
        <v>3932</v>
      </c>
      <c r="Z189" t="s">
        <v>3933</v>
      </c>
      <c r="AA189" t="s">
        <v>3934</v>
      </c>
      <c r="AB189" t="s">
        <v>74</v>
      </c>
      <c r="AC189" t="s">
        <v>74</v>
      </c>
      <c r="AD189" t="s">
        <v>74</v>
      </c>
      <c r="AE189" t="s">
        <v>74</v>
      </c>
      <c r="AF189" t="s">
        <v>74</v>
      </c>
      <c r="AG189">
        <v>51</v>
      </c>
      <c r="AH189">
        <v>10</v>
      </c>
      <c r="AI189">
        <v>10</v>
      </c>
      <c r="AJ189">
        <v>4</v>
      </c>
      <c r="AK189">
        <v>20</v>
      </c>
      <c r="AL189" t="s">
        <v>392</v>
      </c>
      <c r="AM189" t="s">
        <v>393</v>
      </c>
      <c r="AN189" t="s">
        <v>394</v>
      </c>
      <c r="AO189" t="s">
        <v>395</v>
      </c>
      <c r="AP189" t="s">
        <v>74</v>
      </c>
      <c r="AQ189" t="s">
        <v>74</v>
      </c>
      <c r="AR189" t="s">
        <v>396</v>
      </c>
      <c r="AS189" t="s">
        <v>397</v>
      </c>
      <c r="AT189" t="s">
        <v>3935</v>
      </c>
      <c r="AU189">
        <v>2023</v>
      </c>
      <c r="AV189">
        <v>14</v>
      </c>
      <c r="AW189" t="s">
        <v>74</v>
      </c>
      <c r="AX189" t="s">
        <v>74</v>
      </c>
      <c r="AY189" t="s">
        <v>74</v>
      </c>
      <c r="AZ189" t="s">
        <v>74</v>
      </c>
      <c r="BA189" t="s">
        <v>74</v>
      </c>
      <c r="BB189" t="s">
        <v>74</v>
      </c>
      <c r="BC189" t="s">
        <v>74</v>
      </c>
      <c r="BD189">
        <v>1260652</v>
      </c>
      <c r="BE189" t="s">
        <v>3936</v>
      </c>
      <c r="BF189" t="str">
        <f>HYPERLINK("http://dx.doi.org/10.3389/fneur.2023.1260652","http://dx.doi.org/10.3389/fneur.2023.1260652")</f>
        <v>http://dx.doi.org/10.3389/fneur.2023.1260652</v>
      </c>
      <c r="BG189" t="s">
        <v>74</v>
      </c>
      <c r="BH189" t="s">
        <v>74</v>
      </c>
      <c r="BI189">
        <v>13</v>
      </c>
      <c r="BJ189" t="s">
        <v>400</v>
      </c>
      <c r="BK189" t="s">
        <v>182</v>
      </c>
      <c r="BL189" t="s">
        <v>375</v>
      </c>
      <c r="BM189" t="s">
        <v>3937</v>
      </c>
      <c r="BN189">
        <v>38125828</v>
      </c>
      <c r="BO189" t="s">
        <v>355</v>
      </c>
      <c r="BP189" t="s">
        <v>74</v>
      </c>
      <c r="BQ189" t="s">
        <v>74</v>
      </c>
      <c r="BR189" t="s">
        <v>105</v>
      </c>
      <c r="BS189" t="s">
        <v>3938</v>
      </c>
      <c r="BT189" t="str">
        <f>HYPERLINK("https%3A%2F%2Fwww.webofscience.com%2Fwos%2Fwoscc%2Ffull-record%2FWOS:001127549000001","View Full Record in Web of Science")</f>
        <v>View Full Record in Web of Science</v>
      </c>
    </row>
    <row r="190" spans="1:72" x14ac:dyDescent="0.25">
      <c r="A190" t="s">
        <v>72</v>
      </c>
      <c r="B190" t="s">
        <v>3939</v>
      </c>
      <c r="C190" t="s">
        <v>74</v>
      </c>
      <c r="D190" t="s">
        <v>74</v>
      </c>
      <c r="E190" t="s">
        <v>74</v>
      </c>
      <c r="F190" t="s">
        <v>3940</v>
      </c>
      <c r="G190" t="s">
        <v>74</v>
      </c>
      <c r="H190" t="s">
        <v>74</v>
      </c>
      <c r="I190" t="s">
        <v>3941</v>
      </c>
      <c r="J190" t="s">
        <v>382</v>
      </c>
      <c r="K190" t="s">
        <v>74</v>
      </c>
      <c r="L190" t="s">
        <v>74</v>
      </c>
      <c r="M190" t="s">
        <v>78</v>
      </c>
      <c r="N190" t="s">
        <v>79</v>
      </c>
      <c r="O190" t="s">
        <v>74</v>
      </c>
      <c r="P190" t="s">
        <v>74</v>
      </c>
      <c r="Q190" t="s">
        <v>74</v>
      </c>
      <c r="R190" t="s">
        <v>74</v>
      </c>
      <c r="S190" t="s">
        <v>74</v>
      </c>
      <c r="T190" t="s">
        <v>3942</v>
      </c>
      <c r="U190" t="s">
        <v>3943</v>
      </c>
      <c r="V190" t="s">
        <v>3944</v>
      </c>
      <c r="W190" t="s">
        <v>3945</v>
      </c>
      <c r="X190" t="s">
        <v>3946</v>
      </c>
      <c r="Y190" t="s">
        <v>3947</v>
      </c>
      <c r="Z190" t="s">
        <v>3948</v>
      </c>
      <c r="AA190" t="s">
        <v>74</v>
      </c>
      <c r="AB190" t="s">
        <v>74</v>
      </c>
      <c r="AC190" t="s">
        <v>3949</v>
      </c>
      <c r="AD190" t="s">
        <v>3950</v>
      </c>
      <c r="AE190" t="s">
        <v>3951</v>
      </c>
      <c r="AF190" t="s">
        <v>74</v>
      </c>
      <c r="AG190">
        <v>76</v>
      </c>
      <c r="AH190">
        <v>1</v>
      </c>
      <c r="AI190">
        <v>1</v>
      </c>
      <c r="AJ190">
        <v>8</v>
      </c>
      <c r="AK190">
        <v>21</v>
      </c>
      <c r="AL190" t="s">
        <v>392</v>
      </c>
      <c r="AM190" t="s">
        <v>393</v>
      </c>
      <c r="AN190" t="s">
        <v>394</v>
      </c>
      <c r="AO190" t="s">
        <v>395</v>
      </c>
      <c r="AP190" t="s">
        <v>74</v>
      </c>
      <c r="AQ190" t="s">
        <v>74</v>
      </c>
      <c r="AR190" t="s">
        <v>396</v>
      </c>
      <c r="AS190" t="s">
        <v>397</v>
      </c>
      <c r="AT190" t="s">
        <v>3952</v>
      </c>
      <c r="AU190">
        <v>2024</v>
      </c>
      <c r="AV190">
        <v>15</v>
      </c>
      <c r="AW190" t="s">
        <v>74</v>
      </c>
      <c r="AX190" t="s">
        <v>74</v>
      </c>
      <c r="AY190" t="s">
        <v>74</v>
      </c>
      <c r="AZ190" t="s">
        <v>74</v>
      </c>
      <c r="BA190" t="s">
        <v>74</v>
      </c>
      <c r="BB190" t="s">
        <v>74</v>
      </c>
      <c r="BC190" t="s">
        <v>74</v>
      </c>
      <c r="BD190">
        <v>1375855</v>
      </c>
      <c r="BE190" t="s">
        <v>3953</v>
      </c>
      <c r="BF190" t="str">
        <f>HYPERLINK("http://dx.doi.org/10.3389/fneur.2024.1375855","http://dx.doi.org/10.3389/fneur.2024.1375855")</f>
        <v>http://dx.doi.org/10.3389/fneur.2024.1375855</v>
      </c>
      <c r="BG190" t="s">
        <v>74</v>
      </c>
      <c r="BH190" t="s">
        <v>74</v>
      </c>
      <c r="BI190">
        <v>19</v>
      </c>
      <c r="BJ190" t="s">
        <v>400</v>
      </c>
      <c r="BK190" t="s">
        <v>182</v>
      </c>
      <c r="BL190" t="s">
        <v>375</v>
      </c>
      <c r="BM190" t="s">
        <v>3954</v>
      </c>
      <c r="BN190">
        <v>38948135</v>
      </c>
      <c r="BO190" t="s">
        <v>131</v>
      </c>
      <c r="BP190" t="s">
        <v>74</v>
      </c>
      <c r="BQ190" t="s">
        <v>74</v>
      </c>
      <c r="BR190" t="s">
        <v>105</v>
      </c>
      <c r="BS190" t="s">
        <v>3955</v>
      </c>
      <c r="BT190" t="str">
        <f>HYPERLINK("https%3A%2F%2Fwww.webofscience.com%2Fwos%2Fwoscc%2Ffull-record%2FWOS:001257941900001","View Full Record in Web of Science")</f>
        <v>View Full Record in Web of Science</v>
      </c>
    </row>
    <row r="191" spans="1:72" x14ac:dyDescent="0.25">
      <c r="A191" t="s">
        <v>72</v>
      </c>
      <c r="B191" t="s">
        <v>3956</v>
      </c>
      <c r="C191" t="s">
        <v>74</v>
      </c>
      <c r="D191" t="s">
        <v>74</v>
      </c>
      <c r="E191" t="s">
        <v>74</v>
      </c>
      <c r="F191" t="s">
        <v>3957</v>
      </c>
      <c r="G191" t="s">
        <v>74</v>
      </c>
      <c r="H191" t="s">
        <v>74</v>
      </c>
      <c r="I191" t="s">
        <v>3958</v>
      </c>
      <c r="J191" t="s">
        <v>3959</v>
      </c>
      <c r="K191" t="s">
        <v>74</v>
      </c>
      <c r="L191" t="s">
        <v>74</v>
      </c>
      <c r="M191" t="s">
        <v>78</v>
      </c>
      <c r="N191" t="s">
        <v>79</v>
      </c>
      <c r="O191" t="s">
        <v>74</v>
      </c>
      <c r="P191" t="s">
        <v>74</v>
      </c>
      <c r="Q191" t="s">
        <v>74</v>
      </c>
      <c r="R191" t="s">
        <v>74</v>
      </c>
      <c r="S191" t="s">
        <v>74</v>
      </c>
      <c r="T191" t="s">
        <v>3960</v>
      </c>
      <c r="U191" t="s">
        <v>3961</v>
      </c>
      <c r="V191" t="s">
        <v>3962</v>
      </c>
      <c r="W191" t="s">
        <v>3963</v>
      </c>
      <c r="X191" t="s">
        <v>3964</v>
      </c>
      <c r="Y191" t="s">
        <v>3965</v>
      </c>
      <c r="Z191" t="s">
        <v>3966</v>
      </c>
      <c r="AA191" t="s">
        <v>3967</v>
      </c>
      <c r="AB191" t="s">
        <v>3968</v>
      </c>
      <c r="AC191" t="s">
        <v>74</v>
      </c>
      <c r="AD191" t="s">
        <v>74</v>
      </c>
      <c r="AE191" t="s">
        <v>74</v>
      </c>
      <c r="AF191" t="s">
        <v>74</v>
      </c>
      <c r="AG191">
        <v>27</v>
      </c>
      <c r="AH191">
        <v>14</v>
      </c>
      <c r="AI191">
        <v>15</v>
      </c>
      <c r="AJ191">
        <v>4</v>
      </c>
      <c r="AK191">
        <v>20</v>
      </c>
      <c r="AL191" t="s">
        <v>3969</v>
      </c>
      <c r="AM191" t="s">
        <v>3970</v>
      </c>
      <c r="AN191" t="s">
        <v>3971</v>
      </c>
      <c r="AO191" t="s">
        <v>3972</v>
      </c>
      <c r="AP191" t="s">
        <v>3973</v>
      </c>
      <c r="AQ191" t="s">
        <v>74</v>
      </c>
      <c r="AR191" t="s">
        <v>3974</v>
      </c>
      <c r="AS191" t="s">
        <v>3975</v>
      </c>
      <c r="AT191" t="s">
        <v>538</v>
      </c>
      <c r="AU191">
        <v>2023</v>
      </c>
      <c r="AV191">
        <v>69</v>
      </c>
      <c r="AW191">
        <v>1</v>
      </c>
      <c r="AX191" t="s">
        <v>74</v>
      </c>
      <c r="AY191" t="s">
        <v>74</v>
      </c>
      <c r="AZ191" t="s">
        <v>74</v>
      </c>
      <c r="BA191" t="s">
        <v>74</v>
      </c>
      <c r="BB191">
        <v>15</v>
      </c>
      <c r="BC191">
        <v>22</v>
      </c>
      <c r="BD191" t="s">
        <v>74</v>
      </c>
      <c r="BE191" t="s">
        <v>3976</v>
      </c>
      <c r="BF191" t="str">
        <f>HYPERLINK("http://dx.doi.org/10.1016/j.jphys.2022.11.008","http://dx.doi.org/10.1016/j.jphys.2022.11.008")</f>
        <v>http://dx.doi.org/10.1016/j.jphys.2022.11.008</v>
      </c>
      <c r="BG191" t="s">
        <v>74</v>
      </c>
      <c r="BH191" t="s">
        <v>461</v>
      </c>
      <c r="BI191">
        <v>8</v>
      </c>
      <c r="BJ191" t="s">
        <v>3977</v>
      </c>
      <c r="BK191" t="s">
        <v>182</v>
      </c>
      <c r="BL191" t="s">
        <v>3977</v>
      </c>
      <c r="BM191" t="s">
        <v>3978</v>
      </c>
      <c r="BN191">
        <v>36529640</v>
      </c>
      <c r="BO191" t="s">
        <v>309</v>
      </c>
      <c r="BP191" t="s">
        <v>74</v>
      </c>
      <c r="BQ191" t="s">
        <v>74</v>
      </c>
      <c r="BR191" t="s">
        <v>105</v>
      </c>
      <c r="BS191" t="s">
        <v>3979</v>
      </c>
      <c r="BT191" t="str">
        <f>HYPERLINK("https%3A%2F%2Fwww.webofscience.com%2Fwos%2Fwoscc%2Ffull-record%2FWOS:000923568500001","View Full Record in Web of Science")</f>
        <v>View Full Record in Web of Science</v>
      </c>
    </row>
    <row r="192" spans="1:72" x14ac:dyDescent="0.25">
      <c r="A192" t="s">
        <v>72</v>
      </c>
      <c r="B192" t="s">
        <v>3980</v>
      </c>
      <c r="C192" t="s">
        <v>74</v>
      </c>
      <c r="D192" t="s">
        <v>74</v>
      </c>
      <c r="E192" t="s">
        <v>74</v>
      </c>
      <c r="F192" t="s">
        <v>3981</v>
      </c>
      <c r="G192" t="s">
        <v>74</v>
      </c>
      <c r="H192" t="s">
        <v>74</v>
      </c>
      <c r="I192" t="s">
        <v>3982</v>
      </c>
      <c r="J192" t="s">
        <v>1379</v>
      </c>
      <c r="K192" t="s">
        <v>74</v>
      </c>
      <c r="L192" t="s">
        <v>74</v>
      </c>
      <c r="M192" t="s">
        <v>78</v>
      </c>
      <c r="N192" t="s">
        <v>79</v>
      </c>
      <c r="O192" t="s">
        <v>74</v>
      </c>
      <c r="P192" t="s">
        <v>74</v>
      </c>
      <c r="Q192" t="s">
        <v>74</v>
      </c>
      <c r="R192" t="s">
        <v>74</v>
      </c>
      <c r="S192" t="s">
        <v>74</v>
      </c>
      <c r="T192" t="s">
        <v>3983</v>
      </c>
      <c r="U192" t="s">
        <v>3984</v>
      </c>
      <c r="V192" t="s">
        <v>3985</v>
      </c>
      <c r="W192" t="s">
        <v>3986</v>
      </c>
      <c r="X192" t="s">
        <v>3987</v>
      </c>
      <c r="Y192" t="s">
        <v>3988</v>
      </c>
      <c r="Z192" t="s">
        <v>3989</v>
      </c>
      <c r="AA192" t="s">
        <v>3990</v>
      </c>
      <c r="AB192" t="s">
        <v>3991</v>
      </c>
      <c r="AC192" t="s">
        <v>3992</v>
      </c>
      <c r="AD192" t="s">
        <v>3992</v>
      </c>
      <c r="AE192" t="s">
        <v>3993</v>
      </c>
      <c r="AF192" t="s">
        <v>74</v>
      </c>
      <c r="AG192">
        <v>154</v>
      </c>
      <c r="AH192">
        <v>31</v>
      </c>
      <c r="AI192">
        <v>33</v>
      </c>
      <c r="AJ192">
        <v>4</v>
      </c>
      <c r="AK192">
        <v>69</v>
      </c>
      <c r="AL192" t="s">
        <v>1391</v>
      </c>
      <c r="AM192" t="s">
        <v>1392</v>
      </c>
      <c r="AN192" t="s">
        <v>1393</v>
      </c>
      <c r="AO192" t="s">
        <v>1394</v>
      </c>
      <c r="AP192" t="s">
        <v>74</v>
      </c>
      <c r="AQ192" t="s">
        <v>74</v>
      </c>
      <c r="AR192" t="s">
        <v>1395</v>
      </c>
      <c r="AS192" t="s">
        <v>1396</v>
      </c>
      <c r="AT192" t="s">
        <v>3994</v>
      </c>
      <c r="AU192">
        <v>2021</v>
      </c>
      <c r="AV192">
        <v>23</v>
      </c>
      <c r="AW192">
        <v>11</v>
      </c>
      <c r="AX192" t="s">
        <v>74</v>
      </c>
      <c r="AY192" t="s">
        <v>74</v>
      </c>
      <c r="AZ192" t="s">
        <v>74</v>
      </c>
      <c r="BA192" t="s">
        <v>74</v>
      </c>
      <c r="BB192" t="s">
        <v>74</v>
      </c>
      <c r="BC192" t="s">
        <v>74</v>
      </c>
      <c r="BD192" t="s">
        <v>3995</v>
      </c>
      <c r="BE192" t="s">
        <v>3996</v>
      </c>
      <c r="BF192" t="str">
        <f>HYPERLINK("http://dx.doi.org/10.2196/25745","http://dx.doi.org/10.2196/25745")</f>
        <v>http://dx.doi.org/10.2196/25745</v>
      </c>
      <c r="BG192" t="s">
        <v>74</v>
      </c>
      <c r="BH192" t="s">
        <v>74</v>
      </c>
      <c r="BI192">
        <v>17</v>
      </c>
      <c r="BJ192" t="s">
        <v>1400</v>
      </c>
      <c r="BK192" t="s">
        <v>102</v>
      </c>
      <c r="BL192" t="s">
        <v>1400</v>
      </c>
      <c r="BM192" t="s">
        <v>3997</v>
      </c>
      <c r="BN192">
        <v>34734833</v>
      </c>
      <c r="BO192" t="s">
        <v>2959</v>
      </c>
      <c r="BP192" t="s">
        <v>74</v>
      </c>
      <c r="BQ192" t="s">
        <v>74</v>
      </c>
      <c r="BR192" t="s">
        <v>105</v>
      </c>
      <c r="BS192" t="s">
        <v>3998</v>
      </c>
      <c r="BT192" t="str">
        <f>HYPERLINK("https%3A%2F%2Fwww.webofscience.com%2Fwos%2Fwoscc%2Ffull-record%2FWOS:000726107800004","View Full Record in Web of Science")</f>
        <v>View Full Record in Web of Science</v>
      </c>
    </row>
    <row r="193" spans="1:72" x14ac:dyDescent="0.25">
      <c r="A193" t="s">
        <v>72</v>
      </c>
      <c r="B193" t="s">
        <v>3999</v>
      </c>
      <c r="C193" t="s">
        <v>74</v>
      </c>
      <c r="D193" t="s">
        <v>74</v>
      </c>
      <c r="E193" t="s">
        <v>74</v>
      </c>
      <c r="F193" t="s">
        <v>4000</v>
      </c>
      <c r="G193" t="s">
        <v>74</v>
      </c>
      <c r="H193" t="s">
        <v>74</v>
      </c>
      <c r="I193" t="s">
        <v>4001</v>
      </c>
      <c r="J193" t="s">
        <v>382</v>
      </c>
      <c r="K193" t="s">
        <v>74</v>
      </c>
      <c r="L193" t="s">
        <v>74</v>
      </c>
      <c r="M193" t="s">
        <v>78</v>
      </c>
      <c r="N193" t="s">
        <v>79</v>
      </c>
      <c r="O193" t="s">
        <v>74</v>
      </c>
      <c r="P193" t="s">
        <v>74</v>
      </c>
      <c r="Q193" t="s">
        <v>74</v>
      </c>
      <c r="R193" t="s">
        <v>74</v>
      </c>
      <c r="S193" t="s">
        <v>74</v>
      </c>
      <c r="T193" t="s">
        <v>4002</v>
      </c>
      <c r="U193" t="s">
        <v>4003</v>
      </c>
      <c r="V193" t="s">
        <v>4004</v>
      </c>
      <c r="W193" t="s">
        <v>4005</v>
      </c>
      <c r="X193" t="s">
        <v>4006</v>
      </c>
      <c r="Y193" t="s">
        <v>4007</v>
      </c>
      <c r="Z193" t="s">
        <v>4008</v>
      </c>
      <c r="AA193" t="s">
        <v>4009</v>
      </c>
      <c r="AB193" t="s">
        <v>4010</v>
      </c>
      <c r="AC193" t="s">
        <v>74</v>
      </c>
      <c r="AD193" t="s">
        <v>74</v>
      </c>
      <c r="AE193" t="s">
        <v>74</v>
      </c>
      <c r="AF193" t="s">
        <v>74</v>
      </c>
      <c r="AG193">
        <v>65</v>
      </c>
      <c r="AH193">
        <v>2</v>
      </c>
      <c r="AI193">
        <v>4</v>
      </c>
      <c r="AJ193">
        <v>2</v>
      </c>
      <c r="AK193">
        <v>12</v>
      </c>
      <c r="AL193" t="s">
        <v>392</v>
      </c>
      <c r="AM193" t="s">
        <v>393</v>
      </c>
      <c r="AN193" t="s">
        <v>394</v>
      </c>
      <c r="AO193" t="s">
        <v>395</v>
      </c>
      <c r="AP193" t="s">
        <v>74</v>
      </c>
      <c r="AQ193" t="s">
        <v>74</v>
      </c>
      <c r="AR193" t="s">
        <v>396</v>
      </c>
      <c r="AS193" t="s">
        <v>397</v>
      </c>
      <c r="AT193" t="s">
        <v>4011</v>
      </c>
      <c r="AU193">
        <v>2023</v>
      </c>
      <c r="AV193">
        <v>13</v>
      </c>
      <c r="AW193" t="s">
        <v>74</v>
      </c>
      <c r="AX193" t="s">
        <v>74</v>
      </c>
      <c r="AY193" t="s">
        <v>74</v>
      </c>
      <c r="AZ193" t="s">
        <v>74</v>
      </c>
      <c r="BA193" t="s">
        <v>74</v>
      </c>
      <c r="BB193" t="s">
        <v>74</v>
      </c>
      <c r="BC193" t="s">
        <v>74</v>
      </c>
      <c r="BD193">
        <v>1005485</v>
      </c>
      <c r="BE193" t="s">
        <v>4012</v>
      </c>
      <c r="BF193" t="str">
        <f>HYPERLINK("http://dx.doi.org/10.3389/fneur.2022.1005485","http://dx.doi.org/10.3389/fneur.2022.1005485")</f>
        <v>http://dx.doi.org/10.3389/fneur.2022.1005485</v>
      </c>
      <c r="BG193" t="s">
        <v>74</v>
      </c>
      <c r="BH193" t="s">
        <v>74</v>
      </c>
      <c r="BI193">
        <v>14</v>
      </c>
      <c r="BJ193" t="s">
        <v>400</v>
      </c>
      <c r="BK193" t="s">
        <v>182</v>
      </c>
      <c r="BL193" t="s">
        <v>375</v>
      </c>
      <c r="BM193" t="s">
        <v>4013</v>
      </c>
      <c r="BN193">
        <v>36703638</v>
      </c>
      <c r="BO193" t="s">
        <v>131</v>
      </c>
      <c r="BP193" t="s">
        <v>74</v>
      </c>
      <c r="BQ193" t="s">
        <v>74</v>
      </c>
      <c r="BR193" t="s">
        <v>105</v>
      </c>
      <c r="BS193" t="s">
        <v>4014</v>
      </c>
      <c r="BT193" t="str">
        <f>HYPERLINK("https%3A%2F%2Fwww.webofscience.com%2Fwos%2Fwoscc%2Ffull-record%2FWOS:000921807700001","View Full Record in Web of Science")</f>
        <v>View Full Record in Web of Science</v>
      </c>
    </row>
    <row r="194" spans="1:72" x14ac:dyDescent="0.25">
      <c r="A194" t="s">
        <v>72</v>
      </c>
      <c r="B194" t="s">
        <v>4015</v>
      </c>
      <c r="C194" t="s">
        <v>74</v>
      </c>
      <c r="D194" t="s">
        <v>74</v>
      </c>
      <c r="E194" t="s">
        <v>74</v>
      </c>
      <c r="F194" t="s">
        <v>4016</v>
      </c>
      <c r="G194" t="s">
        <v>74</v>
      </c>
      <c r="H194" t="s">
        <v>74</v>
      </c>
      <c r="I194" t="s">
        <v>4017</v>
      </c>
      <c r="J194" t="s">
        <v>4018</v>
      </c>
      <c r="K194" t="s">
        <v>74</v>
      </c>
      <c r="L194" t="s">
        <v>74</v>
      </c>
      <c r="M194" t="s">
        <v>78</v>
      </c>
      <c r="N194" t="s">
        <v>79</v>
      </c>
      <c r="O194" t="s">
        <v>74</v>
      </c>
      <c r="P194" t="s">
        <v>74</v>
      </c>
      <c r="Q194" t="s">
        <v>74</v>
      </c>
      <c r="R194" t="s">
        <v>74</v>
      </c>
      <c r="S194" t="s">
        <v>74</v>
      </c>
      <c r="T194" t="s">
        <v>4019</v>
      </c>
      <c r="U194" t="s">
        <v>4020</v>
      </c>
      <c r="V194" t="s">
        <v>4021</v>
      </c>
      <c r="W194" t="s">
        <v>4022</v>
      </c>
      <c r="X194" t="s">
        <v>4023</v>
      </c>
      <c r="Y194" t="s">
        <v>4024</v>
      </c>
      <c r="Z194" t="s">
        <v>4025</v>
      </c>
      <c r="AA194" t="s">
        <v>4026</v>
      </c>
      <c r="AB194" t="s">
        <v>4027</v>
      </c>
      <c r="AC194" t="s">
        <v>74</v>
      </c>
      <c r="AD194" t="s">
        <v>74</v>
      </c>
      <c r="AE194" t="s">
        <v>74</v>
      </c>
      <c r="AF194" t="s">
        <v>74</v>
      </c>
      <c r="AG194">
        <v>215</v>
      </c>
      <c r="AH194">
        <v>28</v>
      </c>
      <c r="AI194">
        <v>28</v>
      </c>
      <c r="AJ194">
        <v>3</v>
      </c>
      <c r="AK194">
        <v>10</v>
      </c>
      <c r="AL194" t="s">
        <v>392</v>
      </c>
      <c r="AM194" t="s">
        <v>393</v>
      </c>
      <c r="AN194" t="s">
        <v>394</v>
      </c>
      <c r="AO194" t="s">
        <v>4028</v>
      </c>
      <c r="AP194" t="s">
        <v>74</v>
      </c>
      <c r="AQ194" t="s">
        <v>74</v>
      </c>
      <c r="AR194" t="s">
        <v>4029</v>
      </c>
      <c r="AS194" t="s">
        <v>4030</v>
      </c>
      <c r="AT194" t="s">
        <v>3899</v>
      </c>
      <c r="AU194">
        <v>2022</v>
      </c>
      <c r="AV194">
        <v>12</v>
      </c>
      <c r="AW194" t="s">
        <v>74</v>
      </c>
      <c r="AX194" t="s">
        <v>74</v>
      </c>
      <c r="AY194" t="s">
        <v>74</v>
      </c>
      <c r="AZ194" t="s">
        <v>74</v>
      </c>
      <c r="BA194" t="s">
        <v>74</v>
      </c>
      <c r="BB194" t="s">
        <v>74</v>
      </c>
      <c r="BC194" t="s">
        <v>74</v>
      </c>
      <c r="BD194">
        <v>834068</v>
      </c>
      <c r="BE194" t="s">
        <v>4031</v>
      </c>
      <c r="BF194" t="str">
        <f>HYPERLINK("http://dx.doi.org/10.3389/fonc.2022.834068","http://dx.doi.org/10.3389/fonc.2022.834068")</f>
        <v>http://dx.doi.org/10.3389/fonc.2022.834068</v>
      </c>
      <c r="BG194" t="s">
        <v>74</v>
      </c>
      <c r="BH194" t="s">
        <v>74</v>
      </c>
      <c r="BI194">
        <v>32</v>
      </c>
      <c r="BJ194" t="s">
        <v>4032</v>
      </c>
      <c r="BK194" t="s">
        <v>102</v>
      </c>
      <c r="BL194" t="s">
        <v>4032</v>
      </c>
      <c r="BM194" t="s">
        <v>4033</v>
      </c>
      <c r="BN194">
        <v>35242716</v>
      </c>
      <c r="BO194" t="s">
        <v>131</v>
      </c>
      <c r="BP194" t="s">
        <v>74</v>
      </c>
      <c r="BQ194" t="s">
        <v>74</v>
      </c>
      <c r="BR194" t="s">
        <v>105</v>
      </c>
      <c r="BS194" t="s">
        <v>4034</v>
      </c>
      <c r="BT194" t="str">
        <f>HYPERLINK("https%3A%2F%2Fwww.webofscience.com%2Fwos%2Fwoscc%2Ffull-record%2FWOS:000763667700001","View Full Record in Web of Science")</f>
        <v>View Full Record in Web of Science</v>
      </c>
    </row>
    <row r="195" spans="1:72" x14ac:dyDescent="0.25">
      <c r="A195" t="s">
        <v>72</v>
      </c>
      <c r="B195" t="s">
        <v>4035</v>
      </c>
      <c r="C195" t="s">
        <v>74</v>
      </c>
      <c r="D195" t="s">
        <v>74</v>
      </c>
      <c r="E195" t="s">
        <v>74</v>
      </c>
      <c r="F195" t="s">
        <v>4036</v>
      </c>
      <c r="G195" t="s">
        <v>74</v>
      </c>
      <c r="H195" t="s">
        <v>74</v>
      </c>
      <c r="I195" t="s">
        <v>4037</v>
      </c>
      <c r="J195" t="s">
        <v>4038</v>
      </c>
      <c r="K195" t="s">
        <v>74</v>
      </c>
      <c r="L195" t="s">
        <v>74</v>
      </c>
      <c r="M195" t="s">
        <v>78</v>
      </c>
      <c r="N195" t="s">
        <v>79</v>
      </c>
      <c r="O195" t="s">
        <v>74</v>
      </c>
      <c r="P195" t="s">
        <v>74</v>
      </c>
      <c r="Q195" t="s">
        <v>74</v>
      </c>
      <c r="R195" t="s">
        <v>74</v>
      </c>
      <c r="S195" t="s">
        <v>74</v>
      </c>
      <c r="T195" t="s">
        <v>74</v>
      </c>
      <c r="U195" t="s">
        <v>4039</v>
      </c>
      <c r="V195" t="s">
        <v>4040</v>
      </c>
      <c r="W195" t="s">
        <v>4041</v>
      </c>
      <c r="X195" t="s">
        <v>4042</v>
      </c>
      <c r="Y195" t="s">
        <v>4043</v>
      </c>
      <c r="Z195" t="s">
        <v>4044</v>
      </c>
      <c r="AA195" t="s">
        <v>4045</v>
      </c>
      <c r="AB195" t="s">
        <v>74</v>
      </c>
      <c r="AC195" t="s">
        <v>4046</v>
      </c>
      <c r="AD195" t="s">
        <v>4047</v>
      </c>
      <c r="AE195" t="s">
        <v>4048</v>
      </c>
      <c r="AF195" t="s">
        <v>74</v>
      </c>
      <c r="AG195">
        <v>65</v>
      </c>
      <c r="AH195">
        <v>92</v>
      </c>
      <c r="AI195">
        <v>103</v>
      </c>
      <c r="AJ195">
        <v>10</v>
      </c>
      <c r="AK195">
        <v>106</v>
      </c>
      <c r="AL195" t="s">
        <v>297</v>
      </c>
      <c r="AM195" t="s">
        <v>298</v>
      </c>
      <c r="AN195" t="s">
        <v>299</v>
      </c>
      <c r="AO195" t="s">
        <v>4049</v>
      </c>
      <c r="AP195" t="s">
        <v>74</v>
      </c>
      <c r="AQ195" t="s">
        <v>74</v>
      </c>
      <c r="AR195" t="s">
        <v>4050</v>
      </c>
      <c r="AS195" t="s">
        <v>4051</v>
      </c>
      <c r="AT195" t="s">
        <v>326</v>
      </c>
      <c r="AU195">
        <v>2020</v>
      </c>
      <c r="AV195">
        <v>13</v>
      </c>
      <c r="AW195">
        <v>3</v>
      </c>
      <c r="AX195" t="s">
        <v>74</v>
      </c>
      <c r="AY195" t="s">
        <v>74</v>
      </c>
      <c r="AZ195" t="s">
        <v>74</v>
      </c>
      <c r="BA195" t="s">
        <v>74</v>
      </c>
      <c r="BB195">
        <v>629</v>
      </c>
      <c r="BC195">
        <v>636</v>
      </c>
      <c r="BD195" t="s">
        <v>74</v>
      </c>
      <c r="BE195" t="s">
        <v>4052</v>
      </c>
      <c r="BF195" t="str">
        <f>HYPERLINK("http://dx.doi.org/10.1111/1751-7915.13523","http://dx.doi.org/10.1111/1751-7915.13523")</f>
        <v>http://dx.doi.org/10.1111/1751-7915.13523</v>
      </c>
      <c r="BG195" t="s">
        <v>74</v>
      </c>
      <c r="BH195" t="s">
        <v>4053</v>
      </c>
      <c r="BI195">
        <v>8</v>
      </c>
      <c r="BJ195" t="s">
        <v>4054</v>
      </c>
      <c r="BK195" t="s">
        <v>182</v>
      </c>
      <c r="BL195" t="s">
        <v>4054</v>
      </c>
      <c r="BM195" t="s">
        <v>4055</v>
      </c>
      <c r="BN195">
        <v>31863567</v>
      </c>
      <c r="BO195" t="s">
        <v>355</v>
      </c>
      <c r="BP195" t="s">
        <v>74</v>
      </c>
      <c r="BQ195" t="s">
        <v>74</v>
      </c>
      <c r="BR195" t="s">
        <v>105</v>
      </c>
      <c r="BS195" t="s">
        <v>4056</v>
      </c>
      <c r="BT195" t="str">
        <f>HYPERLINK("https%3A%2F%2Fwww.webofscience.com%2Fwos%2Fwoscc%2Ffull-record%2FWOS:000503646200001","View Full Record in Web of Science")</f>
        <v>View Full Record in Web of Science</v>
      </c>
    </row>
    <row r="196" spans="1:72" x14ac:dyDescent="0.25">
      <c r="A196" t="s">
        <v>72</v>
      </c>
      <c r="B196" t="s">
        <v>4057</v>
      </c>
      <c r="C196" t="s">
        <v>74</v>
      </c>
      <c r="D196" t="s">
        <v>74</v>
      </c>
      <c r="E196" t="s">
        <v>74</v>
      </c>
      <c r="F196" t="s">
        <v>4058</v>
      </c>
      <c r="G196" t="s">
        <v>74</v>
      </c>
      <c r="H196" t="s">
        <v>74</v>
      </c>
      <c r="I196" t="s">
        <v>4059</v>
      </c>
      <c r="J196" t="s">
        <v>4060</v>
      </c>
      <c r="K196" t="s">
        <v>74</v>
      </c>
      <c r="L196" t="s">
        <v>74</v>
      </c>
      <c r="M196" t="s">
        <v>78</v>
      </c>
      <c r="N196" t="s">
        <v>79</v>
      </c>
      <c r="O196" t="s">
        <v>74</v>
      </c>
      <c r="P196" t="s">
        <v>74</v>
      </c>
      <c r="Q196" t="s">
        <v>74</v>
      </c>
      <c r="R196" t="s">
        <v>74</v>
      </c>
      <c r="S196" t="s">
        <v>74</v>
      </c>
      <c r="T196" t="s">
        <v>74</v>
      </c>
      <c r="U196" t="s">
        <v>4061</v>
      </c>
      <c r="V196" t="s">
        <v>4062</v>
      </c>
      <c r="W196" t="s">
        <v>4063</v>
      </c>
      <c r="X196" t="s">
        <v>4064</v>
      </c>
      <c r="Y196" t="s">
        <v>4065</v>
      </c>
      <c r="Z196" t="s">
        <v>4066</v>
      </c>
      <c r="AA196" t="s">
        <v>4067</v>
      </c>
      <c r="AB196" t="s">
        <v>4068</v>
      </c>
      <c r="AC196" t="s">
        <v>4069</v>
      </c>
      <c r="AD196" t="s">
        <v>4070</v>
      </c>
      <c r="AE196" t="s">
        <v>4071</v>
      </c>
      <c r="AF196" t="s">
        <v>74</v>
      </c>
      <c r="AG196">
        <v>157</v>
      </c>
      <c r="AH196">
        <v>21</v>
      </c>
      <c r="AI196">
        <v>21</v>
      </c>
      <c r="AJ196">
        <v>16</v>
      </c>
      <c r="AK196">
        <v>31</v>
      </c>
      <c r="AL196" t="s">
        <v>4072</v>
      </c>
      <c r="AM196" t="s">
        <v>4073</v>
      </c>
      <c r="AN196" t="s">
        <v>4074</v>
      </c>
      <c r="AO196" t="s">
        <v>74</v>
      </c>
      <c r="AP196" t="s">
        <v>4075</v>
      </c>
      <c r="AQ196" t="s">
        <v>74</v>
      </c>
      <c r="AR196" t="s">
        <v>4076</v>
      </c>
      <c r="AS196" t="s">
        <v>4077</v>
      </c>
      <c r="AT196" t="s">
        <v>4078</v>
      </c>
      <c r="AU196">
        <v>2024</v>
      </c>
      <c r="AV196">
        <v>5</v>
      </c>
      <c r="AW196" t="s">
        <v>74</v>
      </c>
      <c r="AX196" t="s">
        <v>74</v>
      </c>
      <c r="AY196" t="s">
        <v>74</v>
      </c>
      <c r="AZ196" t="s">
        <v>74</v>
      </c>
      <c r="BA196" t="s">
        <v>74</v>
      </c>
      <c r="BB196" t="s">
        <v>74</v>
      </c>
      <c r="BC196" t="s">
        <v>74</v>
      </c>
      <c r="BD196">
        <v>62</v>
      </c>
      <c r="BE196" t="s">
        <v>4079</v>
      </c>
      <c r="BF196" t="str">
        <f>HYPERLINK("http://dx.doi.org/10.34133/cbsystems.0062","http://dx.doi.org/10.34133/cbsystems.0062")</f>
        <v>http://dx.doi.org/10.34133/cbsystems.0062</v>
      </c>
      <c r="BG196" t="s">
        <v>74</v>
      </c>
      <c r="BH196" t="s">
        <v>74</v>
      </c>
      <c r="BI196">
        <v>21</v>
      </c>
      <c r="BJ196" t="s">
        <v>1937</v>
      </c>
      <c r="BK196" t="s">
        <v>182</v>
      </c>
      <c r="BL196" t="s">
        <v>1938</v>
      </c>
      <c r="BM196" t="s">
        <v>4080</v>
      </c>
      <c r="BN196">
        <v>38188984</v>
      </c>
      <c r="BO196" t="s">
        <v>131</v>
      </c>
      <c r="BP196" t="s">
        <v>74</v>
      </c>
      <c r="BQ196" t="s">
        <v>74</v>
      </c>
      <c r="BR196" t="s">
        <v>105</v>
      </c>
      <c r="BS196" t="s">
        <v>4081</v>
      </c>
      <c r="BT196" t="str">
        <f>HYPERLINK("https%3A%2F%2Fwww.webofscience.com%2Fwos%2Fwoscc%2Ffull-record%2FWOS:001162783900001","View Full Record in Web of Science")</f>
        <v>View Full Record in Web of Science</v>
      </c>
    </row>
    <row r="197" spans="1:72" x14ac:dyDescent="0.25">
      <c r="A197" t="s">
        <v>72</v>
      </c>
      <c r="B197" t="s">
        <v>4082</v>
      </c>
      <c r="C197" t="s">
        <v>74</v>
      </c>
      <c r="D197" t="s">
        <v>74</v>
      </c>
      <c r="E197" t="s">
        <v>74</v>
      </c>
      <c r="F197" t="s">
        <v>4083</v>
      </c>
      <c r="G197" t="s">
        <v>74</v>
      </c>
      <c r="H197" t="s">
        <v>74</v>
      </c>
      <c r="I197" t="s">
        <v>4084</v>
      </c>
      <c r="J197" t="s">
        <v>3906</v>
      </c>
      <c r="K197" t="s">
        <v>74</v>
      </c>
      <c r="L197" t="s">
        <v>74</v>
      </c>
      <c r="M197" t="s">
        <v>78</v>
      </c>
      <c r="N197" t="s">
        <v>79</v>
      </c>
      <c r="O197" t="s">
        <v>74</v>
      </c>
      <c r="P197" t="s">
        <v>74</v>
      </c>
      <c r="Q197" t="s">
        <v>74</v>
      </c>
      <c r="R197" t="s">
        <v>74</v>
      </c>
      <c r="S197" t="s">
        <v>74</v>
      </c>
      <c r="T197" t="s">
        <v>4085</v>
      </c>
      <c r="U197" t="s">
        <v>4086</v>
      </c>
      <c r="V197" t="s">
        <v>4087</v>
      </c>
      <c r="W197" t="s">
        <v>4088</v>
      </c>
      <c r="X197" t="s">
        <v>4089</v>
      </c>
      <c r="Y197" t="s">
        <v>4090</v>
      </c>
      <c r="Z197" t="s">
        <v>3911</v>
      </c>
      <c r="AA197" t="s">
        <v>4091</v>
      </c>
      <c r="AB197" t="s">
        <v>74</v>
      </c>
      <c r="AC197" t="s">
        <v>4092</v>
      </c>
      <c r="AD197" t="s">
        <v>4092</v>
      </c>
      <c r="AE197" t="s">
        <v>4093</v>
      </c>
      <c r="AF197" t="s">
        <v>74</v>
      </c>
      <c r="AG197">
        <v>89</v>
      </c>
      <c r="AH197">
        <v>80</v>
      </c>
      <c r="AI197">
        <v>84</v>
      </c>
      <c r="AJ197">
        <v>0</v>
      </c>
      <c r="AK197">
        <v>24</v>
      </c>
      <c r="AL197" t="s">
        <v>297</v>
      </c>
      <c r="AM197" t="s">
        <v>298</v>
      </c>
      <c r="AN197" t="s">
        <v>299</v>
      </c>
      <c r="AO197" t="s">
        <v>3917</v>
      </c>
      <c r="AP197" t="s">
        <v>3918</v>
      </c>
      <c r="AQ197" t="s">
        <v>74</v>
      </c>
      <c r="AR197" t="s">
        <v>3919</v>
      </c>
      <c r="AS197" t="s">
        <v>3920</v>
      </c>
      <c r="AT197" t="s">
        <v>74</v>
      </c>
      <c r="AU197">
        <v>2012</v>
      </c>
      <c r="AV197" t="s">
        <v>74</v>
      </c>
      <c r="AW197">
        <v>11</v>
      </c>
      <c r="AX197" t="s">
        <v>74</v>
      </c>
      <c r="AY197" t="s">
        <v>74</v>
      </c>
      <c r="AZ197" t="s">
        <v>74</v>
      </c>
      <c r="BA197" t="s">
        <v>74</v>
      </c>
      <c r="BB197" t="s">
        <v>74</v>
      </c>
      <c r="BC197" t="s">
        <v>74</v>
      </c>
      <c r="BD197" t="s">
        <v>4094</v>
      </c>
      <c r="BE197" t="s">
        <v>4095</v>
      </c>
      <c r="BF197" t="str">
        <f>HYPERLINK("http://dx.doi.org/10.1002/14651858.CD006676.pub3","http://dx.doi.org/10.1002/14651858.CD006676.pub3")</f>
        <v>http://dx.doi.org/10.1002/14651858.CD006676.pub3</v>
      </c>
      <c r="BG197" t="s">
        <v>74</v>
      </c>
      <c r="BH197" t="s">
        <v>74</v>
      </c>
      <c r="BI197">
        <v>51</v>
      </c>
      <c r="BJ197" t="s">
        <v>128</v>
      </c>
      <c r="BK197" t="s">
        <v>182</v>
      </c>
      <c r="BL197" t="s">
        <v>129</v>
      </c>
      <c r="BM197" t="s">
        <v>4096</v>
      </c>
      <c r="BN197">
        <v>23152239</v>
      </c>
      <c r="BO197" t="s">
        <v>2246</v>
      </c>
      <c r="BP197" t="s">
        <v>74</v>
      </c>
      <c r="BQ197" t="s">
        <v>74</v>
      </c>
      <c r="BR197" t="s">
        <v>105</v>
      </c>
      <c r="BS197" t="s">
        <v>4097</v>
      </c>
      <c r="BT197" t="str">
        <f>HYPERLINK("https%3A%2F%2Fwww.webofscience.com%2Fwos%2Fwoscc%2Ffull-record%2FWOS:000312199800028","View Full Record in Web of Science")</f>
        <v>View Full Record in Web of Science</v>
      </c>
    </row>
    <row r="198" spans="1:72" x14ac:dyDescent="0.25">
      <c r="A198" t="s">
        <v>72</v>
      </c>
      <c r="B198" t="s">
        <v>4098</v>
      </c>
      <c r="C198" t="s">
        <v>74</v>
      </c>
      <c r="D198" t="s">
        <v>74</v>
      </c>
      <c r="E198" t="s">
        <v>74</v>
      </c>
      <c r="F198" t="s">
        <v>4099</v>
      </c>
      <c r="G198" t="s">
        <v>74</v>
      </c>
      <c r="H198" t="s">
        <v>74</v>
      </c>
      <c r="I198" t="s">
        <v>4100</v>
      </c>
      <c r="J198" t="s">
        <v>4101</v>
      </c>
      <c r="K198" t="s">
        <v>74</v>
      </c>
      <c r="L198" t="s">
        <v>74</v>
      </c>
      <c r="M198" t="s">
        <v>78</v>
      </c>
      <c r="N198" t="s">
        <v>79</v>
      </c>
      <c r="O198" t="s">
        <v>74</v>
      </c>
      <c r="P198" t="s">
        <v>74</v>
      </c>
      <c r="Q198" t="s">
        <v>74</v>
      </c>
      <c r="R198" t="s">
        <v>74</v>
      </c>
      <c r="S198" t="s">
        <v>74</v>
      </c>
      <c r="T198" t="s">
        <v>74</v>
      </c>
      <c r="U198" t="s">
        <v>4102</v>
      </c>
      <c r="V198" t="s">
        <v>4103</v>
      </c>
      <c r="W198" t="s">
        <v>4104</v>
      </c>
      <c r="X198" t="s">
        <v>4105</v>
      </c>
      <c r="Y198" t="s">
        <v>4106</v>
      </c>
      <c r="Z198" t="s">
        <v>4107</v>
      </c>
      <c r="AA198" t="s">
        <v>4108</v>
      </c>
      <c r="AB198" t="s">
        <v>4109</v>
      </c>
      <c r="AC198" t="s">
        <v>4110</v>
      </c>
      <c r="AD198" t="s">
        <v>4111</v>
      </c>
      <c r="AE198" t="s">
        <v>4112</v>
      </c>
      <c r="AF198" t="s">
        <v>74</v>
      </c>
      <c r="AG198">
        <v>194</v>
      </c>
      <c r="AH198">
        <v>10</v>
      </c>
      <c r="AI198">
        <v>10</v>
      </c>
      <c r="AJ198">
        <v>5</v>
      </c>
      <c r="AK198">
        <v>6</v>
      </c>
      <c r="AL198" t="s">
        <v>4113</v>
      </c>
      <c r="AM198" t="s">
        <v>4114</v>
      </c>
      <c r="AN198" t="s">
        <v>4115</v>
      </c>
      <c r="AO198" t="s">
        <v>74</v>
      </c>
      <c r="AP198" t="s">
        <v>4116</v>
      </c>
      <c r="AQ198" t="s">
        <v>74</v>
      </c>
      <c r="AR198" t="s">
        <v>4101</v>
      </c>
      <c r="AS198" t="s">
        <v>4117</v>
      </c>
      <c r="AT198" t="s">
        <v>4118</v>
      </c>
      <c r="AU198">
        <v>2023</v>
      </c>
      <c r="AV198">
        <v>1</v>
      </c>
      <c r="AW198">
        <v>2</v>
      </c>
      <c r="AX198" t="s">
        <v>74</v>
      </c>
      <c r="AY198" t="s">
        <v>74</v>
      </c>
      <c r="AZ198" t="s">
        <v>74</v>
      </c>
      <c r="BA198" t="s">
        <v>74</v>
      </c>
      <c r="BB198" t="s">
        <v>74</v>
      </c>
      <c r="BC198" t="s">
        <v>74</v>
      </c>
      <c r="BD198">
        <v>100053</v>
      </c>
      <c r="BE198" t="s">
        <v>4119</v>
      </c>
      <c r="BF198" t="str">
        <f>HYPERLINK("http://dx.doi.org/10.1016/j.device.2023.100053","http://dx.doi.org/10.1016/j.device.2023.100053")</f>
        <v>http://dx.doi.org/10.1016/j.device.2023.100053</v>
      </c>
      <c r="BG198" t="s">
        <v>74</v>
      </c>
      <c r="BH198" t="s">
        <v>74</v>
      </c>
      <c r="BI198">
        <v>21</v>
      </c>
      <c r="BJ198" t="s">
        <v>2291</v>
      </c>
      <c r="BK198" t="s">
        <v>155</v>
      </c>
      <c r="BL198" t="s">
        <v>2292</v>
      </c>
      <c r="BM198" t="s">
        <v>4120</v>
      </c>
      <c r="BN198" t="s">
        <v>74</v>
      </c>
      <c r="BO198" t="s">
        <v>1052</v>
      </c>
      <c r="BP198" t="s">
        <v>74</v>
      </c>
      <c r="BQ198" t="s">
        <v>74</v>
      </c>
      <c r="BR198" t="s">
        <v>105</v>
      </c>
      <c r="BS198" t="s">
        <v>4121</v>
      </c>
      <c r="BT198" t="str">
        <f>HYPERLINK("https%3A%2F%2Fwww.webofscience.com%2Fwos%2Fwoscc%2Ffull-record%2FWOS:001339419000003","View Full Record in Web of Science")</f>
        <v>View Full Record in Web of Science</v>
      </c>
    </row>
    <row r="199" spans="1:72" x14ac:dyDescent="0.25">
      <c r="A199" t="s">
        <v>72</v>
      </c>
      <c r="B199" t="s">
        <v>4122</v>
      </c>
      <c r="C199" t="s">
        <v>74</v>
      </c>
      <c r="D199" t="s">
        <v>74</v>
      </c>
      <c r="E199" t="s">
        <v>74</v>
      </c>
      <c r="F199" t="s">
        <v>4123</v>
      </c>
      <c r="G199" t="s">
        <v>74</v>
      </c>
      <c r="H199" t="s">
        <v>74</v>
      </c>
      <c r="I199" t="s">
        <v>4124</v>
      </c>
      <c r="J199" t="s">
        <v>243</v>
      </c>
      <c r="K199" t="s">
        <v>74</v>
      </c>
      <c r="L199" t="s">
        <v>74</v>
      </c>
      <c r="M199" t="s">
        <v>78</v>
      </c>
      <c r="N199" t="s">
        <v>79</v>
      </c>
      <c r="O199" t="s">
        <v>74</v>
      </c>
      <c r="P199" t="s">
        <v>74</v>
      </c>
      <c r="Q199" t="s">
        <v>74</v>
      </c>
      <c r="R199" t="s">
        <v>74</v>
      </c>
      <c r="S199" t="s">
        <v>74</v>
      </c>
      <c r="T199" t="s">
        <v>4125</v>
      </c>
      <c r="U199" t="s">
        <v>4126</v>
      </c>
      <c r="V199" t="s">
        <v>4127</v>
      </c>
      <c r="W199" t="s">
        <v>4128</v>
      </c>
      <c r="X199" t="s">
        <v>4129</v>
      </c>
      <c r="Y199" t="s">
        <v>4130</v>
      </c>
      <c r="Z199" t="s">
        <v>4131</v>
      </c>
      <c r="AA199" t="s">
        <v>4132</v>
      </c>
      <c r="AB199" t="s">
        <v>4133</v>
      </c>
      <c r="AC199" t="s">
        <v>4134</v>
      </c>
      <c r="AD199" t="s">
        <v>4135</v>
      </c>
      <c r="AE199" t="s">
        <v>4136</v>
      </c>
      <c r="AF199" t="s">
        <v>74</v>
      </c>
      <c r="AG199">
        <v>148</v>
      </c>
      <c r="AH199">
        <v>21</v>
      </c>
      <c r="AI199">
        <v>24</v>
      </c>
      <c r="AJ199">
        <v>2</v>
      </c>
      <c r="AK199">
        <v>63</v>
      </c>
      <c r="AL199" t="s">
        <v>253</v>
      </c>
      <c r="AM199" t="s">
        <v>227</v>
      </c>
      <c r="AN199" t="s">
        <v>254</v>
      </c>
      <c r="AO199" t="s">
        <v>255</v>
      </c>
      <c r="AP199" t="s">
        <v>256</v>
      </c>
      <c r="AQ199" t="s">
        <v>74</v>
      </c>
      <c r="AR199" t="s">
        <v>257</v>
      </c>
      <c r="AS199" t="s">
        <v>258</v>
      </c>
      <c r="AT199" t="s">
        <v>74</v>
      </c>
      <c r="AU199">
        <v>2018</v>
      </c>
      <c r="AV199">
        <v>13</v>
      </c>
      <c r="AW199">
        <v>7</v>
      </c>
      <c r="AX199" t="s">
        <v>74</v>
      </c>
      <c r="AY199" t="s">
        <v>74</v>
      </c>
      <c r="AZ199" t="s">
        <v>74</v>
      </c>
      <c r="BA199" t="s">
        <v>74</v>
      </c>
      <c r="BB199">
        <v>683</v>
      </c>
      <c r="BC199">
        <v>703</v>
      </c>
      <c r="BD199" t="s">
        <v>74</v>
      </c>
      <c r="BE199" t="s">
        <v>4137</v>
      </c>
      <c r="BF199" t="str">
        <f>HYPERLINK("http://dx.doi.org/10.1080/17483107.2018.1425746","http://dx.doi.org/10.1080/17483107.2018.1425746")</f>
        <v>http://dx.doi.org/10.1080/17483107.2018.1425746</v>
      </c>
      <c r="BG199" t="s">
        <v>74</v>
      </c>
      <c r="BH199" t="s">
        <v>74</v>
      </c>
      <c r="BI199">
        <v>21</v>
      </c>
      <c r="BJ199" t="s">
        <v>101</v>
      </c>
      <c r="BK199" t="s">
        <v>462</v>
      </c>
      <c r="BL199" t="s">
        <v>101</v>
      </c>
      <c r="BM199" t="s">
        <v>4138</v>
      </c>
      <c r="BN199">
        <v>29334274</v>
      </c>
      <c r="BO199" t="s">
        <v>74</v>
      </c>
      <c r="BP199" t="s">
        <v>74</v>
      </c>
      <c r="BQ199" t="s">
        <v>74</v>
      </c>
      <c r="BR199" t="s">
        <v>105</v>
      </c>
      <c r="BS199" t="s">
        <v>4139</v>
      </c>
      <c r="BT199" t="str">
        <f>HYPERLINK("https%3A%2F%2Fwww.webofscience.com%2Fwos%2Fwoscc%2Ffull-record%2FWOS:000442740900010","View Full Record in Web of Science")</f>
        <v>View Full Record in Web of Science</v>
      </c>
    </row>
    <row r="200" spans="1:72" x14ac:dyDescent="0.25">
      <c r="A200" t="s">
        <v>72</v>
      </c>
      <c r="B200" t="s">
        <v>4140</v>
      </c>
      <c r="C200" t="s">
        <v>74</v>
      </c>
      <c r="D200" t="s">
        <v>74</v>
      </c>
      <c r="E200" t="s">
        <v>74</v>
      </c>
      <c r="F200" t="s">
        <v>4141</v>
      </c>
      <c r="G200" t="s">
        <v>74</v>
      </c>
      <c r="H200" t="s">
        <v>74</v>
      </c>
      <c r="I200" t="s">
        <v>3905</v>
      </c>
      <c r="J200" t="s">
        <v>3906</v>
      </c>
      <c r="K200" t="s">
        <v>74</v>
      </c>
      <c r="L200" t="s">
        <v>74</v>
      </c>
      <c r="M200" t="s">
        <v>78</v>
      </c>
      <c r="N200" t="s">
        <v>79</v>
      </c>
      <c r="O200" t="s">
        <v>74</v>
      </c>
      <c r="P200" t="s">
        <v>74</v>
      </c>
      <c r="Q200" t="s">
        <v>74</v>
      </c>
      <c r="R200" t="s">
        <v>74</v>
      </c>
      <c r="S200" t="s">
        <v>74</v>
      </c>
      <c r="T200" t="s">
        <v>74</v>
      </c>
      <c r="U200" t="s">
        <v>4142</v>
      </c>
      <c r="V200" t="s">
        <v>4143</v>
      </c>
      <c r="W200" t="s">
        <v>4144</v>
      </c>
      <c r="X200" t="s">
        <v>4145</v>
      </c>
      <c r="Y200" t="s">
        <v>4146</v>
      </c>
      <c r="Z200" t="s">
        <v>4147</v>
      </c>
      <c r="AA200" t="s">
        <v>4148</v>
      </c>
      <c r="AB200" t="s">
        <v>4149</v>
      </c>
      <c r="AC200" t="s">
        <v>4150</v>
      </c>
      <c r="AD200" t="s">
        <v>4150</v>
      </c>
      <c r="AE200" t="s">
        <v>4151</v>
      </c>
      <c r="AF200" t="s">
        <v>74</v>
      </c>
      <c r="AG200">
        <v>126</v>
      </c>
      <c r="AH200">
        <v>188</v>
      </c>
      <c r="AI200">
        <v>195</v>
      </c>
      <c r="AJ200">
        <v>2</v>
      </c>
      <c r="AK200">
        <v>47</v>
      </c>
      <c r="AL200" t="s">
        <v>297</v>
      </c>
      <c r="AM200" t="s">
        <v>298</v>
      </c>
      <c r="AN200" t="s">
        <v>299</v>
      </c>
      <c r="AO200" t="s">
        <v>3917</v>
      </c>
      <c r="AP200" t="s">
        <v>3918</v>
      </c>
      <c r="AQ200" t="s">
        <v>74</v>
      </c>
      <c r="AR200" t="s">
        <v>3919</v>
      </c>
      <c r="AS200" t="s">
        <v>3920</v>
      </c>
      <c r="AT200" t="s">
        <v>74</v>
      </c>
      <c r="AU200">
        <v>2017</v>
      </c>
      <c r="AV200" t="s">
        <v>74</v>
      </c>
      <c r="AW200">
        <v>5</v>
      </c>
      <c r="AX200" t="s">
        <v>74</v>
      </c>
      <c r="AY200" t="s">
        <v>74</v>
      </c>
      <c r="AZ200" t="s">
        <v>74</v>
      </c>
      <c r="BA200" t="s">
        <v>74</v>
      </c>
      <c r="BB200" t="s">
        <v>74</v>
      </c>
      <c r="BC200" t="s">
        <v>74</v>
      </c>
      <c r="BD200" t="s">
        <v>3921</v>
      </c>
      <c r="BE200" t="s">
        <v>4152</v>
      </c>
      <c r="BF200" t="str">
        <f>HYPERLINK("http://dx.doi.org/10.1002/14651858.CD006185.pub4","http://dx.doi.org/10.1002/14651858.CD006185.pub4")</f>
        <v>http://dx.doi.org/10.1002/14651858.CD006185.pub4</v>
      </c>
      <c r="BG200" t="s">
        <v>74</v>
      </c>
      <c r="BH200" t="s">
        <v>74</v>
      </c>
      <c r="BI200">
        <v>150</v>
      </c>
      <c r="BJ200" t="s">
        <v>128</v>
      </c>
      <c r="BK200" t="s">
        <v>182</v>
      </c>
      <c r="BL200" t="s">
        <v>129</v>
      </c>
      <c r="BM200" t="s">
        <v>4153</v>
      </c>
      <c r="BN200">
        <v>28488268</v>
      </c>
      <c r="BO200" t="s">
        <v>2246</v>
      </c>
      <c r="BP200" t="s">
        <v>74</v>
      </c>
      <c r="BQ200" t="s">
        <v>74</v>
      </c>
      <c r="BR200" t="s">
        <v>105</v>
      </c>
      <c r="BS200" t="s">
        <v>4154</v>
      </c>
      <c r="BT200" t="str">
        <f>HYPERLINK("https%3A%2F%2Fwww.webofscience.com%2Fwos%2Fwoscc%2Ffull-record%2FWOS:000402520100039","View Full Record in Web of Science")</f>
        <v>View Full Record in Web of Science</v>
      </c>
    </row>
    <row r="201" spans="1:72" x14ac:dyDescent="0.25">
      <c r="A201" t="s">
        <v>72</v>
      </c>
      <c r="B201" t="s">
        <v>4155</v>
      </c>
      <c r="C201" t="s">
        <v>74</v>
      </c>
      <c r="D201" t="s">
        <v>74</v>
      </c>
      <c r="E201" t="s">
        <v>74</v>
      </c>
      <c r="F201" t="s">
        <v>4156</v>
      </c>
      <c r="G201" t="s">
        <v>74</v>
      </c>
      <c r="H201" t="s">
        <v>74</v>
      </c>
      <c r="I201" t="s">
        <v>3905</v>
      </c>
      <c r="J201" t="s">
        <v>3906</v>
      </c>
      <c r="K201" t="s">
        <v>74</v>
      </c>
      <c r="L201" t="s">
        <v>74</v>
      </c>
      <c r="M201" t="s">
        <v>78</v>
      </c>
      <c r="N201" t="s">
        <v>79</v>
      </c>
      <c r="O201" t="s">
        <v>74</v>
      </c>
      <c r="P201" t="s">
        <v>74</v>
      </c>
      <c r="Q201" t="s">
        <v>74</v>
      </c>
      <c r="R201" t="s">
        <v>74</v>
      </c>
      <c r="S201" t="s">
        <v>74</v>
      </c>
      <c r="T201" t="s">
        <v>4157</v>
      </c>
      <c r="U201" t="s">
        <v>4158</v>
      </c>
      <c r="V201" t="s">
        <v>4159</v>
      </c>
      <c r="W201" t="s">
        <v>4160</v>
      </c>
      <c r="X201" t="s">
        <v>4089</v>
      </c>
      <c r="Y201" t="s">
        <v>4161</v>
      </c>
      <c r="Z201" t="s">
        <v>3911</v>
      </c>
      <c r="AA201" t="s">
        <v>3912</v>
      </c>
      <c r="AB201" t="s">
        <v>3913</v>
      </c>
      <c r="AC201" t="s">
        <v>4162</v>
      </c>
      <c r="AD201" t="s">
        <v>4163</v>
      </c>
      <c r="AE201" t="s">
        <v>4164</v>
      </c>
      <c r="AF201" t="s">
        <v>74</v>
      </c>
      <c r="AG201">
        <v>87</v>
      </c>
      <c r="AH201">
        <v>261</v>
      </c>
      <c r="AI201">
        <v>277</v>
      </c>
      <c r="AJ201">
        <v>2</v>
      </c>
      <c r="AK201">
        <v>23</v>
      </c>
      <c r="AL201" t="s">
        <v>297</v>
      </c>
      <c r="AM201" t="s">
        <v>298</v>
      </c>
      <c r="AN201" t="s">
        <v>299</v>
      </c>
      <c r="AO201" t="s">
        <v>3917</v>
      </c>
      <c r="AP201" t="s">
        <v>3918</v>
      </c>
      <c r="AQ201" t="s">
        <v>74</v>
      </c>
      <c r="AR201" t="s">
        <v>3919</v>
      </c>
      <c r="AS201" t="s">
        <v>3920</v>
      </c>
      <c r="AT201" t="s">
        <v>74</v>
      </c>
      <c r="AU201">
        <v>2013</v>
      </c>
      <c r="AV201" t="s">
        <v>74</v>
      </c>
      <c r="AW201">
        <v>7</v>
      </c>
      <c r="AX201" t="s">
        <v>74</v>
      </c>
      <c r="AY201" t="s">
        <v>74</v>
      </c>
      <c r="AZ201" t="s">
        <v>74</v>
      </c>
      <c r="BA201" t="s">
        <v>74</v>
      </c>
      <c r="BB201" t="s">
        <v>74</v>
      </c>
      <c r="BC201" t="s">
        <v>74</v>
      </c>
      <c r="BD201" t="s">
        <v>3921</v>
      </c>
      <c r="BE201" t="s">
        <v>4165</v>
      </c>
      <c r="BF201" t="str">
        <f>HYPERLINK("http://dx.doi.org/10.1002/14651858.CD006185.pub3","http://dx.doi.org/10.1002/14651858.CD006185.pub3")</f>
        <v>http://dx.doi.org/10.1002/14651858.CD006185.pub3</v>
      </c>
      <c r="BG201" t="s">
        <v>74</v>
      </c>
      <c r="BH201" t="s">
        <v>74</v>
      </c>
      <c r="BI201">
        <v>100</v>
      </c>
      <c r="BJ201" t="s">
        <v>128</v>
      </c>
      <c r="BK201" t="s">
        <v>182</v>
      </c>
      <c r="BL201" t="s">
        <v>129</v>
      </c>
      <c r="BM201" t="s">
        <v>4166</v>
      </c>
      <c r="BN201">
        <v>17943893</v>
      </c>
      <c r="BO201" t="s">
        <v>2246</v>
      </c>
      <c r="BP201" t="s">
        <v>74</v>
      </c>
      <c r="BQ201" t="s">
        <v>74</v>
      </c>
      <c r="BR201" t="s">
        <v>105</v>
      </c>
      <c r="BS201" t="s">
        <v>4167</v>
      </c>
      <c r="BT201" t="str">
        <f>HYPERLINK("https%3A%2F%2Fwww.webofscience.com%2Fwos%2Fwoscc%2Ffull-record%2FWOS:000322568100042","View Full Record in Web of Science")</f>
        <v>View Full Record in Web of Science</v>
      </c>
    </row>
    <row r="202" spans="1:72" x14ac:dyDescent="0.25">
      <c r="A202" t="s">
        <v>72</v>
      </c>
      <c r="B202" t="s">
        <v>4168</v>
      </c>
      <c r="C202" t="s">
        <v>74</v>
      </c>
      <c r="D202" t="s">
        <v>74</v>
      </c>
      <c r="E202" t="s">
        <v>74</v>
      </c>
      <c r="F202" t="s">
        <v>4169</v>
      </c>
      <c r="G202" t="s">
        <v>74</v>
      </c>
      <c r="H202" t="s">
        <v>74</v>
      </c>
      <c r="I202" t="s">
        <v>4170</v>
      </c>
      <c r="J202" t="s">
        <v>4171</v>
      </c>
      <c r="K202" t="s">
        <v>74</v>
      </c>
      <c r="L202" t="s">
        <v>74</v>
      </c>
      <c r="M202" t="s">
        <v>78</v>
      </c>
      <c r="N202" t="s">
        <v>79</v>
      </c>
      <c r="O202" t="s">
        <v>74</v>
      </c>
      <c r="P202" t="s">
        <v>74</v>
      </c>
      <c r="Q202" t="s">
        <v>74</v>
      </c>
      <c r="R202" t="s">
        <v>74</v>
      </c>
      <c r="S202" t="s">
        <v>74</v>
      </c>
      <c r="T202" t="s">
        <v>74</v>
      </c>
      <c r="U202" t="s">
        <v>4172</v>
      </c>
      <c r="V202" t="s">
        <v>4173</v>
      </c>
      <c r="W202" t="s">
        <v>4174</v>
      </c>
      <c r="X202" t="s">
        <v>4175</v>
      </c>
      <c r="Y202" t="s">
        <v>4176</v>
      </c>
      <c r="Z202" t="s">
        <v>4177</v>
      </c>
      <c r="AA202" t="s">
        <v>4178</v>
      </c>
      <c r="AB202" t="s">
        <v>4179</v>
      </c>
      <c r="AC202" t="s">
        <v>4180</v>
      </c>
      <c r="AD202" t="s">
        <v>4181</v>
      </c>
      <c r="AE202" t="s">
        <v>4182</v>
      </c>
      <c r="AF202" t="s">
        <v>74</v>
      </c>
      <c r="AG202">
        <v>114</v>
      </c>
      <c r="AH202">
        <v>8</v>
      </c>
      <c r="AI202">
        <v>12</v>
      </c>
      <c r="AJ202">
        <v>4</v>
      </c>
      <c r="AK202">
        <v>90</v>
      </c>
      <c r="AL202" t="s">
        <v>367</v>
      </c>
      <c r="AM202" t="s">
        <v>275</v>
      </c>
      <c r="AN202" t="s">
        <v>368</v>
      </c>
      <c r="AO202" t="s">
        <v>4183</v>
      </c>
      <c r="AP202" t="s">
        <v>4184</v>
      </c>
      <c r="AQ202" t="s">
        <v>74</v>
      </c>
      <c r="AR202" t="s">
        <v>4185</v>
      </c>
      <c r="AS202" t="s">
        <v>4186</v>
      </c>
      <c r="AT202" t="s">
        <v>4187</v>
      </c>
      <c r="AU202">
        <v>2021</v>
      </c>
      <c r="AV202">
        <v>2021</v>
      </c>
      <c r="AW202" t="s">
        <v>74</v>
      </c>
      <c r="AX202" t="s">
        <v>74</v>
      </c>
      <c r="AY202" t="s">
        <v>74</v>
      </c>
      <c r="AZ202" t="s">
        <v>74</v>
      </c>
      <c r="BA202" t="s">
        <v>74</v>
      </c>
      <c r="BB202" t="s">
        <v>74</v>
      </c>
      <c r="BC202" t="s">
        <v>74</v>
      </c>
      <c r="BD202">
        <v>8883598</v>
      </c>
      <c r="BE202" t="s">
        <v>4188</v>
      </c>
      <c r="BF202" t="str">
        <f>HYPERLINK("http://dx.doi.org/10.1155/2021/8883598","http://dx.doi.org/10.1155/2021/8883598")</f>
        <v>http://dx.doi.org/10.1155/2021/8883598</v>
      </c>
      <c r="BG202" t="s">
        <v>74</v>
      </c>
      <c r="BH202" t="s">
        <v>74</v>
      </c>
      <c r="BI202">
        <v>11</v>
      </c>
      <c r="BJ202" t="s">
        <v>680</v>
      </c>
      <c r="BK202" t="s">
        <v>182</v>
      </c>
      <c r="BL202" t="s">
        <v>680</v>
      </c>
      <c r="BM202" t="s">
        <v>4189</v>
      </c>
      <c r="BN202">
        <v>33859714</v>
      </c>
      <c r="BO202" t="s">
        <v>355</v>
      </c>
      <c r="BP202" t="s">
        <v>74</v>
      </c>
      <c r="BQ202" t="s">
        <v>74</v>
      </c>
      <c r="BR202" t="s">
        <v>105</v>
      </c>
      <c r="BS202" t="s">
        <v>4190</v>
      </c>
      <c r="BT202" t="str">
        <f>HYPERLINK("https%3A%2F%2Fwww.webofscience.com%2Fwos%2Fwoscc%2Ffull-record%2FWOS:000640280100002","View Full Record in Web of Science")</f>
        <v>View Full Record in Web of Science</v>
      </c>
    </row>
    <row r="203" spans="1:72" x14ac:dyDescent="0.25">
      <c r="A203" t="s">
        <v>72</v>
      </c>
      <c r="B203" t="s">
        <v>4191</v>
      </c>
      <c r="C203" t="s">
        <v>74</v>
      </c>
      <c r="D203" t="s">
        <v>74</v>
      </c>
      <c r="E203" t="s">
        <v>74</v>
      </c>
      <c r="F203" t="s">
        <v>4192</v>
      </c>
      <c r="G203" t="s">
        <v>74</v>
      </c>
      <c r="H203" t="s">
        <v>74</v>
      </c>
      <c r="I203" t="s">
        <v>4193</v>
      </c>
      <c r="J203" t="s">
        <v>4101</v>
      </c>
      <c r="K203" t="s">
        <v>74</v>
      </c>
      <c r="L203" t="s">
        <v>74</v>
      </c>
      <c r="M203" t="s">
        <v>78</v>
      </c>
      <c r="N203" t="s">
        <v>79</v>
      </c>
      <c r="O203" t="s">
        <v>74</v>
      </c>
      <c r="P203" t="s">
        <v>74</v>
      </c>
      <c r="Q203" t="s">
        <v>74</v>
      </c>
      <c r="R203" t="s">
        <v>74</v>
      </c>
      <c r="S203" t="s">
        <v>74</v>
      </c>
      <c r="T203" t="s">
        <v>74</v>
      </c>
      <c r="U203" t="s">
        <v>4194</v>
      </c>
      <c r="V203" t="s">
        <v>4195</v>
      </c>
      <c r="W203" t="s">
        <v>4196</v>
      </c>
      <c r="X203" t="s">
        <v>4197</v>
      </c>
      <c r="Y203" t="s">
        <v>4198</v>
      </c>
      <c r="Z203" t="s">
        <v>4199</v>
      </c>
      <c r="AA203" t="s">
        <v>4200</v>
      </c>
      <c r="AB203" t="s">
        <v>4201</v>
      </c>
      <c r="AC203" t="s">
        <v>4202</v>
      </c>
      <c r="AD203" t="s">
        <v>4203</v>
      </c>
      <c r="AE203" t="s">
        <v>4204</v>
      </c>
      <c r="AF203" t="s">
        <v>74</v>
      </c>
      <c r="AG203">
        <v>226</v>
      </c>
      <c r="AH203">
        <v>11</v>
      </c>
      <c r="AI203">
        <v>11</v>
      </c>
      <c r="AJ203">
        <v>5</v>
      </c>
      <c r="AK203">
        <v>21</v>
      </c>
      <c r="AL203" t="s">
        <v>4113</v>
      </c>
      <c r="AM203" t="s">
        <v>4114</v>
      </c>
      <c r="AN203" t="s">
        <v>4115</v>
      </c>
      <c r="AO203" t="s">
        <v>74</v>
      </c>
      <c r="AP203" t="s">
        <v>4116</v>
      </c>
      <c r="AQ203" t="s">
        <v>74</v>
      </c>
      <c r="AR203" t="s">
        <v>4101</v>
      </c>
      <c r="AS203" t="s">
        <v>4117</v>
      </c>
      <c r="AT203" t="s">
        <v>4205</v>
      </c>
      <c r="AU203">
        <v>2023</v>
      </c>
      <c r="AV203">
        <v>1</v>
      </c>
      <c r="AW203">
        <v>3</v>
      </c>
      <c r="AX203" t="s">
        <v>74</v>
      </c>
      <c r="AY203" t="s">
        <v>74</v>
      </c>
      <c r="AZ203" t="s">
        <v>74</v>
      </c>
      <c r="BA203" t="s">
        <v>74</v>
      </c>
      <c r="BB203" t="s">
        <v>74</v>
      </c>
      <c r="BC203" t="s">
        <v>74</v>
      </c>
      <c r="BD203">
        <v>100092</v>
      </c>
      <c r="BE203" t="s">
        <v>4206</v>
      </c>
      <c r="BF203" t="str">
        <f>HYPERLINK("http://dx.doi.org/10.1016/j.device.2023.100092","http://dx.doi.org/10.1016/j.device.2023.100092")</f>
        <v>http://dx.doi.org/10.1016/j.device.2023.100092</v>
      </c>
      <c r="BG203" t="s">
        <v>74</v>
      </c>
      <c r="BH203" t="s">
        <v>74</v>
      </c>
      <c r="BI203">
        <v>20</v>
      </c>
      <c r="BJ203" t="s">
        <v>2291</v>
      </c>
      <c r="BK203" t="s">
        <v>155</v>
      </c>
      <c r="BL203" t="s">
        <v>2292</v>
      </c>
      <c r="BM203" t="s">
        <v>4207</v>
      </c>
      <c r="BN203">
        <v>38465200</v>
      </c>
      <c r="BO203" t="s">
        <v>309</v>
      </c>
      <c r="BP203" t="s">
        <v>74</v>
      </c>
      <c r="BQ203" t="s">
        <v>74</v>
      </c>
      <c r="BR203" t="s">
        <v>105</v>
      </c>
      <c r="BS203" t="s">
        <v>4208</v>
      </c>
      <c r="BT203" t="str">
        <f>HYPERLINK("https%3A%2F%2Fwww.webofscience.com%2Fwos%2Fwoscc%2Ffull-record%2FWOS:001340506500007","View Full Record in Web of Science")</f>
        <v>View Full Record in Web of Science</v>
      </c>
    </row>
    <row r="204" spans="1:72" x14ac:dyDescent="0.25">
      <c r="A204" t="s">
        <v>72</v>
      </c>
      <c r="B204" t="s">
        <v>4209</v>
      </c>
      <c r="C204" t="s">
        <v>74</v>
      </c>
      <c r="D204" t="s">
        <v>74</v>
      </c>
      <c r="E204" t="s">
        <v>74</v>
      </c>
      <c r="F204" t="s">
        <v>4210</v>
      </c>
      <c r="G204" t="s">
        <v>74</v>
      </c>
      <c r="H204" t="s">
        <v>74</v>
      </c>
      <c r="I204" t="s">
        <v>4211</v>
      </c>
      <c r="J204" t="s">
        <v>4212</v>
      </c>
      <c r="K204" t="s">
        <v>74</v>
      </c>
      <c r="L204" t="s">
        <v>74</v>
      </c>
      <c r="M204" t="s">
        <v>78</v>
      </c>
      <c r="N204" t="s">
        <v>79</v>
      </c>
      <c r="O204" t="s">
        <v>74</v>
      </c>
      <c r="P204" t="s">
        <v>74</v>
      </c>
      <c r="Q204" t="s">
        <v>74</v>
      </c>
      <c r="R204" t="s">
        <v>74</v>
      </c>
      <c r="S204" t="s">
        <v>74</v>
      </c>
      <c r="T204" t="s">
        <v>74</v>
      </c>
      <c r="U204" t="s">
        <v>4213</v>
      </c>
      <c r="V204" t="s">
        <v>4214</v>
      </c>
      <c r="W204" t="s">
        <v>4215</v>
      </c>
      <c r="X204" t="s">
        <v>4216</v>
      </c>
      <c r="Y204" t="s">
        <v>4217</v>
      </c>
      <c r="Z204" t="s">
        <v>4218</v>
      </c>
      <c r="AA204" t="s">
        <v>4219</v>
      </c>
      <c r="AB204" t="s">
        <v>4220</v>
      </c>
      <c r="AC204" t="s">
        <v>4221</v>
      </c>
      <c r="AD204" t="s">
        <v>4222</v>
      </c>
      <c r="AE204" t="s">
        <v>4223</v>
      </c>
      <c r="AF204" t="s">
        <v>74</v>
      </c>
      <c r="AG204">
        <v>100</v>
      </c>
      <c r="AH204">
        <v>33</v>
      </c>
      <c r="AI204">
        <v>42</v>
      </c>
      <c r="AJ204">
        <v>1</v>
      </c>
      <c r="AK204">
        <v>38</v>
      </c>
      <c r="AL204" t="s">
        <v>4224</v>
      </c>
      <c r="AM204" t="s">
        <v>1958</v>
      </c>
      <c r="AN204" t="s">
        <v>4225</v>
      </c>
      <c r="AO204" t="s">
        <v>74</v>
      </c>
      <c r="AP204" t="s">
        <v>4226</v>
      </c>
      <c r="AQ204" t="s">
        <v>74</v>
      </c>
      <c r="AR204" t="s">
        <v>4227</v>
      </c>
      <c r="AS204" t="s">
        <v>4228</v>
      </c>
      <c r="AT204" t="s">
        <v>4229</v>
      </c>
      <c r="AU204">
        <v>2017</v>
      </c>
      <c r="AV204">
        <v>1</v>
      </c>
      <c r="AW204">
        <v>1</v>
      </c>
      <c r="AX204" t="s">
        <v>74</v>
      </c>
      <c r="AY204" t="s">
        <v>74</v>
      </c>
      <c r="AZ204" t="s">
        <v>74</v>
      </c>
      <c r="BA204" t="s">
        <v>74</v>
      </c>
      <c r="BB204" t="s">
        <v>74</v>
      </c>
      <c r="BC204" t="s">
        <v>74</v>
      </c>
      <c r="BD204">
        <v>8</v>
      </c>
      <c r="BE204" t="s">
        <v>4230</v>
      </c>
      <c r="BF204" t="str">
        <f>HYPERLINK("http://dx.doi.org/10.1038/s41528-017-0009-6","http://dx.doi.org/10.1038/s41528-017-0009-6")</f>
        <v>http://dx.doi.org/10.1038/s41528-017-0009-6</v>
      </c>
      <c r="BG204" t="s">
        <v>74</v>
      </c>
      <c r="BH204" t="s">
        <v>74</v>
      </c>
      <c r="BI204">
        <v>13</v>
      </c>
      <c r="BJ204" t="s">
        <v>4231</v>
      </c>
      <c r="BK204" t="s">
        <v>182</v>
      </c>
      <c r="BL204" t="s">
        <v>4232</v>
      </c>
      <c r="BM204" t="s">
        <v>4233</v>
      </c>
      <c r="BN204" t="s">
        <v>74</v>
      </c>
      <c r="BO204" t="s">
        <v>185</v>
      </c>
      <c r="BP204" t="s">
        <v>74</v>
      </c>
      <c r="BQ204" t="s">
        <v>74</v>
      </c>
      <c r="BR204" t="s">
        <v>105</v>
      </c>
      <c r="BS204" t="s">
        <v>4234</v>
      </c>
      <c r="BT204" t="str">
        <f>HYPERLINK("https%3A%2F%2Fwww.webofscience.com%2Fwos%2Fwoscc%2Ffull-record%2FWOS:000605499700001","View Full Record in Web of Science")</f>
        <v>View Full Record in Web of Science</v>
      </c>
    </row>
    <row r="205" spans="1:72" x14ac:dyDescent="0.25">
      <c r="A205" t="s">
        <v>72</v>
      </c>
      <c r="B205" t="s">
        <v>4235</v>
      </c>
      <c r="C205" t="s">
        <v>74</v>
      </c>
      <c r="D205" t="s">
        <v>74</v>
      </c>
      <c r="E205" t="s">
        <v>74</v>
      </c>
      <c r="F205" t="s">
        <v>4236</v>
      </c>
      <c r="G205" t="s">
        <v>74</v>
      </c>
      <c r="H205" t="s">
        <v>74</v>
      </c>
      <c r="I205" t="s">
        <v>4237</v>
      </c>
      <c r="J205" t="s">
        <v>4238</v>
      </c>
      <c r="K205" t="s">
        <v>74</v>
      </c>
      <c r="L205" t="s">
        <v>74</v>
      </c>
      <c r="M205" t="s">
        <v>78</v>
      </c>
      <c r="N205" t="s">
        <v>79</v>
      </c>
      <c r="O205" t="s">
        <v>74</v>
      </c>
      <c r="P205" t="s">
        <v>74</v>
      </c>
      <c r="Q205" t="s">
        <v>74</v>
      </c>
      <c r="R205" t="s">
        <v>74</v>
      </c>
      <c r="S205" t="s">
        <v>74</v>
      </c>
      <c r="T205" t="s">
        <v>4239</v>
      </c>
      <c r="U205" t="s">
        <v>4240</v>
      </c>
      <c r="V205" t="s">
        <v>4241</v>
      </c>
      <c r="W205" t="s">
        <v>4242</v>
      </c>
      <c r="X205" t="s">
        <v>4243</v>
      </c>
      <c r="Y205" t="s">
        <v>4244</v>
      </c>
      <c r="Z205" t="s">
        <v>4245</v>
      </c>
      <c r="AA205" t="s">
        <v>4246</v>
      </c>
      <c r="AB205" t="s">
        <v>4247</v>
      </c>
      <c r="AC205" t="s">
        <v>4248</v>
      </c>
      <c r="AD205" t="s">
        <v>4249</v>
      </c>
      <c r="AE205" t="s">
        <v>4250</v>
      </c>
      <c r="AF205" t="s">
        <v>74</v>
      </c>
      <c r="AG205">
        <v>71</v>
      </c>
      <c r="AH205">
        <v>34</v>
      </c>
      <c r="AI205">
        <v>37</v>
      </c>
      <c r="AJ205">
        <v>5</v>
      </c>
      <c r="AK205">
        <v>46</v>
      </c>
      <c r="AL205" t="s">
        <v>274</v>
      </c>
      <c r="AM205" t="s">
        <v>275</v>
      </c>
      <c r="AN205" t="s">
        <v>276</v>
      </c>
      <c r="AO205" t="s">
        <v>74</v>
      </c>
      <c r="AP205" t="s">
        <v>4251</v>
      </c>
      <c r="AQ205" t="s">
        <v>74</v>
      </c>
      <c r="AR205" t="s">
        <v>4252</v>
      </c>
      <c r="AS205" t="s">
        <v>4253</v>
      </c>
      <c r="AT205" t="s">
        <v>4254</v>
      </c>
      <c r="AU205">
        <v>2022</v>
      </c>
      <c r="AV205">
        <v>22</v>
      </c>
      <c r="AW205">
        <v>1</v>
      </c>
      <c r="AX205" t="s">
        <v>74</v>
      </c>
      <c r="AY205" t="s">
        <v>74</v>
      </c>
      <c r="AZ205" t="s">
        <v>74</v>
      </c>
      <c r="BA205" t="s">
        <v>74</v>
      </c>
      <c r="BB205" t="s">
        <v>74</v>
      </c>
      <c r="BC205" t="s">
        <v>74</v>
      </c>
      <c r="BD205">
        <v>813</v>
      </c>
      <c r="BE205" t="s">
        <v>4255</v>
      </c>
      <c r="BF205" t="str">
        <f>HYPERLINK("http://dx.doi.org/10.1186/s12877-022-03510-9","http://dx.doi.org/10.1186/s12877-022-03510-9")</f>
        <v>http://dx.doi.org/10.1186/s12877-022-03510-9</v>
      </c>
      <c r="BG205" t="s">
        <v>74</v>
      </c>
      <c r="BH205" t="s">
        <v>74</v>
      </c>
      <c r="BI205">
        <v>14</v>
      </c>
      <c r="BJ205" t="s">
        <v>4256</v>
      </c>
      <c r="BK205" t="s">
        <v>102</v>
      </c>
      <c r="BL205" t="s">
        <v>4257</v>
      </c>
      <c r="BM205" t="s">
        <v>4258</v>
      </c>
      <c r="BN205">
        <v>36271367</v>
      </c>
      <c r="BO205" t="s">
        <v>131</v>
      </c>
      <c r="BP205" t="s">
        <v>74</v>
      </c>
      <c r="BQ205" t="s">
        <v>74</v>
      </c>
      <c r="BR205" t="s">
        <v>105</v>
      </c>
      <c r="BS205" t="s">
        <v>4259</v>
      </c>
      <c r="BT205" t="str">
        <f>HYPERLINK("https%3A%2F%2Fwww.webofscience.com%2Fwos%2Fwoscc%2Ffull-record%2FWOS:000871054600005","View Full Record in Web of Science")</f>
        <v>View Full Record in Web of Science</v>
      </c>
    </row>
    <row r="206" spans="1:72" x14ac:dyDescent="0.25">
      <c r="A206" t="s">
        <v>72</v>
      </c>
      <c r="B206" t="s">
        <v>4260</v>
      </c>
      <c r="C206" t="s">
        <v>74</v>
      </c>
      <c r="D206" t="s">
        <v>74</v>
      </c>
      <c r="E206" t="s">
        <v>74</v>
      </c>
      <c r="F206" t="s">
        <v>4261</v>
      </c>
      <c r="G206" t="s">
        <v>74</v>
      </c>
      <c r="H206" t="s">
        <v>74</v>
      </c>
      <c r="I206" t="s">
        <v>4262</v>
      </c>
      <c r="J206" t="s">
        <v>4263</v>
      </c>
      <c r="K206" t="s">
        <v>74</v>
      </c>
      <c r="L206" t="s">
        <v>74</v>
      </c>
      <c r="M206" t="s">
        <v>78</v>
      </c>
      <c r="N206" t="s">
        <v>79</v>
      </c>
      <c r="O206" t="s">
        <v>74</v>
      </c>
      <c r="P206" t="s">
        <v>74</v>
      </c>
      <c r="Q206" t="s">
        <v>74</v>
      </c>
      <c r="R206" t="s">
        <v>74</v>
      </c>
      <c r="S206" t="s">
        <v>74</v>
      </c>
      <c r="T206" t="s">
        <v>4264</v>
      </c>
      <c r="U206" t="s">
        <v>74</v>
      </c>
      <c r="V206" t="s">
        <v>4265</v>
      </c>
      <c r="W206" t="s">
        <v>4266</v>
      </c>
      <c r="X206" t="s">
        <v>4267</v>
      </c>
      <c r="Y206" t="s">
        <v>4268</v>
      </c>
      <c r="Z206" t="s">
        <v>4269</v>
      </c>
      <c r="AA206" t="s">
        <v>4270</v>
      </c>
      <c r="AB206" t="s">
        <v>74</v>
      </c>
      <c r="AC206" t="s">
        <v>4271</v>
      </c>
      <c r="AD206" t="s">
        <v>4272</v>
      </c>
      <c r="AE206" t="s">
        <v>4273</v>
      </c>
      <c r="AF206" t="s">
        <v>74</v>
      </c>
      <c r="AG206">
        <v>35</v>
      </c>
      <c r="AH206">
        <v>7</v>
      </c>
      <c r="AI206">
        <v>7</v>
      </c>
      <c r="AJ206">
        <v>7</v>
      </c>
      <c r="AK206">
        <v>15</v>
      </c>
      <c r="AL206" t="s">
        <v>392</v>
      </c>
      <c r="AM206" t="s">
        <v>393</v>
      </c>
      <c r="AN206" t="s">
        <v>394</v>
      </c>
      <c r="AO206" t="s">
        <v>74</v>
      </c>
      <c r="AP206" t="s">
        <v>4274</v>
      </c>
      <c r="AQ206" t="s">
        <v>74</v>
      </c>
      <c r="AR206" t="s">
        <v>4275</v>
      </c>
      <c r="AS206" t="s">
        <v>4276</v>
      </c>
      <c r="AT206" t="s">
        <v>4277</v>
      </c>
      <c r="AU206">
        <v>2024</v>
      </c>
      <c r="AV206">
        <v>12</v>
      </c>
      <c r="AW206" t="s">
        <v>74</v>
      </c>
      <c r="AX206" t="s">
        <v>74</v>
      </c>
      <c r="AY206" t="s">
        <v>74</v>
      </c>
      <c r="AZ206" t="s">
        <v>74</v>
      </c>
      <c r="BA206" t="s">
        <v>74</v>
      </c>
      <c r="BB206" t="s">
        <v>74</v>
      </c>
      <c r="BC206" t="s">
        <v>74</v>
      </c>
      <c r="BD206">
        <v>1420367</v>
      </c>
      <c r="BE206" t="s">
        <v>4278</v>
      </c>
      <c r="BF206" t="str">
        <f>HYPERLINK("http://dx.doi.org/10.3389/fpubh.2024.1420367","http://dx.doi.org/10.3389/fpubh.2024.1420367")</f>
        <v>http://dx.doi.org/10.3389/fpubh.2024.1420367</v>
      </c>
      <c r="BG206" t="s">
        <v>74</v>
      </c>
      <c r="BH206" t="s">
        <v>74</v>
      </c>
      <c r="BI206">
        <v>9</v>
      </c>
      <c r="BJ206" t="s">
        <v>2512</v>
      </c>
      <c r="BK206" t="s">
        <v>102</v>
      </c>
      <c r="BL206" t="s">
        <v>2512</v>
      </c>
      <c r="BM206" t="s">
        <v>4279</v>
      </c>
      <c r="BN206">
        <v>39135928</v>
      </c>
      <c r="BO206" t="s">
        <v>4280</v>
      </c>
      <c r="BP206" t="s">
        <v>74</v>
      </c>
      <c r="BQ206" t="s">
        <v>74</v>
      </c>
      <c r="BR206" t="s">
        <v>105</v>
      </c>
      <c r="BS206" t="s">
        <v>4281</v>
      </c>
      <c r="BT206" t="str">
        <f>HYPERLINK("https%3A%2F%2Fwww.webofscience.com%2Fwos%2Fwoscc%2Ffull-record%2FWOS:001288864900001","View Full Record in Web of Science")</f>
        <v>View Full Record in Web of Science</v>
      </c>
    </row>
    <row r="207" spans="1:72" x14ac:dyDescent="0.25">
      <c r="A207" t="s">
        <v>72</v>
      </c>
      <c r="B207" t="s">
        <v>4282</v>
      </c>
      <c r="C207" t="s">
        <v>74</v>
      </c>
      <c r="D207" t="s">
        <v>74</v>
      </c>
      <c r="E207" t="s">
        <v>74</v>
      </c>
      <c r="F207" t="s">
        <v>4283</v>
      </c>
      <c r="G207" t="s">
        <v>74</v>
      </c>
      <c r="H207" t="s">
        <v>74</v>
      </c>
      <c r="I207" t="s">
        <v>4284</v>
      </c>
      <c r="J207" t="s">
        <v>4285</v>
      </c>
      <c r="K207" t="s">
        <v>74</v>
      </c>
      <c r="L207" t="s">
        <v>74</v>
      </c>
      <c r="M207" t="s">
        <v>78</v>
      </c>
      <c r="N207" t="s">
        <v>79</v>
      </c>
      <c r="O207" t="s">
        <v>74</v>
      </c>
      <c r="P207" t="s">
        <v>74</v>
      </c>
      <c r="Q207" t="s">
        <v>74</v>
      </c>
      <c r="R207" t="s">
        <v>74</v>
      </c>
      <c r="S207" t="s">
        <v>74</v>
      </c>
      <c r="T207" t="s">
        <v>4286</v>
      </c>
      <c r="U207" t="s">
        <v>4287</v>
      </c>
      <c r="V207" t="s">
        <v>4288</v>
      </c>
      <c r="W207" t="s">
        <v>4289</v>
      </c>
      <c r="X207" t="s">
        <v>4290</v>
      </c>
      <c r="Y207" t="s">
        <v>4291</v>
      </c>
      <c r="Z207" t="s">
        <v>4292</v>
      </c>
      <c r="AA207" t="s">
        <v>4293</v>
      </c>
      <c r="AB207" t="s">
        <v>4294</v>
      </c>
      <c r="AC207" t="s">
        <v>4295</v>
      </c>
      <c r="AD207" t="s">
        <v>4296</v>
      </c>
      <c r="AE207" t="s">
        <v>4297</v>
      </c>
      <c r="AF207" t="s">
        <v>74</v>
      </c>
      <c r="AG207">
        <v>105</v>
      </c>
      <c r="AH207">
        <v>3</v>
      </c>
      <c r="AI207">
        <v>3</v>
      </c>
      <c r="AJ207">
        <v>2</v>
      </c>
      <c r="AK207">
        <v>6</v>
      </c>
      <c r="AL207" t="s">
        <v>3675</v>
      </c>
      <c r="AM207" t="s">
        <v>173</v>
      </c>
      <c r="AN207" t="s">
        <v>3676</v>
      </c>
      <c r="AO207" t="s">
        <v>4298</v>
      </c>
      <c r="AP207" t="s">
        <v>4299</v>
      </c>
      <c r="AQ207" t="s">
        <v>74</v>
      </c>
      <c r="AR207" t="s">
        <v>4300</v>
      </c>
      <c r="AS207" t="s">
        <v>4301</v>
      </c>
      <c r="AT207" t="s">
        <v>4302</v>
      </c>
      <c r="AU207">
        <v>2024</v>
      </c>
      <c r="AV207">
        <v>69</v>
      </c>
      <c r="AW207">
        <v>5</v>
      </c>
      <c r="AX207" t="s">
        <v>74</v>
      </c>
      <c r="AY207" t="s">
        <v>74</v>
      </c>
      <c r="AZ207" t="s">
        <v>74</v>
      </c>
      <c r="BA207" t="s">
        <v>74</v>
      </c>
      <c r="BB207">
        <v>722</v>
      </c>
      <c r="BC207">
        <v>732</v>
      </c>
      <c r="BD207" t="s">
        <v>74</v>
      </c>
      <c r="BE207" t="s">
        <v>4303</v>
      </c>
      <c r="BF207" t="str">
        <f>HYPERLINK("http://dx.doi.org/10.1016/j.survophthal.2024.05.004","http://dx.doi.org/10.1016/j.survophthal.2024.05.004")</f>
        <v>http://dx.doi.org/10.1016/j.survophthal.2024.05.004</v>
      </c>
      <c r="BG207" t="s">
        <v>74</v>
      </c>
      <c r="BH207" t="s">
        <v>4304</v>
      </c>
      <c r="BI207">
        <v>11</v>
      </c>
      <c r="BJ207" t="s">
        <v>4305</v>
      </c>
      <c r="BK207" t="s">
        <v>182</v>
      </c>
      <c r="BL207" t="s">
        <v>4305</v>
      </c>
      <c r="BM207" t="s">
        <v>4306</v>
      </c>
      <c r="BN207">
        <v>38797394</v>
      </c>
      <c r="BO207" t="s">
        <v>309</v>
      </c>
      <c r="BP207" t="s">
        <v>74</v>
      </c>
      <c r="BQ207" t="s">
        <v>74</v>
      </c>
      <c r="BR207" t="s">
        <v>105</v>
      </c>
      <c r="BS207" t="s">
        <v>4307</v>
      </c>
      <c r="BT207" t="str">
        <f>HYPERLINK("https%3A%2F%2Fwww.webofscience.com%2Fwos%2Fwoscc%2Ffull-record%2FWOS:001308252100001","View Full Record in Web of Science")</f>
        <v>View Full Record in Web of Science</v>
      </c>
    </row>
    <row r="208" spans="1:72" x14ac:dyDescent="0.25">
      <c r="A208" t="s">
        <v>72</v>
      </c>
      <c r="B208" t="s">
        <v>4308</v>
      </c>
      <c r="C208" t="s">
        <v>74</v>
      </c>
      <c r="D208" t="s">
        <v>74</v>
      </c>
      <c r="E208" t="s">
        <v>74</v>
      </c>
      <c r="F208" t="s">
        <v>4309</v>
      </c>
      <c r="G208" t="s">
        <v>74</v>
      </c>
      <c r="H208" t="s">
        <v>74</v>
      </c>
      <c r="I208" t="s">
        <v>4310</v>
      </c>
      <c r="J208" t="s">
        <v>4311</v>
      </c>
      <c r="K208" t="s">
        <v>74</v>
      </c>
      <c r="L208" t="s">
        <v>74</v>
      </c>
      <c r="M208" t="s">
        <v>78</v>
      </c>
      <c r="N208" t="s">
        <v>79</v>
      </c>
      <c r="O208" t="s">
        <v>74</v>
      </c>
      <c r="P208" t="s">
        <v>74</v>
      </c>
      <c r="Q208" t="s">
        <v>74</v>
      </c>
      <c r="R208" t="s">
        <v>74</v>
      </c>
      <c r="S208" t="s">
        <v>74</v>
      </c>
      <c r="T208" t="s">
        <v>4312</v>
      </c>
      <c r="U208" t="s">
        <v>4313</v>
      </c>
      <c r="V208" t="s">
        <v>4314</v>
      </c>
      <c r="W208" t="s">
        <v>4315</v>
      </c>
      <c r="X208" t="s">
        <v>4316</v>
      </c>
      <c r="Y208" t="s">
        <v>4317</v>
      </c>
      <c r="Z208" t="s">
        <v>4318</v>
      </c>
      <c r="AA208" t="s">
        <v>4319</v>
      </c>
      <c r="AB208" t="s">
        <v>4320</v>
      </c>
      <c r="AC208" t="s">
        <v>4321</v>
      </c>
      <c r="AD208" t="s">
        <v>4322</v>
      </c>
      <c r="AE208" t="s">
        <v>4323</v>
      </c>
      <c r="AF208" t="s">
        <v>74</v>
      </c>
      <c r="AG208">
        <v>110</v>
      </c>
      <c r="AH208">
        <v>7</v>
      </c>
      <c r="AI208">
        <v>7</v>
      </c>
      <c r="AJ208">
        <v>20</v>
      </c>
      <c r="AK208">
        <v>103</v>
      </c>
      <c r="AL208" t="s">
        <v>120</v>
      </c>
      <c r="AM208" t="s">
        <v>121</v>
      </c>
      <c r="AN208" t="s">
        <v>122</v>
      </c>
      <c r="AO208" t="s">
        <v>74</v>
      </c>
      <c r="AP208" t="s">
        <v>4324</v>
      </c>
      <c r="AQ208" t="s">
        <v>74</v>
      </c>
      <c r="AR208" t="s">
        <v>4325</v>
      </c>
      <c r="AS208" t="s">
        <v>4326</v>
      </c>
      <c r="AT208" t="s">
        <v>1888</v>
      </c>
      <c r="AU208">
        <v>2023</v>
      </c>
      <c r="AV208">
        <v>14</v>
      </c>
      <c r="AW208">
        <v>10</v>
      </c>
      <c r="AX208" t="s">
        <v>74</v>
      </c>
      <c r="AY208" t="s">
        <v>74</v>
      </c>
      <c r="AZ208" t="s">
        <v>74</v>
      </c>
      <c r="BA208" t="s">
        <v>74</v>
      </c>
      <c r="BB208" t="s">
        <v>74</v>
      </c>
      <c r="BC208" t="s">
        <v>74</v>
      </c>
      <c r="BD208">
        <v>1824</v>
      </c>
      <c r="BE208" t="s">
        <v>4327</v>
      </c>
      <c r="BF208" t="str">
        <f>HYPERLINK("http://dx.doi.org/10.3390/mi14101824","http://dx.doi.org/10.3390/mi14101824")</f>
        <v>http://dx.doi.org/10.3390/mi14101824</v>
      </c>
      <c r="BG208" t="s">
        <v>74</v>
      </c>
      <c r="BH208" t="s">
        <v>74</v>
      </c>
      <c r="BI208">
        <v>24</v>
      </c>
      <c r="BJ208" t="s">
        <v>4328</v>
      </c>
      <c r="BK208" t="s">
        <v>182</v>
      </c>
      <c r="BL208" t="s">
        <v>4329</v>
      </c>
      <c r="BM208" t="s">
        <v>4330</v>
      </c>
      <c r="BN208">
        <v>37893261</v>
      </c>
      <c r="BO208" t="s">
        <v>355</v>
      </c>
      <c r="BP208" t="s">
        <v>74</v>
      </c>
      <c r="BQ208" t="s">
        <v>74</v>
      </c>
      <c r="BR208" t="s">
        <v>105</v>
      </c>
      <c r="BS208" t="s">
        <v>4331</v>
      </c>
      <c r="BT208" t="str">
        <f>HYPERLINK("https%3A%2F%2Fwww.webofscience.com%2Fwos%2Fwoscc%2Ffull-record%2FWOS:001095360700001","View Full Record in Web of Science")</f>
        <v>View Full Record in Web of Science</v>
      </c>
    </row>
    <row r="209" spans="1:72" x14ac:dyDescent="0.25">
      <c r="A209" t="s">
        <v>72</v>
      </c>
      <c r="B209" t="s">
        <v>4332</v>
      </c>
      <c r="C209" t="s">
        <v>74</v>
      </c>
      <c r="D209" t="s">
        <v>74</v>
      </c>
      <c r="E209" t="s">
        <v>74</v>
      </c>
      <c r="F209" t="s">
        <v>4333</v>
      </c>
      <c r="G209" t="s">
        <v>74</v>
      </c>
      <c r="H209" t="s">
        <v>74</v>
      </c>
      <c r="I209" t="s">
        <v>4334</v>
      </c>
      <c r="J209" t="s">
        <v>4335</v>
      </c>
      <c r="K209" t="s">
        <v>74</v>
      </c>
      <c r="L209" t="s">
        <v>74</v>
      </c>
      <c r="M209" t="s">
        <v>78</v>
      </c>
      <c r="N209" t="s">
        <v>79</v>
      </c>
      <c r="O209" t="s">
        <v>74</v>
      </c>
      <c r="P209" t="s">
        <v>74</v>
      </c>
      <c r="Q209" t="s">
        <v>74</v>
      </c>
      <c r="R209" t="s">
        <v>74</v>
      </c>
      <c r="S209" t="s">
        <v>74</v>
      </c>
      <c r="T209" t="s">
        <v>4336</v>
      </c>
      <c r="U209" t="s">
        <v>74</v>
      </c>
      <c r="V209" t="s">
        <v>4337</v>
      </c>
      <c r="W209" t="s">
        <v>4338</v>
      </c>
      <c r="X209" t="s">
        <v>4339</v>
      </c>
      <c r="Y209" t="s">
        <v>4340</v>
      </c>
      <c r="Z209" t="s">
        <v>4341</v>
      </c>
      <c r="AA209" t="s">
        <v>4342</v>
      </c>
      <c r="AB209" t="s">
        <v>4343</v>
      </c>
      <c r="AC209" t="s">
        <v>4344</v>
      </c>
      <c r="AD209" t="s">
        <v>4344</v>
      </c>
      <c r="AE209" t="s">
        <v>4345</v>
      </c>
      <c r="AF209" t="s">
        <v>74</v>
      </c>
      <c r="AG209">
        <v>23</v>
      </c>
      <c r="AH209">
        <v>2</v>
      </c>
      <c r="AI209">
        <v>2</v>
      </c>
      <c r="AJ209">
        <v>0</v>
      </c>
      <c r="AK209">
        <v>1</v>
      </c>
      <c r="AL209" t="s">
        <v>1957</v>
      </c>
      <c r="AM209" t="s">
        <v>1958</v>
      </c>
      <c r="AN209" t="s">
        <v>1959</v>
      </c>
      <c r="AO209" t="s">
        <v>4346</v>
      </c>
      <c r="AP209" t="s">
        <v>4347</v>
      </c>
      <c r="AQ209" t="s">
        <v>74</v>
      </c>
      <c r="AR209" t="s">
        <v>4348</v>
      </c>
      <c r="AS209" t="s">
        <v>4349</v>
      </c>
      <c r="AT209" t="s">
        <v>420</v>
      </c>
      <c r="AU209">
        <v>2014</v>
      </c>
      <c r="AV209">
        <v>10</v>
      </c>
      <c r="AW209">
        <v>3</v>
      </c>
      <c r="AX209" t="s">
        <v>74</v>
      </c>
      <c r="AY209" t="s">
        <v>74</v>
      </c>
      <c r="AZ209" t="s">
        <v>74</v>
      </c>
      <c r="BA209" t="s">
        <v>74</v>
      </c>
      <c r="BB209">
        <v>139</v>
      </c>
      <c r="BC209">
        <v>149</v>
      </c>
      <c r="BD209" t="s">
        <v>74</v>
      </c>
      <c r="BE209" t="s">
        <v>4350</v>
      </c>
      <c r="BF209" t="str">
        <f>HYPERLINK("http://dx.doi.org/10.1515/bams-2014-0008","http://dx.doi.org/10.1515/bams-2014-0008")</f>
        <v>http://dx.doi.org/10.1515/bams-2014-0008</v>
      </c>
      <c r="BG209" t="s">
        <v>74</v>
      </c>
      <c r="BH209" t="s">
        <v>74</v>
      </c>
      <c r="BI209">
        <v>11</v>
      </c>
      <c r="BJ209" t="s">
        <v>4351</v>
      </c>
      <c r="BK209" t="s">
        <v>155</v>
      </c>
      <c r="BL209" t="s">
        <v>4351</v>
      </c>
      <c r="BM209" t="s">
        <v>4352</v>
      </c>
      <c r="BN209" t="s">
        <v>74</v>
      </c>
      <c r="BO209" t="s">
        <v>74</v>
      </c>
      <c r="BP209" t="s">
        <v>74</v>
      </c>
      <c r="BQ209" t="s">
        <v>74</v>
      </c>
      <c r="BR209" t="s">
        <v>105</v>
      </c>
      <c r="BS209" t="s">
        <v>4353</v>
      </c>
      <c r="BT209" t="str">
        <f>HYPERLINK("https%3A%2F%2Fwww.webofscience.com%2Fwos%2Fwoscc%2Ffull-record%2FWOS:000453243700004","View Full Record in Web of Science")</f>
        <v>View Full Record in Web of Science</v>
      </c>
    </row>
    <row r="210" spans="1:72" x14ac:dyDescent="0.25">
      <c r="A210" t="s">
        <v>72</v>
      </c>
      <c r="B210" t="s">
        <v>4354</v>
      </c>
      <c r="C210" t="s">
        <v>74</v>
      </c>
      <c r="D210" t="s">
        <v>74</v>
      </c>
      <c r="E210" t="s">
        <v>74</v>
      </c>
      <c r="F210" t="s">
        <v>4355</v>
      </c>
      <c r="G210" t="s">
        <v>74</v>
      </c>
      <c r="H210" t="s">
        <v>74</v>
      </c>
      <c r="I210" t="s">
        <v>4356</v>
      </c>
      <c r="J210" t="s">
        <v>4357</v>
      </c>
      <c r="K210" t="s">
        <v>74</v>
      </c>
      <c r="L210" t="s">
        <v>74</v>
      </c>
      <c r="M210" t="s">
        <v>78</v>
      </c>
      <c r="N210" t="s">
        <v>79</v>
      </c>
      <c r="O210" t="s">
        <v>74</v>
      </c>
      <c r="P210" t="s">
        <v>74</v>
      </c>
      <c r="Q210" t="s">
        <v>74</v>
      </c>
      <c r="R210" t="s">
        <v>74</v>
      </c>
      <c r="S210" t="s">
        <v>74</v>
      </c>
      <c r="T210" t="s">
        <v>74</v>
      </c>
      <c r="U210" t="s">
        <v>4358</v>
      </c>
      <c r="V210" t="s">
        <v>4359</v>
      </c>
      <c r="W210" t="s">
        <v>4360</v>
      </c>
      <c r="X210" t="s">
        <v>4361</v>
      </c>
      <c r="Y210" t="s">
        <v>4362</v>
      </c>
      <c r="Z210" t="s">
        <v>4363</v>
      </c>
      <c r="AA210" t="s">
        <v>74</v>
      </c>
      <c r="AB210" t="s">
        <v>74</v>
      </c>
      <c r="AC210" t="s">
        <v>74</v>
      </c>
      <c r="AD210" t="s">
        <v>74</v>
      </c>
      <c r="AE210" t="s">
        <v>74</v>
      </c>
      <c r="AF210" t="s">
        <v>74</v>
      </c>
      <c r="AG210">
        <v>133</v>
      </c>
      <c r="AH210">
        <v>56</v>
      </c>
      <c r="AI210">
        <v>70</v>
      </c>
      <c r="AJ210">
        <v>0</v>
      </c>
      <c r="AK210">
        <v>31</v>
      </c>
      <c r="AL210" t="s">
        <v>4364</v>
      </c>
      <c r="AM210" t="s">
        <v>4365</v>
      </c>
      <c r="AN210" t="s">
        <v>4366</v>
      </c>
      <c r="AO210" t="s">
        <v>4367</v>
      </c>
      <c r="AP210" t="s">
        <v>4368</v>
      </c>
      <c r="AQ210" t="s">
        <v>74</v>
      </c>
      <c r="AR210" t="s">
        <v>4369</v>
      </c>
      <c r="AS210" t="s">
        <v>4370</v>
      </c>
      <c r="AT210" t="s">
        <v>1734</v>
      </c>
      <c r="AU210">
        <v>2007</v>
      </c>
      <c r="AV210">
        <v>1</v>
      </c>
      <c r="AW210">
        <v>2</v>
      </c>
      <c r="AX210" t="s">
        <v>74</v>
      </c>
      <c r="AY210" t="s">
        <v>74</v>
      </c>
      <c r="AZ210" t="s">
        <v>74</v>
      </c>
      <c r="BA210" t="s">
        <v>74</v>
      </c>
      <c r="BB210">
        <v>115</v>
      </c>
      <c r="BC210">
        <v>126</v>
      </c>
      <c r="BD210" t="s">
        <v>74</v>
      </c>
      <c r="BE210" t="s">
        <v>4371</v>
      </c>
      <c r="BF210" t="str">
        <f>HYPERLINK("http://dx.doi.org/10.2976/1.2748612","http://dx.doi.org/10.2976/1.2748612")</f>
        <v>http://dx.doi.org/10.2976/1.2748612</v>
      </c>
      <c r="BG210" t="s">
        <v>74</v>
      </c>
      <c r="BH210" t="s">
        <v>74</v>
      </c>
      <c r="BI210">
        <v>12</v>
      </c>
      <c r="BJ210" t="s">
        <v>936</v>
      </c>
      <c r="BK210" t="s">
        <v>182</v>
      </c>
      <c r="BL210" t="s">
        <v>937</v>
      </c>
      <c r="BM210" t="s">
        <v>4372</v>
      </c>
      <c r="BN210">
        <v>19404417</v>
      </c>
      <c r="BO210" t="s">
        <v>4373</v>
      </c>
      <c r="BP210" t="s">
        <v>74</v>
      </c>
      <c r="BQ210" t="s">
        <v>74</v>
      </c>
      <c r="BR210" t="s">
        <v>105</v>
      </c>
      <c r="BS210" t="s">
        <v>4374</v>
      </c>
      <c r="BT210" t="str">
        <f>HYPERLINK("https%3A%2F%2Fwww.webofscience.com%2Fwos%2Fwoscc%2Ffull-record%2FWOS:000258366400005","View Full Record in Web of Science")</f>
        <v>View Full Record in Web of Science</v>
      </c>
    </row>
    <row r="211" spans="1:72" x14ac:dyDescent="0.25">
      <c r="A211" t="s">
        <v>72</v>
      </c>
      <c r="B211" t="s">
        <v>4375</v>
      </c>
      <c r="C211" t="s">
        <v>74</v>
      </c>
      <c r="D211" t="s">
        <v>74</v>
      </c>
      <c r="E211" t="s">
        <v>74</v>
      </c>
      <c r="F211" t="s">
        <v>4376</v>
      </c>
      <c r="G211" t="s">
        <v>74</v>
      </c>
      <c r="H211" t="s">
        <v>74</v>
      </c>
      <c r="I211" t="s">
        <v>4377</v>
      </c>
      <c r="J211" t="s">
        <v>4378</v>
      </c>
      <c r="K211" t="s">
        <v>74</v>
      </c>
      <c r="L211" t="s">
        <v>74</v>
      </c>
      <c r="M211" t="s">
        <v>78</v>
      </c>
      <c r="N211" t="s">
        <v>79</v>
      </c>
      <c r="O211" t="s">
        <v>74</v>
      </c>
      <c r="P211" t="s">
        <v>74</v>
      </c>
      <c r="Q211" t="s">
        <v>74</v>
      </c>
      <c r="R211" t="s">
        <v>74</v>
      </c>
      <c r="S211" t="s">
        <v>74</v>
      </c>
      <c r="T211" t="s">
        <v>4379</v>
      </c>
      <c r="U211" t="s">
        <v>4380</v>
      </c>
      <c r="V211" t="s">
        <v>4381</v>
      </c>
      <c r="W211" t="s">
        <v>4382</v>
      </c>
      <c r="X211" t="s">
        <v>2355</v>
      </c>
      <c r="Y211" t="s">
        <v>4383</v>
      </c>
      <c r="Z211" t="s">
        <v>4384</v>
      </c>
      <c r="AA211" t="s">
        <v>74</v>
      </c>
      <c r="AB211" t="s">
        <v>74</v>
      </c>
      <c r="AC211" t="s">
        <v>4385</v>
      </c>
      <c r="AD211" t="s">
        <v>4386</v>
      </c>
      <c r="AE211" t="s">
        <v>4387</v>
      </c>
      <c r="AF211" t="s">
        <v>74</v>
      </c>
      <c r="AG211">
        <v>22</v>
      </c>
      <c r="AH211">
        <v>14</v>
      </c>
      <c r="AI211">
        <v>17</v>
      </c>
      <c r="AJ211">
        <v>0</v>
      </c>
      <c r="AK211">
        <v>13</v>
      </c>
      <c r="AL211" t="s">
        <v>4388</v>
      </c>
      <c r="AM211" t="s">
        <v>275</v>
      </c>
      <c r="AN211" t="s">
        <v>4389</v>
      </c>
      <c r="AO211" t="s">
        <v>4390</v>
      </c>
      <c r="AP211" t="s">
        <v>4391</v>
      </c>
      <c r="AQ211" t="s">
        <v>74</v>
      </c>
      <c r="AR211" t="s">
        <v>4392</v>
      </c>
      <c r="AS211" t="s">
        <v>4393</v>
      </c>
      <c r="AT211" t="s">
        <v>1471</v>
      </c>
      <c r="AU211">
        <v>2017</v>
      </c>
      <c r="AV211">
        <v>8</v>
      </c>
      <c r="AW211">
        <v>5</v>
      </c>
      <c r="AX211" t="s">
        <v>74</v>
      </c>
      <c r="AY211" t="s">
        <v>74</v>
      </c>
      <c r="AZ211" t="s">
        <v>74</v>
      </c>
      <c r="BA211" t="s">
        <v>74</v>
      </c>
      <c r="BB211">
        <v>301</v>
      </c>
      <c r="BC211">
        <v>312</v>
      </c>
      <c r="BD211" t="s">
        <v>74</v>
      </c>
      <c r="BE211" t="s">
        <v>4394</v>
      </c>
      <c r="BF211" t="str">
        <f>HYPERLINK("http://dx.doi.org/10.4155/tde-2016-0088","http://dx.doi.org/10.4155/tde-2016-0088")</f>
        <v>http://dx.doi.org/10.4155/tde-2016-0088</v>
      </c>
      <c r="BG211" t="s">
        <v>74</v>
      </c>
      <c r="BH211" t="s">
        <v>74</v>
      </c>
      <c r="BI211">
        <v>12</v>
      </c>
      <c r="BJ211" t="s">
        <v>2268</v>
      </c>
      <c r="BK211" t="s">
        <v>155</v>
      </c>
      <c r="BL211" t="s">
        <v>2268</v>
      </c>
      <c r="BM211" t="s">
        <v>4395</v>
      </c>
      <c r="BN211">
        <v>28361606</v>
      </c>
      <c r="BO211" t="s">
        <v>4396</v>
      </c>
      <c r="BP211" t="s">
        <v>74</v>
      </c>
      <c r="BQ211" t="s">
        <v>74</v>
      </c>
      <c r="BR211" t="s">
        <v>105</v>
      </c>
      <c r="BS211" t="s">
        <v>4397</v>
      </c>
      <c r="BT211" t="str">
        <f>HYPERLINK("https%3A%2F%2Fwww.webofscience.com%2Fwos%2Fwoscc%2Ffull-record%2FWOS:000398804800007","View Full Record in Web of Science")</f>
        <v>View Full Record in Web of Science</v>
      </c>
    </row>
    <row r="212" spans="1:72" x14ac:dyDescent="0.25">
      <c r="A212" t="s">
        <v>72</v>
      </c>
      <c r="B212" t="s">
        <v>4398</v>
      </c>
      <c r="C212" t="s">
        <v>74</v>
      </c>
      <c r="D212" t="s">
        <v>74</v>
      </c>
      <c r="E212" t="s">
        <v>74</v>
      </c>
      <c r="F212" t="s">
        <v>4399</v>
      </c>
      <c r="G212" t="s">
        <v>74</v>
      </c>
      <c r="H212" t="s">
        <v>74</v>
      </c>
      <c r="I212" t="s">
        <v>4400</v>
      </c>
      <c r="J212" t="s">
        <v>4401</v>
      </c>
      <c r="K212" t="s">
        <v>74</v>
      </c>
      <c r="L212" t="s">
        <v>74</v>
      </c>
      <c r="M212" t="s">
        <v>78</v>
      </c>
      <c r="N212" t="s">
        <v>79</v>
      </c>
      <c r="O212" t="s">
        <v>74</v>
      </c>
      <c r="P212" t="s">
        <v>74</v>
      </c>
      <c r="Q212" t="s">
        <v>74</v>
      </c>
      <c r="R212" t="s">
        <v>74</v>
      </c>
      <c r="S212" t="s">
        <v>74</v>
      </c>
      <c r="T212" t="s">
        <v>74</v>
      </c>
      <c r="U212" t="s">
        <v>4402</v>
      </c>
      <c r="V212" t="s">
        <v>4403</v>
      </c>
      <c r="W212" t="s">
        <v>4404</v>
      </c>
      <c r="X212" t="s">
        <v>4405</v>
      </c>
      <c r="Y212" t="s">
        <v>4406</v>
      </c>
      <c r="Z212" t="s">
        <v>4407</v>
      </c>
      <c r="AA212" t="s">
        <v>4408</v>
      </c>
      <c r="AB212" t="s">
        <v>4409</v>
      </c>
      <c r="AC212" t="s">
        <v>4410</v>
      </c>
      <c r="AD212" t="s">
        <v>4411</v>
      </c>
      <c r="AE212" t="s">
        <v>4412</v>
      </c>
      <c r="AF212" t="s">
        <v>74</v>
      </c>
      <c r="AG212">
        <v>150</v>
      </c>
      <c r="AH212">
        <v>9</v>
      </c>
      <c r="AI212">
        <v>9</v>
      </c>
      <c r="AJ212">
        <v>22</v>
      </c>
      <c r="AK212">
        <v>97</v>
      </c>
      <c r="AL212" t="s">
        <v>4113</v>
      </c>
      <c r="AM212" t="s">
        <v>4114</v>
      </c>
      <c r="AN212" t="s">
        <v>4115</v>
      </c>
      <c r="AO212" t="s">
        <v>4413</v>
      </c>
      <c r="AP212" t="s">
        <v>4414</v>
      </c>
      <c r="AQ212" t="s">
        <v>74</v>
      </c>
      <c r="AR212" t="s">
        <v>4415</v>
      </c>
      <c r="AS212" t="s">
        <v>4416</v>
      </c>
      <c r="AT212" t="s">
        <v>3935</v>
      </c>
      <c r="AU212">
        <v>2023</v>
      </c>
      <c r="AV212">
        <v>6</v>
      </c>
      <c r="AW212">
        <v>12</v>
      </c>
      <c r="AX212" t="s">
        <v>74</v>
      </c>
      <c r="AY212" t="s">
        <v>74</v>
      </c>
      <c r="AZ212" t="s">
        <v>74</v>
      </c>
      <c r="BA212" t="s">
        <v>74</v>
      </c>
      <c r="BB212">
        <v>4158</v>
      </c>
      <c r="BC212">
        <v>4194</v>
      </c>
      <c r="BD212" t="s">
        <v>74</v>
      </c>
      <c r="BE212" t="s">
        <v>4417</v>
      </c>
      <c r="BF212" t="str">
        <f>HYPERLINK("http://dx.doi.org/10.1016/j.matt.2023.09.013","http://dx.doi.org/10.1016/j.matt.2023.09.013")</f>
        <v>http://dx.doi.org/10.1016/j.matt.2023.09.013</v>
      </c>
      <c r="BG212" t="s">
        <v>74</v>
      </c>
      <c r="BH212" t="s">
        <v>4418</v>
      </c>
      <c r="BI212">
        <v>37</v>
      </c>
      <c r="BJ212" t="s">
        <v>2291</v>
      </c>
      <c r="BK212" t="s">
        <v>182</v>
      </c>
      <c r="BL212" t="s">
        <v>2292</v>
      </c>
      <c r="BM212" t="s">
        <v>4419</v>
      </c>
      <c r="BN212" t="s">
        <v>74</v>
      </c>
      <c r="BO212" t="s">
        <v>1052</v>
      </c>
      <c r="BP212" t="s">
        <v>74</v>
      </c>
      <c r="BQ212" t="s">
        <v>74</v>
      </c>
      <c r="BR212" t="s">
        <v>105</v>
      </c>
      <c r="BS212" t="s">
        <v>4420</v>
      </c>
      <c r="BT212" t="str">
        <f>HYPERLINK("https%3A%2F%2Fwww.webofscience.com%2Fwos%2Fwoscc%2Ffull-record%2FWOS:001139548700001","View Full Record in Web of Science")</f>
        <v>View Full Record in Web of Science</v>
      </c>
    </row>
    <row r="213" spans="1:72" x14ac:dyDescent="0.25">
      <c r="A213" t="s">
        <v>72</v>
      </c>
      <c r="B213" t="s">
        <v>4421</v>
      </c>
      <c r="C213" t="s">
        <v>74</v>
      </c>
      <c r="D213" t="s">
        <v>74</v>
      </c>
      <c r="E213" t="s">
        <v>74</v>
      </c>
      <c r="F213" t="s">
        <v>4422</v>
      </c>
      <c r="G213" t="s">
        <v>74</v>
      </c>
      <c r="H213" t="s">
        <v>74</v>
      </c>
      <c r="I213" t="s">
        <v>4423</v>
      </c>
      <c r="J213" t="s">
        <v>4424</v>
      </c>
      <c r="K213" t="s">
        <v>74</v>
      </c>
      <c r="L213" t="s">
        <v>74</v>
      </c>
      <c r="M213" t="s">
        <v>78</v>
      </c>
      <c r="N213" t="s">
        <v>79</v>
      </c>
      <c r="O213" t="s">
        <v>74</v>
      </c>
      <c r="P213" t="s">
        <v>74</v>
      </c>
      <c r="Q213" t="s">
        <v>74</v>
      </c>
      <c r="R213" t="s">
        <v>74</v>
      </c>
      <c r="S213" t="s">
        <v>74</v>
      </c>
      <c r="T213" t="s">
        <v>4425</v>
      </c>
      <c r="U213" t="s">
        <v>4426</v>
      </c>
      <c r="V213" t="s">
        <v>4427</v>
      </c>
      <c r="W213" t="s">
        <v>4428</v>
      </c>
      <c r="X213" t="s">
        <v>4429</v>
      </c>
      <c r="Y213" t="s">
        <v>4430</v>
      </c>
      <c r="Z213" t="s">
        <v>4431</v>
      </c>
      <c r="AA213" t="s">
        <v>4432</v>
      </c>
      <c r="AB213" t="s">
        <v>4433</v>
      </c>
      <c r="AC213" t="s">
        <v>4434</v>
      </c>
      <c r="AD213" t="s">
        <v>4435</v>
      </c>
      <c r="AE213" t="s">
        <v>4436</v>
      </c>
      <c r="AF213" t="s">
        <v>74</v>
      </c>
      <c r="AG213">
        <v>188</v>
      </c>
      <c r="AH213">
        <v>1</v>
      </c>
      <c r="AI213">
        <v>1</v>
      </c>
      <c r="AJ213">
        <v>0</v>
      </c>
      <c r="AK213">
        <v>0</v>
      </c>
      <c r="AL213" t="s">
        <v>4437</v>
      </c>
      <c r="AM213" t="s">
        <v>4438</v>
      </c>
      <c r="AN213" t="s">
        <v>4439</v>
      </c>
      <c r="AO213" t="s">
        <v>74</v>
      </c>
      <c r="AP213" t="s">
        <v>4440</v>
      </c>
      <c r="AQ213" t="s">
        <v>74</v>
      </c>
      <c r="AR213" t="s">
        <v>4441</v>
      </c>
      <c r="AS213" t="s">
        <v>4442</v>
      </c>
      <c r="AT213" t="s">
        <v>74</v>
      </c>
      <c r="AU213">
        <v>2025</v>
      </c>
      <c r="AV213">
        <v>8</v>
      </c>
      <c r="AW213" t="s">
        <v>74</v>
      </c>
      <c r="AX213" t="s">
        <v>74</v>
      </c>
      <c r="AY213" t="s">
        <v>74</v>
      </c>
      <c r="AZ213" t="s">
        <v>74</v>
      </c>
      <c r="BA213" t="s">
        <v>74</v>
      </c>
      <c r="BB213">
        <v>379</v>
      </c>
      <c r="BC213">
        <v>405</v>
      </c>
      <c r="BD213" t="s">
        <v>74</v>
      </c>
      <c r="BE213" t="s">
        <v>4443</v>
      </c>
      <c r="BF213" t="str">
        <f>HYPERLINK("http://dx.doi.org/10.1146/annurev-control-022823-034402","http://dx.doi.org/10.1146/annurev-control-022823-034402")</f>
        <v>http://dx.doi.org/10.1146/annurev-control-022823-034402</v>
      </c>
      <c r="BG213" t="s">
        <v>74</v>
      </c>
      <c r="BH213" t="s">
        <v>74</v>
      </c>
      <c r="BI213">
        <v>27</v>
      </c>
      <c r="BJ213" t="s">
        <v>4444</v>
      </c>
      <c r="BK213" t="s">
        <v>182</v>
      </c>
      <c r="BL213" t="s">
        <v>4444</v>
      </c>
      <c r="BM213" t="s">
        <v>4445</v>
      </c>
      <c r="BN213" t="s">
        <v>74</v>
      </c>
      <c r="BO213" t="s">
        <v>74</v>
      </c>
      <c r="BP213" t="s">
        <v>74</v>
      </c>
      <c r="BQ213" t="s">
        <v>74</v>
      </c>
      <c r="BR213" t="s">
        <v>105</v>
      </c>
      <c r="BS213" t="s">
        <v>4446</v>
      </c>
      <c r="BT213" t="str">
        <f>HYPERLINK("https%3A%2F%2Fwww.webofscience.com%2Fwos%2Fwoscc%2Ffull-record%2FWOS:001488650100015","View Full Record in Web of Science")</f>
        <v>View Full Record in Web of Science</v>
      </c>
    </row>
    <row r="214" spans="1:72" x14ac:dyDescent="0.25">
      <c r="A214" t="s">
        <v>72</v>
      </c>
      <c r="B214" t="s">
        <v>4447</v>
      </c>
      <c r="C214" t="s">
        <v>74</v>
      </c>
      <c r="D214" t="s">
        <v>74</v>
      </c>
      <c r="E214" t="s">
        <v>74</v>
      </c>
      <c r="F214" t="s">
        <v>4448</v>
      </c>
      <c r="G214" t="s">
        <v>74</v>
      </c>
      <c r="H214" t="s">
        <v>74</v>
      </c>
      <c r="I214" t="s">
        <v>4449</v>
      </c>
      <c r="J214" t="s">
        <v>4450</v>
      </c>
      <c r="K214" t="s">
        <v>74</v>
      </c>
      <c r="L214" t="s">
        <v>74</v>
      </c>
      <c r="M214" t="s">
        <v>78</v>
      </c>
      <c r="N214" t="s">
        <v>449</v>
      </c>
      <c r="O214" t="s">
        <v>74</v>
      </c>
      <c r="P214" t="s">
        <v>74</v>
      </c>
      <c r="Q214" t="s">
        <v>74</v>
      </c>
      <c r="R214" t="s">
        <v>74</v>
      </c>
      <c r="S214" t="s">
        <v>74</v>
      </c>
      <c r="T214" t="s">
        <v>4451</v>
      </c>
      <c r="U214" t="s">
        <v>4452</v>
      </c>
      <c r="V214" t="s">
        <v>4453</v>
      </c>
      <c r="W214" t="s">
        <v>4454</v>
      </c>
      <c r="X214" t="s">
        <v>4455</v>
      </c>
      <c r="Y214" t="s">
        <v>4456</v>
      </c>
      <c r="Z214" t="s">
        <v>4457</v>
      </c>
      <c r="AA214" t="s">
        <v>74</v>
      </c>
      <c r="AB214" t="s">
        <v>74</v>
      </c>
      <c r="AC214" t="s">
        <v>4458</v>
      </c>
      <c r="AD214" t="s">
        <v>4459</v>
      </c>
      <c r="AE214" t="s">
        <v>4460</v>
      </c>
      <c r="AF214" t="s">
        <v>74</v>
      </c>
      <c r="AG214">
        <v>125</v>
      </c>
      <c r="AH214">
        <v>0</v>
      </c>
      <c r="AI214">
        <v>0</v>
      </c>
      <c r="AJ214">
        <v>0</v>
      </c>
      <c r="AK214">
        <v>0</v>
      </c>
      <c r="AL214" t="s">
        <v>2998</v>
      </c>
      <c r="AM214" t="s">
        <v>2999</v>
      </c>
      <c r="AN214" t="s">
        <v>3000</v>
      </c>
      <c r="AO214" t="s">
        <v>4461</v>
      </c>
      <c r="AP214" t="s">
        <v>4462</v>
      </c>
      <c r="AQ214" t="s">
        <v>74</v>
      </c>
      <c r="AR214" t="s">
        <v>4463</v>
      </c>
      <c r="AS214" t="s">
        <v>4464</v>
      </c>
      <c r="AT214" t="s">
        <v>4465</v>
      </c>
      <c r="AU214">
        <v>2025</v>
      </c>
      <c r="AV214" t="s">
        <v>74</v>
      </c>
      <c r="AW214" t="s">
        <v>74</v>
      </c>
      <c r="AX214" t="s">
        <v>74</v>
      </c>
      <c r="AY214" t="s">
        <v>74</v>
      </c>
      <c r="AZ214" t="s">
        <v>74</v>
      </c>
      <c r="BA214" t="s">
        <v>74</v>
      </c>
      <c r="BB214" t="s">
        <v>74</v>
      </c>
      <c r="BC214" t="s">
        <v>74</v>
      </c>
      <c r="BD214">
        <v>2500823</v>
      </c>
      <c r="BE214" t="s">
        <v>4466</v>
      </c>
      <c r="BF214" t="str">
        <f>HYPERLINK("http://dx.doi.org/10.1002/adem.202500823","http://dx.doi.org/10.1002/adem.202500823")</f>
        <v>http://dx.doi.org/10.1002/adem.202500823</v>
      </c>
      <c r="BG214" t="s">
        <v>74</v>
      </c>
      <c r="BH214" t="s">
        <v>4467</v>
      </c>
      <c r="BI214">
        <v>22</v>
      </c>
      <c r="BJ214" t="s">
        <v>2291</v>
      </c>
      <c r="BK214" t="s">
        <v>182</v>
      </c>
      <c r="BL214" t="s">
        <v>2292</v>
      </c>
      <c r="BM214" t="s">
        <v>4468</v>
      </c>
      <c r="BN214" t="s">
        <v>74</v>
      </c>
      <c r="BO214" t="s">
        <v>74</v>
      </c>
      <c r="BP214" t="s">
        <v>74</v>
      </c>
      <c r="BQ214" t="s">
        <v>74</v>
      </c>
      <c r="BR214" t="s">
        <v>105</v>
      </c>
      <c r="BS214" t="s">
        <v>4469</v>
      </c>
      <c r="BT214" t="str">
        <f>HYPERLINK("https%3A%2F%2Fwww.webofscience.com%2Fwos%2Fwoscc%2Ffull-record%2FWOS:001506015900001","View Full Record in Web of Science")</f>
        <v>View Full Record in Web of Science</v>
      </c>
    </row>
    <row r="215" spans="1:72" x14ac:dyDescent="0.25">
      <c r="A215" t="s">
        <v>72</v>
      </c>
      <c r="B215" t="s">
        <v>4470</v>
      </c>
      <c r="C215" t="s">
        <v>74</v>
      </c>
      <c r="D215" t="s">
        <v>74</v>
      </c>
      <c r="E215" t="s">
        <v>74</v>
      </c>
      <c r="F215" t="s">
        <v>4471</v>
      </c>
      <c r="G215" t="s">
        <v>74</v>
      </c>
      <c r="H215" t="s">
        <v>74</v>
      </c>
      <c r="I215" t="s">
        <v>4472</v>
      </c>
      <c r="J215" t="s">
        <v>4473</v>
      </c>
      <c r="K215" t="s">
        <v>74</v>
      </c>
      <c r="L215" t="s">
        <v>74</v>
      </c>
      <c r="M215" t="s">
        <v>78</v>
      </c>
      <c r="N215" t="s">
        <v>79</v>
      </c>
      <c r="O215" t="s">
        <v>74</v>
      </c>
      <c r="P215" t="s">
        <v>74</v>
      </c>
      <c r="Q215" t="s">
        <v>74</v>
      </c>
      <c r="R215" t="s">
        <v>74</v>
      </c>
      <c r="S215" t="s">
        <v>74</v>
      </c>
      <c r="T215" t="s">
        <v>4474</v>
      </c>
      <c r="U215" t="s">
        <v>4475</v>
      </c>
      <c r="V215" t="s">
        <v>4476</v>
      </c>
      <c r="W215" t="s">
        <v>4477</v>
      </c>
      <c r="X215" t="s">
        <v>4478</v>
      </c>
      <c r="Y215" t="s">
        <v>4479</v>
      </c>
      <c r="Z215" t="s">
        <v>4480</v>
      </c>
      <c r="AA215" t="s">
        <v>4481</v>
      </c>
      <c r="AB215" t="s">
        <v>4482</v>
      </c>
      <c r="AC215" t="s">
        <v>74</v>
      </c>
      <c r="AD215" t="s">
        <v>74</v>
      </c>
      <c r="AE215" t="s">
        <v>74</v>
      </c>
      <c r="AF215" t="s">
        <v>74</v>
      </c>
      <c r="AG215">
        <v>140</v>
      </c>
      <c r="AH215">
        <v>26</v>
      </c>
      <c r="AI215">
        <v>27</v>
      </c>
      <c r="AJ215">
        <v>1</v>
      </c>
      <c r="AK215">
        <v>10</v>
      </c>
      <c r="AL215" t="s">
        <v>3675</v>
      </c>
      <c r="AM215" t="s">
        <v>173</v>
      </c>
      <c r="AN215" t="s">
        <v>3676</v>
      </c>
      <c r="AO215" t="s">
        <v>4483</v>
      </c>
      <c r="AP215" t="s">
        <v>4484</v>
      </c>
      <c r="AQ215" t="s">
        <v>74</v>
      </c>
      <c r="AR215" t="s">
        <v>4485</v>
      </c>
      <c r="AS215" t="s">
        <v>4486</v>
      </c>
      <c r="AT215" t="s">
        <v>351</v>
      </c>
      <c r="AU215">
        <v>2018</v>
      </c>
      <c r="AV215">
        <v>25</v>
      </c>
      <c r="AW215">
        <v>2</v>
      </c>
      <c r="AX215" t="s">
        <v>74</v>
      </c>
      <c r="AY215" t="s">
        <v>74</v>
      </c>
      <c r="AZ215" t="s">
        <v>74</v>
      </c>
      <c r="BA215" t="s">
        <v>74</v>
      </c>
      <c r="BB215">
        <v>237</v>
      </c>
      <c r="BC215">
        <v>250</v>
      </c>
      <c r="BD215" t="s">
        <v>74</v>
      </c>
      <c r="BE215" t="s">
        <v>4487</v>
      </c>
      <c r="BF215" t="str">
        <f>HYPERLINK("http://dx.doi.org/10.1016/j.jmig.2017.07.007","http://dx.doi.org/10.1016/j.jmig.2017.07.007")</f>
        <v>http://dx.doi.org/10.1016/j.jmig.2017.07.007</v>
      </c>
      <c r="BG215" t="s">
        <v>74</v>
      </c>
      <c r="BH215" t="s">
        <v>74</v>
      </c>
      <c r="BI215">
        <v>14</v>
      </c>
      <c r="BJ215" t="s">
        <v>4488</v>
      </c>
      <c r="BK215" t="s">
        <v>182</v>
      </c>
      <c r="BL215" t="s">
        <v>4488</v>
      </c>
      <c r="BM215" t="s">
        <v>4489</v>
      </c>
      <c r="BN215">
        <v>28734973</v>
      </c>
      <c r="BO215" t="s">
        <v>74</v>
      </c>
      <c r="BP215" t="s">
        <v>74</v>
      </c>
      <c r="BQ215" t="s">
        <v>74</v>
      </c>
      <c r="BR215" t="s">
        <v>105</v>
      </c>
      <c r="BS215" t="s">
        <v>4490</v>
      </c>
      <c r="BT215" t="str">
        <f>HYPERLINK("https%3A%2F%2Fwww.webofscience.com%2Fwos%2Fwoscc%2Ffull-record%2FWOS:000425331700007","View Full Record in Web of Science")</f>
        <v>View Full Record in Web of Science</v>
      </c>
    </row>
    <row r="216" spans="1:72" x14ac:dyDescent="0.25">
      <c r="A216" t="s">
        <v>72</v>
      </c>
      <c r="B216" t="s">
        <v>4491</v>
      </c>
      <c r="C216" t="s">
        <v>74</v>
      </c>
      <c r="D216" t="s">
        <v>74</v>
      </c>
      <c r="E216" t="s">
        <v>74</v>
      </c>
      <c r="F216" t="s">
        <v>4492</v>
      </c>
      <c r="G216" t="s">
        <v>74</v>
      </c>
      <c r="H216" t="s">
        <v>74</v>
      </c>
      <c r="I216" t="s">
        <v>4493</v>
      </c>
      <c r="J216" t="s">
        <v>4494</v>
      </c>
      <c r="K216" t="s">
        <v>74</v>
      </c>
      <c r="L216" t="s">
        <v>74</v>
      </c>
      <c r="M216" t="s">
        <v>78</v>
      </c>
      <c r="N216" t="s">
        <v>79</v>
      </c>
      <c r="O216" t="s">
        <v>74</v>
      </c>
      <c r="P216" t="s">
        <v>74</v>
      </c>
      <c r="Q216" t="s">
        <v>74</v>
      </c>
      <c r="R216" t="s">
        <v>74</v>
      </c>
      <c r="S216" t="s">
        <v>74</v>
      </c>
      <c r="T216" t="s">
        <v>74</v>
      </c>
      <c r="U216" t="s">
        <v>4495</v>
      </c>
      <c r="V216" t="s">
        <v>4496</v>
      </c>
      <c r="W216" t="s">
        <v>4497</v>
      </c>
      <c r="X216" t="s">
        <v>4498</v>
      </c>
      <c r="Y216" t="s">
        <v>4499</v>
      </c>
      <c r="Z216" t="s">
        <v>4500</v>
      </c>
      <c r="AA216" t="s">
        <v>74</v>
      </c>
      <c r="AB216" t="s">
        <v>4501</v>
      </c>
      <c r="AC216" t="s">
        <v>4502</v>
      </c>
      <c r="AD216" t="s">
        <v>4502</v>
      </c>
      <c r="AE216" t="s">
        <v>4503</v>
      </c>
      <c r="AF216" t="s">
        <v>74</v>
      </c>
      <c r="AG216">
        <v>179</v>
      </c>
      <c r="AH216">
        <v>1503</v>
      </c>
      <c r="AI216">
        <v>1707</v>
      </c>
      <c r="AJ216">
        <v>10</v>
      </c>
      <c r="AK216">
        <v>446</v>
      </c>
      <c r="AL216" t="s">
        <v>3675</v>
      </c>
      <c r="AM216" t="s">
        <v>173</v>
      </c>
      <c r="AN216" t="s">
        <v>3676</v>
      </c>
      <c r="AO216" t="s">
        <v>4504</v>
      </c>
      <c r="AP216" t="s">
        <v>4505</v>
      </c>
      <c r="AQ216" t="s">
        <v>74</v>
      </c>
      <c r="AR216" t="s">
        <v>4506</v>
      </c>
      <c r="AS216" t="s">
        <v>4507</v>
      </c>
      <c r="AT216" t="s">
        <v>634</v>
      </c>
      <c r="AU216">
        <v>2009</v>
      </c>
      <c r="AV216">
        <v>8</v>
      </c>
      <c r="AW216">
        <v>8</v>
      </c>
      <c r="AX216" t="s">
        <v>74</v>
      </c>
      <c r="AY216" t="s">
        <v>74</v>
      </c>
      <c r="AZ216" t="s">
        <v>74</v>
      </c>
      <c r="BA216" t="s">
        <v>74</v>
      </c>
      <c r="BB216">
        <v>741</v>
      </c>
      <c r="BC216">
        <v>754</v>
      </c>
      <c r="BD216" t="s">
        <v>74</v>
      </c>
      <c r="BE216" t="s">
        <v>4508</v>
      </c>
      <c r="BF216" t="str">
        <f>HYPERLINK("http://dx.doi.org/10.1016/S1474-4422(09)70150-4","http://dx.doi.org/10.1016/S1474-4422(09)70150-4")</f>
        <v>http://dx.doi.org/10.1016/S1474-4422(09)70150-4</v>
      </c>
      <c r="BG216" t="s">
        <v>74</v>
      </c>
      <c r="BH216" t="s">
        <v>74</v>
      </c>
      <c r="BI216">
        <v>14</v>
      </c>
      <c r="BJ216" t="s">
        <v>541</v>
      </c>
      <c r="BK216" t="s">
        <v>182</v>
      </c>
      <c r="BL216" t="s">
        <v>375</v>
      </c>
      <c r="BM216" t="s">
        <v>4509</v>
      </c>
      <c r="BN216">
        <v>19608100</v>
      </c>
      <c r="BO216" t="s">
        <v>74</v>
      </c>
      <c r="BP216" t="s">
        <v>74</v>
      </c>
      <c r="BQ216" t="s">
        <v>74</v>
      </c>
      <c r="BR216" t="s">
        <v>105</v>
      </c>
      <c r="BS216" t="s">
        <v>4510</v>
      </c>
      <c r="BT216" t="str">
        <f>HYPERLINK("https%3A%2F%2Fwww.webofscience.com%2Fwos%2Fwoscc%2Ffull-record%2FWOS:000268555800016","View Full Record in Web of Science")</f>
        <v>View Full Record in Web of Science</v>
      </c>
    </row>
    <row r="217" spans="1:72" x14ac:dyDescent="0.25">
      <c r="A217" t="s">
        <v>72</v>
      </c>
      <c r="B217" t="s">
        <v>4511</v>
      </c>
      <c r="C217" t="s">
        <v>74</v>
      </c>
      <c r="D217" t="s">
        <v>74</v>
      </c>
      <c r="E217" t="s">
        <v>74</v>
      </c>
      <c r="F217" t="s">
        <v>4512</v>
      </c>
      <c r="G217" t="s">
        <v>74</v>
      </c>
      <c r="H217" t="s">
        <v>74</v>
      </c>
      <c r="I217" t="s">
        <v>4513</v>
      </c>
      <c r="J217" t="s">
        <v>4514</v>
      </c>
      <c r="K217" t="s">
        <v>74</v>
      </c>
      <c r="L217" t="s">
        <v>74</v>
      </c>
      <c r="M217" t="s">
        <v>78</v>
      </c>
      <c r="N217" t="s">
        <v>79</v>
      </c>
      <c r="O217" t="s">
        <v>74</v>
      </c>
      <c r="P217" t="s">
        <v>74</v>
      </c>
      <c r="Q217" t="s">
        <v>74</v>
      </c>
      <c r="R217" t="s">
        <v>74</v>
      </c>
      <c r="S217" t="s">
        <v>74</v>
      </c>
      <c r="T217" t="s">
        <v>4515</v>
      </c>
      <c r="U217" t="s">
        <v>4516</v>
      </c>
      <c r="V217" t="s">
        <v>4517</v>
      </c>
      <c r="W217" t="s">
        <v>4518</v>
      </c>
      <c r="X217" t="s">
        <v>4519</v>
      </c>
      <c r="Y217" t="s">
        <v>4520</v>
      </c>
      <c r="Z217" t="s">
        <v>4521</v>
      </c>
      <c r="AA217" t="s">
        <v>4522</v>
      </c>
      <c r="AB217" t="s">
        <v>4523</v>
      </c>
      <c r="AC217" t="s">
        <v>4524</v>
      </c>
      <c r="AD217" t="s">
        <v>4525</v>
      </c>
      <c r="AE217" t="s">
        <v>4526</v>
      </c>
      <c r="AF217" t="s">
        <v>74</v>
      </c>
      <c r="AG217">
        <v>189</v>
      </c>
      <c r="AH217">
        <v>111</v>
      </c>
      <c r="AI217">
        <v>115</v>
      </c>
      <c r="AJ217">
        <v>10</v>
      </c>
      <c r="AK217">
        <v>343</v>
      </c>
      <c r="AL217" t="s">
        <v>2998</v>
      </c>
      <c r="AM217" t="s">
        <v>2999</v>
      </c>
      <c r="AN217" t="s">
        <v>3000</v>
      </c>
      <c r="AO217" t="s">
        <v>4527</v>
      </c>
      <c r="AP217" t="s">
        <v>4528</v>
      </c>
      <c r="AQ217" t="s">
        <v>74</v>
      </c>
      <c r="AR217" t="s">
        <v>4529</v>
      </c>
      <c r="AS217" t="s">
        <v>4530</v>
      </c>
      <c r="AT217" t="s">
        <v>4531</v>
      </c>
      <c r="AU217">
        <v>2018</v>
      </c>
      <c r="AV217">
        <v>30</v>
      </c>
      <c r="AW217">
        <v>31</v>
      </c>
      <c r="AX217" t="s">
        <v>74</v>
      </c>
      <c r="AY217" t="s">
        <v>74</v>
      </c>
      <c r="AZ217" t="s">
        <v>74</v>
      </c>
      <c r="BA217" t="s">
        <v>74</v>
      </c>
      <c r="BB217" t="s">
        <v>74</v>
      </c>
      <c r="BC217" t="s">
        <v>74</v>
      </c>
      <c r="BD217">
        <v>1800572</v>
      </c>
      <c r="BE217" t="s">
        <v>4532</v>
      </c>
      <c r="BF217" t="str">
        <f>HYPERLINK("http://dx.doi.org/10.1002/adma.201800572","http://dx.doi.org/10.1002/adma.201800572")</f>
        <v>http://dx.doi.org/10.1002/adma.201800572</v>
      </c>
      <c r="BG217" t="s">
        <v>74</v>
      </c>
      <c r="BH217" t="s">
        <v>74</v>
      </c>
      <c r="BI217">
        <v>25</v>
      </c>
      <c r="BJ217" t="s">
        <v>3702</v>
      </c>
      <c r="BK217" t="s">
        <v>182</v>
      </c>
      <c r="BL217" t="s">
        <v>3703</v>
      </c>
      <c r="BM217" t="s">
        <v>4533</v>
      </c>
      <c r="BN217">
        <v>29882230</v>
      </c>
      <c r="BO217" t="s">
        <v>3048</v>
      </c>
      <c r="BP217" t="s">
        <v>74</v>
      </c>
      <c r="BQ217" t="s">
        <v>74</v>
      </c>
      <c r="BR217" t="s">
        <v>105</v>
      </c>
      <c r="BS217" t="s">
        <v>4534</v>
      </c>
      <c r="BT217" t="str">
        <f>HYPERLINK("https%3A%2F%2Fwww.webofscience.com%2Fwos%2Fwoscc%2Ffull-record%2FWOS:000443807400006","View Full Record in Web of Science")</f>
        <v>View Full Record in Web of Science</v>
      </c>
    </row>
    <row r="218" spans="1:72" x14ac:dyDescent="0.25">
      <c r="A218" t="s">
        <v>72</v>
      </c>
      <c r="B218" t="s">
        <v>4535</v>
      </c>
      <c r="C218" t="s">
        <v>74</v>
      </c>
      <c r="D218" t="s">
        <v>74</v>
      </c>
      <c r="E218" t="s">
        <v>74</v>
      </c>
      <c r="F218" t="s">
        <v>4536</v>
      </c>
      <c r="G218" t="s">
        <v>74</v>
      </c>
      <c r="H218" t="s">
        <v>74</v>
      </c>
      <c r="I218" t="s">
        <v>4537</v>
      </c>
      <c r="J218" t="s">
        <v>2040</v>
      </c>
      <c r="K218" t="s">
        <v>74</v>
      </c>
      <c r="L218" t="s">
        <v>74</v>
      </c>
      <c r="M218" t="s">
        <v>78</v>
      </c>
      <c r="N218" t="s">
        <v>79</v>
      </c>
      <c r="O218" t="s">
        <v>74</v>
      </c>
      <c r="P218" t="s">
        <v>74</v>
      </c>
      <c r="Q218" t="s">
        <v>74</v>
      </c>
      <c r="R218" t="s">
        <v>74</v>
      </c>
      <c r="S218" t="s">
        <v>74</v>
      </c>
      <c r="T218" t="s">
        <v>4538</v>
      </c>
      <c r="U218" t="s">
        <v>4539</v>
      </c>
      <c r="V218" t="s">
        <v>4540</v>
      </c>
      <c r="W218" t="s">
        <v>4541</v>
      </c>
      <c r="X218" t="s">
        <v>4542</v>
      </c>
      <c r="Y218" t="s">
        <v>4543</v>
      </c>
      <c r="Z218" t="s">
        <v>4544</v>
      </c>
      <c r="AA218" t="s">
        <v>4545</v>
      </c>
      <c r="AB218" t="s">
        <v>4546</v>
      </c>
      <c r="AC218" t="s">
        <v>4547</v>
      </c>
      <c r="AD218" t="s">
        <v>4548</v>
      </c>
      <c r="AE218" t="s">
        <v>4549</v>
      </c>
      <c r="AF218" t="s">
        <v>74</v>
      </c>
      <c r="AG218">
        <v>151</v>
      </c>
      <c r="AH218">
        <v>15</v>
      </c>
      <c r="AI218">
        <v>15</v>
      </c>
      <c r="AJ218">
        <v>8</v>
      </c>
      <c r="AK218">
        <v>81</v>
      </c>
      <c r="AL218" t="s">
        <v>120</v>
      </c>
      <c r="AM218" t="s">
        <v>121</v>
      </c>
      <c r="AN218" t="s">
        <v>122</v>
      </c>
      <c r="AO218" t="s">
        <v>74</v>
      </c>
      <c r="AP218" t="s">
        <v>2050</v>
      </c>
      <c r="AQ218" t="s">
        <v>74</v>
      </c>
      <c r="AR218" t="s">
        <v>2051</v>
      </c>
      <c r="AS218" t="s">
        <v>2052</v>
      </c>
      <c r="AT218" t="s">
        <v>634</v>
      </c>
      <c r="AU218">
        <v>2021</v>
      </c>
      <c r="AV218">
        <v>21</v>
      </c>
      <c r="AW218">
        <v>15</v>
      </c>
      <c r="AX218" t="s">
        <v>74</v>
      </c>
      <c r="AY218" t="s">
        <v>74</v>
      </c>
      <c r="AZ218" t="s">
        <v>74</v>
      </c>
      <c r="BA218" t="s">
        <v>74</v>
      </c>
      <c r="BB218" t="s">
        <v>74</v>
      </c>
      <c r="BC218" t="s">
        <v>74</v>
      </c>
      <c r="BD218">
        <v>5166</v>
      </c>
      <c r="BE218" t="s">
        <v>4550</v>
      </c>
      <c r="BF218" t="str">
        <f>HYPERLINK("http://dx.doi.org/10.3390/s21155166","http://dx.doi.org/10.3390/s21155166")</f>
        <v>http://dx.doi.org/10.3390/s21155166</v>
      </c>
      <c r="BG218" t="s">
        <v>74</v>
      </c>
      <c r="BH218" t="s">
        <v>74</v>
      </c>
      <c r="BI218">
        <v>39</v>
      </c>
      <c r="BJ218" t="s">
        <v>2054</v>
      </c>
      <c r="BK218" t="s">
        <v>102</v>
      </c>
      <c r="BL218" t="s">
        <v>2055</v>
      </c>
      <c r="BM218" t="s">
        <v>4551</v>
      </c>
      <c r="BN218">
        <v>34372402</v>
      </c>
      <c r="BO218" t="s">
        <v>131</v>
      </c>
      <c r="BP218" t="s">
        <v>74</v>
      </c>
      <c r="BQ218" t="s">
        <v>74</v>
      </c>
      <c r="BR218" t="s">
        <v>105</v>
      </c>
      <c r="BS218" t="s">
        <v>4552</v>
      </c>
      <c r="BT218" t="str">
        <f>HYPERLINK("https%3A%2F%2Fwww.webofscience.com%2Fwos%2Fwoscc%2Ffull-record%2FWOS:000682192900001","View Full Record in Web of Science")</f>
        <v>View Full Record in Web of Science</v>
      </c>
    </row>
    <row r="219" spans="1:72" x14ac:dyDescent="0.25">
      <c r="A219" t="s">
        <v>72</v>
      </c>
      <c r="B219" t="s">
        <v>4553</v>
      </c>
      <c r="C219" t="s">
        <v>74</v>
      </c>
      <c r="D219" t="s">
        <v>74</v>
      </c>
      <c r="E219" t="s">
        <v>74</v>
      </c>
      <c r="F219" t="s">
        <v>4554</v>
      </c>
      <c r="G219" t="s">
        <v>74</v>
      </c>
      <c r="H219" t="s">
        <v>74</v>
      </c>
      <c r="I219" t="s">
        <v>4555</v>
      </c>
      <c r="J219" t="s">
        <v>4556</v>
      </c>
      <c r="K219" t="s">
        <v>74</v>
      </c>
      <c r="L219" t="s">
        <v>74</v>
      </c>
      <c r="M219" t="s">
        <v>78</v>
      </c>
      <c r="N219" t="s">
        <v>79</v>
      </c>
      <c r="O219" t="s">
        <v>74</v>
      </c>
      <c r="P219" t="s">
        <v>74</v>
      </c>
      <c r="Q219" t="s">
        <v>74</v>
      </c>
      <c r="R219" t="s">
        <v>74</v>
      </c>
      <c r="S219" t="s">
        <v>74</v>
      </c>
      <c r="T219" t="s">
        <v>74</v>
      </c>
      <c r="U219" t="s">
        <v>4557</v>
      </c>
      <c r="V219" t="s">
        <v>4558</v>
      </c>
      <c r="W219" t="s">
        <v>4559</v>
      </c>
      <c r="X219" t="s">
        <v>4560</v>
      </c>
      <c r="Y219" t="s">
        <v>4561</v>
      </c>
      <c r="Z219" t="s">
        <v>4562</v>
      </c>
      <c r="AA219" t="s">
        <v>74</v>
      </c>
      <c r="AB219" t="s">
        <v>74</v>
      </c>
      <c r="AC219" t="s">
        <v>74</v>
      </c>
      <c r="AD219" t="s">
        <v>74</v>
      </c>
      <c r="AE219" t="s">
        <v>74</v>
      </c>
      <c r="AF219" t="s">
        <v>74</v>
      </c>
      <c r="AG219">
        <v>57</v>
      </c>
      <c r="AH219">
        <v>11</v>
      </c>
      <c r="AI219">
        <v>15</v>
      </c>
      <c r="AJ219">
        <v>0</v>
      </c>
      <c r="AK219">
        <v>16</v>
      </c>
      <c r="AL219" t="s">
        <v>367</v>
      </c>
      <c r="AM219" t="s">
        <v>275</v>
      </c>
      <c r="AN219" t="s">
        <v>368</v>
      </c>
      <c r="AO219" t="s">
        <v>4563</v>
      </c>
      <c r="AP219" t="s">
        <v>74</v>
      </c>
      <c r="AQ219" t="s">
        <v>74</v>
      </c>
      <c r="AR219" t="s">
        <v>4564</v>
      </c>
      <c r="AS219" t="s">
        <v>4565</v>
      </c>
      <c r="AT219" t="s">
        <v>74</v>
      </c>
      <c r="AU219">
        <v>2013</v>
      </c>
      <c r="AV219" t="s">
        <v>74</v>
      </c>
      <c r="AW219" t="s">
        <v>74</v>
      </c>
      <c r="AX219" t="s">
        <v>74</v>
      </c>
      <c r="AY219" t="s">
        <v>74</v>
      </c>
      <c r="AZ219" t="s">
        <v>74</v>
      </c>
      <c r="BA219" t="s">
        <v>74</v>
      </c>
      <c r="BB219" t="s">
        <v>74</v>
      </c>
      <c r="BC219" t="s">
        <v>74</v>
      </c>
      <c r="BD219">
        <v>425136</v>
      </c>
      <c r="BE219" t="s">
        <v>4566</v>
      </c>
      <c r="BF219" t="str">
        <f>HYPERLINK("http://dx.doi.org/10.1155/2013/425136","http://dx.doi.org/10.1155/2013/425136")</f>
        <v>http://dx.doi.org/10.1155/2013/425136</v>
      </c>
      <c r="BG219" t="s">
        <v>74</v>
      </c>
      <c r="BH219" t="s">
        <v>74</v>
      </c>
      <c r="BI219">
        <v>7</v>
      </c>
      <c r="BJ219" t="s">
        <v>936</v>
      </c>
      <c r="BK219" t="s">
        <v>182</v>
      </c>
      <c r="BL219" t="s">
        <v>937</v>
      </c>
      <c r="BM219" t="s">
        <v>4567</v>
      </c>
      <c r="BN219">
        <v>23365543</v>
      </c>
      <c r="BO219" t="s">
        <v>4568</v>
      </c>
      <c r="BP219" t="s">
        <v>74</v>
      </c>
      <c r="BQ219" t="s">
        <v>74</v>
      </c>
      <c r="BR219" t="s">
        <v>105</v>
      </c>
      <c r="BS219" t="s">
        <v>4569</v>
      </c>
      <c r="BT219" t="str">
        <f>HYPERLINK("https%3A%2F%2Fwww.webofscience.com%2Fwos%2Fwoscc%2Ffull-record%2FWOS:000313734200001","View Full Record in Web of Science")</f>
        <v>View Full Record in Web of Science</v>
      </c>
    </row>
    <row r="220" spans="1:72" x14ac:dyDescent="0.25">
      <c r="A220" t="s">
        <v>72</v>
      </c>
      <c r="B220" t="s">
        <v>4570</v>
      </c>
      <c r="C220" t="s">
        <v>74</v>
      </c>
      <c r="D220" t="s">
        <v>74</v>
      </c>
      <c r="E220" t="s">
        <v>74</v>
      </c>
      <c r="F220" t="s">
        <v>4571</v>
      </c>
      <c r="G220" t="s">
        <v>74</v>
      </c>
      <c r="H220" t="s">
        <v>74</v>
      </c>
      <c r="I220" t="s">
        <v>4572</v>
      </c>
      <c r="J220" t="s">
        <v>110</v>
      </c>
      <c r="K220" t="s">
        <v>74</v>
      </c>
      <c r="L220" t="s">
        <v>74</v>
      </c>
      <c r="M220" t="s">
        <v>78</v>
      </c>
      <c r="N220" t="s">
        <v>79</v>
      </c>
      <c r="O220" t="s">
        <v>74</v>
      </c>
      <c r="P220" t="s">
        <v>74</v>
      </c>
      <c r="Q220" t="s">
        <v>74</v>
      </c>
      <c r="R220" t="s">
        <v>74</v>
      </c>
      <c r="S220" t="s">
        <v>74</v>
      </c>
      <c r="T220" t="s">
        <v>4573</v>
      </c>
      <c r="U220" t="s">
        <v>4574</v>
      </c>
      <c r="V220" t="s">
        <v>4575</v>
      </c>
      <c r="W220" t="s">
        <v>4576</v>
      </c>
      <c r="X220" t="s">
        <v>4577</v>
      </c>
      <c r="Y220" t="s">
        <v>4578</v>
      </c>
      <c r="Z220" t="s">
        <v>4579</v>
      </c>
      <c r="AA220" t="s">
        <v>4580</v>
      </c>
      <c r="AB220" t="s">
        <v>4581</v>
      </c>
      <c r="AC220" t="s">
        <v>4582</v>
      </c>
      <c r="AD220" t="s">
        <v>4583</v>
      </c>
      <c r="AE220" t="s">
        <v>4584</v>
      </c>
      <c r="AF220" t="s">
        <v>74</v>
      </c>
      <c r="AG220">
        <v>45</v>
      </c>
      <c r="AH220">
        <v>6</v>
      </c>
      <c r="AI220">
        <v>7</v>
      </c>
      <c r="AJ220">
        <v>1</v>
      </c>
      <c r="AK220">
        <v>8</v>
      </c>
      <c r="AL220" t="s">
        <v>120</v>
      </c>
      <c r="AM220" t="s">
        <v>121</v>
      </c>
      <c r="AN220" t="s">
        <v>122</v>
      </c>
      <c r="AO220" t="s">
        <v>74</v>
      </c>
      <c r="AP220" t="s">
        <v>123</v>
      </c>
      <c r="AQ220" t="s">
        <v>74</v>
      </c>
      <c r="AR220" t="s">
        <v>124</v>
      </c>
      <c r="AS220" t="s">
        <v>125</v>
      </c>
      <c r="AT220" t="s">
        <v>126</v>
      </c>
      <c r="AU220">
        <v>2021</v>
      </c>
      <c r="AV220">
        <v>10</v>
      </c>
      <c r="AW220">
        <v>21</v>
      </c>
      <c r="AX220" t="s">
        <v>74</v>
      </c>
      <c r="AY220" t="s">
        <v>74</v>
      </c>
      <c r="AZ220" t="s">
        <v>74</v>
      </c>
      <c r="BA220" t="s">
        <v>74</v>
      </c>
      <c r="BB220" t="s">
        <v>74</v>
      </c>
      <c r="BC220" t="s">
        <v>74</v>
      </c>
      <c r="BD220">
        <v>4908</v>
      </c>
      <c r="BE220" t="s">
        <v>4585</v>
      </c>
      <c r="BF220" t="str">
        <f>HYPERLINK("http://dx.doi.org/10.3390/jcm10214908","http://dx.doi.org/10.3390/jcm10214908")</f>
        <v>http://dx.doi.org/10.3390/jcm10214908</v>
      </c>
      <c r="BG220" t="s">
        <v>74</v>
      </c>
      <c r="BH220" t="s">
        <v>74</v>
      </c>
      <c r="BI220">
        <v>14</v>
      </c>
      <c r="BJ220" t="s">
        <v>128</v>
      </c>
      <c r="BK220" t="s">
        <v>182</v>
      </c>
      <c r="BL220" t="s">
        <v>129</v>
      </c>
      <c r="BM220" t="s">
        <v>4586</v>
      </c>
      <c r="BN220">
        <v>34768427</v>
      </c>
      <c r="BO220" t="s">
        <v>355</v>
      </c>
      <c r="BP220" t="s">
        <v>74</v>
      </c>
      <c r="BQ220" t="s">
        <v>74</v>
      </c>
      <c r="BR220" t="s">
        <v>105</v>
      </c>
      <c r="BS220" t="s">
        <v>4587</v>
      </c>
      <c r="BT220" t="str">
        <f>HYPERLINK("https%3A%2F%2Fwww.webofscience.com%2Fwos%2Fwoscc%2Ffull-record%2FWOS:000718153500001","View Full Record in Web of Science")</f>
        <v>View Full Record in Web of Science</v>
      </c>
    </row>
    <row r="221" spans="1:72" x14ac:dyDescent="0.25">
      <c r="A221" t="s">
        <v>72</v>
      </c>
      <c r="B221" t="s">
        <v>4588</v>
      </c>
      <c r="C221" t="s">
        <v>74</v>
      </c>
      <c r="D221" t="s">
        <v>74</v>
      </c>
      <c r="E221" t="s">
        <v>74</v>
      </c>
      <c r="F221" t="s">
        <v>4589</v>
      </c>
      <c r="G221" t="s">
        <v>74</v>
      </c>
      <c r="H221" t="s">
        <v>74</v>
      </c>
      <c r="I221" t="s">
        <v>4590</v>
      </c>
      <c r="J221" t="s">
        <v>4591</v>
      </c>
      <c r="K221" t="s">
        <v>74</v>
      </c>
      <c r="L221" t="s">
        <v>74</v>
      </c>
      <c r="M221" t="s">
        <v>78</v>
      </c>
      <c r="N221" t="s">
        <v>79</v>
      </c>
      <c r="O221" t="s">
        <v>74</v>
      </c>
      <c r="P221" t="s">
        <v>74</v>
      </c>
      <c r="Q221" t="s">
        <v>74</v>
      </c>
      <c r="R221" t="s">
        <v>74</v>
      </c>
      <c r="S221" t="s">
        <v>74</v>
      </c>
      <c r="T221" t="s">
        <v>4592</v>
      </c>
      <c r="U221" t="s">
        <v>4593</v>
      </c>
      <c r="V221" t="s">
        <v>4594</v>
      </c>
      <c r="W221" t="s">
        <v>4595</v>
      </c>
      <c r="X221" t="s">
        <v>4596</v>
      </c>
      <c r="Y221" t="s">
        <v>4597</v>
      </c>
      <c r="Z221" t="s">
        <v>4598</v>
      </c>
      <c r="AA221" t="s">
        <v>74</v>
      </c>
      <c r="AB221" t="s">
        <v>74</v>
      </c>
      <c r="AC221" t="s">
        <v>74</v>
      </c>
      <c r="AD221" t="s">
        <v>74</v>
      </c>
      <c r="AE221" t="s">
        <v>74</v>
      </c>
      <c r="AF221" t="s">
        <v>74</v>
      </c>
      <c r="AG221">
        <v>15</v>
      </c>
      <c r="AH221">
        <v>7</v>
      </c>
      <c r="AI221">
        <v>7</v>
      </c>
      <c r="AJ221">
        <v>2</v>
      </c>
      <c r="AK221">
        <v>6</v>
      </c>
      <c r="AL221" t="s">
        <v>92</v>
      </c>
      <c r="AM221" t="s">
        <v>93</v>
      </c>
      <c r="AN221" t="s">
        <v>94</v>
      </c>
      <c r="AO221" t="s">
        <v>4599</v>
      </c>
      <c r="AP221" t="s">
        <v>4600</v>
      </c>
      <c r="AQ221" t="s">
        <v>74</v>
      </c>
      <c r="AR221" t="s">
        <v>4601</v>
      </c>
      <c r="AS221" t="s">
        <v>4602</v>
      </c>
      <c r="AT221" t="s">
        <v>4603</v>
      </c>
      <c r="AU221">
        <v>2022</v>
      </c>
      <c r="AV221">
        <v>15</v>
      </c>
      <c r="AW221">
        <v>10</v>
      </c>
      <c r="AX221" t="s">
        <v>74</v>
      </c>
      <c r="AY221" t="s">
        <v>74</v>
      </c>
      <c r="AZ221" t="s">
        <v>74</v>
      </c>
      <c r="BA221" t="s">
        <v>74</v>
      </c>
      <c r="BB221">
        <v>927</v>
      </c>
      <c r="BC221">
        <v>931</v>
      </c>
      <c r="BD221" t="s">
        <v>74</v>
      </c>
      <c r="BE221" t="s">
        <v>4604</v>
      </c>
      <c r="BF221" t="str">
        <f>HYPERLINK("http://dx.doi.org/10.1080/17474086.2022.2114895","http://dx.doi.org/10.1080/17474086.2022.2114895")</f>
        <v>http://dx.doi.org/10.1080/17474086.2022.2114895</v>
      </c>
      <c r="BG221" t="s">
        <v>74</v>
      </c>
      <c r="BH221" t="s">
        <v>4605</v>
      </c>
      <c r="BI221">
        <v>5</v>
      </c>
      <c r="BJ221" t="s">
        <v>4606</v>
      </c>
      <c r="BK221" t="s">
        <v>182</v>
      </c>
      <c r="BL221" t="s">
        <v>4606</v>
      </c>
      <c r="BM221" t="s">
        <v>4607</v>
      </c>
      <c r="BN221">
        <v>35980129</v>
      </c>
      <c r="BO221" t="s">
        <v>74</v>
      </c>
      <c r="BP221" t="s">
        <v>74</v>
      </c>
      <c r="BQ221" t="s">
        <v>74</v>
      </c>
      <c r="BR221" t="s">
        <v>105</v>
      </c>
      <c r="BS221" t="s">
        <v>4608</v>
      </c>
      <c r="BT221" t="str">
        <f>HYPERLINK("https%3A%2F%2Fwww.webofscience.com%2Fwos%2Fwoscc%2Ffull-record%2FWOS:000843070300001","View Full Record in Web of Science")</f>
        <v>View Full Record in Web of Science</v>
      </c>
    </row>
    <row r="222" spans="1:72" x14ac:dyDescent="0.25">
      <c r="A222" t="s">
        <v>72</v>
      </c>
      <c r="B222" t="s">
        <v>4609</v>
      </c>
      <c r="C222" t="s">
        <v>74</v>
      </c>
      <c r="D222" t="s">
        <v>74</v>
      </c>
      <c r="E222" t="s">
        <v>74</v>
      </c>
      <c r="F222" t="s">
        <v>4610</v>
      </c>
      <c r="G222" t="s">
        <v>74</v>
      </c>
      <c r="H222" t="s">
        <v>74</v>
      </c>
      <c r="I222" t="s">
        <v>4611</v>
      </c>
      <c r="J222" t="s">
        <v>4612</v>
      </c>
      <c r="K222" t="s">
        <v>74</v>
      </c>
      <c r="L222" t="s">
        <v>74</v>
      </c>
      <c r="M222" t="s">
        <v>78</v>
      </c>
      <c r="N222" t="s">
        <v>79</v>
      </c>
      <c r="O222" t="s">
        <v>74</v>
      </c>
      <c r="P222" t="s">
        <v>74</v>
      </c>
      <c r="Q222" t="s">
        <v>74</v>
      </c>
      <c r="R222" t="s">
        <v>74</v>
      </c>
      <c r="S222" t="s">
        <v>74</v>
      </c>
      <c r="T222" t="s">
        <v>74</v>
      </c>
      <c r="U222" t="s">
        <v>4613</v>
      </c>
      <c r="V222" t="s">
        <v>4614</v>
      </c>
      <c r="W222" t="s">
        <v>4615</v>
      </c>
      <c r="X222" t="s">
        <v>4616</v>
      </c>
      <c r="Y222" t="s">
        <v>4617</v>
      </c>
      <c r="Z222" t="s">
        <v>4618</v>
      </c>
      <c r="AA222" t="s">
        <v>74</v>
      </c>
      <c r="AB222" t="s">
        <v>74</v>
      </c>
      <c r="AC222" t="s">
        <v>4619</v>
      </c>
      <c r="AD222" t="s">
        <v>4620</v>
      </c>
      <c r="AE222" t="s">
        <v>4621</v>
      </c>
      <c r="AF222" t="s">
        <v>74</v>
      </c>
      <c r="AG222">
        <v>100</v>
      </c>
      <c r="AH222">
        <v>2</v>
      </c>
      <c r="AI222">
        <v>2</v>
      </c>
      <c r="AJ222">
        <v>6</v>
      </c>
      <c r="AK222">
        <v>10</v>
      </c>
      <c r="AL222" t="s">
        <v>4622</v>
      </c>
      <c r="AM222" t="s">
        <v>4073</v>
      </c>
      <c r="AN222" t="s">
        <v>4623</v>
      </c>
      <c r="AO222" t="s">
        <v>4624</v>
      </c>
      <c r="AP222" t="s">
        <v>4625</v>
      </c>
      <c r="AQ222" t="s">
        <v>74</v>
      </c>
      <c r="AR222" t="s">
        <v>4626</v>
      </c>
      <c r="AS222" t="s">
        <v>4627</v>
      </c>
      <c r="AT222" t="s">
        <v>4628</v>
      </c>
      <c r="AU222">
        <v>2024</v>
      </c>
      <c r="AV222">
        <v>57</v>
      </c>
      <c r="AW222">
        <v>18</v>
      </c>
      <c r="AX222" t="s">
        <v>74</v>
      </c>
      <c r="AY222" t="s">
        <v>74</v>
      </c>
      <c r="AZ222" t="s">
        <v>74</v>
      </c>
      <c r="BA222" t="s">
        <v>74</v>
      </c>
      <c r="BB222">
        <v>2631</v>
      </c>
      <c r="BC222">
        <v>2642</v>
      </c>
      <c r="BD222" t="s">
        <v>74</v>
      </c>
      <c r="BE222" t="s">
        <v>4629</v>
      </c>
      <c r="BF222" t="str">
        <f>HYPERLINK("http://dx.doi.org/10.1021/acs.accounts.4c00320","http://dx.doi.org/10.1021/acs.accounts.4c00320")</f>
        <v>http://dx.doi.org/10.1021/acs.accounts.4c00320</v>
      </c>
      <c r="BG222" t="s">
        <v>74</v>
      </c>
      <c r="BH222" t="s">
        <v>4630</v>
      </c>
      <c r="BI222">
        <v>12</v>
      </c>
      <c r="BJ222" t="s">
        <v>154</v>
      </c>
      <c r="BK222" t="s">
        <v>182</v>
      </c>
      <c r="BL222" t="s">
        <v>156</v>
      </c>
      <c r="BM222" t="s">
        <v>4631</v>
      </c>
      <c r="BN222">
        <v>39198974</v>
      </c>
      <c r="BO222" t="s">
        <v>4632</v>
      </c>
      <c r="BP222" t="s">
        <v>74</v>
      </c>
      <c r="BQ222" t="s">
        <v>74</v>
      </c>
      <c r="BR222" t="s">
        <v>105</v>
      </c>
      <c r="BS222" t="s">
        <v>4633</v>
      </c>
      <c r="BT222" t="str">
        <f>HYPERLINK("https%3A%2F%2Fwww.webofscience.com%2Fwos%2Fwoscc%2Ffull-record%2FWOS:001326637400001","View Full Record in Web of Science")</f>
        <v>View Full Record in Web of Science</v>
      </c>
    </row>
    <row r="223" spans="1:72" x14ac:dyDescent="0.25">
      <c r="A223" t="s">
        <v>72</v>
      </c>
      <c r="B223" t="s">
        <v>4634</v>
      </c>
      <c r="C223" t="s">
        <v>74</v>
      </c>
      <c r="D223" t="s">
        <v>74</v>
      </c>
      <c r="E223" t="s">
        <v>74</v>
      </c>
      <c r="F223" t="s">
        <v>4635</v>
      </c>
      <c r="G223" t="s">
        <v>74</v>
      </c>
      <c r="H223" t="s">
        <v>74</v>
      </c>
      <c r="I223" t="s">
        <v>4636</v>
      </c>
      <c r="J223" t="s">
        <v>4637</v>
      </c>
      <c r="K223" t="s">
        <v>74</v>
      </c>
      <c r="L223" t="s">
        <v>74</v>
      </c>
      <c r="M223" t="s">
        <v>78</v>
      </c>
      <c r="N223" t="s">
        <v>79</v>
      </c>
      <c r="O223" t="s">
        <v>74</v>
      </c>
      <c r="P223" t="s">
        <v>74</v>
      </c>
      <c r="Q223" t="s">
        <v>74</v>
      </c>
      <c r="R223" t="s">
        <v>74</v>
      </c>
      <c r="S223" t="s">
        <v>74</v>
      </c>
      <c r="T223" t="s">
        <v>74</v>
      </c>
      <c r="U223" t="s">
        <v>4638</v>
      </c>
      <c r="V223" t="s">
        <v>4639</v>
      </c>
      <c r="W223" t="s">
        <v>4640</v>
      </c>
      <c r="X223" t="s">
        <v>4641</v>
      </c>
      <c r="Y223" t="s">
        <v>4642</v>
      </c>
      <c r="Z223" t="s">
        <v>4643</v>
      </c>
      <c r="AA223" t="s">
        <v>74</v>
      </c>
      <c r="AB223" t="s">
        <v>74</v>
      </c>
      <c r="AC223" t="s">
        <v>74</v>
      </c>
      <c r="AD223" t="s">
        <v>74</v>
      </c>
      <c r="AE223" t="s">
        <v>74</v>
      </c>
      <c r="AF223" t="s">
        <v>74</v>
      </c>
      <c r="AG223">
        <v>45</v>
      </c>
      <c r="AH223">
        <v>8</v>
      </c>
      <c r="AI223">
        <v>8</v>
      </c>
      <c r="AJ223">
        <v>0</v>
      </c>
      <c r="AK223">
        <v>0</v>
      </c>
      <c r="AL223" t="s">
        <v>367</v>
      </c>
      <c r="AM223" t="s">
        <v>275</v>
      </c>
      <c r="AN223" t="s">
        <v>368</v>
      </c>
      <c r="AO223" t="s">
        <v>4644</v>
      </c>
      <c r="AP223" t="s">
        <v>4645</v>
      </c>
      <c r="AQ223" t="s">
        <v>74</v>
      </c>
      <c r="AR223" t="s">
        <v>4646</v>
      </c>
      <c r="AS223" t="s">
        <v>4647</v>
      </c>
      <c r="AT223" t="s">
        <v>74</v>
      </c>
      <c r="AU223">
        <v>2012</v>
      </c>
      <c r="AV223">
        <v>2012</v>
      </c>
      <c r="AW223" t="s">
        <v>74</v>
      </c>
      <c r="AX223" t="s">
        <v>74</v>
      </c>
      <c r="AY223" t="s">
        <v>74</v>
      </c>
      <c r="AZ223" t="s">
        <v>74</v>
      </c>
      <c r="BA223" t="s">
        <v>74</v>
      </c>
      <c r="BB223" t="s">
        <v>74</v>
      </c>
      <c r="BC223" t="s">
        <v>74</v>
      </c>
      <c r="BD223">
        <v>123596</v>
      </c>
      <c r="BE223" t="s">
        <v>4648</v>
      </c>
      <c r="BF223" t="str">
        <f>HYPERLINK("http://dx.doi.org/10.1155/2012/123596","http://dx.doi.org/10.1155/2012/123596")</f>
        <v>http://dx.doi.org/10.1155/2012/123596</v>
      </c>
      <c r="BG223" t="s">
        <v>74</v>
      </c>
      <c r="BH223" t="s">
        <v>74</v>
      </c>
      <c r="BI223">
        <v>6</v>
      </c>
      <c r="BJ223" t="s">
        <v>4032</v>
      </c>
      <c r="BK223" t="s">
        <v>155</v>
      </c>
      <c r="BL223" t="s">
        <v>4032</v>
      </c>
      <c r="BM223" t="s">
        <v>4649</v>
      </c>
      <c r="BN223">
        <v>22957251</v>
      </c>
      <c r="BO223" t="s">
        <v>377</v>
      </c>
      <c r="BP223" t="s">
        <v>74</v>
      </c>
      <c r="BQ223" t="s">
        <v>74</v>
      </c>
      <c r="BR223" t="s">
        <v>105</v>
      </c>
      <c r="BS223" t="s">
        <v>4650</v>
      </c>
      <c r="BT223" t="str">
        <f>HYPERLINK("https%3A%2F%2Fwww.webofscience.com%2Fwos%2Fwoscc%2Ffull-record%2FWOS:000215429500002","View Full Record in Web of Science")</f>
        <v>View Full Record in Web of Science</v>
      </c>
    </row>
    <row r="224" spans="1:72" x14ac:dyDescent="0.25">
      <c r="A224" t="s">
        <v>72</v>
      </c>
      <c r="B224" t="s">
        <v>4651</v>
      </c>
      <c r="C224" t="s">
        <v>74</v>
      </c>
      <c r="D224" t="s">
        <v>74</v>
      </c>
      <c r="E224" t="s">
        <v>74</v>
      </c>
      <c r="F224" t="s">
        <v>4652</v>
      </c>
      <c r="G224" t="s">
        <v>74</v>
      </c>
      <c r="H224" t="s">
        <v>74</v>
      </c>
      <c r="I224" t="s">
        <v>4653</v>
      </c>
      <c r="J224" t="s">
        <v>4654</v>
      </c>
      <c r="K224" t="s">
        <v>74</v>
      </c>
      <c r="L224" t="s">
        <v>74</v>
      </c>
      <c r="M224" t="s">
        <v>78</v>
      </c>
      <c r="N224" t="s">
        <v>79</v>
      </c>
      <c r="O224" t="s">
        <v>74</v>
      </c>
      <c r="P224" t="s">
        <v>74</v>
      </c>
      <c r="Q224" t="s">
        <v>74</v>
      </c>
      <c r="R224" t="s">
        <v>74</v>
      </c>
      <c r="S224" t="s">
        <v>74</v>
      </c>
      <c r="T224" t="s">
        <v>4655</v>
      </c>
      <c r="U224" t="s">
        <v>4656</v>
      </c>
      <c r="V224" t="s">
        <v>4657</v>
      </c>
      <c r="W224" t="s">
        <v>4658</v>
      </c>
      <c r="X224" t="s">
        <v>4659</v>
      </c>
      <c r="Y224" t="s">
        <v>4660</v>
      </c>
      <c r="Z224" t="s">
        <v>4661</v>
      </c>
      <c r="AA224" t="s">
        <v>4662</v>
      </c>
      <c r="AB224" t="s">
        <v>4663</v>
      </c>
      <c r="AC224" t="s">
        <v>4664</v>
      </c>
      <c r="AD224" t="s">
        <v>4665</v>
      </c>
      <c r="AE224" t="s">
        <v>4666</v>
      </c>
      <c r="AF224" t="s">
        <v>74</v>
      </c>
      <c r="AG224">
        <v>106</v>
      </c>
      <c r="AH224">
        <v>15</v>
      </c>
      <c r="AI224">
        <v>17</v>
      </c>
      <c r="AJ224">
        <v>1</v>
      </c>
      <c r="AK224">
        <v>53</v>
      </c>
      <c r="AL224" t="s">
        <v>836</v>
      </c>
      <c r="AM224" t="s">
        <v>532</v>
      </c>
      <c r="AN224" t="s">
        <v>837</v>
      </c>
      <c r="AO224" t="s">
        <v>4667</v>
      </c>
      <c r="AP224" t="s">
        <v>74</v>
      </c>
      <c r="AQ224" t="s">
        <v>74</v>
      </c>
      <c r="AR224" t="s">
        <v>4654</v>
      </c>
      <c r="AS224" t="s">
        <v>4668</v>
      </c>
      <c r="AT224" t="s">
        <v>326</v>
      </c>
      <c r="AU224">
        <v>2022</v>
      </c>
      <c r="AV224">
        <v>83</v>
      </c>
      <c r="AW224" t="s">
        <v>74</v>
      </c>
      <c r="AX224" t="s">
        <v>74</v>
      </c>
      <c r="AY224" t="s">
        <v>74</v>
      </c>
      <c r="AZ224" t="s">
        <v>74</v>
      </c>
      <c r="BA224" t="s">
        <v>74</v>
      </c>
      <c r="BB224" t="s">
        <v>74</v>
      </c>
      <c r="BC224" t="s">
        <v>74</v>
      </c>
      <c r="BD224">
        <v>102748</v>
      </c>
      <c r="BE224" t="s">
        <v>4669</v>
      </c>
      <c r="BF224" t="str">
        <f>HYPERLINK("http://dx.doi.org/10.1016/j.mechatronics.2022.102748","http://dx.doi.org/10.1016/j.mechatronics.2022.102748")</f>
        <v>http://dx.doi.org/10.1016/j.mechatronics.2022.102748</v>
      </c>
      <c r="BG224" t="s">
        <v>74</v>
      </c>
      <c r="BH224" t="s">
        <v>4670</v>
      </c>
      <c r="BI224">
        <v>14</v>
      </c>
      <c r="BJ224" t="s">
        <v>4671</v>
      </c>
      <c r="BK224" t="s">
        <v>182</v>
      </c>
      <c r="BL224" t="s">
        <v>4672</v>
      </c>
      <c r="BM224" t="s">
        <v>4673</v>
      </c>
      <c r="BN224" t="s">
        <v>74</v>
      </c>
      <c r="BO224" t="s">
        <v>662</v>
      </c>
      <c r="BP224" t="s">
        <v>74</v>
      </c>
      <c r="BQ224" t="s">
        <v>74</v>
      </c>
      <c r="BR224" t="s">
        <v>105</v>
      </c>
      <c r="BS224" t="s">
        <v>4674</v>
      </c>
      <c r="BT224" t="str">
        <f>HYPERLINK("https%3A%2F%2Fwww.webofscience.com%2Fwos%2Fwoscc%2Ffull-record%2FWOS:000796001600009","View Full Record in Web of Science")</f>
        <v>View Full Record in Web of Science</v>
      </c>
    </row>
    <row r="225" spans="1:72" x14ac:dyDescent="0.25">
      <c r="A225" t="s">
        <v>72</v>
      </c>
      <c r="B225" t="s">
        <v>4675</v>
      </c>
      <c r="C225" t="s">
        <v>74</v>
      </c>
      <c r="D225" t="s">
        <v>74</v>
      </c>
      <c r="E225" t="s">
        <v>74</v>
      </c>
      <c r="F225" t="s">
        <v>4676</v>
      </c>
      <c r="G225" t="s">
        <v>74</v>
      </c>
      <c r="H225" t="s">
        <v>74</v>
      </c>
      <c r="I225" t="s">
        <v>4677</v>
      </c>
      <c r="J225" t="s">
        <v>944</v>
      </c>
      <c r="K225" t="s">
        <v>74</v>
      </c>
      <c r="L225" t="s">
        <v>74</v>
      </c>
      <c r="M225" t="s">
        <v>78</v>
      </c>
      <c r="N225" t="s">
        <v>449</v>
      </c>
      <c r="O225" t="s">
        <v>74</v>
      </c>
      <c r="P225" t="s">
        <v>74</v>
      </c>
      <c r="Q225" t="s">
        <v>74</v>
      </c>
      <c r="R225" t="s">
        <v>74</v>
      </c>
      <c r="S225" t="s">
        <v>74</v>
      </c>
      <c r="T225" t="s">
        <v>4678</v>
      </c>
      <c r="U225" t="s">
        <v>4679</v>
      </c>
      <c r="V225" t="s">
        <v>4680</v>
      </c>
      <c r="W225" t="s">
        <v>4681</v>
      </c>
      <c r="X225" t="s">
        <v>4682</v>
      </c>
      <c r="Y225" t="s">
        <v>4683</v>
      </c>
      <c r="Z225" t="s">
        <v>4684</v>
      </c>
      <c r="AA225" t="s">
        <v>4685</v>
      </c>
      <c r="AB225" t="s">
        <v>74</v>
      </c>
      <c r="AC225" t="s">
        <v>4686</v>
      </c>
      <c r="AD225" t="s">
        <v>4686</v>
      </c>
      <c r="AE225" t="s">
        <v>4687</v>
      </c>
      <c r="AF225" t="s">
        <v>74</v>
      </c>
      <c r="AG225">
        <v>49</v>
      </c>
      <c r="AH225">
        <v>0</v>
      </c>
      <c r="AI225">
        <v>0</v>
      </c>
      <c r="AJ225">
        <v>6</v>
      </c>
      <c r="AK225">
        <v>6</v>
      </c>
      <c r="AL225" t="s">
        <v>253</v>
      </c>
      <c r="AM225" t="s">
        <v>227</v>
      </c>
      <c r="AN225" t="s">
        <v>254</v>
      </c>
      <c r="AO225" t="s">
        <v>955</v>
      </c>
      <c r="AP225" t="s">
        <v>956</v>
      </c>
      <c r="AQ225" t="s">
        <v>74</v>
      </c>
      <c r="AR225" t="s">
        <v>957</v>
      </c>
      <c r="AS225" t="s">
        <v>958</v>
      </c>
      <c r="AT225" t="s">
        <v>4688</v>
      </c>
      <c r="AU225">
        <v>2025</v>
      </c>
      <c r="AV225" t="s">
        <v>74</v>
      </c>
      <c r="AW225" t="s">
        <v>74</v>
      </c>
      <c r="AX225" t="s">
        <v>74</v>
      </c>
      <c r="AY225" t="s">
        <v>74</v>
      </c>
      <c r="AZ225" t="s">
        <v>74</v>
      </c>
      <c r="BA225" t="s">
        <v>74</v>
      </c>
      <c r="BB225" t="s">
        <v>74</v>
      </c>
      <c r="BC225" t="s">
        <v>74</v>
      </c>
      <c r="BD225" t="s">
        <v>74</v>
      </c>
      <c r="BE225" t="s">
        <v>4689</v>
      </c>
      <c r="BF225" t="str">
        <f>HYPERLINK("http://dx.doi.org/10.1080/01942638.2025.2498357","http://dx.doi.org/10.1080/01942638.2025.2498357")</f>
        <v>http://dx.doi.org/10.1080/01942638.2025.2498357</v>
      </c>
      <c r="BG225" t="s">
        <v>74</v>
      </c>
      <c r="BH225" t="s">
        <v>4690</v>
      </c>
      <c r="BI225">
        <v>23</v>
      </c>
      <c r="BJ225" t="s">
        <v>962</v>
      </c>
      <c r="BK225" t="s">
        <v>102</v>
      </c>
      <c r="BL225" t="s">
        <v>962</v>
      </c>
      <c r="BM225" t="s">
        <v>4691</v>
      </c>
      <c r="BN225">
        <v>40320371</v>
      </c>
      <c r="BO225" t="s">
        <v>74</v>
      </c>
      <c r="BP225" t="s">
        <v>74</v>
      </c>
      <c r="BQ225" t="s">
        <v>74</v>
      </c>
      <c r="BR225" t="s">
        <v>105</v>
      </c>
      <c r="BS225" t="s">
        <v>4692</v>
      </c>
      <c r="BT225" t="str">
        <f>HYPERLINK("https%3A%2F%2Fwww.webofscience.com%2Fwos%2Fwoscc%2Ffull-record%2FWOS:001481152600001","View Full Record in Web of Science")</f>
        <v>View Full Record in Web of Science</v>
      </c>
    </row>
    <row r="226" spans="1:72" x14ac:dyDescent="0.25">
      <c r="A226" t="s">
        <v>72</v>
      </c>
      <c r="B226" t="s">
        <v>4693</v>
      </c>
      <c r="C226" t="s">
        <v>74</v>
      </c>
      <c r="D226" t="s">
        <v>74</v>
      </c>
      <c r="E226" t="s">
        <v>74</v>
      </c>
      <c r="F226" t="s">
        <v>4694</v>
      </c>
      <c r="G226" t="s">
        <v>74</v>
      </c>
      <c r="H226" t="s">
        <v>74</v>
      </c>
      <c r="I226" t="s">
        <v>4695</v>
      </c>
      <c r="J226" t="s">
        <v>4514</v>
      </c>
      <c r="K226" t="s">
        <v>74</v>
      </c>
      <c r="L226" t="s">
        <v>74</v>
      </c>
      <c r="M226" t="s">
        <v>78</v>
      </c>
      <c r="N226" t="s">
        <v>79</v>
      </c>
      <c r="O226" t="s">
        <v>74</v>
      </c>
      <c r="P226" t="s">
        <v>74</v>
      </c>
      <c r="Q226" t="s">
        <v>74</v>
      </c>
      <c r="R226" t="s">
        <v>74</v>
      </c>
      <c r="S226" t="s">
        <v>74</v>
      </c>
      <c r="T226" t="s">
        <v>4696</v>
      </c>
      <c r="U226" t="s">
        <v>4697</v>
      </c>
      <c r="V226" t="s">
        <v>4698</v>
      </c>
      <c r="W226" t="s">
        <v>4699</v>
      </c>
      <c r="X226" t="s">
        <v>4700</v>
      </c>
      <c r="Y226" t="s">
        <v>4701</v>
      </c>
      <c r="Z226" t="s">
        <v>4702</v>
      </c>
      <c r="AA226" t="s">
        <v>4703</v>
      </c>
      <c r="AB226" t="s">
        <v>4704</v>
      </c>
      <c r="AC226" t="s">
        <v>4705</v>
      </c>
      <c r="AD226" t="s">
        <v>4706</v>
      </c>
      <c r="AE226" t="s">
        <v>4707</v>
      </c>
      <c r="AF226" t="s">
        <v>74</v>
      </c>
      <c r="AG226">
        <v>169</v>
      </c>
      <c r="AH226">
        <v>56</v>
      </c>
      <c r="AI226">
        <v>57</v>
      </c>
      <c r="AJ226">
        <v>3</v>
      </c>
      <c r="AK226">
        <v>166</v>
      </c>
      <c r="AL226" t="s">
        <v>2998</v>
      </c>
      <c r="AM226" t="s">
        <v>2999</v>
      </c>
      <c r="AN226" t="s">
        <v>3000</v>
      </c>
      <c r="AO226" t="s">
        <v>4527</v>
      </c>
      <c r="AP226" t="s">
        <v>4528</v>
      </c>
      <c r="AQ226" t="s">
        <v>74</v>
      </c>
      <c r="AR226" t="s">
        <v>4529</v>
      </c>
      <c r="AS226" t="s">
        <v>4530</v>
      </c>
      <c r="AT226" t="s">
        <v>1888</v>
      </c>
      <c r="AU226">
        <v>2021</v>
      </c>
      <c r="AV226">
        <v>33</v>
      </c>
      <c r="AW226">
        <v>42</v>
      </c>
      <c r="AX226" t="s">
        <v>74</v>
      </c>
      <c r="AY226" t="s">
        <v>74</v>
      </c>
      <c r="AZ226" t="s">
        <v>74</v>
      </c>
      <c r="BA226" t="s">
        <v>74</v>
      </c>
      <c r="BB226" t="s">
        <v>74</v>
      </c>
      <c r="BC226" t="s">
        <v>74</v>
      </c>
      <c r="BD226">
        <v>2102049</v>
      </c>
      <c r="BE226" t="s">
        <v>4708</v>
      </c>
      <c r="BF226" t="str">
        <f>HYPERLINK("http://dx.doi.org/10.1002/adma.202102049","http://dx.doi.org/10.1002/adma.202102049")</f>
        <v>http://dx.doi.org/10.1002/adma.202102049</v>
      </c>
      <c r="BG226" t="s">
        <v>74</v>
      </c>
      <c r="BH226" t="s">
        <v>4709</v>
      </c>
      <c r="BI226">
        <v>22</v>
      </c>
      <c r="BJ226" t="s">
        <v>3702</v>
      </c>
      <c r="BK226" t="s">
        <v>182</v>
      </c>
      <c r="BL226" t="s">
        <v>3703</v>
      </c>
      <c r="BM226" t="s">
        <v>4710</v>
      </c>
      <c r="BN226">
        <v>34480388</v>
      </c>
      <c r="BO226" t="s">
        <v>662</v>
      </c>
      <c r="BP226" t="s">
        <v>74</v>
      </c>
      <c r="BQ226" t="s">
        <v>74</v>
      </c>
      <c r="BR226" t="s">
        <v>105</v>
      </c>
      <c r="BS226" t="s">
        <v>4711</v>
      </c>
      <c r="BT226" t="str">
        <f>HYPERLINK("https%3A%2F%2Fwww.webofscience.com%2Fwos%2Fwoscc%2Ffull-record%2FWOS:000692423100001","View Full Record in Web of Science")</f>
        <v>View Full Record in Web of Science</v>
      </c>
    </row>
    <row r="227" spans="1:72" x14ac:dyDescent="0.25">
      <c r="A227" t="s">
        <v>72</v>
      </c>
      <c r="B227" t="s">
        <v>4712</v>
      </c>
      <c r="C227" t="s">
        <v>74</v>
      </c>
      <c r="D227" t="s">
        <v>74</v>
      </c>
      <c r="E227" t="s">
        <v>74</v>
      </c>
      <c r="F227" t="s">
        <v>4713</v>
      </c>
      <c r="G227" t="s">
        <v>74</v>
      </c>
      <c r="H227" t="s">
        <v>74</v>
      </c>
      <c r="I227" t="s">
        <v>4714</v>
      </c>
      <c r="J227" t="s">
        <v>4715</v>
      </c>
      <c r="K227" t="s">
        <v>74</v>
      </c>
      <c r="L227" t="s">
        <v>74</v>
      </c>
      <c r="M227" t="s">
        <v>78</v>
      </c>
      <c r="N227" t="s">
        <v>79</v>
      </c>
      <c r="O227" t="s">
        <v>74</v>
      </c>
      <c r="P227" t="s">
        <v>74</v>
      </c>
      <c r="Q227" t="s">
        <v>74</v>
      </c>
      <c r="R227" t="s">
        <v>74</v>
      </c>
      <c r="S227" t="s">
        <v>74</v>
      </c>
      <c r="T227" t="s">
        <v>4716</v>
      </c>
      <c r="U227" t="s">
        <v>4717</v>
      </c>
      <c r="V227" t="s">
        <v>4718</v>
      </c>
      <c r="W227" t="s">
        <v>4719</v>
      </c>
      <c r="X227" t="s">
        <v>4720</v>
      </c>
      <c r="Y227" t="s">
        <v>4721</v>
      </c>
      <c r="Z227" t="s">
        <v>4722</v>
      </c>
      <c r="AA227" t="s">
        <v>4723</v>
      </c>
      <c r="AB227" t="s">
        <v>4724</v>
      </c>
      <c r="AC227" t="s">
        <v>74</v>
      </c>
      <c r="AD227" t="s">
        <v>74</v>
      </c>
      <c r="AE227" t="s">
        <v>74</v>
      </c>
      <c r="AF227" t="s">
        <v>74</v>
      </c>
      <c r="AG227">
        <v>112</v>
      </c>
      <c r="AH227">
        <v>13</v>
      </c>
      <c r="AI227">
        <v>13</v>
      </c>
      <c r="AJ227">
        <v>2</v>
      </c>
      <c r="AK227">
        <v>12</v>
      </c>
      <c r="AL227" t="s">
        <v>4725</v>
      </c>
      <c r="AM227" t="s">
        <v>2597</v>
      </c>
      <c r="AN227" t="s">
        <v>4726</v>
      </c>
      <c r="AO227" t="s">
        <v>4727</v>
      </c>
      <c r="AP227" t="s">
        <v>4728</v>
      </c>
      <c r="AQ227" t="s">
        <v>74</v>
      </c>
      <c r="AR227" t="s">
        <v>4729</v>
      </c>
      <c r="AS227" t="s">
        <v>4730</v>
      </c>
      <c r="AT227" t="s">
        <v>1734</v>
      </c>
      <c r="AU227">
        <v>2022</v>
      </c>
      <c r="AV227">
        <v>9</v>
      </c>
      <c r="AW227">
        <v>3</v>
      </c>
      <c r="AX227" t="s">
        <v>74</v>
      </c>
      <c r="AY227" t="s">
        <v>74</v>
      </c>
      <c r="AZ227" t="s">
        <v>74</v>
      </c>
      <c r="BA227" t="s">
        <v>74</v>
      </c>
      <c r="BB227">
        <v>253</v>
      </c>
      <c r="BC227">
        <v>262</v>
      </c>
      <c r="BD227" t="s">
        <v>74</v>
      </c>
      <c r="BE227" t="s">
        <v>4731</v>
      </c>
      <c r="BF227" t="str">
        <f>HYPERLINK("http://dx.doi.org/10.1016/j.ajur.2022.03.008","http://dx.doi.org/10.1016/j.ajur.2022.03.008")</f>
        <v>http://dx.doi.org/10.1016/j.ajur.2022.03.008</v>
      </c>
      <c r="BG227" t="s">
        <v>74</v>
      </c>
      <c r="BH227" t="s">
        <v>74</v>
      </c>
      <c r="BI227">
        <v>10</v>
      </c>
      <c r="BJ227" t="s">
        <v>2739</v>
      </c>
      <c r="BK227" t="s">
        <v>155</v>
      </c>
      <c r="BL227" t="s">
        <v>2739</v>
      </c>
      <c r="BM227" t="s">
        <v>4732</v>
      </c>
      <c r="BN227">
        <v>36035346</v>
      </c>
      <c r="BO227" t="s">
        <v>355</v>
      </c>
      <c r="BP227" t="s">
        <v>74</v>
      </c>
      <c r="BQ227" t="s">
        <v>74</v>
      </c>
      <c r="BR227" t="s">
        <v>105</v>
      </c>
      <c r="BS227" t="s">
        <v>4733</v>
      </c>
      <c r="BT227" t="str">
        <f>HYPERLINK("https%3A%2F%2Fwww.webofscience.com%2Fwos%2Fwoscc%2Ffull-record%2FWOS:000906889100009","View Full Record in Web of Science")</f>
        <v>View Full Record in Web of Science</v>
      </c>
    </row>
    <row r="228" spans="1:72" x14ac:dyDescent="0.25">
      <c r="A228" t="s">
        <v>72</v>
      </c>
      <c r="B228" t="s">
        <v>4734</v>
      </c>
      <c r="C228" t="s">
        <v>74</v>
      </c>
      <c r="D228" t="s">
        <v>74</v>
      </c>
      <c r="E228" t="s">
        <v>74</v>
      </c>
      <c r="F228" t="s">
        <v>4735</v>
      </c>
      <c r="G228" t="s">
        <v>74</v>
      </c>
      <c r="H228" t="s">
        <v>74</v>
      </c>
      <c r="I228" t="s">
        <v>4736</v>
      </c>
      <c r="J228" t="s">
        <v>4737</v>
      </c>
      <c r="K228" t="s">
        <v>74</v>
      </c>
      <c r="L228" t="s">
        <v>74</v>
      </c>
      <c r="M228" t="s">
        <v>78</v>
      </c>
      <c r="N228" t="s">
        <v>79</v>
      </c>
      <c r="O228" t="s">
        <v>74</v>
      </c>
      <c r="P228" t="s">
        <v>74</v>
      </c>
      <c r="Q228" t="s">
        <v>74</v>
      </c>
      <c r="R228" t="s">
        <v>74</v>
      </c>
      <c r="S228" t="s">
        <v>74</v>
      </c>
      <c r="T228" t="s">
        <v>4738</v>
      </c>
      <c r="U228" t="s">
        <v>4739</v>
      </c>
      <c r="V228" t="s">
        <v>4740</v>
      </c>
      <c r="W228" t="s">
        <v>4741</v>
      </c>
      <c r="X228" t="s">
        <v>4742</v>
      </c>
      <c r="Y228" t="s">
        <v>4743</v>
      </c>
      <c r="Z228" t="s">
        <v>4744</v>
      </c>
      <c r="AA228" t="s">
        <v>4745</v>
      </c>
      <c r="AB228" t="s">
        <v>74</v>
      </c>
      <c r="AC228" t="s">
        <v>74</v>
      </c>
      <c r="AD228" t="s">
        <v>74</v>
      </c>
      <c r="AE228" t="s">
        <v>74</v>
      </c>
      <c r="AF228" t="s">
        <v>74</v>
      </c>
      <c r="AG228">
        <v>124</v>
      </c>
      <c r="AH228">
        <v>18</v>
      </c>
      <c r="AI228">
        <v>18</v>
      </c>
      <c r="AJ228">
        <v>1</v>
      </c>
      <c r="AK228">
        <v>6</v>
      </c>
      <c r="AL228" t="s">
        <v>392</v>
      </c>
      <c r="AM228" t="s">
        <v>393</v>
      </c>
      <c r="AN228" t="s">
        <v>394</v>
      </c>
      <c r="AO228" t="s">
        <v>4746</v>
      </c>
      <c r="AP228" t="s">
        <v>74</v>
      </c>
      <c r="AQ228" t="s">
        <v>74</v>
      </c>
      <c r="AR228" t="s">
        <v>4747</v>
      </c>
      <c r="AS228" t="s">
        <v>4748</v>
      </c>
      <c r="AT228" t="s">
        <v>4749</v>
      </c>
      <c r="AU228">
        <v>2023</v>
      </c>
      <c r="AV228">
        <v>14</v>
      </c>
      <c r="AW228" t="s">
        <v>74</v>
      </c>
      <c r="AX228" t="s">
        <v>74</v>
      </c>
      <c r="AY228" t="s">
        <v>74</v>
      </c>
      <c r="AZ228" t="s">
        <v>74</v>
      </c>
      <c r="BA228" t="s">
        <v>74</v>
      </c>
      <c r="BB228" t="s">
        <v>74</v>
      </c>
      <c r="BC228" t="s">
        <v>74</v>
      </c>
      <c r="BD228">
        <v>1017203</v>
      </c>
      <c r="BE228" t="s">
        <v>4750</v>
      </c>
      <c r="BF228" t="str">
        <f>HYPERLINK("http://dx.doi.org/10.3389/fpsyt.2023.1017203","http://dx.doi.org/10.3389/fpsyt.2023.1017203")</f>
        <v>http://dx.doi.org/10.3389/fpsyt.2023.1017203</v>
      </c>
      <c r="BG228" t="s">
        <v>74</v>
      </c>
      <c r="BH228" t="s">
        <v>74</v>
      </c>
      <c r="BI228">
        <v>11</v>
      </c>
      <c r="BJ228" t="s">
        <v>4751</v>
      </c>
      <c r="BK228" t="s">
        <v>102</v>
      </c>
      <c r="BL228" t="s">
        <v>4751</v>
      </c>
      <c r="BM228" t="s">
        <v>4752</v>
      </c>
      <c r="BN228">
        <v>37091719</v>
      </c>
      <c r="BO228" t="s">
        <v>355</v>
      </c>
      <c r="BP228" t="s">
        <v>74</v>
      </c>
      <c r="BQ228" t="s">
        <v>74</v>
      </c>
      <c r="BR228" t="s">
        <v>105</v>
      </c>
      <c r="BS228" t="s">
        <v>4753</v>
      </c>
      <c r="BT228" t="str">
        <f>HYPERLINK("https%3A%2F%2Fwww.webofscience.com%2Fwos%2Fwoscc%2Ffull-record%2FWOS:000971113800001","View Full Record in Web of Science")</f>
        <v>View Full Record in Web of Science</v>
      </c>
    </row>
    <row r="229" spans="1:72" x14ac:dyDescent="0.25">
      <c r="A229" t="s">
        <v>72</v>
      </c>
      <c r="B229" t="s">
        <v>4754</v>
      </c>
      <c r="C229" t="s">
        <v>74</v>
      </c>
      <c r="D229" t="s">
        <v>74</v>
      </c>
      <c r="E229" t="s">
        <v>74</v>
      </c>
      <c r="F229" t="s">
        <v>4755</v>
      </c>
      <c r="G229" t="s">
        <v>74</v>
      </c>
      <c r="H229" t="s">
        <v>74</v>
      </c>
      <c r="I229" t="s">
        <v>4756</v>
      </c>
      <c r="J229" t="s">
        <v>4757</v>
      </c>
      <c r="K229" t="s">
        <v>74</v>
      </c>
      <c r="L229" t="s">
        <v>74</v>
      </c>
      <c r="M229" t="s">
        <v>78</v>
      </c>
      <c r="N229" t="s">
        <v>79</v>
      </c>
      <c r="O229" t="s">
        <v>74</v>
      </c>
      <c r="P229" t="s">
        <v>74</v>
      </c>
      <c r="Q229" t="s">
        <v>74</v>
      </c>
      <c r="R229" t="s">
        <v>74</v>
      </c>
      <c r="S229" t="s">
        <v>74</v>
      </c>
      <c r="T229" t="s">
        <v>4758</v>
      </c>
      <c r="U229" t="s">
        <v>4759</v>
      </c>
      <c r="V229" t="s">
        <v>4760</v>
      </c>
      <c r="W229" t="s">
        <v>4761</v>
      </c>
      <c r="X229" t="s">
        <v>4762</v>
      </c>
      <c r="Y229" t="s">
        <v>4763</v>
      </c>
      <c r="Z229" t="s">
        <v>74</v>
      </c>
      <c r="AA229" t="s">
        <v>4764</v>
      </c>
      <c r="AB229" t="s">
        <v>74</v>
      </c>
      <c r="AC229" t="s">
        <v>74</v>
      </c>
      <c r="AD229" t="s">
        <v>74</v>
      </c>
      <c r="AE229" t="s">
        <v>74</v>
      </c>
      <c r="AF229" t="s">
        <v>74</v>
      </c>
      <c r="AG229">
        <v>77</v>
      </c>
      <c r="AH229">
        <v>0</v>
      </c>
      <c r="AI229">
        <v>0</v>
      </c>
      <c r="AJ229">
        <v>3</v>
      </c>
      <c r="AK229">
        <v>3</v>
      </c>
      <c r="AL229" t="s">
        <v>4765</v>
      </c>
      <c r="AM229" t="s">
        <v>4766</v>
      </c>
      <c r="AN229" t="s">
        <v>4767</v>
      </c>
      <c r="AO229" t="s">
        <v>4768</v>
      </c>
      <c r="AP229" t="s">
        <v>4769</v>
      </c>
      <c r="AQ229" t="s">
        <v>74</v>
      </c>
      <c r="AR229" t="s">
        <v>4770</v>
      </c>
      <c r="AS229" t="s">
        <v>4771</v>
      </c>
      <c r="AT229" t="s">
        <v>4772</v>
      </c>
      <c r="AU229">
        <v>2024</v>
      </c>
      <c r="AV229">
        <v>15</v>
      </c>
      <c r="AW229">
        <v>1</v>
      </c>
      <c r="AX229" t="s">
        <v>74</v>
      </c>
      <c r="AY229" t="s">
        <v>74</v>
      </c>
      <c r="AZ229" t="s">
        <v>74</v>
      </c>
      <c r="BA229" t="s">
        <v>74</v>
      </c>
      <c r="BB229" t="s">
        <v>74</v>
      </c>
      <c r="BC229" t="s">
        <v>74</v>
      </c>
      <c r="BD229">
        <v>368150</v>
      </c>
      <c r="BE229" t="s">
        <v>4773</v>
      </c>
      <c r="BF229" t="str">
        <f>HYPERLINK("http://dx.doi.org/10.4018/IJEHMC.368150","http://dx.doi.org/10.4018/IJEHMC.368150")</f>
        <v>http://dx.doi.org/10.4018/IJEHMC.368150</v>
      </c>
      <c r="BG229" t="s">
        <v>74</v>
      </c>
      <c r="BH229" t="s">
        <v>74</v>
      </c>
      <c r="BI229">
        <v>27</v>
      </c>
      <c r="BJ229" t="s">
        <v>4774</v>
      </c>
      <c r="BK229" t="s">
        <v>155</v>
      </c>
      <c r="BL229" t="s">
        <v>4774</v>
      </c>
      <c r="BM229" t="s">
        <v>4775</v>
      </c>
      <c r="BN229" t="s">
        <v>74</v>
      </c>
      <c r="BO229" t="s">
        <v>185</v>
      </c>
      <c r="BP229" t="s">
        <v>74</v>
      </c>
      <c r="BQ229" t="s">
        <v>74</v>
      </c>
      <c r="BR229" t="s">
        <v>105</v>
      </c>
      <c r="BS229" t="s">
        <v>4776</v>
      </c>
      <c r="BT229" t="str">
        <f>HYPERLINK("https%3A%2F%2Fwww.webofscience.com%2Fwos%2Fwoscc%2Ffull-record%2FWOS:001418836000001","View Full Record in Web of Science")</f>
        <v>View Full Record in Web of Science</v>
      </c>
    </row>
    <row r="230" spans="1:72" x14ac:dyDescent="0.25">
      <c r="A230" t="s">
        <v>72</v>
      </c>
      <c r="B230" t="s">
        <v>4777</v>
      </c>
      <c r="C230" t="s">
        <v>74</v>
      </c>
      <c r="D230" t="s">
        <v>74</v>
      </c>
      <c r="E230" t="s">
        <v>74</v>
      </c>
      <c r="F230" t="s">
        <v>4778</v>
      </c>
      <c r="G230" t="s">
        <v>74</v>
      </c>
      <c r="H230" t="s">
        <v>74</v>
      </c>
      <c r="I230" t="s">
        <v>4779</v>
      </c>
      <c r="J230" t="s">
        <v>4780</v>
      </c>
      <c r="K230" t="s">
        <v>74</v>
      </c>
      <c r="L230" t="s">
        <v>74</v>
      </c>
      <c r="M230" t="s">
        <v>78</v>
      </c>
      <c r="N230" t="s">
        <v>79</v>
      </c>
      <c r="O230" t="s">
        <v>74</v>
      </c>
      <c r="P230" t="s">
        <v>74</v>
      </c>
      <c r="Q230" t="s">
        <v>74</v>
      </c>
      <c r="R230" t="s">
        <v>74</v>
      </c>
      <c r="S230" t="s">
        <v>74</v>
      </c>
      <c r="T230" t="s">
        <v>74</v>
      </c>
      <c r="U230" t="s">
        <v>4781</v>
      </c>
      <c r="V230" t="s">
        <v>4782</v>
      </c>
      <c r="W230" t="s">
        <v>4783</v>
      </c>
      <c r="X230" t="s">
        <v>4784</v>
      </c>
      <c r="Y230" t="s">
        <v>4785</v>
      </c>
      <c r="Z230" t="s">
        <v>4786</v>
      </c>
      <c r="AA230" t="s">
        <v>74</v>
      </c>
      <c r="AB230" t="s">
        <v>74</v>
      </c>
      <c r="AC230" t="s">
        <v>74</v>
      </c>
      <c r="AD230" t="s">
        <v>74</v>
      </c>
      <c r="AE230" t="s">
        <v>74</v>
      </c>
      <c r="AF230" t="s">
        <v>74</v>
      </c>
      <c r="AG230">
        <v>127</v>
      </c>
      <c r="AH230">
        <v>79</v>
      </c>
      <c r="AI230">
        <v>85</v>
      </c>
      <c r="AJ230">
        <v>0</v>
      </c>
      <c r="AK230">
        <v>5</v>
      </c>
      <c r="AL230" t="s">
        <v>4224</v>
      </c>
      <c r="AM230" t="s">
        <v>1958</v>
      </c>
      <c r="AN230" t="s">
        <v>4225</v>
      </c>
      <c r="AO230" t="s">
        <v>4787</v>
      </c>
      <c r="AP230" t="s">
        <v>4788</v>
      </c>
      <c r="AQ230" t="s">
        <v>74</v>
      </c>
      <c r="AR230" t="s">
        <v>4789</v>
      </c>
      <c r="AS230" t="s">
        <v>4790</v>
      </c>
      <c r="AT230" t="s">
        <v>1070</v>
      </c>
      <c r="AU230">
        <v>2017</v>
      </c>
      <c r="AV230">
        <v>14</v>
      </c>
      <c r="AW230">
        <v>6</v>
      </c>
      <c r="AX230" t="s">
        <v>74</v>
      </c>
      <c r="AY230" t="s">
        <v>74</v>
      </c>
      <c r="AZ230" t="s">
        <v>74</v>
      </c>
      <c r="BA230" t="s">
        <v>74</v>
      </c>
      <c r="BB230">
        <v>335</v>
      </c>
      <c r="BC230">
        <v>347</v>
      </c>
      <c r="BD230" t="s">
        <v>74</v>
      </c>
      <c r="BE230" t="s">
        <v>4791</v>
      </c>
      <c r="BF230" t="str">
        <f>HYPERLINK("http://dx.doi.org/10.1038/nrurol.2017.47","http://dx.doi.org/10.1038/nrurol.2017.47")</f>
        <v>http://dx.doi.org/10.1038/nrurol.2017.47</v>
      </c>
      <c r="BG230" t="s">
        <v>74</v>
      </c>
      <c r="BH230" t="s">
        <v>74</v>
      </c>
      <c r="BI230">
        <v>13</v>
      </c>
      <c r="BJ230" t="s">
        <v>2739</v>
      </c>
      <c r="BK230" t="s">
        <v>182</v>
      </c>
      <c r="BL230" t="s">
        <v>2739</v>
      </c>
      <c r="BM230" t="s">
        <v>4792</v>
      </c>
      <c r="BN230">
        <v>28401957</v>
      </c>
      <c r="BO230" t="s">
        <v>74</v>
      </c>
      <c r="BP230" t="s">
        <v>74</v>
      </c>
      <c r="BQ230" t="s">
        <v>74</v>
      </c>
      <c r="BR230" t="s">
        <v>105</v>
      </c>
      <c r="BS230" t="s">
        <v>4793</v>
      </c>
      <c r="BT230" t="str">
        <f>HYPERLINK("https%3A%2F%2Fwww.webofscience.com%2Fwos%2Fwoscc%2Ffull-record%2FWOS:000402609800018","View Full Record in Web of Science")</f>
        <v>View Full Record in Web of Science</v>
      </c>
    </row>
    <row r="231" spans="1:72" x14ac:dyDescent="0.25">
      <c r="A231" t="s">
        <v>72</v>
      </c>
      <c r="B231" t="s">
        <v>4794</v>
      </c>
      <c r="C231" t="s">
        <v>74</v>
      </c>
      <c r="D231" t="s">
        <v>74</v>
      </c>
      <c r="E231" t="s">
        <v>74</v>
      </c>
      <c r="F231" t="s">
        <v>4795</v>
      </c>
      <c r="G231" t="s">
        <v>74</v>
      </c>
      <c r="H231" t="s">
        <v>74</v>
      </c>
      <c r="I231" t="s">
        <v>4796</v>
      </c>
      <c r="J231" t="s">
        <v>110</v>
      </c>
      <c r="K231" t="s">
        <v>74</v>
      </c>
      <c r="L231" t="s">
        <v>74</v>
      </c>
      <c r="M231" t="s">
        <v>78</v>
      </c>
      <c r="N231" t="s">
        <v>79</v>
      </c>
      <c r="O231" t="s">
        <v>74</v>
      </c>
      <c r="P231" t="s">
        <v>74</v>
      </c>
      <c r="Q231" t="s">
        <v>74</v>
      </c>
      <c r="R231" t="s">
        <v>74</v>
      </c>
      <c r="S231" t="s">
        <v>74</v>
      </c>
      <c r="T231" t="s">
        <v>4797</v>
      </c>
      <c r="U231" t="s">
        <v>4798</v>
      </c>
      <c r="V231" t="s">
        <v>4799</v>
      </c>
      <c r="W231" t="s">
        <v>4800</v>
      </c>
      <c r="X231" t="s">
        <v>4801</v>
      </c>
      <c r="Y231" t="s">
        <v>4802</v>
      </c>
      <c r="Z231" t="s">
        <v>4803</v>
      </c>
      <c r="AA231" t="s">
        <v>74</v>
      </c>
      <c r="AB231" t="s">
        <v>4804</v>
      </c>
      <c r="AC231" t="s">
        <v>74</v>
      </c>
      <c r="AD231" t="s">
        <v>74</v>
      </c>
      <c r="AE231" t="s">
        <v>74</v>
      </c>
      <c r="AF231" t="s">
        <v>74</v>
      </c>
      <c r="AG231">
        <v>122</v>
      </c>
      <c r="AH231">
        <v>0</v>
      </c>
      <c r="AI231">
        <v>0</v>
      </c>
      <c r="AJ231">
        <v>3</v>
      </c>
      <c r="AK231">
        <v>3</v>
      </c>
      <c r="AL231" t="s">
        <v>120</v>
      </c>
      <c r="AM231" t="s">
        <v>121</v>
      </c>
      <c r="AN231" t="s">
        <v>1221</v>
      </c>
      <c r="AO231" t="s">
        <v>74</v>
      </c>
      <c r="AP231" t="s">
        <v>123</v>
      </c>
      <c r="AQ231" t="s">
        <v>74</v>
      </c>
      <c r="AR231" t="s">
        <v>124</v>
      </c>
      <c r="AS231" t="s">
        <v>125</v>
      </c>
      <c r="AT231" t="s">
        <v>351</v>
      </c>
      <c r="AU231">
        <v>2025</v>
      </c>
      <c r="AV231">
        <v>14</v>
      </c>
      <c r="AW231">
        <v>3</v>
      </c>
      <c r="AX231" t="s">
        <v>74</v>
      </c>
      <c r="AY231" t="s">
        <v>74</v>
      </c>
      <c r="AZ231" t="s">
        <v>74</v>
      </c>
      <c r="BA231" t="s">
        <v>74</v>
      </c>
      <c r="BB231" t="s">
        <v>74</v>
      </c>
      <c r="BC231" t="s">
        <v>74</v>
      </c>
      <c r="BD231">
        <v>977</v>
      </c>
      <c r="BE231" t="s">
        <v>4805</v>
      </c>
      <c r="BF231" t="str">
        <f>HYPERLINK("http://dx.doi.org/10.3390/jcm14030977","http://dx.doi.org/10.3390/jcm14030977")</f>
        <v>http://dx.doi.org/10.3390/jcm14030977</v>
      </c>
      <c r="BG231" t="s">
        <v>74</v>
      </c>
      <c r="BH231" t="s">
        <v>74</v>
      </c>
      <c r="BI231">
        <v>26</v>
      </c>
      <c r="BJ231" t="s">
        <v>128</v>
      </c>
      <c r="BK231" t="s">
        <v>182</v>
      </c>
      <c r="BL231" t="s">
        <v>129</v>
      </c>
      <c r="BM231" t="s">
        <v>4806</v>
      </c>
      <c r="BN231">
        <v>39941647</v>
      </c>
      <c r="BO231" t="s">
        <v>355</v>
      </c>
      <c r="BP231" t="s">
        <v>74</v>
      </c>
      <c r="BQ231" t="s">
        <v>74</v>
      </c>
      <c r="BR231" t="s">
        <v>105</v>
      </c>
      <c r="BS231" t="s">
        <v>4807</v>
      </c>
      <c r="BT231" t="str">
        <f>HYPERLINK("https%3A%2F%2Fwww.webofscience.com%2Fwos%2Fwoscc%2Ffull-record%2FWOS:001418780400001","View Full Record in Web of Science")</f>
        <v>View Full Record in Web of Science</v>
      </c>
    </row>
    <row r="232" spans="1:72" x14ac:dyDescent="0.25">
      <c r="A232" t="s">
        <v>72</v>
      </c>
      <c r="B232" t="s">
        <v>4808</v>
      </c>
      <c r="C232" t="s">
        <v>74</v>
      </c>
      <c r="D232" t="s">
        <v>74</v>
      </c>
      <c r="E232" t="s">
        <v>74</v>
      </c>
      <c r="F232" t="s">
        <v>4809</v>
      </c>
      <c r="G232" t="s">
        <v>74</v>
      </c>
      <c r="H232" t="s">
        <v>74</v>
      </c>
      <c r="I232" t="s">
        <v>4810</v>
      </c>
      <c r="J232" t="s">
        <v>4811</v>
      </c>
      <c r="K232" t="s">
        <v>74</v>
      </c>
      <c r="L232" t="s">
        <v>74</v>
      </c>
      <c r="M232" t="s">
        <v>78</v>
      </c>
      <c r="N232" t="s">
        <v>79</v>
      </c>
      <c r="O232" t="s">
        <v>74</v>
      </c>
      <c r="P232" t="s">
        <v>74</v>
      </c>
      <c r="Q232" t="s">
        <v>74</v>
      </c>
      <c r="R232" t="s">
        <v>74</v>
      </c>
      <c r="S232" t="s">
        <v>74</v>
      </c>
      <c r="T232" t="s">
        <v>74</v>
      </c>
      <c r="U232" t="s">
        <v>4812</v>
      </c>
      <c r="V232" t="s">
        <v>4813</v>
      </c>
      <c r="W232" t="s">
        <v>4814</v>
      </c>
      <c r="X232" t="s">
        <v>4815</v>
      </c>
      <c r="Y232" t="s">
        <v>4816</v>
      </c>
      <c r="Z232" t="s">
        <v>4817</v>
      </c>
      <c r="AA232" t="s">
        <v>4818</v>
      </c>
      <c r="AB232" t="s">
        <v>4819</v>
      </c>
      <c r="AC232" t="s">
        <v>4820</v>
      </c>
      <c r="AD232" t="s">
        <v>4821</v>
      </c>
      <c r="AE232" t="s">
        <v>4822</v>
      </c>
      <c r="AF232" t="s">
        <v>74</v>
      </c>
      <c r="AG232">
        <v>88</v>
      </c>
      <c r="AH232">
        <v>10</v>
      </c>
      <c r="AI232">
        <v>10</v>
      </c>
      <c r="AJ232">
        <v>1</v>
      </c>
      <c r="AK232">
        <v>2</v>
      </c>
      <c r="AL232" t="s">
        <v>928</v>
      </c>
      <c r="AM232" t="s">
        <v>929</v>
      </c>
      <c r="AN232" t="s">
        <v>930</v>
      </c>
      <c r="AO232" t="s">
        <v>74</v>
      </c>
      <c r="AP232" t="s">
        <v>4823</v>
      </c>
      <c r="AQ232" t="s">
        <v>74</v>
      </c>
      <c r="AR232" t="s">
        <v>4824</v>
      </c>
      <c r="AS232" t="s">
        <v>4825</v>
      </c>
      <c r="AT232" t="s">
        <v>1070</v>
      </c>
      <c r="AU232">
        <v>2022</v>
      </c>
      <c r="AV232">
        <v>1</v>
      </c>
      <c r="AW232">
        <v>6</v>
      </c>
      <c r="AX232" t="s">
        <v>74</v>
      </c>
      <c r="AY232" t="s">
        <v>74</v>
      </c>
      <c r="AZ232" t="s">
        <v>74</v>
      </c>
      <c r="BA232" t="s">
        <v>74</v>
      </c>
      <c r="BB232" t="s">
        <v>74</v>
      </c>
      <c r="BC232" t="s">
        <v>74</v>
      </c>
      <c r="BD232" t="s">
        <v>4826</v>
      </c>
      <c r="BE232" t="s">
        <v>4827</v>
      </c>
      <c r="BF232" t="str">
        <f>HYPERLINK("http://dx.doi.org/10.1371/journal.pdig.0000053","http://dx.doi.org/10.1371/journal.pdig.0000053")</f>
        <v>http://dx.doi.org/10.1371/journal.pdig.0000053</v>
      </c>
      <c r="BG232" t="s">
        <v>74</v>
      </c>
      <c r="BH232" t="s">
        <v>74</v>
      </c>
      <c r="BI232">
        <v>33</v>
      </c>
      <c r="BJ232" t="s">
        <v>1400</v>
      </c>
      <c r="BK232" t="s">
        <v>155</v>
      </c>
      <c r="BL232" t="s">
        <v>1400</v>
      </c>
      <c r="BM232" t="s">
        <v>4828</v>
      </c>
      <c r="BN232">
        <v>36812560</v>
      </c>
      <c r="BO232" t="s">
        <v>131</v>
      </c>
      <c r="BP232" t="s">
        <v>74</v>
      </c>
      <c r="BQ232" t="s">
        <v>74</v>
      </c>
      <c r="BR232" t="s">
        <v>105</v>
      </c>
      <c r="BS232" t="s">
        <v>4829</v>
      </c>
      <c r="BT232" t="str">
        <f>HYPERLINK("https%3A%2F%2Fwww.webofscience.com%2Fwos%2Fwoscc%2Ffull-record%2FWOS:001416950600001","View Full Record in Web of Science")</f>
        <v>View Full Record in Web of Science</v>
      </c>
    </row>
    <row r="233" spans="1:72" x14ac:dyDescent="0.25">
      <c r="A233" t="s">
        <v>72</v>
      </c>
      <c r="B233" t="s">
        <v>4830</v>
      </c>
      <c r="C233" t="s">
        <v>74</v>
      </c>
      <c r="D233" t="s">
        <v>74</v>
      </c>
      <c r="E233" t="s">
        <v>74</v>
      </c>
      <c r="F233" t="s">
        <v>4831</v>
      </c>
      <c r="G233" t="s">
        <v>74</v>
      </c>
      <c r="H233" t="s">
        <v>74</v>
      </c>
      <c r="I233" t="s">
        <v>4832</v>
      </c>
      <c r="J233" t="s">
        <v>4833</v>
      </c>
      <c r="K233" t="s">
        <v>74</v>
      </c>
      <c r="L233" t="s">
        <v>74</v>
      </c>
      <c r="M233" t="s">
        <v>78</v>
      </c>
      <c r="N233" t="s">
        <v>79</v>
      </c>
      <c r="O233" t="s">
        <v>74</v>
      </c>
      <c r="P233" t="s">
        <v>74</v>
      </c>
      <c r="Q233" t="s">
        <v>74</v>
      </c>
      <c r="R233" t="s">
        <v>74</v>
      </c>
      <c r="S233" t="s">
        <v>74</v>
      </c>
      <c r="T233" t="s">
        <v>74</v>
      </c>
      <c r="U233" t="s">
        <v>4834</v>
      </c>
      <c r="V233" t="s">
        <v>4835</v>
      </c>
      <c r="W233" t="s">
        <v>4836</v>
      </c>
      <c r="X233" t="s">
        <v>4837</v>
      </c>
      <c r="Y233" t="s">
        <v>4838</v>
      </c>
      <c r="Z233" t="s">
        <v>4839</v>
      </c>
      <c r="AA233" t="s">
        <v>4840</v>
      </c>
      <c r="AB233" t="s">
        <v>4841</v>
      </c>
      <c r="AC233" t="s">
        <v>4842</v>
      </c>
      <c r="AD233" t="s">
        <v>4842</v>
      </c>
      <c r="AE233" t="s">
        <v>4843</v>
      </c>
      <c r="AF233" t="s">
        <v>74</v>
      </c>
      <c r="AG233">
        <v>60</v>
      </c>
      <c r="AH233">
        <v>20</v>
      </c>
      <c r="AI233">
        <v>21</v>
      </c>
      <c r="AJ233">
        <v>0</v>
      </c>
      <c r="AK233">
        <v>10</v>
      </c>
      <c r="AL233" t="s">
        <v>172</v>
      </c>
      <c r="AM233" t="s">
        <v>4844</v>
      </c>
      <c r="AN233" t="s">
        <v>4845</v>
      </c>
      <c r="AO233" t="s">
        <v>4846</v>
      </c>
      <c r="AP233" t="s">
        <v>4847</v>
      </c>
      <c r="AQ233" t="s">
        <v>74</v>
      </c>
      <c r="AR233" t="s">
        <v>4848</v>
      </c>
      <c r="AS233" t="s">
        <v>4849</v>
      </c>
      <c r="AT233" t="s">
        <v>126</v>
      </c>
      <c r="AU233">
        <v>2020</v>
      </c>
      <c r="AV233">
        <v>29</v>
      </c>
      <c r="AW233">
        <v>11</v>
      </c>
      <c r="AX233" t="s">
        <v>74</v>
      </c>
      <c r="AY233" t="s">
        <v>74</v>
      </c>
      <c r="AZ233" t="s">
        <v>74</v>
      </c>
      <c r="BA233" t="s">
        <v>74</v>
      </c>
      <c r="BB233">
        <v>2887</v>
      </c>
      <c r="BC233">
        <v>2910</v>
      </c>
      <c r="BD233" t="s">
        <v>74</v>
      </c>
      <c r="BE233" t="s">
        <v>4850</v>
      </c>
      <c r="BF233" t="str">
        <f>HYPERLINK("http://dx.doi.org/10.1007/s11136-020-02544-z","http://dx.doi.org/10.1007/s11136-020-02544-z")</f>
        <v>http://dx.doi.org/10.1007/s11136-020-02544-z</v>
      </c>
      <c r="BG233" t="s">
        <v>74</v>
      </c>
      <c r="BH233" t="s">
        <v>4851</v>
      </c>
      <c r="BI233">
        <v>24</v>
      </c>
      <c r="BJ233" t="s">
        <v>4852</v>
      </c>
      <c r="BK233" t="s">
        <v>102</v>
      </c>
      <c r="BL233" t="s">
        <v>4853</v>
      </c>
      <c r="BM233" t="s">
        <v>4854</v>
      </c>
      <c r="BN233">
        <v>32504291</v>
      </c>
      <c r="BO233" t="s">
        <v>74</v>
      </c>
      <c r="BP233" t="s">
        <v>74</v>
      </c>
      <c r="BQ233" t="s">
        <v>74</v>
      </c>
      <c r="BR233" t="s">
        <v>105</v>
      </c>
      <c r="BS233" t="s">
        <v>4855</v>
      </c>
      <c r="BT233" t="str">
        <f>HYPERLINK("https%3A%2F%2Fwww.webofscience.com%2Fwos%2Fwoscc%2Ffull-record%2FWOS:000538534100001","View Full Record in Web of Science")</f>
        <v>View Full Record in Web of Science</v>
      </c>
    </row>
    <row r="234" spans="1:72" x14ac:dyDescent="0.25">
      <c r="A234" t="s">
        <v>72</v>
      </c>
      <c r="B234" t="s">
        <v>4856</v>
      </c>
      <c r="C234" t="s">
        <v>74</v>
      </c>
      <c r="D234" t="s">
        <v>74</v>
      </c>
      <c r="E234" t="s">
        <v>74</v>
      </c>
      <c r="F234" t="s">
        <v>4857</v>
      </c>
      <c r="G234" t="s">
        <v>74</v>
      </c>
      <c r="H234" t="s">
        <v>74</v>
      </c>
      <c r="I234" t="s">
        <v>4858</v>
      </c>
      <c r="J234" t="s">
        <v>3687</v>
      </c>
      <c r="K234" t="s">
        <v>74</v>
      </c>
      <c r="L234" t="s">
        <v>74</v>
      </c>
      <c r="M234" t="s">
        <v>78</v>
      </c>
      <c r="N234" t="s">
        <v>79</v>
      </c>
      <c r="O234" t="s">
        <v>74</v>
      </c>
      <c r="P234" t="s">
        <v>74</v>
      </c>
      <c r="Q234" t="s">
        <v>74</v>
      </c>
      <c r="R234" t="s">
        <v>74</v>
      </c>
      <c r="S234" t="s">
        <v>74</v>
      </c>
      <c r="T234" t="s">
        <v>4859</v>
      </c>
      <c r="U234" t="s">
        <v>4860</v>
      </c>
      <c r="V234" t="s">
        <v>4861</v>
      </c>
      <c r="W234" t="s">
        <v>4862</v>
      </c>
      <c r="X234" t="s">
        <v>4863</v>
      </c>
      <c r="Y234" t="s">
        <v>4864</v>
      </c>
      <c r="Z234" t="s">
        <v>1324</v>
      </c>
      <c r="AA234" t="s">
        <v>4865</v>
      </c>
      <c r="AB234" t="s">
        <v>4866</v>
      </c>
      <c r="AC234" t="s">
        <v>4867</v>
      </c>
      <c r="AD234" t="s">
        <v>4868</v>
      </c>
      <c r="AE234" t="s">
        <v>4869</v>
      </c>
      <c r="AF234" t="s">
        <v>74</v>
      </c>
      <c r="AG234">
        <v>227</v>
      </c>
      <c r="AH234">
        <v>27</v>
      </c>
      <c r="AI234">
        <v>27</v>
      </c>
      <c r="AJ234">
        <v>49</v>
      </c>
      <c r="AK234">
        <v>194</v>
      </c>
      <c r="AL234" t="s">
        <v>2998</v>
      </c>
      <c r="AM234" t="s">
        <v>2999</v>
      </c>
      <c r="AN234" t="s">
        <v>3000</v>
      </c>
      <c r="AO234" t="s">
        <v>3697</v>
      </c>
      <c r="AP234" t="s">
        <v>3698</v>
      </c>
      <c r="AQ234" t="s">
        <v>74</v>
      </c>
      <c r="AR234" t="s">
        <v>3699</v>
      </c>
      <c r="AS234" t="s">
        <v>3700</v>
      </c>
      <c r="AT234" t="s">
        <v>634</v>
      </c>
      <c r="AU234">
        <v>2024</v>
      </c>
      <c r="AV234">
        <v>34</v>
      </c>
      <c r="AW234">
        <v>31</v>
      </c>
      <c r="AX234" t="s">
        <v>74</v>
      </c>
      <c r="AY234" t="s">
        <v>74</v>
      </c>
      <c r="AZ234" t="s">
        <v>152</v>
      </c>
      <c r="BA234" t="s">
        <v>74</v>
      </c>
      <c r="BB234" t="s">
        <v>74</v>
      </c>
      <c r="BC234" t="s">
        <v>74</v>
      </c>
      <c r="BD234" t="s">
        <v>74</v>
      </c>
      <c r="BE234" t="s">
        <v>4870</v>
      </c>
      <c r="BF234" t="str">
        <f>HYPERLINK("http://dx.doi.org/10.1002/adfm.202309989","http://dx.doi.org/10.1002/adfm.202309989")</f>
        <v>http://dx.doi.org/10.1002/adfm.202309989</v>
      </c>
      <c r="BG234" t="s">
        <v>74</v>
      </c>
      <c r="BH234" t="s">
        <v>4418</v>
      </c>
      <c r="BI234">
        <v>26</v>
      </c>
      <c r="BJ234" t="s">
        <v>3702</v>
      </c>
      <c r="BK234" t="s">
        <v>182</v>
      </c>
      <c r="BL234" t="s">
        <v>3703</v>
      </c>
      <c r="BM234" t="s">
        <v>4871</v>
      </c>
      <c r="BN234" t="s">
        <v>74</v>
      </c>
      <c r="BO234" t="s">
        <v>74</v>
      </c>
      <c r="BP234" t="s">
        <v>74</v>
      </c>
      <c r="BQ234" t="s">
        <v>74</v>
      </c>
      <c r="BR234" t="s">
        <v>105</v>
      </c>
      <c r="BS234" t="s">
        <v>4872</v>
      </c>
      <c r="BT234" t="str">
        <f>HYPERLINK("https%3A%2F%2Fwww.webofscience.com%2Fwos%2Fwoscc%2Ffull-record%2FWOS:001112424600001","View Full Record in Web of Science")</f>
        <v>View Full Record in Web of Science</v>
      </c>
    </row>
    <row r="235" spans="1:72" x14ac:dyDescent="0.25">
      <c r="A235" t="s">
        <v>72</v>
      </c>
      <c r="B235" t="s">
        <v>4873</v>
      </c>
      <c r="C235" t="s">
        <v>74</v>
      </c>
      <c r="D235" t="s">
        <v>74</v>
      </c>
      <c r="E235" t="s">
        <v>74</v>
      </c>
      <c r="F235" t="s">
        <v>4874</v>
      </c>
      <c r="G235" t="s">
        <v>74</v>
      </c>
      <c r="H235" t="s">
        <v>74</v>
      </c>
      <c r="I235" t="s">
        <v>4875</v>
      </c>
      <c r="J235" t="s">
        <v>4876</v>
      </c>
      <c r="K235" t="s">
        <v>74</v>
      </c>
      <c r="L235" t="s">
        <v>74</v>
      </c>
      <c r="M235" t="s">
        <v>78</v>
      </c>
      <c r="N235" t="s">
        <v>79</v>
      </c>
      <c r="O235" t="s">
        <v>74</v>
      </c>
      <c r="P235" t="s">
        <v>74</v>
      </c>
      <c r="Q235" t="s">
        <v>74</v>
      </c>
      <c r="R235" t="s">
        <v>74</v>
      </c>
      <c r="S235" t="s">
        <v>74</v>
      </c>
      <c r="T235" t="s">
        <v>4877</v>
      </c>
      <c r="U235" t="s">
        <v>4878</v>
      </c>
      <c r="V235" t="s">
        <v>4879</v>
      </c>
      <c r="W235" t="s">
        <v>4880</v>
      </c>
      <c r="X235" t="s">
        <v>4881</v>
      </c>
      <c r="Y235" t="s">
        <v>4882</v>
      </c>
      <c r="Z235" t="s">
        <v>4883</v>
      </c>
      <c r="AA235" t="s">
        <v>4884</v>
      </c>
      <c r="AB235" t="s">
        <v>4885</v>
      </c>
      <c r="AC235" t="s">
        <v>4886</v>
      </c>
      <c r="AD235" t="s">
        <v>4887</v>
      </c>
      <c r="AE235" t="s">
        <v>4888</v>
      </c>
      <c r="AF235" t="s">
        <v>74</v>
      </c>
      <c r="AG235">
        <v>92</v>
      </c>
      <c r="AH235">
        <v>1</v>
      </c>
      <c r="AI235">
        <v>1</v>
      </c>
      <c r="AJ235">
        <v>5</v>
      </c>
      <c r="AK235">
        <v>5</v>
      </c>
      <c r="AL235" t="s">
        <v>4889</v>
      </c>
      <c r="AM235" t="s">
        <v>4890</v>
      </c>
      <c r="AN235" t="s">
        <v>4891</v>
      </c>
      <c r="AO235" t="s">
        <v>74</v>
      </c>
      <c r="AP235" t="s">
        <v>4892</v>
      </c>
      <c r="AQ235" t="s">
        <v>74</v>
      </c>
      <c r="AR235" t="s">
        <v>4893</v>
      </c>
      <c r="AS235" t="s">
        <v>4894</v>
      </c>
      <c r="AT235" t="s">
        <v>1070</v>
      </c>
      <c r="AU235">
        <v>2022</v>
      </c>
      <c r="AV235">
        <v>2</v>
      </c>
      <c r="AW235">
        <v>2</v>
      </c>
      <c r="AX235" t="s">
        <v>74</v>
      </c>
      <c r="AY235" t="s">
        <v>74</v>
      </c>
      <c r="AZ235" t="s">
        <v>74</v>
      </c>
      <c r="BA235" t="s">
        <v>74</v>
      </c>
      <c r="BB235">
        <v>64</v>
      </c>
      <c r="BC235">
        <v>79</v>
      </c>
      <c r="BD235" t="s">
        <v>74</v>
      </c>
      <c r="BE235" t="s">
        <v>4895</v>
      </c>
      <c r="BF235" t="str">
        <f>HYPERLINK("http://dx.doi.org/10.20517/ais.2022.02","http://dx.doi.org/10.20517/ais.2022.02")</f>
        <v>http://dx.doi.org/10.20517/ais.2022.02</v>
      </c>
      <c r="BG235" t="s">
        <v>74</v>
      </c>
      <c r="BH235" t="s">
        <v>74</v>
      </c>
      <c r="BI235">
        <v>16</v>
      </c>
      <c r="BJ235" t="s">
        <v>4896</v>
      </c>
      <c r="BK235" t="s">
        <v>155</v>
      </c>
      <c r="BL235" t="s">
        <v>4896</v>
      </c>
      <c r="BM235" t="s">
        <v>4897</v>
      </c>
      <c r="BN235" t="s">
        <v>74</v>
      </c>
      <c r="BO235" t="s">
        <v>185</v>
      </c>
      <c r="BP235" t="s">
        <v>74</v>
      </c>
      <c r="BQ235" t="s">
        <v>74</v>
      </c>
      <c r="BR235" t="s">
        <v>105</v>
      </c>
      <c r="BS235" t="s">
        <v>4898</v>
      </c>
      <c r="BT235" t="str">
        <f>HYPERLINK("https%3A%2F%2Fwww.webofscience.com%2Fwos%2Fwoscc%2Ffull-record%2FWOS:001335556600002","View Full Record in Web of Science")</f>
        <v>View Full Record in Web of Science</v>
      </c>
    </row>
    <row r="236" spans="1:72" x14ac:dyDescent="0.25">
      <c r="A236" t="s">
        <v>72</v>
      </c>
      <c r="B236" t="s">
        <v>4899</v>
      </c>
      <c r="C236" t="s">
        <v>74</v>
      </c>
      <c r="D236" t="s">
        <v>74</v>
      </c>
      <c r="E236" t="s">
        <v>74</v>
      </c>
      <c r="F236" t="s">
        <v>4900</v>
      </c>
      <c r="G236" t="s">
        <v>74</v>
      </c>
      <c r="H236" t="s">
        <v>74</v>
      </c>
      <c r="I236" t="s">
        <v>4901</v>
      </c>
      <c r="J236" t="s">
        <v>4902</v>
      </c>
      <c r="K236" t="s">
        <v>74</v>
      </c>
      <c r="L236" t="s">
        <v>74</v>
      </c>
      <c r="M236" t="s">
        <v>78</v>
      </c>
      <c r="N236" t="s">
        <v>79</v>
      </c>
      <c r="O236" t="s">
        <v>74</v>
      </c>
      <c r="P236" t="s">
        <v>74</v>
      </c>
      <c r="Q236" t="s">
        <v>74</v>
      </c>
      <c r="R236" t="s">
        <v>74</v>
      </c>
      <c r="S236" t="s">
        <v>74</v>
      </c>
      <c r="T236" t="s">
        <v>4903</v>
      </c>
      <c r="U236" t="s">
        <v>4904</v>
      </c>
      <c r="V236" t="s">
        <v>4905</v>
      </c>
      <c r="W236" t="s">
        <v>4906</v>
      </c>
      <c r="X236" t="s">
        <v>4907</v>
      </c>
      <c r="Y236" t="s">
        <v>4908</v>
      </c>
      <c r="Z236" t="s">
        <v>4909</v>
      </c>
      <c r="AA236" t="s">
        <v>4910</v>
      </c>
      <c r="AB236" t="s">
        <v>4911</v>
      </c>
      <c r="AC236" t="s">
        <v>4912</v>
      </c>
      <c r="AD236" t="s">
        <v>4913</v>
      </c>
      <c r="AE236" t="s">
        <v>4914</v>
      </c>
      <c r="AF236" t="s">
        <v>74</v>
      </c>
      <c r="AG236">
        <v>57</v>
      </c>
      <c r="AH236">
        <v>3</v>
      </c>
      <c r="AI236">
        <v>3</v>
      </c>
      <c r="AJ236">
        <v>0</v>
      </c>
      <c r="AK236">
        <v>15</v>
      </c>
      <c r="AL236" t="s">
        <v>4915</v>
      </c>
      <c r="AM236" t="s">
        <v>532</v>
      </c>
      <c r="AN236" t="s">
        <v>4916</v>
      </c>
      <c r="AO236" t="s">
        <v>4917</v>
      </c>
      <c r="AP236" t="s">
        <v>4918</v>
      </c>
      <c r="AQ236" t="s">
        <v>74</v>
      </c>
      <c r="AR236" t="s">
        <v>4919</v>
      </c>
      <c r="AS236" t="s">
        <v>4920</v>
      </c>
      <c r="AT236" t="s">
        <v>4921</v>
      </c>
      <c r="AU236">
        <v>2022</v>
      </c>
      <c r="AV236">
        <v>52</v>
      </c>
      <c r="AW236">
        <v>7</v>
      </c>
      <c r="AX236" t="s">
        <v>74</v>
      </c>
      <c r="AY236" t="s">
        <v>74</v>
      </c>
      <c r="AZ236" t="s">
        <v>74</v>
      </c>
      <c r="BA236" t="s">
        <v>74</v>
      </c>
      <c r="BB236">
        <v>692</v>
      </c>
      <c r="BC236">
        <v>698</v>
      </c>
      <c r="BD236" t="s">
        <v>74</v>
      </c>
      <c r="BE236" t="s">
        <v>4922</v>
      </c>
      <c r="BF236" t="str">
        <f>HYPERLINK("http://dx.doi.org/10.1093/jjco/hyac049","http://dx.doi.org/10.1093/jjco/hyac049")</f>
        <v>http://dx.doi.org/10.1093/jjco/hyac049</v>
      </c>
      <c r="BG236" t="s">
        <v>74</v>
      </c>
      <c r="BH236" t="s">
        <v>4923</v>
      </c>
      <c r="BI236">
        <v>7</v>
      </c>
      <c r="BJ236" t="s">
        <v>4032</v>
      </c>
      <c r="BK236" t="s">
        <v>182</v>
      </c>
      <c r="BL236" t="s">
        <v>4032</v>
      </c>
      <c r="BM236" t="s">
        <v>4924</v>
      </c>
      <c r="BN236">
        <v>35383359</v>
      </c>
      <c r="BO236" t="s">
        <v>74</v>
      </c>
      <c r="BP236" t="s">
        <v>74</v>
      </c>
      <c r="BQ236" t="s">
        <v>74</v>
      </c>
      <c r="BR236" t="s">
        <v>105</v>
      </c>
      <c r="BS236" t="s">
        <v>4925</v>
      </c>
      <c r="BT236" t="str">
        <f>HYPERLINK("https%3A%2F%2Fwww.webofscience.com%2Fwos%2Fwoscc%2Ffull-record%2FWOS:000786164700001","View Full Record in Web of Science")</f>
        <v>View Full Record in Web of Science</v>
      </c>
    </row>
    <row r="237" spans="1:72" x14ac:dyDescent="0.25">
      <c r="A237" t="s">
        <v>72</v>
      </c>
      <c r="B237" t="s">
        <v>4926</v>
      </c>
      <c r="C237" t="s">
        <v>74</v>
      </c>
      <c r="D237" t="s">
        <v>74</v>
      </c>
      <c r="E237" t="s">
        <v>74</v>
      </c>
      <c r="F237" t="s">
        <v>4927</v>
      </c>
      <c r="G237" t="s">
        <v>74</v>
      </c>
      <c r="H237" t="s">
        <v>74</v>
      </c>
      <c r="I237" t="s">
        <v>4928</v>
      </c>
      <c r="J237" t="s">
        <v>4929</v>
      </c>
      <c r="K237" t="s">
        <v>74</v>
      </c>
      <c r="L237" t="s">
        <v>74</v>
      </c>
      <c r="M237" t="s">
        <v>78</v>
      </c>
      <c r="N237" t="s">
        <v>79</v>
      </c>
      <c r="O237" t="s">
        <v>74</v>
      </c>
      <c r="P237" t="s">
        <v>74</v>
      </c>
      <c r="Q237" t="s">
        <v>74</v>
      </c>
      <c r="R237" t="s">
        <v>74</v>
      </c>
      <c r="S237" t="s">
        <v>74</v>
      </c>
      <c r="T237" t="s">
        <v>4930</v>
      </c>
      <c r="U237" t="s">
        <v>4931</v>
      </c>
      <c r="V237" t="s">
        <v>4932</v>
      </c>
      <c r="W237" t="s">
        <v>4933</v>
      </c>
      <c r="X237" t="s">
        <v>4934</v>
      </c>
      <c r="Y237" t="s">
        <v>4935</v>
      </c>
      <c r="Z237" t="s">
        <v>4936</v>
      </c>
      <c r="AA237" t="s">
        <v>4937</v>
      </c>
      <c r="AB237" t="s">
        <v>4938</v>
      </c>
      <c r="AC237" t="s">
        <v>4939</v>
      </c>
      <c r="AD237" t="s">
        <v>4940</v>
      </c>
      <c r="AE237" t="s">
        <v>4941</v>
      </c>
      <c r="AF237" t="s">
        <v>74</v>
      </c>
      <c r="AG237">
        <v>99</v>
      </c>
      <c r="AH237">
        <v>6</v>
      </c>
      <c r="AI237">
        <v>6</v>
      </c>
      <c r="AJ237">
        <v>12</v>
      </c>
      <c r="AK237">
        <v>21</v>
      </c>
      <c r="AL237" t="s">
        <v>4942</v>
      </c>
      <c r="AM237" t="s">
        <v>4943</v>
      </c>
      <c r="AN237" t="s">
        <v>4944</v>
      </c>
      <c r="AO237" t="s">
        <v>4945</v>
      </c>
      <c r="AP237" t="s">
        <v>4946</v>
      </c>
      <c r="AQ237" t="s">
        <v>74</v>
      </c>
      <c r="AR237" t="s">
        <v>4947</v>
      </c>
      <c r="AS237" t="s">
        <v>4948</v>
      </c>
      <c r="AT237" t="s">
        <v>1471</v>
      </c>
      <c r="AU237">
        <v>2024</v>
      </c>
      <c r="AV237">
        <v>31</v>
      </c>
      <c r="AW237">
        <v>2</v>
      </c>
      <c r="AX237" t="s">
        <v>74</v>
      </c>
      <c r="AY237" t="s">
        <v>74</v>
      </c>
      <c r="AZ237" t="s">
        <v>74</v>
      </c>
      <c r="BA237" t="s">
        <v>74</v>
      </c>
      <c r="BB237">
        <v>321</v>
      </c>
      <c r="BC237">
        <v>341</v>
      </c>
      <c r="BD237" t="s">
        <v>74</v>
      </c>
      <c r="BE237" t="s">
        <v>4949</v>
      </c>
      <c r="BF237" t="str">
        <f>HYPERLINK("http://dx.doi.org/10.5603/cj.98650","http://dx.doi.org/10.5603/cj.98650")</f>
        <v>http://dx.doi.org/10.5603/cj.98650</v>
      </c>
      <c r="BG237" t="s">
        <v>74</v>
      </c>
      <c r="BH237" t="s">
        <v>1966</v>
      </c>
      <c r="BI237">
        <v>21</v>
      </c>
      <c r="BJ237" t="s">
        <v>4950</v>
      </c>
      <c r="BK237" t="s">
        <v>182</v>
      </c>
      <c r="BL237" t="s">
        <v>4951</v>
      </c>
      <c r="BM237" t="s">
        <v>4952</v>
      </c>
      <c r="BN237">
        <v>38247435</v>
      </c>
      <c r="BO237" t="s">
        <v>355</v>
      </c>
      <c r="BP237" t="s">
        <v>74</v>
      </c>
      <c r="BQ237" t="s">
        <v>74</v>
      </c>
      <c r="BR237" t="s">
        <v>105</v>
      </c>
      <c r="BS237" t="s">
        <v>4953</v>
      </c>
      <c r="BT237" t="str">
        <f>HYPERLINK("https%3A%2F%2Fwww.webofscience.com%2Fwos%2Fwoscc%2Ffull-record%2FWOS:001189128600001","View Full Record in Web of Science")</f>
        <v>View Full Record in Web of Science</v>
      </c>
    </row>
    <row r="238" spans="1:72" x14ac:dyDescent="0.25">
      <c r="A238" t="s">
        <v>72</v>
      </c>
      <c r="B238" t="s">
        <v>4954</v>
      </c>
      <c r="C238" t="s">
        <v>74</v>
      </c>
      <c r="D238" t="s">
        <v>74</v>
      </c>
      <c r="E238" t="s">
        <v>74</v>
      </c>
      <c r="F238" t="s">
        <v>4955</v>
      </c>
      <c r="G238" t="s">
        <v>74</v>
      </c>
      <c r="H238" t="s">
        <v>74</v>
      </c>
      <c r="I238" t="s">
        <v>4956</v>
      </c>
      <c r="J238" t="s">
        <v>4957</v>
      </c>
      <c r="K238" t="s">
        <v>74</v>
      </c>
      <c r="L238" t="s">
        <v>74</v>
      </c>
      <c r="M238" t="s">
        <v>78</v>
      </c>
      <c r="N238" t="s">
        <v>79</v>
      </c>
      <c r="O238" t="s">
        <v>74</v>
      </c>
      <c r="P238" t="s">
        <v>74</v>
      </c>
      <c r="Q238" t="s">
        <v>74</v>
      </c>
      <c r="R238" t="s">
        <v>74</v>
      </c>
      <c r="S238" t="s">
        <v>74</v>
      </c>
      <c r="T238" t="s">
        <v>4958</v>
      </c>
      <c r="U238" t="s">
        <v>4959</v>
      </c>
      <c r="V238" t="s">
        <v>4960</v>
      </c>
      <c r="W238" t="s">
        <v>4961</v>
      </c>
      <c r="X238" t="s">
        <v>4962</v>
      </c>
      <c r="Y238" t="s">
        <v>4963</v>
      </c>
      <c r="Z238" t="s">
        <v>4964</v>
      </c>
      <c r="AA238" t="s">
        <v>4965</v>
      </c>
      <c r="AB238" t="s">
        <v>4966</v>
      </c>
      <c r="AC238" t="s">
        <v>74</v>
      </c>
      <c r="AD238" t="s">
        <v>74</v>
      </c>
      <c r="AE238" t="s">
        <v>4967</v>
      </c>
      <c r="AF238" t="s">
        <v>74</v>
      </c>
      <c r="AG238">
        <v>44</v>
      </c>
      <c r="AH238">
        <v>11</v>
      </c>
      <c r="AI238">
        <v>11</v>
      </c>
      <c r="AJ238">
        <v>13</v>
      </c>
      <c r="AK238">
        <v>19</v>
      </c>
      <c r="AL238" t="s">
        <v>4968</v>
      </c>
      <c r="AM238" t="s">
        <v>4969</v>
      </c>
      <c r="AN238" t="s">
        <v>4970</v>
      </c>
      <c r="AO238" t="s">
        <v>4971</v>
      </c>
      <c r="AP238" t="s">
        <v>4972</v>
      </c>
      <c r="AQ238" t="s">
        <v>74</v>
      </c>
      <c r="AR238" t="s">
        <v>4973</v>
      </c>
      <c r="AS238" t="s">
        <v>4974</v>
      </c>
      <c r="AT238" t="s">
        <v>1734</v>
      </c>
      <c r="AU238">
        <v>2024</v>
      </c>
      <c r="AV238">
        <v>19</v>
      </c>
      <c r="AW238">
        <v>3</v>
      </c>
      <c r="AX238" t="s">
        <v>74</v>
      </c>
      <c r="AY238" t="s">
        <v>74</v>
      </c>
      <c r="AZ238" t="s">
        <v>74</v>
      </c>
      <c r="BA238" t="s">
        <v>74</v>
      </c>
      <c r="BB238">
        <v>1359</v>
      </c>
      <c r="BC238">
        <v>1368</v>
      </c>
      <c r="BD238" t="s">
        <v>74</v>
      </c>
      <c r="BE238" t="s">
        <v>4975</v>
      </c>
      <c r="BF238" t="str">
        <f>HYPERLINK("http://dx.doi.org/10.1016/j.jds.2024.03.011","http://dx.doi.org/10.1016/j.jds.2024.03.011")</f>
        <v>http://dx.doi.org/10.1016/j.jds.2024.03.011</v>
      </c>
      <c r="BG238" t="s">
        <v>74</v>
      </c>
      <c r="BH238" t="s">
        <v>4976</v>
      </c>
      <c r="BI238">
        <v>10</v>
      </c>
      <c r="BJ238" t="s">
        <v>1831</v>
      </c>
      <c r="BK238" t="s">
        <v>182</v>
      </c>
      <c r="BL238" t="s">
        <v>1831</v>
      </c>
      <c r="BM238" t="s">
        <v>4977</v>
      </c>
      <c r="BN238">
        <v>39035318</v>
      </c>
      <c r="BO238" t="s">
        <v>185</v>
      </c>
      <c r="BP238" t="s">
        <v>74</v>
      </c>
      <c r="BQ238" t="s">
        <v>74</v>
      </c>
      <c r="BR238" t="s">
        <v>105</v>
      </c>
      <c r="BS238" t="s">
        <v>4978</v>
      </c>
      <c r="BT238" t="str">
        <f>HYPERLINK("https%3A%2F%2Fwww.webofscience.com%2Fwos%2Fwoscc%2Ffull-record%2FWOS:001260005600001","View Full Record in Web of Science")</f>
        <v>View Full Record in Web of Science</v>
      </c>
    </row>
    <row r="239" spans="1:72" x14ac:dyDescent="0.25">
      <c r="A239" t="s">
        <v>72</v>
      </c>
      <c r="B239" t="s">
        <v>4979</v>
      </c>
      <c r="C239" t="s">
        <v>74</v>
      </c>
      <c r="D239" t="s">
        <v>74</v>
      </c>
      <c r="E239" t="s">
        <v>74</v>
      </c>
      <c r="F239" t="s">
        <v>4980</v>
      </c>
      <c r="G239" t="s">
        <v>74</v>
      </c>
      <c r="H239" t="s">
        <v>74</v>
      </c>
      <c r="I239" t="s">
        <v>4981</v>
      </c>
      <c r="J239" t="s">
        <v>4982</v>
      </c>
      <c r="K239" t="s">
        <v>74</v>
      </c>
      <c r="L239" t="s">
        <v>74</v>
      </c>
      <c r="M239" t="s">
        <v>78</v>
      </c>
      <c r="N239" t="s">
        <v>79</v>
      </c>
      <c r="O239" t="s">
        <v>74</v>
      </c>
      <c r="P239" t="s">
        <v>74</v>
      </c>
      <c r="Q239" t="s">
        <v>74</v>
      </c>
      <c r="R239" t="s">
        <v>74</v>
      </c>
      <c r="S239" t="s">
        <v>74</v>
      </c>
      <c r="T239" t="s">
        <v>4983</v>
      </c>
      <c r="U239" t="s">
        <v>4984</v>
      </c>
      <c r="V239" t="s">
        <v>4985</v>
      </c>
      <c r="W239" t="s">
        <v>4986</v>
      </c>
      <c r="X239" t="s">
        <v>4987</v>
      </c>
      <c r="Y239" t="s">
        <v>4988</v>
      </c>
      <c r="Z239" t="s">
        <v>4989</v>
      </c>
      <c r="AA239" t="s">
        <v>4990</v>
      </c>
      <c r="AB239" t="s">
        <v>4991</v>
      </c>
      <c r="AC239" t="s">
        <v>4992</v>
      </c>
      <c r="AD239" t="s">
        <v>4993</v>
      </c>
      <c r="AE239" t="s">
        <v>4994</v>
      </c>
      <c r="AF239" t="s">
        <v>74</v>
      </c>
      <c r="AG239">
        <v>84</v>
      </c>
      <c r="AH239">
        <v>27</v>
      </c>
      <c r="AI239">
        <v>30</v>
      </c>
      <c r="AJ239">
        <v>2</v>
      </c>
      <c r="AK239">
        <v>50</v>
      </c>
      <c r="AL239" t="s">
        <v>120</v>
      </c>
      <c r="AM239" t="s">
        <v>121</v>
      </c>
      <c r="AN239" t="s">
        <v>122</v>
      </c>
      <c r="AO239" t="s">
        <v>74</v>
      </c>
      <c r="AP239" t="s">
        <v>4995</v>
      </c>
      <c r="AQ239" t="s">
        <v>74</v>
      </c>
      <c r="AR239" t="s">
        <v>4982</v>
      </c>
      <c r="AS239" t="s">
        <v>4996</v>
      </c>
      <c r="AT239" t="s">
        <v>1070</v>
      </c>
      <c r="AU239">
        <v>2020</v>
      </c>
      <c r="AV239">
        <v>8</v>
      </c>
      <c r="AW239">
        <v>6</v>
      </c>
      <c r="AX239" t="s">
        <v>74</v>
      </c>
      <c r="AY239" t="s">
        <v>74</v>
      </c>
      <c r="AZ239" t="s">
        <v>74</v>
      </c>
      <c r="BA239" t="s">
        <v>74</v>
      </c>
      <c r="BB239" t="s">
        <v>74</v>
      </c>
      <c r="BC239" t="s">
        <v>74</v>
      </c>
      <c r="BD239">
        <v>150</v>
      </c>
      <c r="BE239" t="s">
        <v>4997</v>
      </c>
      <c r="BF239" t="str">
        <f>HYPERLINK("http://dx.doi.org/10.3390/biomedicines8060150","http://dx.doi.org/10.3390/biomedicines8060150")</f>
        <v>http://dx.doi.org/10.3390/biomedicines8060150</v>
      </c>
      <c r="BG239" t="s">
        <v>74</v>
      </c>
      <c r="BH239" t="s">
        <v>74</v>
      </c>
      <c r="BI239">
        <v>16</v>
      </c>
      <c r="BJ239" t="s">
        <v>4998</v>
      </c>
      <c r="BK239" t="s">
        <v>102</v>
      </c>
      <c r="BL239" t="s">
        <v>4999</v>
      </c>
      <c r="BM239" t="s">
        <v>5000</v>
      </c>
      <c r="BN239">
        <v>32498454</v>
      </c>
      <c r="BO239" t="s">
        <v>355</v>
      </c>
      <c r="BP239" t="s">
        <v>74</v>
      </c>
      <c r="BQ239" t="s">
        <v>74</v>
      </c>
      <c r="BR239" t="s">
        <v>105</v>
      </c>
      <c r="BS239" t="s">
        <v>5001</v>
      </c>
      <c r="BT239" t="str">
        <f>HYPERLINK("https%3A%2F%2Fwww.webofscience.com%2Fwos%2Fwoscc%2Ffull-record%2FWOS:000551233000021","View Full Record in Web of Science")</f>
        <v>View Full Record in Web of Science</v>
      </c>
    </row>
    <row r="240" spans="1:72" x14ac:dyDescent="0.25">
      <c r="A240" t="s">
        <v>72</v>
      </c>
      <c r="B240" t="s">
        <v>5002</v>
      </c>
      <c r="C240" t="s">
        <v>74</v>
      </c>
      <c r="D240" t="s">
        <v>74</v>
      </c>
      <c r="E240" t="s">
        <v>74</v>
      </c>
      <c r="F240" t="s">
        <v>5003</v>
      </c>
      <c r="G240" t="s">
        <v>74</v>
      </c>
      <c r="H240" t="s">
        <v>74</v>
      </c>
      <c r="I240" t="s">
        <v>5004</v>
      </c>
      <c r="J240" t="s">
        <v>110</v>
      </c>
      <c r="K240" t="s">
        <v>74</v>
      </c>
      <c r="L240" t="s">
        <v>74</v>
      </c>
      <c r="M240" t="s">
        <v>78</v>
      </c>
      <c r="N240" t="s">
        <v>79</v>
      </c>
      <c r="O240" t="s">
        <v>74</v>
      </c>
      <c r="P240" t="s">
        <v>74</v>
      </c>
      <c r="Q240" t="s">
        <v>74</v>
      </c>
      <c r="R240" t="s">
        <v>74</v>
      </c>
      <c r="S240" t="s">
        <v>74</v>
      </c>
      <c r="T240" t="s">
        <v>5005</v>
      </c>
      <c r="U240" t="s">
        <v>5006</v>
      </c>
      <c r="V240" t="s">
        <v>5007</v>
      </c>
      <c r="W240" t="s">
        <v>5008</v>
      </c>
      <c r="X240" t="s">
        <v>5009</v>
      </c>
      <c r="Y240" t="s">
        <v>5010</v>
      </c>
      <c r="Z240" t="s">
        <v>5011</v>
      </c>
      <c r="AA240" t="s">
        <v>5012</v>
      </c>
      <c r="AB240" t="s">
        <v>5013</v>
      </c>
      <c r="AC240" t="s">
        <v>74</v>
      </c>
      <c r="AD240" t="s">
        <v>74</v>
      </c>
      <c r="AE240" t="s">
        <v>74</v>
      </c>
      <c r="AF240" t="s">
        <v>74</v>
      </c>
      <c r="AG240">
        <v>156</v>
      </c>
      <c r="AH240">
        <v>23</v>
      </c>
      <c r="AI240">
        <v>24</v>
      </c>
      <c r="AJ240">
        <v>3</v>
      </c>
      <c r="AK240">
        <v>26</v>
      </c>
      <c r="AL240" t="s">
        <v>120</v>
      </c>
      <c r="AM240" t="s">
        <v>121</v>
      </c>
      <c r="AN240" t="s">
        <v>122</v>
      </c>
      <c r="AO240" t="s">
        <v>74</v>
      </c>
      <c r="AP240" t="s">
        <v>123</v>
      </c>
      <c r="AQ240" t="s">
        <v>74</v>
      </c>
      <c r="AR240" t="s">
        <v>124</v>
      </c>
      <c r="AS240" t="s">
        <v>125</v>
      </c>
      <c r="AT240" t="s">
        <v>351</v>
      </c>
      <c r="AU240">
        <v>2023</v>
      </c>
      <c r="AV240">
        <v>12</v>
      </c>
      <c r="AW240">
        <v>3</v>
      </c>
      <c r="AX240" t="s">
        <v>74</v>
      </c>
      <c r="AY240" t="s">
        <v>74</v>
      </c>
      <c r="AZ240" t="s">
        <v>74</v>
      </c>
      <c r="BA240" t="s">
        <v>74</v>
      </c>
      <c r="BB240" t="s">
        <v>74</v>
      </c>
      <c r="BC240" t="s">
        <v>74</v>
      </c>
      <c r="BD240">
        <v>1190</v>
      </c>
      <c r="BE240" t="s">
        <v>5014</v>
      </c>
      <c r="BF240" t="str">
        <f>HYPERLINK("http://dx.doi.org/10.3390/jcm12031190","http://dx.doi.org/10.3390/jcm12031190")</f>
        <v>http://dx.doi.org/10.3390/jcm12031190</v>
      </c>
      <c r="BG240" t="s">
        <v>74</v>
      </c>
      <c r="BH240" t="s">
        <v>74</v>
      </c>
      <c r="BI240">
        <v>18</v>
      </c>
      <c r="BJ240" t="s">
        <v>128</v>
      </c>
      <c r="BK240" t="s">
        <v>182</v>
      </c>
      <c r="BL240" t="s">
        <v>129</v>
      </c>
      <c r="BM240" t="s">
        <v>5015</v>
      </c>
      <c r="BN240">
        <v>36769855</v>
      </c>
      <c r="BO240" t="s">
        <v>355</v>
      </c>
      <c r="BP240" t="s">
        <v>74</v>
      </c>
      <c r="BQ240" t="s">
        <v>74</v>
      </c>
      <c r="BR240" t="s">
        <v>105</v>
      </c>
      <c r="BS240" t="s">
        <v>5016</v>
      </c>
      <c r="BT240" t="str">
        <f>HYPERLINK("https%3A%2F%2Fwww.webofscience.com%2Fwos%2Fwoscc%2Ffull-record%2FWOS:000930210900001","View Full Record in Web of Science")</f>
        <v>View Full Record in Web of Science</v>
      </c>
    </row>
    <row r="241" spans="1:72" x14ac:dyDescent="0.25">
      <c r="A241" t="s">
        <v>72</v>
      </c>
      <c r="B241" t="s">
        <v>5017</v>
      </c>
      <c r="C241" t="s">
        <v>74</v>
      </c>
      <c r="D241" t="s">
        <v>74</v>
      </c>
      <c r="E241" t="s">
        <v>74</v>
      </c>
      <c r="F241" t="s">
        <v>5018</v>
      </c>
      <c r="G241" t="s">
        <v>74</v>
      </c>
      <c r="H241" t="s">
        <v>74</v>
      </c>
      <c r="I241" t="s">
        <v>5019</v>
      </c>
      <c r="J241" t="s">
        <v>5020</v>
      </c>
      <c r="K241" t="s">
        <v>74</v>
      </c>
      <c r="L241" t="s">
        <v>74</v>
      </c>
      <c r="M241" t="s">
        <v>78</v>
      </c>
      <c r="N241" t="s">
        <v>79</v>
      </c>
      <c r="O241" t="s">
        <v>74</v>
      </c>
      <c r="P241" t="s">
        <v>74</v>
      </c>
      <c r="Q241" t="s">
        <v>74</v>
      </c>
      <c r="R241" t="s">
        <v>74</v>
      </c>
      <c r="S241" t="s">
        <v>74</v>
      </c>
      <c r="T241" t="s">
        <v>5021</v>
      </c>
      <c r="U241" t="s">
        <v>5022</v>
      </c>
      <c r="V241" t="s">
        <v>5023</v>
      </c>
      <c r="W241" t="s">
        <v>5024</v>
      </c>
      <c r="X241" t="s">
        <v>5025</v>
      </c>
      <c r="Y241" t="s">
        <v>5026</v>
      </c>
      <c r="Z241" t="s">
        <v>5027</v>
      </c>
      <c r="AA241" t="s">
        <v>74</v>
      </c>
      <c r="AB241" t="s">
        <v>74</v>
      </c>
      <c r="AC241" t="s">
        <v>74</v>
      </c>
      <c r="AD241" t="s">
        <v>74</v>
      </c>
      <c r="AE241" t="s">
        <v>74</v>
      </c>
      <c r="AF241" t="s">
        <v>74</v>
      </c>
      <c r="AG241">
        <v>72</v>
      </c>
      <c r="AH241">
        <v>46</v>
      </c>
      <c r="AI241">
        <v>53</v>
      </c>
      <c r="AJ241">
        <v>0</v>
      </c>
      <c r="AK241">
        <v>13</v>
      </c>
      <c r="AL241" t="s">
        <v>5028</v>
      </c>
      <c r="AM241" t="s">
        <v>2417</v>
      </c>
      <c r="AN241" t="s">
        <v>5029</v>
      </c>
      <c r="AO241" t="s">
        <v>5030</v>
      </c>
      <c r="AP241" t="s">
        <v>5031</v>
      </c>
      <c r="AQ241" t="s">
        <v>74</v>
      </c>
      <c r="AR241" t="s">
        <v>5032</v>
      </c>
      <c r="AS241" t="s">
        <v>5033</v>
      </c>
      <c r="AT241" t="s">
        <v>1734</v>
      </c>
      <c r="AU241">
        <v>2018</v>
      </c>
      <c r="AV241">
        <v>12</v>
      </c>
      <c r="AW241">
        <v>4</v>
      </c>
      <c r="AX241" t="s">
        <v>74</v>
      </c>
      <c r="AY241" t="s">
        <v>74</v>
      </c>
      <c r="AZ241" t="s">
        <v>74</v>
      </c>
      <c r="BA241" t="s">
        <v>74</v>
      </c>
      <c r="BB241">
        <v>375</v>
      </c>
      <c r="BC241">
        <v>384</v>
      </c>
      <c r="BD241" t="s">
        <v>74</v>
      </c>
      <c r="BE241" t="s">
        <v>5034</v>
      </c>
      <c r="BF241" t="str">
        <f>HYPERLINK("http://dx.doi.org/10.5009/gnl17172","http://dx.doi.org/10.5009/gnl17172")</f>
        <v>http://dx.doi.org/10.5009/gnl17172</v>
      </c>
      <c r="BG241" t="s">
        <v>74</v>
      </c>
      <c r="BH241" t="s">
        <v>74</v>
      </c>
      <c r="BI241">
        <v>10</v>
      </c>
      <c r="BJ241" t="s">
        <v>5035</v>
      </c>
      <c r="BK241" t="s">
        <v>182</v>
      </c>
      <c r="BL241" t="s">
        <v>5035</v>
      </c>
      <c r="BM241" t="s">
        <v>5036</v>
      </c>
      <c r="BN241">
        <v>29050194</v>
      </c>
      <c r="BO241" t="s">
        <v>377</v>
      </c>
      <c r="BP241" t="s">
        <v>74</v>
      </c>
      <c r="BQ241" t="s">
        <v>74</v>
      </c>
      <c r="BR241" t="s">
        <v>105</v>
      </c>
      <c r="BS241" t="s">
        <v>5037</v>
      </c>
      <c r="BT241" t="str">
        <f>HYPERLINK("https%3A%2F%2Fwww.webofscience.com%2Fwos%2Fwoscc%2Ffull-record%2FWOS:000436520300004","View Full Record in Web of Science")</f>
        <v>View Full Record in Web of Science</v>
      </c>
    </row>
    <row r="242" spans="1:72" x14ac:dyDescent="0.25">
      <c r="A242" t="s">
        <v>72</v>
      </c>
      <c r="B242" t="s">
        <v>5038</v>
      </c>
      <c r="C242" t="s">
        <v>74</v>
      </c>
      <c r="D242" t="s">
        <v>74</v>
      </c>
      <c r="E242" t="s">
        <v>74</v>
      </c>
      <c r="F242" t="s">
        <v>5039</v>
      </c>
      <c r="G242" t="s">
        <v>74</v>
      </c>
      <c r="H242" t="s">
        <v>74</v>
      </c>
      <c r="I242" t="s">
        <v>5040</v>
      </c>
      <c r="J242" t="s">
        <v>5041</v>
      </c>
      <c r="K242" t="s">
        <v>74</v>
      </c>
      <c r="L242" t="s">
        <v>74</v>
      </c>
      <c r="M242" t="s">
        <v>78</v>
      </c>
      <c r="N242" t="s">
        <v>79</v>
      </c>
      <c r="O242" t="s">
        <v>74</v>
      </c>
      <c r="P242" t="s">
        <v>74</v>
      </c>
      <c r="Q242" t="s">
        <v>74</v>
      </c>
      <c r="R242" t="s">
        <v>74</v>
      </c>
      <c r="S242" t="s">
        <v>74</v>
      </c>
      <c r="T242" t="s">
        <v>5042</v>
      </c>
      <c r="U242" t="s">
        <v>5043</v>
      </c>
      <c r="V242" t="s">
        <v>5044</v>
      </c>
      <c r="W242" t="s">
        <v>5045</v>
      </c>
      <c r="X242" t="s">
        <v>5046</v>
      </c>
      <c r="Y242" t="s">
        <v>5047</v>
      </c>
      <c r="Z242" t="s">
        <v>5048</v>
      </c>
      <c r="AA242" t="s">
        <v>5049</v>
      </c>
      <c r="AB242" t="s">
        <v>5050</v>
      </c>
      <c r="AC242" t="s">
        <v>5051</v>
      </c>
      <c r="AD242" t="s">
        <v>5051</v>
      </c>
      <c r="AE242" t="s">
        <v>5052</v>
      </c>
      <c r="AF242" t="s">
        <v>74</v>
      </c>
      <c r="AG242">
        <v>72</v>
      </c>
      <c r="AH242">
        <v>0</v>
      </c>
      <c r="AI242">
        <v>0</v>
      </c>
      <c r="AJ242">
        <v>5</v>
      </c>
      <c r="AK242">
        <v>5</v>
      </c>
      <c r="AL242" t="s">
        <v>172</v>
      </c>
      <c r="AM242" t="s">
        <v>4844</v>
      </c>
      <c r="AN242" t="s">
        <v>4845</v>
      </c>
      <c r="AO242" t="s">
        <v>5053</v>
      </c>
      <c r="AP242" t="s">
        <v>5054</v>
      </c>
      <c r="AQ242" t="s">
        <v>74</v>
      </c>
      <c r="AR242" t="s">
        <v>5055</v>
      </c>
      <c r="AS242" t="s">
        <v>5056</v>
      </c>
      <c r="AT242" t="s">
        <v>5057</v>
      </c>
      <c r="AU242">
        <v>2025</v>
      </c>
      <c r="AV242">
        <v>111</v>
      </c>
      <c r="AW242">
        <v>1</v>
      </c>
      <c r="AX242" t="s">
        <v>74</v>
      </c>
      <c r="AY242" t="s">
        <v>74</v>
      </c>
      <c r="AZ242" t="s">
        <v>74</v>
      </c>
      <c r="BA242" t="s">
        <v>74</v>
      </c>
      <c r="BB242" t="s">
        <v>74</v>
      </c>
      <c r="BC242" t="s">
        <v>74</v>
      </c>
      <c r="BD242">
        <v>33</v>
      </c>
      <c r="BE242" t="s">
        <v>5058</v>
      </c>
      <c r="BF242" t="str">
        <f>HYPERLINK("http://dx.doi.org/10.1007/s10846-025-02232-5","http://dx.doi.org/10.1007/s10846-025-02232-5")</f>
        <v>http://dx.doi.org/10.1007/s10846-025-02232-5</v>
      </c>
      <c r="BG242" t="s">
        <v>74</v>
      </c>
      <c r="BH242" t="s">
        <v>74</v>
      </c>
      <c r="BI242">
        <v>15</v>
      </c>
      <c r="BJ242" t="s">
        <v>5059</v>
      </c>
      <c r="BK242" t="s">
        <v>182</v>
      </c>
      <c r="BL242" t="s">
        <v>5060</v>
      </c>
      <c r="BM242" t="s">
        <v>5061</v>
      </c>
      <c r="BN242" t="s">
        <v>74</v>
      </c>
      <c r="BO242" t="s">
        <v>309</v>
      </c>
      <c r="BP242" t="s">
        <v>74</v>
      </c>
      <c r="BQ242" t="s">
        <v>74</v>
      </c>
      <c r="BR242" t="s">
        <v>105</v>
      </c>
      <c r="BS242" t="s">
        <v>5062</v>
      </c>
      <c r="BT242" t="str">
        <f>HYPERLINK("https%3A%2F%2Fwww.webofscience.com%2Fwos%2Fwoscc%2Ffull-record%2FWOS:001443636600002","View Full Record in Web of Science")</f>
        <v>View Full Record in Web of Science</v>
      </c>
    </row>
    <row r="243" spans="1:72" x14ac:dyDescent="0.25">
      <c r="A243" t="s">
        <v>72</v>
      </c>
      <c r="B243" t="s">
        <v>5063</v>
      </c>
      <c r="C243" t="s">
        <v>74</v>
      </c>
      <c r="D243" t="s">
        <v>74</v>
      </c>
      <c r="E243" t="s">
        <v>74</v>
      </c>
      <c r="F243" t="s">
        <v>5064</v>
      </c>
      <c r="G243" t="s">
        <v>74</v>
      </c>
      <c r="H243" t="s">
        <v>74</v>
      </c>
      <c r="I243" t="s">
        <v>5065</v>
      </c>
      <c r="J243" t="s">
        <v>5066</v>
      </c>
      <c r="K243" t="s">
        <v>74</v>
      </c>
      <c r="L243" t="s">
        <v>74</v>
      </c>
      <c r="M243" t="s">
        <v>78</v>
      </c>
      <c r="N243" t="s">
        <v>79</v>
      </c>
      <c r="O243" t="s">
        <v>74</v>
      </c>
      <c r="P243" t="s">
        <v>74</v>
      </c>
      <c r="Q243" t="s">
        <v>74</v>
      </c>
      <c r="R243" t="s">
        <v>74</v>
      </c>
      <c r="S243" t="s">
        <v>74</v>
      </c>
      <c r="T243" t="s">
        <v>5067</v>
      </c>
      <c r="U243" t="s">
        <v>5068</v>
      </c>
      <c r="V243" t="s">
        <v>5069</v>
      </c>
      <c r="W243" t="s">
        <v>5070</v>
      </c>
      <c r="X243" t="s">
        <v>5071</v>
      </c>
      <c r="Y243" t="s">
        <v>5072</v>
      </c>
      <c r="Z243" t="s">
        <v>5073</v>
      </c>
      <c r="AA243" t="s">
        <v>5074</v>
      </c>
      <c r="AB243" t="s">
        <v>5075</v>
      </c>
      <c r="AC243" t="s">
        <v>74</v>
      </c>
      <c r="AD243" t="s">
        <v>74</v>
      </c>
      <c r="AE243" t="s">
        <v>74</v>
      </c>
      <c r="AF243" t="s">
        <v>74</v>
      </c>
      <c r="AG243">
        <v>97</v>
      </c>
      <c r="AH243">
        <v>44</v>
      </c>
      <c r="AI243">
        <v>45</v>
      </c>
      <c r="AJ243">
        <v>0</v>
      </c>
      <c r="AK243">
        <v>24</v>
      </c>
      <c r="AL243" t="s">
        <v>172</v>
      </c>
      <c r="AM243" t="s">
        <v>173</v>
      </c>
      <c r="AN243" t="s">
        <v>174</v>
      </c>
      <c r="AO243" t="s">
        <v>5076</v>
      </c>
      <c r="AP243" t="s">
        <v>5077</v>
      </c>
      <c r="AQ243" t="s">
        <v>74</v>
      </c>
      <c r="AR243" t="s">
        <v>5078</v>
      </c>
      <c r="AS243" t="s">
        <v>5079</v>
      </c>
      <c r="AT243" t="s">
        <v>126</v>
      </c>
      <c r="AU243">
        <v>2019</v>
      </c>
      <c r="AV243">
        <v>21</v>
      </c>
      <c r="AW243">
        <v>11</v>
      </c>
      <c r="AX243" t="s">
        <v>74</v>
      </c>
      <c r="AY243" t="s">
        <v>74</v>
      </c>
      <c r="AZ243" t="s">
        <v>74</v>
      </c>
      <c r="BA243" t="s">
        <v>74</v>
      </c>
      <c r="BB243" t="s">
        <v>74</v>
      </c>
      <c r="BC243" t="s">
        <v>74</v>
      </c>
      <c r="BD243">
        <v>41</v>
      </c>
      <c r="BE243" t="s">
        <v>5080</v>
      </c>
      <c r="BF243" t="str">
        <f>HYPERLINK("http://dx.doi.org/10.1007/s11908-019-0697-2","http://dx.doi.org/10.1007/s11908-019-0697-2")</f>
        <v>http://dx.doi.org/10.1007/s11908-019-0697-2</v>
      </c>
      <c r="BG243" t="s">
        <v>74</v>
      </c>
      <c r="BH243" t="s">
        <v>74</v>
      </c>
      <c r="BI243">
        <v>10</v>
      </c>
      <c r="BJ243" t="s">
        <v>5081</v>
      </c>
      <c r="BK243" t="s">
        <v>102</v>
      </c>
      <c r="BL243" t="s">
        <v>5081</v>
      </c>
      <c r="BM243" t="s">
        <v>5082</v>
      </c>
      <c r="BN243">
        <v>31630276</v>
      </c>
      <c r="BO243" t="s">
        <v>74</v>
      </c>
      <c r="BP243" t="s">
        <v>74</v>
      </c>
      <c r="BQ243" t="s">
        <v>74</v>
      </c>
      <c r="BR243" t="s">
        <v>105</v>
      </c>
      <c r="BS243" t="s">
        <v>5083</v>
      </c>
      <c r="BT243" t="str">
        <f>HYPERLINK("https%3A%2F%2Fwww.webofscience.com%2Fwos%2Fwoscc%2Ffull-record%2FWOS:000491551100001","View Full Record in Web of Science")</f>
        <v>View Full Record in Web of Science</v>
      </c>
    </row>
    <row r="244" spans="1:72" x14ac:dyDescent="0.25">
      <c r="A244" t="s">
        <v>72</v>
      </c>
      <c r="B244" t="s">
        <v>5084</v>
      </c>
      <c r="C244" t="s">
        <v>74</v>
      </c>
      <c r="D244" t="s">
        <v>74</v>
      </c>
      <c r="E244" t="s">
        <v>74</v>
      </c>
      <c r="F244" t="s">
        <v>5085</v>
      </c>
      <c r="G244" t="s">
        <v>74</v>
      </c>
      <c r="H244" t="s">
        <v>74</v>
      </c>
      <c r="I244" t="s">
        <v>5086</v>
      </c>
      <c r="J244" t="s">
        <v>5087</v>
      </c>
      <c r="K244" t="s">
        <v>74</v>
      </c>
      <c r="L244" t="s">
        <v>74</v>
      </c>
      <c r="M244" t="s">
        <v>78</v>
      </c>
      <c r="N244" t="s">
        <v>79</v>
      </c>
      <c r="O244" t="s">
        <v>74</v>
      </c>
      <c r="P244" t="s">
        <v>74</v>
      </c>
      <c r="Q244" t="s">
        <v>74</v>
      </c>
      <c r="R244" t="s">
        <v>74</v>
      </c>
      <c r="S244" t="s">
        <v>74</v>
      </c>
      <c r="T244" t="s">
        <v>5088</v>
      </c>
      <c r="U244" t="s">
        <v>5089</v>
      </c>
      <c r="V244" t="s">
        <v>5090</v>
      </c>
      <c r="W244" t="s">
        <v>5091</v>
      </c>
      <c r="X244" t="s">
        <v>5092</v>
      </c>
      <c r="Y244" t="s">
        <v>5093</v>
      </c>
      <c r="Z244" t="s">
        <v>5094</v>
      </c>
      <c r="AA244" t="s">
        <v>5095</v>
      </c>
      <c r="AB244" t="s">
        <v>5096</v>
      </c>
      <c r="AC244" t="s">
        <v>74</v>
      </c>
      <c r="AD244" t="s">
        <v>74</v>
      </c>
      <c r="AE244" t="s">
        <v>74</v>
      </c>
      <c r="AF244" t="s">
        <v>74</v>
      </c>
      <c r="AG244">
        <v>91</v>
      </c>
      <c r="AH244">
        <v>53</v>
      </c>
      <c r="AI244">
        <v>54</v>
      </c>
      <c r="AJ244">
        <v>1</v>
      </c>
      <c r="AK244">
        <v>85</v>
      </c>
      <c r="AL244" t="s">
        <v>557</v>
      </c>
      <c r="AM244" t="s">
        <v>275</v>
      </c>
      <c r="AN244" t="s">
        <v>558</v>
      </c>
      <c r="AO244" t="s">
        <v>5097</v>
      </c>
      <c r="AP244" t="s">
        <v>5098</v>
      </c>
      <c r="AQ244" t="s">
        <v>74</v>
      </c>
      <c r="AR244" t="s">
        <v>5099</v>
      </c>
      <c r="AS244" t="s">
        <v>5100</v>
      </c>
      <c r="AT244" t="s">
        <v>5101</v>
      </c>
      <c r="AU244">
        <v>2019</v>
      </c>
      <c r="AV244">
        <v>18</v>
      </c>
      <c r="AW244" t="s">
        <v>5102</v>
      </c>
      <c r="AX244" t="s">
        <v>74</v>
      </c>
      <c r="AY244" t="s">
        <v>74</v>
      </c>
      <c r="AZ244" t="s">
        <v>74</v>
      </c>
      <c r="BA244" t="s">
        <v>74</v>
      </c>
      <c r="BB244">
        <v>2371</v>
      </c>
      <c r="BC244">
        <v>2435</v>
      </c>
      <c r="BD244" t="s">
        <v>74</v>
      </c>
      <c r="BE244" t="s">
        <v>5103</v>
      </c>
      <c r="BF244" t="str">
        <f>HYPERLINK("http://dx.doi.org/10.1177/1471301217733649","http://dx.doi.org/10.1177/1471301217733649")</f>
        <v>http://dx.doi.org/10.1177/1471301217733649</v>
      </c>
      <c r="BG244" t="s">
        <v>74</v>
      </c>
      <c r="BH244" t="s">
        <v>74</v>
      </c>
      <c r="BI244">
        <v>65</v>
      </c>
      <c r="BJ244" t="s">
        <v>5104</v>
      </c>
      <c r="BK244" t="s">
        <v>462</v>
      </c>
      <c r="BL244" t="s">
        <v>4257</v>
      </c>
      <c r="BM244" t="s">
        <v>5105</v>
      </c>
      <c r="BN244">
        <v>28990408</v>
      </c>
      <c r="BO244" t="s">
        <v>104</v>
      </c>
      <c r="BP244" t="s">
        <v>74</v>
      </c>
      <c r="BQ244" t="s">
        <v>74</v>
      </c>
      <c r="BR244" t="s">
        <v>105</v>
      </c>
      <c r="BS244" t="s">
        <v>5106</v>
      </c>
      <c r="BT244" t="str">
        <f>HYPERLINK("https%3A%2F%2Fwww.webofscience.com%2Fwos%2Fwoscc%2Ffull-record%2FWOS:000485953300001","View Full Record in Web of Science")</f>
        <v>View Full Record in Web of Science</v>
      </c>
    </row>
    <row r="245" spans="1:72" x14ac:dyDescent="0.25">
      <c r="A245" t="s">
        <v>72</v>
      </c>
      <c r="B245" t="s">
        <v>5107</v>
      </c>
      <c r="C245" t="s">
        <v>74</v>
      </c>
      <c r="D245" t="s">
        <v>74</v>
      </c>
      <c r="E245" t="s">
        <v>74</v>
      </c>
      <c r="F245" t="s">
        <v>5108</v>
      </c>
      <c r="G245" t="s">
        <v>74</v>
      </c>
      <c r="H245" t="s">
        <v>74</v>
      </c>
      <c r="I245" t="s">
        <v>5109</v>
      </c>
      <c r="J245" t="s">
        <v>5110</v>
      </c>
      <c r="K245" t="s">
        <v>74</v>
      </c>
      <c r="L245" t="s">
        <v>74</v>
      </c>
      <c r="M245" t="s">
        <v>78</v>
      </c>
      <c r="N245" t="s">
        <v>79</v>
      </c>
      <c r="O245" t="s">
        <v>74</v>
      </c>
      <c r="P245" t="s">
        <v>74</v>
      </c>
      <c r="Q245" t="s">
        <v>74</v>
      </c>
      <c r="R245" t="s">
        <v>74</v>
      </c>
      <c r="S245" t="s">
        <v>74</v>
      </c>
      <c r="T245" t="s">
        <v>5111</v>
      </c>
      <c r="U245" t="s">
        <v>5112</v>
      </c>
      <c r="V245" t="s">
        <v>5113</v>
      </c>
      <c r="W245" t="s">
        <v>5114</v>
      </c>
      <c r="X245" t="s">
        <v>5115</v>
      </c>
      <c r="Y245" t="s">
        <v>5116</v>
      </c>
      <c r="Z245" t="s">
        <v>5117</v>
      </c>
      <c r="AA245" t="s">
        <v>74</v>
      </c>
      <c r="AB245" t="s">
        <v>5118</v>
      </c>
      <c r="AC245" t="s">
        <v>5119</v>
      </c>
      <c r="AD245" t="s">
        <v>5119</v>
      </c>
      <c r="AE245" t="s">
        <v>5120</v>
      </c>
      <c r="AF245" t="s">
        <v>74</v>
      </c>
      <c r="AG245">
        <v>160</v>
      </c>
      <c r="AH245">
        <v>0</v>
      </c>
      <c r="AI245">
        <v>0</v>
      </c>
      <c r="AJ245">
        <v>4</v>
      </c>
      <c r="AK245">
        <v>4</v>
      </c>
      <c r="AL245" t="s">
        <v>5121</v>
      </c>
      <c r="AM245" t="s">
        <v>173</v>
      </c>
      <c r="AN245" t="s">
        <v>5122</v>
      </c>
      <c r="AO245" t="s">
        <v>74</v>
      </c>
      <c r="AP245" t="s">
        <v>5123</v>
      </c>
      <c r="AQ245" t="s">
        <v>74</v>
      </c>
      <c r="AR245" t="s">
        <v>5124</v>
      </c>
      <c r="AS245" t="s">
        <v>5125</v>
      </c>
      <c r="AT245" t="s">
        <v>1471</v>
      </c>
      <c r="AU245">
        <v>2025</v>
      </c>
      <c r="AV245">
        <v>14</v>
      </c>
      <c r="AW245">
        <v>1</v>
      </c>
      <c r="AX245" t="s">
        <v>74</v>
      </c>
      <c r="AY245" t="s">
        <v>74</v>
      </c>
      <c r="AZ245" t="s">
        <v>74</v>
      </c>
      <c r="BA245" t="s">
        <v>74</v>
      </c>
      <c r="BB245" t="s">
        <v>74</v>
      </c>
      <c r="BC245" t="s">
        <v>74</v>
      </c>
      <c r="BD245">
        <v>19</v>
      </c>
      <c r="BE245" t="s">
        <v>5126</v>
      </c>
      <c r="BF245" t="str">
        <f>HYPERLINK("http://dx.doi.org/10.1145/3700446","http://dx.doi.org/10.1145/3700446")</f>
        <v>http://dx.doi.org/10.1145/3700446</v>
      </c>
      <c r="BG245" t="s">
        <v>74</v>
      </c>
      <c r="BH245" t="s">
        <v>74</v>
      </c>
      <c r="BI245">
        <v>48</v>
      </c>
      <c r="BJ245" t="s">
        <v>714</v>
      </c>
      <c r="BK245" t="s">
        <v>155</v>
      </c>
      <c r="BL245" t="s">
        <v>714</v>
      </c>
      <c r="BM245" t="s">
        <v>5127</v>
      </c>
      <c r="BN245" t="s">
        <v>74</v>
      </c>
      <c r="BO245" t="s">
        <v>309</v>
      </c>
      <c r="BP245" t="s">
        <v>74</v>
      </c>
      <c r="BQ245" t="s">
        <v>74</v>
      </c>
      <c r="BR245" t="s">
        <v>105</v>
      </c>
      <c r="BS245" t="s">
        <v>5128</v>
      </c>
      <c r="BT245" t="str">
        <f>HYPERLINK("https%3A%2F%2Fwww.webofscience.com%2Fwos%2Fwoscc%2Ffull-record%2FWOS:001415849400003","View Full Record in Web of Science")</f>
        <v>View Full Record in Web of Science</v>
      </c>
    </row>
    <row r="246" spans="1:72" x14ac:dyDescent="0.25">
      <c r="A246" t="s">
        <v>72</v>
      </c>
      <c r="B246" t="s">
        <v>5129</v>
      </c>
      <c r="C246" t="s">
        <v>74</v>
      </c>
      <c r="D246" t="s">
        <v>74</v>
      </c>
      <c r="E246" t="s">
        <v>74</v>
      </c>
      <c r="F246" t="s">
        <v>5130</v>
      </c>
      <c r="G246" t="s">
        <v>74</v>
      </c>
      <c r="H246" t="s">
        <v>74</v>
      </c>
      <c r="I246" t="s">
        <v>5131</v>
      </c>
      <c r="J246" t="s">
        <v>5132</v>
      </c>
      <c r="K246" t="s">
        <v>74</v>
      </c>
      <c r="L246" t="s">
        <v>74</v>
      </c>
      <c r="M246" t="s">
        <v>78</v>
      </c>
      <c r="N246" t="s">
        <v>79</v>
      </c>
      <c r="O246" t="s">
        <v>74</v>
      </c>
      <c r="P246" t="s">
        <v>74</v>
      </c>
      <c r="Q246" t="s">
        <v>74</v>
      </c>
      <c r="R246" t="s">
        <v>74</v>
      </c>
      <c r="S246" t="s">
        <v>74</v>
      </c>
      <c r="T246" t="s">
        <v>5133</v>
      </c>
      <c r="U246" t="s">
        <v>5134</v>
      </c>
      <c r="V246" t="s">
        <v>5135</v>
      </c>
      <c r="W246" t="s">
        <v>5136</v>
      </c>
      <c r="X246" t="s">
        <v>5137</v>
      </c>
      <c r="Y246" t="s">
        <v>5138</v>
      </c>
      <c r="Z246" t="s">
        <v>5139</v>
      </c>
      <c r="AA246" t="s">
        <v>5140</v>
      </c>
      <c r="AB246" t="s">
        <v>5141</v>
      </c>
      <c r="AC246" t="s">
        <v>5142</v>
      </c>
      <c r="AD246" t="s">
        <v>5142</v>
      </c>
      <c r="AE246" t="s">
        <v>5143</v>
      </c>
      <c r="AF246" t="s">
        <v>74</v>
      </c>
      <c r="AG246">
        <v>65</v>
      </c>
      <c r="AH246">
        <v>33</v>
      </c>
      <c r="AI246">
        <v>36</v>
      </c>
      <c r="AJ246">
        <v>1</v>
      </c>
      <c r="AK246">
        <v>15</v>
      </c>
      <c r="AL246" t="s">
        <v>3456</v>
      </c>
      <c r="AM246" t="s">
        <v>3457</v>
      </c>
      <c r="AN246" t="s">
        <v>3458</v>
      </c>
      <c r="AO246" t="s">
        <v>5144</v>
      </c>
      <c r="AP246" t="s">
        <v>74</v>
      </c>
      <c r="AQ246" t="s">
        <v>74</v>
      </c>
      <c r="AR246" t="s">
        <v>5145</v>
      </c>
      <c r="AS246" t="s">
        <v>5146</v>
      </c>
      <c r="AT246" t="s">
        <v>74</v>
      </c>
      <c r="AU246">
        <v>2018</v>
      </c>
      <c r="AV246">
        <v>5</v>
      </c>
      <c r="AW246" t="s">
        <v>74</v>
      </c>
      <c r="AX246" t="s">
        <v>74</v>
      </c>
      <c r="AY246" t="s">
        <v>74</v>
      </c>
      <c r="AZ246" t="s">
        <v>74</v>
      </c>
      <c r="BA246" t="s">
        <v>74</v>
      </c>
      <c r="BB246">
        <v>15</v>
      </c>
      <c r="BC246">
        <v>25</v>
      </c>
      <c r="BD246" t="s">
        <v>74</v>
      </c>
      <c r="BE246" t="s">
        <v>5147</v>
      </c>
      <c r="BF246" t="str">
        <f>HYPERLINK("http://dx.doi.org/10.2147/IEH.S138753","http://dx.doi.org/10.2147/IEH.S138753")</f>
        <v>http://dx.doi.org/10.2147/IEH.S138753</v>
      </c>
      <c r="BG246" t="s">
        <v>74</v>
      </c>
      <c r="BH246" t="s">
        <v>74</v>
      </c>
      <c r="BI246">
        <v>11</v>
      </c>
      <c r="BJ246" t="s">
        <v>2833</v>
      </c>
      <c r="BK246" t="s">
        <v>155</v>
      </c>
      <c r="BL246" t="s">
        <v>423</v>
      </c>
      <c r="BM246" t="s">
        <v>5148</v>
      </c>
      <c r="BN246" t="s">
        <v>74</v>
      </c>
      <c r="BO246" t="s">
        <v>2112</v>
      </c>
      <c r="BP246" t="s">
        <v>74</v>
      </c>
      <c r="BQ246" t="s">
        <v>74</v>
      </c>
      <c r="BR246" t="s">
        <v>105</v>
      </c>
      <c r="BS246" t="s">
        <v>5149</v>
      </c>
      <c r="BT246" t="str">
        <f>HYPERLINK("https%3A%2F%2Fwww.webofscience.com%2Fwos%2Fwoscc%2Ffull-record%2FWOS:000468090100001","View Full Record in Web of Science")</f>
        <v>View Full Record in Web of Science</v>
      </c>
    </row>
    <row r="247" spans="1:72" x14ac:dyDescent="0.25">
      <c r="A247" t="s">
        <v>72</v>
      </c>
      <c r="B247" t="s">
        <v>5150</v>
      </c>
      <c r="C247" t="s">
        <v>74</v>
      </c>
      <c r="D247" t="s">
        <v>74</v>
      </c>
      <c r="E247" t="s">
        <v>74</v>
      </c>
      <c r="F247" t="s">
        <v>5151</v>
      </c>
      <c r="G247" t="s">
        <v>74</v>
      </c>
      <c r="H247" t="s">
        <v>74</v>
      </c>
      <c r="I247" t="s">
        <v>5152</v>
      </c>
      <c r="J247" t="s">
        <v>5153</v>
      </c>
      <c r="K247" t="s">
        <v>74</v>
      </c>
      <c r="L247" t="s">
        <v>74</v>
      </c>
      <c r="M247" t="s">
        <v>78</v>
      </c>
      <c r="N247" t="s">
        <v>79</v>
      </c>
      <c r="O247" t="s">
        <v>74</v>
      </c>
      <c r="P247" t="s">
        <v>74</v>
      </c>
      <c r="Q247" t="s">
        <v>74</v>
      </c>
      <c r="R247" t="s">
        <v>74</v>
      </c>
      <c r="S247" t="s">
        <v>74</v>
      </c>
      <c r="T247" t="s">
        <v>5154</v>
      </c>
      <c r="U247" t="s">
        <v>5155</v>
      </c>
      <c r="V247" t="s">
        <v>5156</v>
      </c>
      <c r="W247" t="s">
        <v>5157</v>
      </c>
      <c r="X247" t="s">
        <v>5158</v>
      </c>
      <c r="Y247" t="s">
        <v>5159</v>
      </c>
      <c r="Z247" t="s">
        <v>5160</v>
      </c>
      <c r="AA247" t="s">
        <v>5161</v>
      </c>
      <c r="AB247" t="s">
        <v>5162</v>
      </c>
      <c r="AC247" t="s">
        <v>74</v>
      </c>
      <c r="AD247" t="s">
        <v>74</v>
      </c>
      <c r="AE247" t="s">
        <v>74</v>
      </c>
      <c r="AF247" t="s">
        <v>74</v>
      </c>
      <c r="AG247">
        <v>43</v>
      </c>
      <c r="AH247">
        <v>23</v>
      </c>
      <c r="AI247">
        <v>25</v>
      </c>
      <c r="AJ247">
        <v>0</v>
      </c>
      <c r="AK247">
        <v>3</v>
      </c>
      <c r="AL247" t="s">
        <v>297</v>
      </c>
      <c r="AM247" t="s">
        <v>298</v>
      </c>
      <c r="AN247" t="s">
        <v>299</v>
      </c>
      <c r="AO247" t="s">
        <v>5163</v>
      </c>
      <c r="AP247" t="s">
        <v>5164</v>
      </c>
      <c r="AQ247" t="s">
        <v>74</v>
      </c>
      <c r="AR247" t="s">
        <v>5165</v>
      </c>
      <c r="AS247" t="s">
        <v>5166</v>
      </c>
      <c r="AT247" t="s">
        <v>420</v>
      </c>
      <c r="AU247">
        <v>2020</v>
      </c>
      <c r="AV247">
        <v>45</v>
      </c>
      <c r="AW247">
        <v>5</v>
      </c>
      <c r="AX247" t="s">
        <v>74</v>
      </c>
      <c r="AY247" t="s">
        <v>74</v>
      </c>
      <c r="AZ247" t="s">
        <v>74</v>
      </c>
      <c r="BA247" t="s">
        <v>74</v>
      </c>
      <c r="BB247">
        <v>732</v>
      </c>
      <c r="BC247">
        <v>738</v>
      </c>
      <c r="BD247" t="s">
        <v>74</v>
      </c>
      <c r="BE247" t="s">
        <v>5167</v>
      </c>
      <c r="BF247" t="str">
        <f>HYPERLINK("http://dx.doi.org/10.1111/coa.13565","http://dx.doi.org/10.1111/coa.13565")</f>
        <v>http://dx.doi.org/10.1111/coa.13565</v>
      </c>
      <c r="BG247" t="s">
        <v>74</v>
      </c>
      <c r="BH247" t="s">
        <v>5168</v>
      </c>
      <c r="BI247">
        <v>7</v>
      </c>
      <c r="BJ247" t="s">
        <v>5169</v>
      </c>
      <c r="BK247" t="s">
        <v>182</v>
      </c>
      <c r="BL247" t="s">
        <v>5169</v>
      </c>
      <c r="BM247" t="s">
        <v>5170</v>
      </c>
      <c r="BN247">
        <v>32369264</v>
      </c>
      <c r="BO247" t="s">
        <v>662</v>
      </c>
      <c r="BP247" t="s">
        <v>74</v>
      </c>
      <c r="BQ247" t="s">
        <v>74</v>
      </c>
      <c r="BR247" t="s">
        <v>105</v>
      </c>
      <c r="BS247" t="s">
        <v>5171</v>
      </c>
      <c r="BT247" t="str">
        <f>HYPERLINK("https%3A%2F%2Fwww.webofscience.com%2Fwos%2Fwoscc%2Ffull-record%2FWOS:000535132000001","View Full Record in Web of Science")</f>
        <v>View Full Record in Web of Science</v>
      </c>
    </row>
    <row r="248" spans="1:72" x14ac:dyDescent="0.25">
      <c r="A248" t="s">
        <v>72</v>
      </c>
      <c r="B248" t="s">
        <v>5172</v>
      </c>
      <c r="C248" t="s">
        <v>74</v>
      </c>
      <c r="D248" t="s">
        <v>74</v>
      </c>
      <c r="E248" t="s">
        <v>74</v>
      </c>
      <c r="F248" t="s">
        <v>5173</v>
      </c>
      <c r="G248" t="s">
        <v>74</v>
      </c>
      <c r="H248" t="s">
        <v>74</v>
      </c>
      <c r="I248" t="s">
        <v>5174</v>
      </c>
      <c r="J248" t="s">
        <v>5175</v>
      </c>
      <c r="K248" t="s">
        <v>74</v>
      </c>
      <c r="L248" t="s">
        <v>74</v>
      </c>
      <c r="M248" t="s">
        <v>78</v>
      </c>
      <c r="N248" t="s">
        <v>79</v>
      </c>
      <c r="O248" t="s">
        <v>74</v>
      </c>
      <c r="P248" t="s">
        <v>74</v>
      </c>
      <c r="Q248" t="s">
        <v>74</v>
      </c>
      <c r="R248" t="s">
        <v>74</v>
      </c>
      <c r="S248" t="s">
        <v>74</v>
      </c>
      <c r="T248" t="s">
        <v>5176</v>
      </c>
      <c r="U248" t="s">
        <v>5177</v>
      </c>
      <c r="V248" t="s">
        <v>5178</v>
      </c>
      <c r="W248" t="s">
        <v>5179</v>
      </c>
      <c r="X248" t="s">
        <v>5180</v>
      </c>
      <c r="Y248" t="s">
        <v>5181</v>
      </c>
      <c r="Z248" t="s">
        <v>5182</v>
      </c>
      <c r="AA248" t="s">
        <v>5183</v>
      </c>
      <c r="AB248" t="s">
        <v>74</v>
      </c>
      <c r="AC248" t="s">
        <v>74</v>
      </c>
      <c r="AD248" t="s">
        <v>74</v>
      </c>
      <c r="AE248" t="s">
        <v>74</v>
      </c>
      <c r="AF248" t="s">
        <v>74</v>
      </c>
      <c r="AG248">
        <v>40</v>
      </c>
      <c r="AH248">
        <v>9</v>
      </c>
      <c r="AI248">
        <v>9</v>
      </c>
      <c r="AJ248">
        <v>19</v>
      </c>
      <c r="AK248">
        <v>49</v>
      </c>
      <c r="AL248" t="s">
        <v>3675</v>
      </c>
      <c r="AM248" t="s">
        <v>173</v>
      </c>
      <c r="AN248" t="s">
        <v>3676</v>
      </c>
      <c r="AO248" t="s">
        <v>5184</v>
      </c>
      <c r="AP248" t="s">
        <v>5185</v>
      </c>
      <c r="AQ248" t="s">
        <v>74</v>
      </c>
      <c r="AR248" t="s">
        <v>5186</v>
      </c>
      <c r="AS248" t="s">
        <v>5187</v>
      </c>
      <c r="AT248" t="s">
        <v>1070</v>
      </c>
      <c r="AU248">
        <v>2024</v>
      </c>
      <c r="AV248">
        <v>25</v>
      </c>
      <c r="AW248">
        <v>6</v>
      </c>
      <c r="AX248" t="s">
        <v>74</v>
      </c>
      <c r="AY248" t="s">
        <v>74</v>
      </c>
      <c r="AZ248" t="s">
        <v>74</v>
      </c>
      <c r="BA248" t="s">
        <v>74</v>
      </c>
      <c r="BB248" t="s">
        <v>74</v>
      </c>
      <c r="BC248" t="s">
        <v>74</v>
      </c>
      <c r="BD248">
        <v>104979</v>
      </c>
      <c r="BE248" t="s">
        <v>5188</v>
      </c>
      <c r="BF248" t="str">
        <f>HYPERLINK("http://dx.doi.org/10.1016/j.jamda.2024.02.017","http://dx.doi.org/10.1016/j.jamda.2024.02.017")</f>
        <v>http://dx.doi.org/10.1016/j.jamda.2024.02.017</v>
      </c>
      <c r="BG248" t="s">
        <v>74</v>
      </c>
      <c r="BH248" t="s">
        <v>5189</v>
      </c>
      <c r="BI248">
        <v>12</v>
      </c>
      <c r="BJ248" t="s">
        <v>4257</v>
      </c>
      <c r="BK248" t="s">
        <v>182</v>
      </c>
      <c r="BL248" t="s">
        <v>4257</v>
      </c>
      <c r="BM248" t="s">
        <v>5190</v>
      </c>
      <c r="BN248">
        <v>38614134</v>
      </c>
      <c r="BO248" t="s">
        <v>74</v>
      </c>
      <c r="BP248" t="s">
        <v>74</v>
      </c>
      <c r="BQ248" t="s">
        <v>74</v>
      </c>
      <c r="BR248" t="s">
        <v>105</v>
      </c>
      <c r="BS248" t="s">
        <v>5191</v>
      </c>
      <c r="BT248" t="str">
        <f>HYPERLINK("https%3A%2F%2Fwww.webofscience.com%2Fwos%2Fwoscc%2Ffull-record%2FWOS:001246608800001","View Full Record in Web of Science")</f>
        <v>View Full Record in Web of Science</v>
      </c>
    </row>
    <row r="249" spans="1:72" x14ac:dyDescent="0.25">
      <c r="A249" t="s">
        <v>72</v>
      </c>
      <c r="B249" t="s">
        <v>5192</v>
      </c>
      <c r="C249" t="s">
        <v>74</v>
      </c>
      <c r="D249" t="s">
        <v>74</v>
      </c>
      <c r="E249" t="s">
        <v>74</v>
      </c>
      <c r="F249" t="s">
        <v>5193</v>
      </c>
      <c r="G249" t="s">
        <v>74</v>
      </c>
      <c r="H249" t="s">
        <v>74</v>
      </c>
      <c r="I249" t="s">
        <v>5194</v>
      </c>
      <c r="J249" t="s">
        <v>3219</v>
      </c>
      <c r="K249" t="s">
        <v>74</v>
      </c>
      <c r="L249" t="s">
        <v>74</v>
      </c>
      <c r="M249" t="s">
        <v>78</v>
      </c>
      <c r="N249" t="s">
        <v>79</v>
      </c>
      <c r="O249" t="s">
        <v>74</v>
      </c>
      <c r="P249" t="s">
        <v>74</v>
      </c>
      <c r="Q249" t="s">
        <v>74</v>
      </c>
      <c r="R249" t="s">
        <v>74</v>
      </c>
      <c r="S249" t="s">
        <v>74</v>
      </c>
      <c r="T249" t="s">
        <v>5195</v>
      </c>
      <c r="U249" t="s">
        <v>5196</v>
      </c>
      <c r="V249" t="s">
        <v>5197</v>
      </c>
      <c r="W249" t="s">
        <v>5198</v>
      </c>
      <c r="X249" t="s">
        <v>5199</v>
      </c>
      <c r="Y249" t="s">
        <v>5200</v>
      </c>
      <c r="Z249" t="s">
        <v>5201</v>
      </c>
      <c r="AA249" t="s">
        <v>5202</v>
      </c>
      <c r="AB249" t="s">
        <v>74</v>
      </c>
      <c r="AC249" t="s">
        <v>74</v>
      </c>
      <c r="AD249" t="s">
        <v>74</v>
      </c>
      <c r="AE249" t="s">
        <v>74</v>
      </c>
      <c r="AF249" t="s">
        <v>74</v>
      </c>
      <c r="AG249">
        <v>44</v>
      </c>
      <c r="AH249">
        <v>2</v>
      </c>
      <c r="AI249">
        <v>3</v>
      </c>
      <c r="AJ249">
        <v>3</v>
      </c>
      <c r="AK249">
        <v>23</v>
      </c>
      <c r="AL249" t="s">
        <v>346</v>
      </c>
      <c r="AM249" t="s">
        <v>227</v>
      </c>
      <c r="AN249" t="s">
        <v>347</v>
      </c>
      <c r="AO249" t="s">
        <v>3228</v>
      </c>
      <c r="AP249" t="s">
        <v>3229</v>
      </c>
      <c r="AQ249" t="s">
        <v>74</v>
      </c>
      <c r="AR249" t="s">
        <v>3230</v>
      </c>
      <c r="AS249" t="s">
        <v>3231</v>
      </c>
      <c r="AT249" t="s">
        <v>351</v>
      </c>
      <c r="AU249">
        <v>2023</v>
      </c>
      <c r="AV249">
        <v>102</v>
      </c>
      <c r="AW249">
        <v>2</v>
      </c>
      <c r="AX249" t="s">
        <v>74</v>
      </c>
      <c r="AY249" t="s">
        <v>74</v>
      </c>
      <c r="AZ249" t="s">
        <v>74</v>
      </c>
      <c r="BA249" t="s">
        <v>74</v>
      </c>
      <c r="BB249">
        <v>151</v>
      </c>
      <c r="BC249">
        <v>158</v>
      </c>
      <c r="BD249" t="s">
        <v>74</v>
      </c>
      <c r="BE249" t="s">
        <v>5203</v>
      </c>
      <c r="BF249" t="str">
        <f>HYPERLINK("http://dx.doi.org/10.1097/PHM.0000000000002058","http://dx.doi.org/10.1097/PHM.0000000000002058")</f>
        <v>http://dx.doi.org/10.1097/PHM.0000000000002058</v>
      </c>
      <c r="BG249" t="s">
        <v>74</v>
      </c>
      <c r="BH249" t="s">
        <v>74</v>
      </c>
      <c r="BI249">
        <v>8</v>
      </c>
      <c r="BJ249" t="s">
        <v>236</v>
      </c>
      <c r="BK249" t="s">
        <v>182</v>
      </c>
      <c r="BL249" t="s">
        <v>236</v>
      </c>
      <c r="BM249" t="s">
        <v>5204</v>
      </c>
      <c r="BN249">
        <v>35687763</v>
      </c>
      <c r="BO249" t="s">
        <v>74</v>
      </c>
      <c r="BP249" t="s">
        <v>74</v>
      </c>
      <c r="BQ249" t="s">
        <v>74</v>
      </c>
      <c r="BR249" t="s">
        <v>105</v>
      </c>
      <c r="BS249" t="s">
        <v>5205</v>
      </c>
      <c r="BT249" t="str">
        <f>HYPERLINK("https%3A%2F%2Fwww.webofscience.com%2Fwos%2Fwoscc%2Ffull-record%2FWOS:000913286900013","View Full Record in Web of Science")</f>
        <v>View Full Record in Web of Science</v>
      </c>
    </row>
    <row r="250" spans="1:72" x14ac:dyDescent="0.25">
      <c r="A250" t="s">
        <v>72</v>
      </c>
      <c r="B250" t="s">
        <v>5206</v>
      </c>
      <c r="C250" t="s">
        <v>74</v>
      </c>
      <c r="D250" t="s">
        <v>74</v>
      </c>
      <c r="E250" t="s">
        <v>74</v>
      </c>
      <c r="F250" t="s">
        <v>5207</v>
      </c>
      <c r="G250" t="s">
        <v>74</v>
      </c>
      <c r="H250" t="s">
        <v>74</v>
      </c>
      <c r="I250" t="s">
        <v>5208</v>
      </c>
      <c r="J250" t="s">
        <v>5209</v>
      </c>
      <c r="K250" t="s">
        <v>74</v>
      </c>
      <c r="L250" t="s">
        <v>74</v>
      </c>
      <c r="M250" t="s">
        <v>78</v>
      </c>
      <c r="N250" t="s">
        <v>449</v>
      </c>
      <c r="O250" t="s">
        <v>74</v>
      </c>
      <c r="P250" t="s">
        <v>74</v>
      </c>
      <c r="Q250" t="s">
        <v>74</v>
      </c>
      <c r="R250" t="s">
        <v>74</v>
      </c>
      <c r="S250" t="s">
        <v>74</v>
      </c>
      <c r="T250" t="s">
        <v>5210</v>
      </c>
      <c r="U250" t="s">
        <v>5211</v>
      </c>
      <c r="V250" t="s">
        <v>5212</v>
      </c>
      <c r="W250" t="s">
        <v>5213</v>
      </c>
      <c r="X250" t="s">
        <v>5214</v>
      </c>
      <c r="Y250" t="s">
        <v>5215</v>
      </c>
      <c r="Z250" t="s">
        <v>5216</v>
      </c>
      <c r="AA250" t="s">
        <v>74</v>
      </c>
      <c r="AB250" t="s">
        <v>74</v>
      </c>
      <c r="AC250" t="s">
        <v>74</v>
      </c>
      <c r="AD250" t="s">
        <v>74</v>
      </c>
      <c r="AE250" t="s">
        <v>74</v>
      </c>
      <c r="AF250" t="s">
        <v>74</v>
      </c>
      <c r="AG250">
        <v>40</v>
      </c>
      <c r="AH250">
        <v>0</v>
      </c>
      <c r="AI250">
        <v>0</v>
      </c>
      <c r="AJ250">
        <v>0</v>
      </c>
      <c r="AK250">
        <v>0</v>
      </c>
      <c r="AL250" t="s">
        <v>2596</v>
      </c>
      <c r="AM250" t="s">
        <v>2597</v>
      </c>
      <c r="AN250" t="s">
        <v>2598</v>
      </c>
      <c r="AO250" t="s">
        <v>5217</v>
      </c>
      <c r="AP250" t="s">
        <v>5218</v>
      </c>
      <c r="AQ250" t="s">
        <v>74</v>
      </c>
      <c r="AR250" t="s">
        <v>5219</v>
      </c>
      <c r="AS250" t="s">
        <v>5220</v>
      </c>
      <c r="AT250" t="s">
        <v>5221</v>
      </c>
      <c r="AU250">
        <v>2024</v>
      </c>
      <c r="AV250" t="s">
        <v>74</v>
      </c>
      <c r="AW250" t="s">
        <v>74</v>
      </c>
      <c r="AX250" t="s">
        <v>74</v>
      </c>
      <c r="AY250" t="s">
        <v>74</v>
      </c>
      <c r="AZ250" t="s">
        <v>74</v>
      </c>
      <c r="BA250" t="s">
        <v>74</v>
      </c>
      <c r="BB250" t="s">
        <v>74</v>
      </c>
      <c r="BC250" t="s">
        <v>74</v>
      </c>
      <c r="BD250" t="s">
        <v>74</v>
      </c>
      <c r="BE250" t="s">
        <v>5222</v>
      </c>
      <c r="BF250" t="str">
        <f>HYPERLINK("http://dx.doi.org/10.1142/S2424835524400010","http://dx.doi.org/10.1142/S2424835524400010")</f>
        <v>http://dx.doi.org/10.1142/S2424835524400010</v>
      </c>
      <c r="BG250" t="s">
        <v>74</v>
      </c>
      <c r="BH250" t="s">
        <v>3116</v>
      </c>
      <c r="BI250">
        <v>12</v>
      </c>
      <c r="BJ250" t="s">
        <v>4896</v>
      </c>
      <c r="BK250" t="s">
        <v>155</v>
      </c>
      <c r="BL250" t="s">
        <v>4896</v>
      </c>
      <c r="BM250" t="s">
        <v>5223</v>
      </c>
      <c r="BN250">
        <v>39051151</v>
      </c>
      <c r="BO250" t="s">
        <v>74</v>
      </c>
      <c r="BP250" t="s">
        <v>74</v>
      </c>
      <c r="BQ250" t="s">
        <v>74</v>
      </c>
      <c r="BR250" t="s">
        <v>105</v>
      </c>
      <c r="BS250" t="s">
        <v>5224</v>
      </c>
      <c r="BT250" t="str">
        <f>HYPERLINK("https%3A%2F%2Fwww.webofscience.com%2Fwos%2Fwoscc%2Ffull-record%2FWOS:001283016200002","View Full Record in Web of Science")</f>
        <v>View Full Record in Web of Science</v>
      </c>
    </row>
    <row r="251" spans="1:72" x14ac:dyDescent="0.25">
      <c r="A251" t="s">
        <v>72</v>
      </c>
      <c r="B251" t="s">
        <v>5225</v>
      </c>
      <c r="C251" t="s">
        <v>74</v>
      </c>
      <c r="D251" t="s">
        <v>74</v>
      </c>
      <c r="E251" t="s">
        <v>74</v>
      </c>
      <c r="F251" t="s">
        <v>5226</v>
      </c>
      <c r="G251" t="s">
        <v>74</v>
      </c>
      <c r="H251" t="s">
        <v>74</v>
      </c>
      <c r="I251" t="s">
        <v>5227</v>
      </c>
      <c r="J251" t="s">
        <v>5228</v>
      </c>
      <c r="K251" t="s">
        <v>74</v>
      </c>
      <c r="L251" t="s">
        <v>74</v>
      </c>
      <c r="M251" t="s">
        <v>78</v>
      </c>
      <c r="N251" t="s">
        <v>79</v>
      </c>
      <c r="O251" t="s">
        <v>74</v>
      </c>
      <c r="P251" t="s">
        <v>74</v>
      </c>
      <c r="Q251" t="s">
        <v>74</v>
      </c>
      <c r="R251" t="s">
        <v>74</v>
      </c>
      <c r="S251" t="s">
        <v>74</v>
      </c>
      <c r="T251" t="s">
        <v>5229</v>
      </c>
      <c r="U251" t="s">
        <v>5230</v>
      </c>
      <c r="V251" t="s">
        <v>5231</v>
      </c>
      <c r="W251" t="s">
        <v>5232</v>
      </c>
      <c r="X251" t="s">
        <v>5233</v>
      </c>
      <c r="Y251" t="s">
        <v>5234</v>
      </c>
      <c r="Z251" t="s">
        <v>5235</v>
      </c>
      <c r="AA251" t="s">
        <v>5236</v>
      </c>
      <c r="AB251" t="s">
        <v>5237</v>
      </c>
      <c r="AC251" t="s">
        <v>74</v>
      </c>
      <c r="AD251" t="s">
        <v>74</v>
      </c>
      <c r="AE251" t="s">
        <v>74</v>
      </c>
      <c r="AF251" t="s">
        <v>74</v>
      </c>
      <c r="AG251">
        <v>58</v>
      </c>
      <c r="AH251">
        <v>34</v>
      </c>
      <c r="AI251">
        <v>40</v>
      </c>
      <c r="AJ251">
        <v>2</v>
      </c>
      <c r="AK251">
        <v>15</v>
      </c>
      <c r="AL251" t="s">
        <v>5238</v>
      </c>
      <c r="AM251" t="s">
        <v>5239</v>
      </c>
      <c r="AN251" t="s">
        <v>5240</v>
      </c>
      <c r="AO251" t="s">
        <v>5241</v>
      </c>
      <c r="AP251" t="s">
        <v>5242</v>
      </c>
      <c r="AQ251" t="s">
        <v>74</v>
      </c>
      <c r="AR251" t="s">
        <v>5243</v>
      </c>
      <c r="AS251" t="s">
        <v>5244</v>
      </c>
      <c r="AT251" t="s">
        <v>420</v>
      </c>
      <c r="AU251">
        <v>2017</v>
      </c>
      <c r="AV251">
        <v>6</v>
      </c>
      <c r="AW251" t="s">
        <v>74</v>
      </c>
      <c r="AX251" t="s">
        <v>74</v>
      </c>
      <c r="AY251">
        <v>2</v>
      </c>
      <c r="AZ251" t="s">
        <v>74</v>
      </c>
      <c r="BA251" t="s">
        <v>74</v>
      </c>
      <c r="BB251" t="s">
        <v>74</v>
      </c>
      <c r="BC251" t="s">
        <v>74</v>
      </c>
      <c r="BD251" t="s">
        <v>5245</v>
      </c>
      <c r="BE251" t="s">
        <v>5246</v>
      </c>
      <c r="BF251" t="str">
        <f>HYPERLINK("http://dx.doi.org/10.21037/cco.2017.06.19","http://dx.doi.org/10.21037/cco.2017.06.19")</f>
        <v>http://dx.doi.org/10.21037/cco.2017.06.19</v>
      </c>
      <c r="BG251" t="s">
        <v>74</v>
      </c>
      <c r="BH251" t="s">
        <v>74</v>
      </c>
      <c r="BI251">
        <v>9</v>
      </c>
      <c r="BJ251" t="s">
        <v>4032</v>
      </c>
      <c r="BK251" t="s">
        <v>155</v>
      </c>
      <c r="BL251" t="s">
        <v>4032</v>
      </c>
      <c r="BM251" t="s">
        <v>5247</v>
      </c>
      <c r="BN251">
        <v>28917250</v>
      </c>
      <c r="BO251" t="s">
        <v>74</v>
      </c>
      <c r="BP251" t="s">
        <v>74</v>
      </c>
      <c r="BQ251" t="s">
        <v>74</v>
      </c>
      <c r="BR251" t="s">
        <v>105</v>
      </c>
      <c r="BS251" t="s">
        <v>5248</v>
      </c>
      <c r="BT251" t="str">
        <f>HYPERLINK("https%3A%2F%2Fwww.webofscience.com%2Fwos%2Fwoscc%2Ffull-record%2FWOS:000416585100005","View Full Record in Web of Science")</f>
        <v>View Full Record in Web of Science</v>
      </c>
    </row>
    <row r="252" spans="1:72" x14ac:dyDescent="0.25">
      <c r="A252" t="s">
        <v>72</v>
      </c>
      <c r="B252" t="s">
        <v>5249</v>
      </c>
      <c r="C252" t="s">
        <v>74</v>
      </c>
      <c r="D252" t="s">
        <v>74</v>
      </c>
      <c r="E252" t="s">
        <v>74</v>
      </c>
      <c r="F252" t="s">
        <v>5250</v>
      </c>
      <c r="G252" t="s">
        <v>74</v>
      </c>
      <c r="H252" t="s">
        <v>74</v>
      </c>
      <c r="I252" t="s">
        <v>5251</v>
      </c>
      <c r="J252" t="s">
        <v>5252</v>
      </c>
      <c r="K252" t="s">
        <v>74</v>
      </c>
      <c r="L252" t="s">
        <v>74</v>
      </c>
      <c r="M252" t="s">
        <v>78</v>
      </c>
      <c r="N252" t="s">
        <v>79</v>
      </c>
      <c r="O252" t="s">
        <v>74</v>
      </c>
      <c r="P252" t="s">
        <v>74</v>
      </c>
      <c r="Q252" t="s">
        <v>74</v>
      </c>
      <c r="R252" t="s">
        <v>74</v>
      </c>
      <c r="S252" t="s">
        <v>74</v>
      </c>
      <c r="T252" t="s">
        <v>5253</v>
      </c>
      <c r="U252" t="s">
        <v>5254</v>
      </c>
      <c r="V252" t="s">
        <v>5255</v>
      </c>
      <c r="W252" t="s">
        <v>5256</v>
      </c>
      <c r="X252" t="s">
        <v>5257</v>
      </c>
      <c r="Y252" t="s">
        <v>5258</v>
      </c>
      <c r="Z252" t="s">
        <v>5259</v>
      </c>
      <c r="AA252" t="s">
        <v>5260</v>
      </c>
      <c r="AB252" t="s">
        <v>5261</v>
      </c>
      <c r="AC252" t="s">
        <v>74</v>
      </c>
      <c r="AD252" t="s">
        <v>74</v>
      </c>
      <c r="AE252" t="s">
        <v>74</v>
      </c>
      <c r="AF252" t="s">
        <v>74</v>
      </c>
      <c r="AG252">
        <v>50</v>
      </c>
      <c r="AH252">
        <v>1</v>
      </c>
      <c r="AI252">
        <v>1</v>
      </c>
      <c r="AJ252">
        <v>3</v>
      </c>
      <c r="AK252">
        <v>4</v>
      </c>
      <c r="AL252" t="s">
        <v>5262</v>
      </c>
      <c r="AM252" t="s">
        <v>2417</v>
      </c>
      <c r="AN252" t="s">
        <v>5263</v>
      </c>
      <c r="AO252" t="s">
        <v>5264</v>
      </c>
      <c r="AP252" t="s">
        <v>5265</v>
      </c>
      <c r="AQ252" t="s">
        <v>74</v>
      </c>
      <c r="AR252" t="s">
        <v>5266</v>
      </c>
      <c r="AS252" t="s">
        <v>5267</v>
      </c>
      <c r="AT252" t="s">
        <v>151</v>
      </c>
      <c r="AU252">
        <v>2023</v>
      </c>
      <c r="AV252">
        <v>46</v>
      </c>
      <c r="AW252" t="s">
        <v>74</v>
      </c>
      <c r="AX252" t="s">
        <v>74</v>
      </c>
      <c r="AY252">
        <v>1</v>
      </c>
      <c r="AZ252" t="s">
        <v>74</v>
      </c>
      <c r="BA252" t="s">
        <v>74</v>
      </c>
      <c r="BB252" t="s">
        <v>74</v>
      </c>
      <c r="BC252" t="s">
        <v>74</v>
      </c>
      <c r="BD252" t="s">
        <v>5268</v>
      </c>
      <c r="BE252" t="s">
        <v>5269</v>
      </c>
      <c r="BF252" t="str">
        <f>HYPERLINK("http://dx.doi.org/10.12771/emj.2023.e23","http://dx.doi.org/10.12771/emj.2023.e23")</f>
        <v>http://dx.doi.org/10.12771/emj.2023.e23</v>
      </c>
      <c r="BG252" t="s">
        <v>74</v>
      </c>
      <c r="BH252" t="s">
        <v>74</v>
      </c>
      <c r="BI252">
        <v>43</v>
      </c>
      <c r="BJ252" t="s">
        <v>128</v>
      </c>
      <c r="BK252" t="s">
        <v>155</v>
      </c>
      <c r="BL252" t="s">
        <v>129</v>
      </c>
      <c r="BM252" t="s">
        <v>5270</v>
      </c>
      <c r="BN252" t="s">
        <v>74</v>
      </c>
      <c r="BO252" t="s">
        <v>185</v>
      </c>
      <c r="BP252" t="s">
        <v>74</v>
      </c>
      <c r="BQ252" t="s">
        <v>74</v>
      </c>
      <c r="BR252" t="s">
        <v>105</v>
      </c>
      <c r="BS252" t="s">
        <v>5271</v>
      </c>
      <c r="BT252" t="str">
        <f>HYPERLINK("https%3A%2F%2Fwww.webofscience.com%2Fwos%2Fwoscc%2Ffull-record%2FWOS:001136687700008","View Full Record in Web of Science")</f>
        <v>View Full Record in Web of Science</v>
      </c>
    </row>
    <row r="253" spans="1:72" x14ac:dyDescent="0.25">
      <c r="A253" t="s">
        <v>72</v>
      </c>
      <c r="B253" t="s">
        <v>5272</v>
      </c>
      <c r="C253" t="s">
        <v>74</v>
      </c>
      <c r="D253" t="s">
        <v>74</v>
      </c>
      <c r="E253" t="s">
        <v>74</v>
      </c>
      <c r="F253" t="s">
        <v>5273</v>
      </c>
      <c r="G253" t="s">
        <v>74</v>
      </c>
      <c r="H253" t="s">
        <v>74</v>
      </c>
      <c r="I253" t="s">
        <v>5274</v>
      </c>
      <c r="J253" t="s">
        <v>4018</v>
      </c>
      <c r="K253" t="s">
        <v>74</v>
      </c>
      <c r="L253" t="s">
        <v>74</v>
      </c>
      <c r="M253" t="s">
        <v>78</v>
      </c>
      <c r="N253" t="s">
        <v>79</v>
      </c>
      <c r="O253" t="s">
        <v>74</v>
      </c>
      <c r="P253" t="s">
        <v>74</v>
      </c>
      <c r="Q253" t="s">
        <v>74</v>
      </c>
      <c r="R253" t="s">
        <v>74</v>
      </c>
      <c r="S253" t="s">
        <v>74</v>
      </c>
      <c r="T253" t="s">
        <v>5275</v>
      </c>
      <c r="U253" t="s">
        <v>5276</v>
      </c>
      <c r="V253" t="s">
        <v>5277</v>
      </c>
      <c r="W253" t="s">
        <v>5278</v>
      </c>
      <c r="X253" t="s">
        <v>5279</v>
      </c>
      <c r="Y253" t="s">
        <v>5280</v>
      </c>
      <c r="Z253" t="s">
        <v>5281</v>
      </c>
      <c r="AA253" t="s">
        <v>5282</v>
      </c>
      <c r="AB253" t="s">
        <v>5283</v>
      </c>
      <c r="AC253" t="s">
        <v>5284</v>
      </c>
      <c r="AD253" t="s">
        <v>5285</v>
      </c>
      <c r="AE253" t="s">
        <v>5286</v>
      </c>
      <c r="AF253" t="s">
        <v>74</v>
      </c>
      <c r="AG253">
        <v>69</v>
      </c>
      <c r="AH253">
        <v>16</v>
      </c>
      <c r="AI253">
        <v>16</v>
      </c>
      <c r="AJ253">
        <v>0</v>
      </c>
      <c r="AK253">
        <v>5</v>
      </c>
      <c r="AL253" t="s">
        <v>392</v>
      </c>
      <c r="AM253" t="s">
        <v>393</v>
      </c>
      <c r="AN253" t="s">
        <v>394</v>
      </c>
      <c r="AO253" t="s">
        <v>4028</v>
      </c>
      <c r="AP253" t="s">
        <v>74</v>
      </c>
      <c r="AQ253" t="s">
        <v>74</v>
      </c>
      <c r="AR253" t="s">
        <v>4029</v>
      </c>
      <c r="AS253" t="s">
        <v>4030</v>
      </c>
      <c r="AT253" t="s">
        <v>5287</v>
      </c>
      <c r="AU253">
        <v>2022</v>
      </c>
      <c r="AV253">
        <v>12</v>
      </c>
      <c r="AW253" t="s">
        <v>74</v>
      </c>
      <c r="AX253" t="s">
        <v>74</v>
      </c>
      <c r="AY253" t="s">
        <v>74</v>
      </c>
      <c r="AZ253" t="s">
        <v>74</v>
      </c>
      <c r="BA253" t="s">
        <v>74</v>
      </c>
      <c r="BB253" t="s">
        <v>74</v>
      </c>
      <c r="BC253" t="s">
        <v>74</v>
      </c>
      <c r="BD253">
        <v>991838</v>
      </c>
      <c r="BE253" t="s">
        <v>5288</v>
      </c>
      <c r="BF253" t="str">
        <f>HYPERLINK("http://dx.doi.org/10.3389/fonc.2022.991838","http://dx.doi.org/10.3389/fonc.2022.991838")</f>
        <v>http://dx.doi.org/10.3389/fonc.2022.991838</v>
      </c>
      <c r="BG253" t="s">
        <v>74</v>
      </c>
      <c r="BH253" t="s">
        <v>74</v>
      </c>
      <c r="BI253">
        <v>9</v>
      </c>
      <c r="BJ253" t="s">
        <v>4032</v>
      </c>
      <c r="BK253" t="s">
        <v>182</v>
      </c>
      <c r="BL253" t="s">
        <v>4032</v>
      </c>
      <c r="BM253" t="s">
        <v>5289</v>
      </c>
      <c r="BN253">
        <v>36185196</v>
      </c>
      <c r="BO253" t="s">
        <v>131</v>
      </c>
      <c r="BP253" t="s">
        <v>74</v>
      </c>
      <c r="BQ253" t="s">
        <v>74</v>
      </c>
      <c r="BR253" t="s">
        <v>105</v>
      </c>
      <c r="BS253" t="s">
        <v>5290</v>
      </c>
      <c r="BT253" t="str">
        <f>HYPERLINK("https%3A%2F%2Fwww.webofscience.com%2Fwos%2Fwoscc%2Ffull-record%2FWOS:000862143500001","View Full Record in Web of Science")</f>
        <v>View Full Record in Web of Science</v>
      </c>
    </row>
    <row r="254" spans="1:72" x14ac:dyDescent="0.25">
      <c r="A254" t="s">
        <v>72</v>
      </c>
      <c r="B254" t="s">
        <v>5291</v>
      </c>
      <c r="C254" t="s">
        <v>74</v>
      </c>
      <c r="D254" t="s">
        <v>74</v>
      </c>
      <c r="E254" t="s">
        <v>74</v>
      </c>
      <c r="F254" t="s">
        <v>5292</v>
      </c>
      <c r="G254" t="s">
        <v>74</v>
      </c>
      <c r="H254" t="s">
        <v>74</v>
      </c>
      <c r="I254" t="s">
        <v>5293</v>
      </c>
      <c r="J254" t="s">
        <v>5294</v>
      </c>
      <c r="K254" t="s">
        <v>74</v>
      </c>
      <c r="L254" t="s">
        <v>74</v>
      </c>
      <c r="M254" t="s">
        <v>78</v>
      </c>
      <c r="N254" t="s">
        <v>79</v>
      </c>
      <c r="O254" t="s">
        <v>74</v>
      </c>
      <c r="P254" t="s">
        <v>74</v>
      </c>
      <c r="Q254" t="s">
        <v>74</v>
      </c>
      <c r="R254" t="s">
        <v>74</v>
      </c>
      <c r="S254" t="s">
        <v>74</v>
      </c>
      <c r="T254" t="s">
        <v>74</v>
      </c>
      <c r="U254" t="s">
        <v>5295</v>
      </c>
      <c r="V254" t="s">
        <v>5296</v>
      </c>
      <c r="W254" t="s">
        <v>5297</v>
      </c>
      <c r="X254" t="s">
        <v>5298</v>
      </c>
      <c r="Y254" t="s">
        <v>5299</v>
      </c>
      <c r="Z254" t="s">
        <v>5300</v>
      </c>
      <c r="AA254" t="s">
        <v>5301</v>
      </c>
      <c r="AB254" t="s">
        <v>74</v>
      </c>
      <c r="AC254" t="s">
        <v>74</v>
      </c>
      <c r="AD254" t="s">
        <v>74</v>
      </c>
      <c r="AE254" t="s">
        <v>74</v>
      </c>
      <c r="AF254" t="s">
        <v>74</v>
      </c>
      <c r="AG254">
        <v>92</v>
      </c>
      <c r="AH254">
        <v>26</v>
      </c>
      <c r="AI254">
        <v>26</v>
      </c>
      <c r="AJ254">
        <v>1</v>
      </c>
      <c r="AK254">
        <v>6</v>
      </c>
      <c r="AL254" t="s">
        <v>346</v>
      </c>
      <c r="AM254" t="s">
        <v>227</v>
      </c>
      <c r="AN254" t="s">
        <v>347</v>
      </c>
      <c r="AO254" t="s">
        <v>5302</v>
      </c>
      <c r="AP254" t="s">
        <v>5303</v>
      </c>
      <c r="AQ254" t="s">
        <v>74</v>
      </c>
      <c r="AR254" t="s">
        <v>5304</v>
      </c>
      <c r="AS254" t="s">
        <v>5305</v>
      </c>
      <c r="AT254" t="s">
        <v>1471</v>
      </c>
      <c r="AU254">
        <v>2013</v>
      </c>
      <c r="AV254">
        <v>68</v>
      </c>
      <c r="AW254">
        <v>3</v>
      </c>
      <c r="AX254" t="s">
        <v>74</v>
      </c>
      <c r="AY254" t="s">
        <v>74</v>
      </c>
      <c r="AZ254" t="s">
        <v>74</v>
      </c>
      <c r="BA254" t="s">
        <v>74</v>
      </c>
      <c r="BB254">
        <v>215</v>
      </c>
      <c r="BC254">
        <v>227</v>
      </c>
      <c r="BD254" t="s">
        <v>74</v>
      </c>
      <c r="BE254" t="s">
        <v>5306</v>
      </c>
      <c r="BF254" t="str">
        <f>HYPERLINK("http://dx.doi.org/10.1097/OGX.0b013e31827f5119","http://dx.doi.org/10.1097/OGX.0b013e31827f5119")</f>
        <v>http://dx.doi.org/10.1097/OGX.0b013e31827f5119</v>
      </c>
      <c r="BG254" t="s">
        <v>74</v>
      </c>
      <c r="BH254" t="s">
        <v>74</v>
      </c>
      <c r="BI254">
        <v>13</v>
      </c>
      <c r="BJ254" t="s">
        <v>4488</v>
      </c>
      <c r="BK254" t="s">
        <v>182</v>
      </c>
      <c r="BL254" t="s">
        <v>4488</v>
      </c>
      <c r="BM254" t="s">
        <v>5307</v>
      </c>
      <c r="BN254">
        <v>23945838</v>
      </c>
      <c r="BO254" t="s">
        <v>74</v>
      </c>
      <c r="BP254" t="s">
        <v>74</v>
      </c>
      <c r="BQ254" t="s">
        <v>74</v>
      </c>
      <c r="BR254" t="s">
        <v>105</v>
      </c>
      <c r="BS254" t="s">
        <v>5308</v>
      </c>
      <c r="BT254" t="str">
        <f>HYPERLINK("https%3A%2F%2Fwww.webofscience.com%2Fwos%2Fwoscc%2Ffull-record%2FWOS:000315526600022","View Full Record in Web of Science")</f>
        <v>View Full Record in Web of Science</v>
      </c>
    </row>
    <row r="255" spans="1:72" x14ac:dyDescent="0.25">
      <c r="A255" t="s">
        <v>72</v>
      </c>
      <c r="B255" t="s">
        <v>5309</v>
      </c>
      <c r="C255" t="s">
        <v>74</v>
      </c>
      <c r="D255" t="s">
        <v>74</v>
      </c>
      <c r="E255" t="s">
        <v>74</v>
      </c>
      <c r="F255" t="s">
        <v>5310</v>
      </c>
      <c r="G255" t="s">
        <v>74</v>
      </c>
      <c r="H255" t="s">
        <v>74</v>
      </c>
      <c r="I255" t="s">
        <v>5311</v>
      </c>
      <c r="J255" t="s">
        <v>5312</v>
      </c>
      <c r="K255" t="s">
        <v>74</v>
      </c>
      <c r="L255" t="s">
        <v>74</v>
      </c>
      <c r="M255" t="s">
        <v>78</v>
      </c>
      <c r="N255" t="s">
        <v>79</v>
      </c>
      <c r="O255" t="s">
        <v>74</v>
      </c>
      <c r="P255" t="s">
        <v>74</v>
      </c>
      <c r="Q255" t="s">
        <v>74</v>
      </c>
      <c r="R255" t="s">
        <v>74</v>
      </c>
      <c r="S255" t="s">
        <v>74</v>
      </c>
      <c r="T255" t="s">
        <v>5313</v>
      </c>
      <c r="U255" t="s">
        <v>5314</v>
      </c>
      <c r="V255" t="s">
        <v>5315</v>
      </c>
      <c r="W255" t="s">
        <v>5316</v>
      </c>
      <c r="X255" t="s">
        <v>5317</v>
      </c>
      <c r="Y255" t="s">
        <v>5318</v>
      </c>
      <c r="Z255" t="s">
        <v>5319</v>
      </c>
      <c r="AA255" t="s">
        <v>5320</v>
      </c>
      <c r="AB255" t="s">
        <v>5321</v>
      </c>
      <c r="AC255" t="s">
        <v>2826</v>
      </c>
      <c r="AD255" t="s">
        <v>2827</v>
      </c>
      <c r="AE255" t="s">
        <v>5322</v>
      </c>
      <c r="AF255" t="s">
        <v>74</v>
      </c>
      <c r="AG255">
        <v>84</v>
      </c>
      <c r="AH255">
        <v>12</v>
      </c>
      <c r="AI255">
        <v>12</v>
      </c>
      <c r="AJ255">
        <v>3</v>
      </c>
      <c r="AK255">
        <v>12</v>
      </c>
      <c r="AL255" t="s">
        <v>3675</v>
      </c>
      <c r="AM255" t="s">
        <v>173</v>
      </c>
      <c r="AN255" t="s">
        <v>3676</v>
      </c>
      <c r="AO255" t="s">
        <v>5323</v>
      </c>
      <c r="AP255" t="s">
        <v>5324</v>
      </c>
      <c r="AQ255" t="s">
        <v>74</v>
      </c>
      <c r="AR255" t="s">
        <v>5325</v>
      </c>
      <c r="AS255" t="s">
        <v>5326</v>
      </c>
      <c r="AT255" t="s">
        <v>634</v>
      </c>
      <c r="AU255">
        <v>2023</v>
      </c>
      <c r="AV255">
        <v>176</v>
      </c>
      <c r="AW255" t="s">
        <v>74</v>
      </c>
      <c r="AX255" t="s">
        <v>74</v>
      </c>
      <c r="AY255" t="s">
        <v>74</v>
      </c>
      <c r="AZ255" t="s">
        <v>74</v>
      </c>
      <c r="BA255" t="s">
        <v>74</v>
      </c>
      <c r="BB255">
        <v>127</v>
      </c>
      <c r="BC255">
        <v>139</v>
      </c>
      <c r="BD255" t="s">
        <v>74</v>
      </c>
      <c r="BE255" t="s">
        <v>5327</v>
      </c>
      <c r="BF255" t="str">
        <f>HYPERLINK("http://dx.doi.org/10.1016/j.wneu.2023.01.025","http://dx.doi.org/10.1016/j.wneu.2023.01.025")</f>
        <v>http://dx.doi.org/10.1016/j.wneu.2023.01.025</v>
      </c>
      <c r="BG255" t="s">
        <v>74</v>
      </c>
      <c r="BH255" t="s">
        <v>563</v>
      </c>
      <c r="BI255">
        <v>13</v>
      </c>
      <c r="BJ255" t="s">
        <v>3256</v>
      </c>
      <c r="BK255" t="s">
        <v>182</v>
      </c>
      <c r="BL255" t="s">
        <v>1508</v>
      </c>
      <c r="BM255" t="s">
        <v>5328</v>
      </c>
      <c r="BN255">
        <v>36639101</v>
      </c>
      <c r="BO255" t="s">
        <v>1052</v>
      </c>
      <c r="BP255" t="s">
        <v>74</v>
      </c>
      <c r="BQ255" t="s">
        <v>74</v>
      </c>
      <c r="BR255" t="s">
        <v>105</v>
      </c>
      <c r="BS255" t="s">
        <v>5329</v>
      </c>
      <c r="BT255" t="str">
        <f>HYPERLINK("https%3A%2F%2Fwww.webofscience.com%2Fwos%2Fwoscc%2Ffull-record%2FWOS:001053540700001","View Full Record in Web of Science")</f>
        <v>View Full Record in Web of Science</v>
      </c>
    </row>
    <row r="256" spans="1:72" x14ac:dyDescent="0.25">
      <c r="A256" t="s">
        <v>72</v>
      </c>
      <c r="B256" t="s">
        <v>5330</v>
      </c>
      <c r="C256" t="s">
        <v>74</v>
      </c>
      <c r="D256" t="s">
        <v>74</v>
      </c>
      <c r="E256" t="s">
        <v>74</v>
      </c>
      <c r="F256" t="s">
        <v>5331</v>
      </c>
      <c r="G256" t="s">
        <v>74</v>
      </c>
      <c r="H256" t="s">
        <v>74</v>
      </c>
      <c r="I256" t="s">
        <v>5332</v>
      </c>
      <c r="J256" t="s">
        <v>5333</v>
      </c>
      <c r="K256" t="s">
        <v>74</v>
      </c>
      <c r="L256" t="s">
        <v>74</v>
      </c>
      <c r="M256" t="s">
        <v>78</v>
      </c>
      <c r="N256" t="s">
        <v>79</v>
      </c>
      <c r="O256" t="s">
        <v>74</v>
      </c>
      <c r="P256" t="s">
        <v>74</v>
      </c>
      <c r="Q256" t="s">
        <v>74</v>
      </c>
      <c r="R256" t="s">
        <v>74</v>
      </c>
      <c r="S256" t="s">
        <v>74</v>
      </c>
      <c r="T256" t="s">
        <v>5334</v>
      </c>
      <c r="U256" t="s">
        <v>5335</v>
      </c>
      <c r="V256" t="s">
        <v>5336</v>
      </c>
      <c r="W256" t="s">
        <v>5337</v>
      </c>
      <c r="X256" t="s">
        <v>5338</v>
      </c>
      <c r="Y256" t="s">
        <v>5339</v>
      </c>
      <c r="Z256" t="s">
        <v>5340</v>
      </c>
      <c r="AA256" t="s">
        <v>74</v>
      </c>
      <c r="AB256" t="s">
        <v>74</v>
      </c>
      <c r="AC256" t="s">
        <v>74</v>
      </c>
      <c r="AD256" t="s">
        <v>74</v>
      </c>
      <c r="AE256" t="s">
        <v>74</v>
      </c>
      <c r="AF256" t="s">
        <v>74</v>
      </c>
      <c r="AG256">
        <v>164</v>
      </c>
      <c r="AH256">
        <v>6</v>
      </c>
      <c r="AI256">
        <v>6</v>
      </c>
      <c r="AJ256">
        <v>2</v>
      </c>
      <c r="AK256">
        <v>14</v>
      </c>
      <c r="AL256" t="s">
        <v>5341</v>
      </c>
      <c r="AM256" t="s">
        <v>5342</v>
      </c>
      <c r="AN256" t="s">
        <v>5343</v>
      </c>
      <c r="AO256" t="s">
        <v>5344</v>
      </c>
      <c r="AP256" t="s">
        <v>5345</v>
      </c>
      <c r="AQ256" t="s">
        <v>74</v>
      </c>
      <c r="AR256" t="s">
        <v>5346</v>
      </c>
      <c r="AS256" t="s">
        <v>5347</v>
      </c>
      <c r="AT256" t="s">
        <v>151</v>
      </c>
      <c r="AU256">
        <v>2022</v>
      </c>
      <c r="AV256">
        <v>13</v>
      </c>
      <c r="AW256">
        <v>4</v>
      </c>
      <c r="AX256" t="s">
        <v>74</v>
      </c>
      <c r="AY256" t="s">
        <v>74</v>
      </c>
      <c r="AZ256" t="s">
        <v>152</v>
      </c>
      <c r="BA256" t="s">
        <v>74</v>
      </c>
      <c r="BB256">
        <v>615</v>
      </c>
      <c r="BC256">
        <v>632</v>
      </c>
      <c r="BD256" t="s">
        <v>74</v>
      </c>
      <c r="BE256" t="s">
        <v>5348</v>
      </c>
      <c r="BF256" t="str">
        <f>HYPERLINK("http://dx.doi.org/10.1007/s13167-022-00306-0","http://dx.doi.org/10.1007/s13167-022-00306-0")</f>
        <v>http://dx.doi.org/10.1007/s13167-022-00306-0</v>
      </c>
      <c r="BG256" t="s">
        <v>74</v>
      </c>
      <c r="BH256" t="s">
        <v>74</v>
      </c>
      <c r="BI256">
        <v>18</v>
      </c>
      <c r="BJ256" t="s">
        <v>5349</v>
      </c>
      <c r="BK256" t="s">
        <v>182</v>
      </c>
      <c r="BL256" t="s">
        <v>5350</v>
      </c>
      <c r="BM256" t="s">
        <v>5351</v>
      </c>
      <c r="BN256">
        <v>36505896</v>
      </c>
      <c r="BO256" t="s">
        <v>662</v>
      </c>
      <c r="BP256" t="s">
        <v>74</v>
      </c>
      <c r="BQ256" t="s">
        <v>74</v>
      </c>
      <c r="BR256" t="s">
        <v>105</v>
      </c>
      <c r="BS256" t="s">
        <v>5352</v>
      </c>
      <c r="BT256" t="str">
        <f>HYPERLINK("https%3A%2F%2Fwww.webofscience.com%2Fwos%2Fwoscc%2Ffull-record%2FWOS:000893770100006","View Full Record in Web of Science")</f>
        <v>View Full Record in Web of Science</v>
      </c>
    </row>
    <row r="257" spans="1:72" x14ac:dyDescent="0.25">
      <c r="A257" t="s">
        <v>72</v>
      </c>
      <c r="B257" t="s">
        <v>5353</v>
      </c>
      <c r="C257" t="s">
        <v>74</v>
      </c>
      <c r="D257" t="s">
        <v>74</v>
      </c>
      <c r="E257" t="s">
        <v>74</v>
      </c>
      <c r="F257" t="s">
        <v>5354</v>
      </c>
      <c r="G257" t="s">
        <v>74</v>
      </c>
      <c r="H257" t="s">
        <v>74</v>
      </c>
      <c r="I257" t="s">
        <v>5355</v>
      </c>
      <c r="J257" t="s">
        <v>5356</v>
      </c>
      <c r="K257" t="s">
        <v>74</v>
      </c>
      <c r="L257" t="s">
        <v>74</v>
      </c>
      <c r="M257" t="s">
        <v>78</v>
      </c>
      <c r="N257" t="s">
        <v>79</v>
      </c>
      <c r="O257" t="s">
        <v>74</v>
      </c>
      <c r="P257" t="s">
        <v>74</v>
      </c>
      <c r="Q257" t="s">
        <v>74</v>
      </c>
      <c r="R257" t="s">
        <v>74</v>
      </c>
      <c r="S257" t="s">
        <v>74</v>
      </c>
      <c r="T257" t="s">
        <v>74</v>
      </c>
      <c r="U257" t="s">
        <v>5357</v>
      </c>
      <c r="V257" t="s">
        <v>5358</v>
      </c>
      <c r="W257" t="s">
        <v>5359</v>
      </c>
      <c r="X257" t="s">
        <v>5360</v>
      </c>
      <c r="Y257" t="s">
        <v>5361</v>
      </c>
      <c r="Z257" t="s">
        <v>5362</v>
      </c>
      <c r="AA257" t="s">
        <v>5363</v>
      </c>
      <c r="AB257" t="s">
        <v>5364</v>
      </c>
      <c r="AC257" t="s">
        <v>5365</v>
      </c>
      <c r="AD257" t="s">
        <v>5366</v>
      </c>
      <c r="AE257" t="s">
        <v>5367</v>
      </c>
      <c r="AF257" t="s">
        <v>74</v>
      </c>
      <c r="AG257">
        <v>99</v>
      </c>
      <c r="AH257">
        <v>7</v>
      </c>
      <c r="AI257">
        <v>7</v>
      </c>
      <c r="AJ257">
        <v>0</v>
      </c>
      <c r="AK257">
        <v>8</v>
      </c>
      <c r="AL257" t="s">
        <v>5368</v>
      </c>
      <c r="AM257" t="s">
        <v>173</v>
      </c>
      <c r="AN257" t="s">
        <v>5369</v>
      </c>
      <c r="AO257" t="s">
        <v>5370</v>
      </c>
      <c r="AP257" t="s">
        <v>74</v>
      </c>
      <c r="AQ257" t="s">
        <v>74</v>
      </c>
      <c r="AR257" t="s">
        <v>5356</v>
      </c>
      <c r="AS257" t="s">
        <v>4896</v>
      </c>
      <c r="AT257" t="s">
        <v>634</v>
      </c>
      <c r="AU257">
        <v>2023</v>
      </c>
      <c r="AV257">
        <v>174</v>
      </c>
      <c r="AW257">
        <v>2</v>
      </c>
      <c r="AX257" t="s">
        <v>74</v>
      </c>
      <c r="AY257" t="s">
        <v>74</v>
      </c>
      <c r="AZ257" t="s">
        <v>74</v>
      </c>
      <c r="BA257" t="s">
        <v>74</v>
      </c>
      <c r="BB257">
        <v>214</v>
      </c>
      <c r="BC257">
        <v>221</v>
      </c>
      <c r="BD257" t="s">
        <v>74</v>
      </c>
      <c r="BE257" t="s">
        <v>5371</v>
      </c>
      <c r="BF257" t="str">
        <f>HYPERLINK("http://dx.doi.org/10.1016/j.surg.2023.04.003","http://dx.doi.org/10.1016/j.surg.2023.04.003")</f>
        <v>http://dx.doi.org/10.1016/j.surg.2023.04.003</v>
      </c>
      <c r="BG257" t="s">
        <v>74</v>
      </c>
      <c r="BH257" t="s">
        <v>2941</v>
      </c>
      <c r="BI257">
        <v>8</v>
      </c>
      <c r="BJ257" t="s">
        <v>4896</v>
      </c>
      <c r="BK257" t="s">
        <v>182</v>
      </c>
      <c r="BL257" t="s">
        <v>4896</v>
      </c>
      <c r="BM257" t="s">
        <v>5372</v>
      </c>
      <c r="BN257">
        <v>37202309</v>
      </c>
      <c r="BO257" t="s">
        <v>1052</v>
      </c>
      <c r="BP257" t="s">
        <v>74</v>
      </c>
      <c r="BQ257" t="s">
        <v>74</v>
      </c>
      <c r="BR257" t="s">
        <v>105</v>
      </c>
      <c r="BS257" t="s">
        <v>5373</v>
      </c>
      <c r="BT257" t="str">
        <f>HYPERLINK("https%3A%2F%2Fwww.webofscience.com%2Fwos%2Fwoscc%2Ffull-record%2FWOS:001051350500001","View Full Record in Web of Science")</f>
        <v>View Full Record in Web of Science</v>
      </c>
    </row>
    <row r="258" spans="1:72" x14ac:dyDescent="0.25">
      <c r="A258" t="s">
        <v>72</v>
      </c>
      <c r="B258" t="s">
        <v>5374</v>
      </c>
      <c r="C258" t="s">
        <v>74</v>
      </c>
      <c r="D258" t="s">
        <v>74</v>
      </c>
      <c r="E258" t="s">
        <v>74</v>
      </c>
      <c r="F258" t="s">
        <v>5375</v>
      </c>
      <c r="G258" t="s">
        <v>74</v>
      </c>
      <c r="H258" t="s">
        <v>74</v>
      </c>
      <c r="I258" t="s">
        <v>5376</v>
      </c>
      <c r="J258" t="s">
        <v>5377</v>
      </c>
      <c r="K258" t="s">
        <v>74</v>
      </c>
      <c r="L258" t="s">
        <v>74</v>
      </c>
      <c r="M258" t="s">
        <v>78</v>
      </c>
      <c r="N258" t="s">
        <v>449</v>
      </c>
      <c r="O258" t="s">
        <v>74</v>
      </c>
      <c r="P258" t="s">
        <v>74</v>
      </c>
      <c r="Q258" t="s">
        <v>74</v>
      </c>
      <c r="R258" t="s">
        <v>74</v>
      </c>
      <c r="S258" t="s">
        <v>74</v>
      </c>
      <c r="T258" t="s">
        <v>5378</v>
      </c>
      <c r="U258" t="s">
        <v>5379</v>
      </c>
      <c r="V258" t="s">
        <v>5380</v>
      </c>
      <c r="W258" t="s">
        <v>5381</v>
      </c>
      <c r="X258" t="s">
        <v>5382</v>
      </c>
      <c r="Y258" t="s">
        <v>5383</v>
      </c>
      <c r="Z258" t="s">
        <v>5384</v>
      </c>
      <c r="AA258" t="s">
        <v>5385</v>
      </c>
      <c r="AB258" t="s">
        <v>74</v>
      </c>
      <c r="AC258" t="s">
        <v>5386</v>
      </c>
      <c r="AD258" t="s">
        <v>5387</v>
      </c>
      <c r="AE258" t="s">
        <v>5388</v>
      </c>
      <c r="AF258" t="s">
        <v>74</v>
      </c>
      <c r="AG258">
        <v>96</v>
      </c>
      <c r="AH258">
        <v>0</v>
      </c>
      <c r="AI258">
        <v>0</v>
      </c>
      <c r="AJ258">
        <v>15</v>
      </c>
      <c r="AK258">
        <v>15</v>
      </c>
      <c r="AL258" t="s">
        <v>297</v>
      </c>
      <c r="AM258" t="s">
        <v>298</v>
      </c>
      <c r="AN258" t="s">
        <v>299</v>
      </c>
      <c r="AO258" t="s">
        <v>5389</v>
      </c>
      <c r="AP258" t="s">
        <v>5390</v>
      </c>
      <c r="AQ258" t="s">
        <v>74</v>
      </c>
      <c r="AR258" t="s">
        <v>5377</v>
      </c>
      <c r="AS258" t="s">
        <v>5391</v>
      </c>
      <c r="AT258" t="s">
        <v>5392</v>
      </c>
      <c r="AU258">
        <v>2025</v>
      </c>
      <c r="AV258" t="s">
        <v>74</v>
      </c>
      <c r="AW258" t="s">
        <v>74</v>
      </c>
      <c r="AX258" t="s">
        <v>74</v>
      </c>
      <c r="AY258" t="s">
        <v>74</v>
      </c>
      <c r="AZ258" t="s">
        <v>74</v>
      </c>
      <c r="BA258" t="s">
        <v>74</v>
      </c>
      <c r="BB258" t="s">
        <v>74</v>
      </c>
      <c r="BC258" t="s">
        <v>74</v>
      </c>
      <c r="BD258" t="s">
        <v>74</v>
      </c>
      <c r="BE258" t="s">
        <v>5393</v>
      </c>
      <c r="BF258" t="str">
        <f>HYPERLINK("http://dx.doi.org/10.1002/bmm2.70004","http://dx.doi.org/10.1002/bmm2.70004")</f>
        <v>http://dx.doi.org/10.1002/bmm2.70004</v>
      </c>
      <c r="BG258" t="s">
        <v>74</v>
      </c>
      <c r="BH258" t="s">
        <v>5394</v>
      </c>
      <c r="BI258">
        <v>23</v>
      </c>
      <c r="BJ258" t="s">
        <v>5395</v>
      </c>
      <c r="BK258" t="s">
        <v>155</v>
      </c>
      <c r="BL258" t="s">
        <v>5396</v>
      </c>
      <c r="BM258" t="s">
        <v>5397</v>
      </c>
      <c r="BN258" t="s">
        <v>74</v>
      </c>
      <c r="BO258" t="s">
        <v>185</v>
      </c>
      <c r="BP258" t="s">
        <v>74</v>
      </c>
      <c r="BQ258" t="s">
        <v>74</v>
      </c>
      <c r="BR258" t="s">
        <v>105</v>
      </c>
      <c r="BS258" t="s">
        <v>5398</v>
      </c>
      <c r="BT258" t="str">
        <f>HYPERLINK("https%3A%2F%2Fwww.webofscience.com%2Fwos%2Fwoscc%2Ffull-record%2FWOS:001451491900001","View Full Record in Web of Science")</f>
        <v>View Full Record in Web of Science</v>
      </c>
    </row>
    <row r="259" spans="1:72" x14ac:dyDescent="0.25">
      <c r="A259" t="s">
        <v>72</v>
      </c>
      <c r="B259" t="s">
        <v>5399</v>
      </c>
      <c r="C259" t="s">
        <v>74</v>
      </c>
      <c r="D259" t="s">
        <v>74</v>
      </c>
      <c r="E259" t="s">
        <v>74</v>
      </c>
      <c r="F259" t="s">
        <v>5400</v>
      </c>
      <c r="G259" t="s">
        <v>74</v>
      </c>
      <c r="H259" t="s">
        <v>74</v>
      </c>
      <c r="I259" t="s">
        <v>5401</v>
      </c>
      <c r="J259" t="s">
        <v>110</v>
      </c>
      <c r="K259" t="s">
        <v>74</v>
      </c>
      <c r="L259" t="s">
        <v>74</v>
      </c>
      <c r="M259" t="s">
        <v>78</v>
      </c>
      <c r="N259" t="s">
        <v>79</v>
      </c>
      <c r="O259" t="s">
        <v>74</v>
      </c>
      <c r="P259" t="s">
        <v>74</v>
      </c>
      <c r="Q259" t="s">
        <v>74</v>
      </c>
      <c r="R259" t="s">
        <v>74</v>
      </c>
      <c r="S259" t="s">
        <v>74</v>
      </c>
      <c r="T259" t="s">
        <v>5402</v>
      </c>
      <c r="U259" t="s">
        <v>5403</v>
      </c>
      <c r="V259" t="s">
        <v>5404</v>
      </c>
      <c r="W259" t="s">
        <v>5405</v>
      </c>
      <c r="X259" t="s">
        <v>5406</v>
      </c>
      <c r="Y259" t="s">
        <v>5407</v>
      </c>
      <c r="Z259" t="s">
        <v>5408</v>
      </c>
      <c r="AA259" t="s">
        <v>5409</v>
      </c>
      <c r="AB259" t="s">
        <v>5410</v>
      </c>
      <c r="AC259" t="s">
        <v>5411</v>
      </c>
      <c r="AD259" t="s">
        <v>3328</v>
      </c>
      <c r="AE259" t="s">
        <v>5412</v>
      </c>
      <c r="AF259" t="s">
        <v>74</v>
      </c>
      <c r="AG259">
        <v>159</v>
      </c>
      <c r="AH259">
        <v>72</v>
      </c>
      <c r="AI259">
        <v>76</v>
      </c>
      <c r="AJ259">
        <v>7</v>
      </c>
      <c r="AK259">
        <v>62</v>
      </c>
      <c r="AL259" t="s">
        <v>120</v>
      </c>
      <c r="AM259" t="s">
        <v>121</v>
      </c>
      <c r="AN259" t="s">
        <v>122</v>
      </c>
      <c r="AO259" t="s">
        <v>74</v>
      </c>
      <c r="AP259" t="s">
        <v>123</v>
      </c>
      <c r="AQ259" t="s">
        <v>74</v>
      </c>
      <c r="AR259" t="s">
        <v>124</v>
      </c>
      <c r="AS259" t="s">
        <v>125</v>
      </c>
      <c r="AT259" t="s">
        <v>1070</v>
      </c>
      <c r="AU259">
        <v>2020</v>
      </c>
      <c r="AV259">
        <v>9</v>
      </c>
      <c r="AW259">
        <v>6</v>
      </c>
      <c r="AX259" t="s">
        <v>74</v>
      </c>
      <c r="AY259" t="s">
        <v>74</v>
      </c>
      <c r="AZ259" t="s">
        <v>74</v>
      </c>
      <c r="BA259" t="s">
        <v>74</v>
      </c>
      <c r="BB259" t="s">
        <v>74</v>
      </c>
      <c r="BC259" t="s">
        <v>74</v>
      </c>
      <c r="BD259">
        <v>1648</v>
      </c>
      <c r="BE259" t="s">
        <v>5413</v>
      </c>
      <c r="BF259" t="str">
        <f>HYPERLINK("http://dx.doi.org/10.3390/jcm9061648","http://dx.doi.org/10.3390/jcm9061648")</f>
        <v>http://dx.doi.org/10.3390/jcm9061648</v>
      </c>
      <c r="BG259" t="s">
        <v>74</v>
      </c>
      <c r="BH259" t="s">
        <v>74</v>
      </c>
      <c r="BI259">
        <v>37</v>
      </c>
      <c r="BJ259" t="s">
        <v>128</v>
      </c>
      <c r="BK259" t="s">
        <v>182</v>
      </c>
      <c r="BL259" t="s">
        <v>129</v>
      </c>
      <c r="BM259" t="s">
        <v>5414</v>
      </c>
      <c r="BN259">
        <v>32486374</v>
      </c>
      <c r="BO259" t="s">
        <v>939</v>
      </c>
      <c r="BP259" t="s">
        <v>74</v>
      </c>
      <c r="BQ259" t="s">
        <v>74</v>
      </c>
      <c r="BR259" t="s">
        <v>105</v>
      </c>
      <c r="BS259" t="s">
        <v>5415</v>
      </c>
      <c r="BT259" t="str">
        <f>HYPERLINK("https%3A%2F%2Fwww.webofscience.com%2Fwos%2Fwoscc%2Ffull-record%2FWOS:000549216800001","View Full Record in Web of Science")</f>
        <v>View Full Record in Web of Science</v>
      </c>
    </row>
    <row r="260" spans="1:72" x14ac:dyDescent="0.25">
      <c r="A260" t="s">
        <v>72</v>
      </c>
      <c r="B260" t="s">
        <v>5416</v>
      </c>
      <c r="C260" t="s">
        <v>74</v>
      </c>
      <c r="D260" t="s">
        <v>74</v>
      </c>
      <c r="E260" t="s">
        <v>74</v>
      </c>
      <c r="F260" t="s">
        <v>5417</v>
      </c>
      <c r="G260" t="s">
        <v>74</v>
      </c>
      <c r="H260" t="s">
        <v>74</v>
      </c>
      <c r="I260" t="s">
        <v>5418</v>
      </c>
      <c r="J260" t="s">
        <v>5419</v>
      </c>
      <c r="K260" t="s">
        <v>74</v>
      </c>
      <c r="L260" t="s">
        <v>74</v>
      </c>
      <c r="M260" t="s">
        <v>78</v>
      </c>
      <c r="N260" t="s">
        <v>79</v>
      </c>
      <c r="O260" t="s">
        <v>74</v>
      </c>
      <c r="P260" t="s">
        <v>74</v>
      </c>
      <c r="Q260" t="s">
        <v>74</v>
      </c>
      <c r="R260" t="s">
        <v>74</v>
      </c>
      <c r="S260" t="s">
        <v>74</v>
      </c>
      <c r="T260" t="s">
        <v>5420</v>
      </c>
      <c r="U260" t="s">
        <v>5421</v>
      </c>
      <c r="V260" t="s">
        <v>5422</v>
      </c>
      <c r="W260" t="s">
        <v>5423</v>
      </c>
      <c r="X260" t="s">
        <v>5424</v>
      </c>
      <c r="Y260" t="s">
        <v>5425</v>
      </c>
      <c r="Z260" t="s">
        <v>5426</v>
      </c>
      <c r="AA260" t="s">
        <v>5427</v>
      </c>
      <c r="AB260" t="s">
        <v>5428</v>
      </c>
      <c r="AC260" t="s">
        <v>74</v>
      </c>
      <c r="AD260" t="s">
        <v>74</v>
      </c>
      <c r="AE260" t="s">
        <v>74</v>
      </c>
      <c r="AF260" t="s">
        <v>74</v>
      </c>
      <c r="AG260">
        <v>55</v>
      </c>
      <c r="AH260">
        <v>5</v>
      </c>
      <c r="AI260">
        <v>5</v>
      </c>
      <c r="AJ260">
        <v>0</v>
      </c>
      <c r="AK260">
        <v>5</v>
      </c>
      <c r="AL260" t="s">
        <v>5429</v>
      </c>
      <c r="AM260" t="s">
        <v>5430</v>
      </c>
      <c r="AN260" t="s">
        <v>5431</v>
      </c>
      <c r="AO260" t="s">
        <v>5432</v>
      </c>
      <c r="AP260" t="s">
        <v>74</v>
      </c>
      <c r="AQ260" t="s">
        <v>74</v>
      </c>
      <c r="AR260" t="s">
        <v>5433</v>
      </c>
      <c r="AS260" t="s">
        <v>5434</v>
      </c>
      <c r="AT260" t="s">
        <v>634</v>
      </c>
      <c r="AU260">
        <v>2017</v>
      </c>
      <c r="AV260">
        <v>63</v>
      </c>
      <c r="AW260">
        <v>8</v>
      </c>
      <c r="AX260" t="s">
        <v>74</v>
      </c>
      <c r="AY260" t="s">
        <v>74</v>
      </c>
      <c r="AZ260" t="s">
        <v>74</v>
      </c>
      <c r="BA260" t="s">
        <v>74</v>
      </c>
      <c r="BB260">
        <v>711</v>
      </c>
      <c r="BC260">
        <v>716</v>
      </c>
      <c r="BD260" t="s">
        <v>74</v>
      </c>
      <c r="BE260" t="s">
        <v>5435</v>
      </c>
      <c r="BF260" t="str">
        <f>HYPERLINK("http://dx.doi.org/10.1590/1806-9282.63.08.711","http://dx.doi.org/10.1590/1806-9282.63.08.711")</f>
        <v>http://dx.doi.org/10.1590/1806-9282.63.08.711</v>
      </c>
      <c r="BG260" t="s">
        <v>74</v>
      </c>
      <c r="BH260" t="s">
        <v>74</v>
      </c>
      <c r="BI260">
        <v>6</v>
      </c>
      <c r="BJ260" t="s">
        <v>128</v>
      </c>
      <c r="BK260" t="s">
        <v>182</v>
      </c>
      <c r="BL260" t="s">
        <v>129</v>
      </c>
      <c r="BM260" t="s">
        <v>5436</v>
      </c>
      <c r="BN260">
        <v>28977110</v>
      </c>
      <c r="BO260" t="s">
        <v>5437</v>
      </c>
      <c r="BP260" t="s">
        <v>74</v>
      </c>
      <c r="BQ260" t="s">
        <v>74</v>
      </c>
      <c r="BR260" t="s">
        <v>105</v>
      </c>
      <c r="BS260" t="s">
        <v>5438</v>
      </c>
      <c r="BT260" t="str">
        <f>HYPERLINK("https%3A%2F%2Fwww.webofscience.com%2Fwos%2Fwoscc%2Ffull-record%2FWOS:000412280300009","View Full Record in Web of Science")</f>
        <v>View Full Record in Web of Science</v>
      </c>
    </row>
    <row r="261" spans="1:72" x14ac:dyDescent="0.25">
      <c r="A261" t="s">
        <v>72</v>
      </c>
      <c r="B261" t="s">
        <v>5439</v>
      </c>
      <c r="C261" t="s">
        <v>74</v>
      </c>
      <c r="D261" t="s">
        <v>74</v>
      </c>
      <c r="E261" t="s">
        <v>74</v>
      </c>
      <c r="F261" t="s">
        <v>5440</v>
      </c>
      <c r="G261" t="s">
        <v>74</v>
      </c>
      <c r="H261" t="s">
        <v>74</v>
      </c>
      <c r="I261" t="s">
        <v>5441</v>
      </c>
      <c r="J261" t="s">
        <v>5442</v>
      </c>
      <c r="K261" t="s">
        <v>74</v>
      </c>
      <c r="L261" t="s">
        <v>74</v>
      </c>
      <c r="M261" t="s">
        <v>78</v>
      </c>
      <c r="N261" t="s">
        <v>79</v>
      </c>
      <c r="O261" t="s">
        <v>74</v>
      </c>
      <c r="P261" t="s">
        <v>74</v>
      </c>
      <c r="Q261" t="s">
        <v>74</v>
      </c>
      <c r="R261" t="s">
        <v>74</v>
      </c>
      <c r="S261" t="s">
        <v>74</v>
      </c>
      <c r="T261" t="s">
        <v>5443</v>
      </c>
      <c r="U261" t="s">
        <v>5444</v>
      </c>
      <c r="V261" t="s">
        <v>5445</v>
      </c>
      <c r="W261" t="s">
        <v>5446</v>
      </c>
      <c r="X261" t="s">
        <v>5447</v>
      </c>
      <c r="Y261" t="s">
        <v>5448</v>
      </c>
      <c r="Z261" t="s">
        <v>5449</v>
      </c>
      <c r="AA261" t="s">
        <v>5450</v>
      </c>
      <c r="AB261" t="s">
        <v>5451</v>
      </c>
      <c r="AC261" t="s">
        <v>5452</v>
      </c>
      <c r="AD261" t="s">
        <v>5453</v>
      </c>
      <c r="AE261" t="s">
        <v>5454</v>
      </c>
      <c r="AF261" t="s">
        <v>74</v>
      </c>
      <c r="AG261">
        <v>84</v>
      </c>
      <c r="AH261">
        <v>84</v>
      </c>
      <c r="AI261">
        <v>93</v>
      </c>
      <c r="AJ261">
        <v>10</v>
      </c>
      <c r="AK261">
        <v>133</v>
      </c>
      <c r="AL261" t="s">
        <v>297</v>
      </c>
      <c r="AM261" t="s">
        <v>298</v>
      </c>
      <c r="AN261" t="s">
        <v>299</v>
      </c>
      <c r="AO261" t="s">
        <v>5455</v>
      </c>
      <c r="AP261" t="s">
        <v>5456</v>
      </c>
      <c r="AQ261" t="s">
        <v>74</v>
      </c>
      <c r="AR261" t="s">
        <v>5457</v>
      </c>
      <c r="AS261" t="s">
        <v>5458</v>
      </c>
      <c r="AT261" t="s">
        <v>126</v>
      </c>
      <c r="AU261">
        <v>2018</v>
      </c>
      <c r="AV261">
        <v>50</v>
      </c>
      <c r="AW261">
        <v>6</v>
      </c>
      <c r="AX261" t="s">
        <v>74</v>
      </c>
      <c r="AY261" t="s">
        <v>74</v>
      </c>
      <c r="AZ261" t="s">
        <v>74</v>
      </c>
      <c r="BA261" t="s">
        <v>74</v>
      </c>
      <c r="BB261">
        <v>590</v>
      </c>
      <c r="BC261">
        <v>600</v>
      </c>
      <c r="BD261" t="s">
        <v>74</v>
      </c>
      <c r="BE261" t="s">
        <v>5459</v>
      </c>
      <c r="BF261" t="str">
        <f>HYPERLINK("http://dx.doi.org/10.1111/jnu.12424","http://dx.doi.org/10.1111/jnu.12424")</f>
        <v>http://dx.doi.org/10.1111/jnu.12424</v>
      </c>
      <c r="BG261" t="s">
        <v>74</v>
      </c>
      <c r="BH261" t="s">
        <v>74</v>
      </c>
      <c r="BI261">
        <v>11</v>
      </c>
      <c r="BJ261" t="s">
        <v>3094</v>
      </c>
      <c r="BK261" t="s">
        <v>102</v>
      </c>
      <c r="BL261" t="s">
        <v>3094</v>
      </c>
      <c r="BM261" t="s">
        <v>5460</v>
      </c>
      <c r="BN261">
        <v>30260093</v>
      </c>
      <c r="BO261" t="s">
        <v>74</v>
      </c>
      <c r="BP261" t="s">
        <v>74</v>
      </c>
      <c r="BQ261" t="s">
        <v>74</v>
      </c>
      <c r="BR261" t="s">
        <v>105</v>
      </c>
      <c r="BS261" t="s">
        <v>5461</v>
      </c>
      <c r="BT261" t="str">
        <f>HYPERLINK("https%3A%2F%2Fwww.webofscience.com%2Fwos%2Fwoscc%2Ffull-record%2FWOS:000449999000003","View Full Record in Web of Science")</f>
        <v>View Full Record in Web of Science</v>
      </c>
    </row>
    <row r="262" spans="1:72" x14ac:dyDescent="0.25">
      <c r="A262" t="s">
        <v>72</v>
      </c>
      <c r="B262" t="s">
        <v>5462</v>
      </c>
      <c r="C262" t="s">
        <v>74</v>
      </c>
      <c r="D262" t="s">
        <v>74</v>
      </c>
      <c r="E262" t="s">
        <v>74</v>
      </c>
      <c r="F262" t="s">
        <v>5463</v>
      </c>
      <c r="G262" t="s">
        <v>74</v>
      </c>
      <c r="H262" t="s">
        <v>74</v>
      </c>
      <c r="I262" t="s">
        <v>5464</v>
      </c>
      <c r="J262" t="s">
        <v>5465</v>
      </c>
      <c r="K262" t="s">
        <v>74</v>
      </c>
      <c r="L262" t="s">
        <v>74</v>
      </c>
      <c r="M262" t="s">
        <v>78</v>
      </c>
      <c r="N262" t="s">
        <v>79</v>
      </c>
      <c r="O262" t="s">
        <v>74</v>
      </c>
      <c r="P262" t="s">
        <v>74</v>
      </c>
      <c r="Q262" t="s">
        <v>74</v>
      </c>
      <c r="R262" t="s">
        <v>74</v>
      </c>
      <c r="S262" t="s">
        <v>74</v>
      </c>
      <c r="T262" t="s">
        <v>5466</v>
      </c>
      <c r="U262" t="s">
        <v>5467</v>
      </c>
      <c r="V262" t="s">
        <v>5468</v>
      </c>
      <c r="W262" t="s">
        <v>5469</v>
      </c>
      <c r="X262" t="s">
        <v>5470</v>
      </c>
      <c r="Y262" t="s">
        <v>5471</v>
      </c>
      <c r="Z262" t="s">
        <v>5472</v>
      </c>
      <c r="AA262" t="s">
        <v>5473</v>
      </c>
      <c r="AB262" t="s">
        <v>5474</v>
      </c>
      <c r="AC262" t="s">
        <v>74</v>
      </c>
      <c r="AD262" t="s">
        <v>74</v>
      </c>
      <c r="AE262" t="s">
        <v>74</v>
      </c>
      <c r="AF262" t="s">
        <v>74</v>
      </c>
      <c r="AG262">
        <v>242</v>
      </c>
      <c r="AH262">
        <v>26</v>
      </c>
      <c r="AI262">
        <v>30</v>
      </c>
      <c r="AJ262">
        <v>0</v>
      </c>
      <c r="AK262">
        <v>12</v>
      </c>
      <c r="AL262" t="s">
        <v>120</v>
      </c>
      <c r="AM262" t="s">
        <v>121</v>
      </c>
      <c r="AN262" t="s">
        <v>1221</v>
      </c>
      <c r="AO262" t="s">
        <v>74</v>
      </c>
      <c r="AP262" t="s">
        <v>5475</v>
      </c>
      <c r="AQ262" t="s">
        <v>74</v>
      </c>
      <c r="AR262" t="s">
        <v>5476</v>
      </c>
      <c r="AS262" t="s">
        <v>5477</v>
      </c>
      <c r="AT262" t="s">
        <v>326</v>
      </c>
      <c r="AU262">
        <v>2022</v>
      </c>
      <c r="AV262">
        <v>11</v>
      </c>
      <c r="AW262">
        <v>10</v>
      </c>
      <c r="AX262" t="s">
        <v>74</v>
      </c>
      <c r="AY262" t="s">
        <v>74</v>
      </c>
      <c r="AZ262" t="s">
        <v>74</v>
      </c>
      <c r="BA262" t="s">
        <v>74</v>
      </c>
      <c r="BB262" t="s">
        <v>74</v>
      </c>
      <c r="BC262" t="s">
        <v>74</v>
      </c>
      <c r="BD262">
        <v>1711</v>
      </c>
      <c r="BE262" t="s">
        <v>5478</v>
      </c>
      <c r="BF262" t="str">
        <f>HYPERLINK("http://dx.doi.org/10.3390/cells11101711","http://dx.doi.org/10.3390/cells11101711")</f>
        <v>http://dx.doi.org/10.3390/cells11101711</v>
      </c>
      <c r="BG262" t="s">
        <v>74</v>
      </c>
      <c r="BH262" t="s">
        <v>74</v>
      </c>
      <c r="BI262">
        <v>29</v>
      </c>
      <c r="BJ262" t="s">
        <v>5479</v>
      </c>
      <c r="BK262" t="s">
        <v>182</v>
      </c>
      <c r="BL262" t="s">
        <v>5479</v>
      </c>
      <c r="BM262" t="s">
        <v>5480</v>
      </c>
      <c r="BN262">
        <v>35626747</v>
      </c>
      <c r="BO262" t="s">
        <v>131</v>
      </c>
      <c r="BP262" t="s">
        <v>74</v>
      </c>
      <c r="BQ262" t="s">
        <v>74</v>
      </c>
      <c r="BR262" t="s">
        <v>105</v>
      </c>
      <c r="BS262" t="s">
        <v>5481</v>
      </c>
      <c r="BT262" t="str">
        <f>HYPERLINK("https%3A%2F%2Fwww.webofscience.com%2Fwos%2Fwoscc%2Ffull-record%2FWOS:000802363100001","View Full Record in Web of Science")</f>
        <v>View Full Record in Web of Science</v>
      </c>
    </row>
    <row r="263" spans="1:72" x14ac:dyDescent="0.25">
      <c r="A263" t="s">
        <v>72</v>
      </c>
      <c r="B263" t="s">
        <v>5482</v>
      </c>
      <c r="C263" t="s">
        <v>74</v>
      </c>
      <c r="D263" t="s">
        <v>74</v>
      </c>
      <c r="E263" t="s">
        <v>74</v>
      </c>
      <c r="F263" t="s">
        <v>5483</v>
      </c>
      <c r="G263" t="s">
        <v>74</v>
      </c>
      <c r="H263" t="s">
        <v>74</v>
      </c>
      <c r="I263" t="s">
        <v>5484</v>
      </c>
      <c r="J263" t="s">
        <v>4780</v>
      </c>
      <c r="K263" t="s">
        <v>74</v>
      </c>
      <c r="L263" t="s">
        <v>74</v>
      </c>
      <c r="M263" t="s">
        <v>78</v>
      </c>
      <c r="N263" t="s">
        <v>79</v>
      </c>
      <c r="O263" t="s">
        <v>74</v>
      </c>
      <c r="P263" t="s">
        <v>74</v>
      </c>
      <c r="Q263" t="s">
        <v>74</v>
      </c>
      <c r="R263" t="s">
        <v>74</v>
      </c>
      <c r="S263" t="s">
        <v>74</v>
      </c>
      <c r="T263" t="s">
        <v>74</v>
      </c>
      <c r="U263" t="s">
        <v>5485</v>
      </c>
      <c r="V263" t="s">
        <v>5486</v>
      </c>
      <c r="W263" t="s">
        <v>5487</v>
      </c>
      <c r="X263" t="s">
        <v>5488</v>
      </c>
      <c r="Y263" t="s">
        <v>5489</v>
      </c>
      <c r="Z263" t="s">
        <v>5490</v>
      </c>
      <c r="AA263" t="s">
        <v>5491</v>
      </c>
      <c r="AB263" t="s">
        <v>74</v>
      </c>
      <c r="AC263" t="s">
        <v>74</v>
      </c>
      <c r="AD263" t="s">
        <v>74</v>
      </c>
      <c r="AE263" t="s">
        <v>74</v>
      </c>
      <c r="AF263" t="s">
        <v>74</v>
      </c>
      <c r="AG263">
        <v>131</v>
      </c>
      <c r="AH263">
        <v>13</v>
      </c>
      <c r="AI263">
        <v>15</v>
      </c>
      <c r="AJ263">
        <v>3</v>
      </c>
      <c r="AK263">
        <v>15</v>
      </c>
      <c r="AL263" t="s">
        <v>4224</v>
      </c>
      <c r="AM263" t="s">
        <v>1958</v>
      </c>
      <c r="AN263" t="s">
        <v>4225</v>
      </c>
      <c r="AO263" t="s">
        <v>4787</v>
      </c>
      <c r="AP263" t="s">
        <v>4788</v>
      </c>
      <c r="AQ263" t="s">
        <v>74</v>
      </c>
      <c r="AR263" t="s">
        <v>4789</v>
      </c>
      <c r="AS263" t="s">
        <v>4790</v>
      </c>
      <c r="AT263" t="s">
        <v>326</v>
      </c>
      <c r="AU263">
        <v>2023</v>
      </c>
      <c r="AV263">
        <v>20</v>
      </c>
      <c r="AW263">
        <v>5</v>
      </c>
      <c r="AX263" t="s">
        <v>74</v>
      </c>
      <c r="AY263" t="s">
        <v>74</v>
      </c>
      <c r="AZ263" t="s">
        <v>74</v>
      </c>
      <c r="BA263" t="s">
        <v>74</v>
      </c>
      <c r="BB263">
        <v>279</v>
      </c>
      <c r="BC263">
        <v>293</v>
      </c>
      <c r="BD263" t="s">
        <v>74</v>
      </c>
      <c r="BE263" t="s">
        <v>5492</v>
      </c>
      <c r="BF263" t="str">
        <f>HYPERLINK("http://dx.doi.org/10.1038/s41585-022-00693-z","http://dx.doi.org/10.1038/s41585-022-00693-z")</f>
        <v>http://dx.doi.org/10.1038/s41585-022-00693-z</v>
      </c>
      <c r="BG263" t="s">
        <v>74</v>
      </c>
      <c r="BH263" t="s">
        <v>461</v>
      </c>
      <c r="BI263">
        <v>15</v>
      </c>
      <c r="BJ263" t="s">
        <v>2739</v>
      </c>
      <c r="BK263" t="s">
        <v>182</v>
      </c>
      <c r="BL263" t="s">
        <v>2739</v>
      </c>
      <c r="BM263" t="s">
        <v>5493</v>
      </c>
      <c r="BN263">
        <v>36653671</v>
      </c>
      <c r="BO263" t="s">
        <v>74</v>
      </c>
      <c r="BP263" t="s">
        <v>74</v>
      </c>
      <c r="BQ263" t="s">
        <v>74</v>
      </c>
      <c r="BR263" t="s">
        <v>105</v>
      </c>
      <c r="BS263" t="s">
        <v>5494</v>
      </c>
      <c r="BT263" t="str">
        <f>HYPERLINK("https%3A%2F%2Fwww.webofscience.com%2Fwos%2Fwoscc%2Ffull-record%2FWOS:000914914000003","View Full Record in Web of Science")</f>
        <v>View Full Record in Web of Science</v>
      </c>
    </row>
    <row r="264" spans="1:72" x14ac:dyDescent="0.25">
      <c r="A264" t="s">
        <v>72</v>
      </c>
      <c r="B264" t="s">
        <v>5495</v>
      </c>
      <c r="C264" t="s">
        <v>74</v>
      </c>
      <c r="D264" t="s">
        <v>74</v>
      </c>
      <c r="E264" t="s">
        <v>74</v>
      </c>
      <c r="F264" t="s">
        <v>5496</v>
      </c>
      <c r="G264" t="s">
        <v>74</v>
      </c>
      <c r="H264" t="s">
        <v>74</v>
      </c>
      <c r="I264" t="s">
        <v>5497</v>
      </c>
      <c r="J264" t="s">
        <v>77</v>
      </c>
      <c r="K264" t="s">
        <v>74</v>
      </c>
      <c r="L264" t="s">
        <v>74</v>
      </c>
      <c r="M264" t="s">
        <v>78</v>
      </c>
      <c r="N264" t="s">
        <v>79</v>
      </c>
      <c r="O264" t="s">
        <v>74</v>
      </c>
      <c r="P264" t="s">
        <v>74</v>
      </c>
      <c r="Q264" t="s">
        <v>74</v>
      </c>
      <c r="R264" t="s">
        <v>74</v>
      </c>
      <c r="S264" t="s">
        <v>74</v>
      </c>
      <c r="T264" t="s">
        <v>5498</v>
      </c>
      <c r="U264" t="s">
        <v>5499</v>
      </c>
      <c r="V264" t="s">
        <v>5500</v>
      </c>
      <c r="W264" t="s">
        <v>5501</v>
      </c>
      <c r="X264" t="s">
        <v>5502</v>
      </c>
      <c r="Y264" t="s">
        <v>5503</v>
      </c>
      <c r="Z264" t="s">
        <v>5504</v>
      </c>
      <c r="AA264" t="s">
        <v>5505</v>
      </c>
      <c r="AB264" t="s">
        <v>74</v>
      </c>
      <c r="AC264" t="s">
        <v>74</v>
      </c>
      <c r="AD264" t="s">
        <v>74</v>
      </c>
      <c r="AE264" t="s">
        <v>74</v>
      </c>
      <c r="AF264" t="s">
        <v>74</v>
      </c>
      <c r="AG264">
        <v>77</v>
      </c>
      <c r="AH264">
        <v>2</v>
      </c>
      <c r="AI264">
        <v>2</v>
      </c>
      <c r="AJ264">
        <v>8</v>
      </c>
      <c r="AK264">
        <v>13</v>
      </c>
      <c r="AL264" t="s">
        <v>92</v>
      </c>
      <c r="AM264" t="s">
        <v>93</v>
      </c>
      <c r="AN264" t="s">
        <v>94</v>
      </c>
      <c r="AO264" t="s">
        <v>95</v>
      </c>
      <c r="AP264" t="s">
        <v>96</v>
      </c>
      <c r="AQ264" t="s">
        <v>74</v>
      </c>
      <c r="AR264" t="s">
        <v>97</v>
      </c>
      <c r="AS264" t="s">
        <v>98</v>
      </c>
      <c r="AT264" t="s">
        <v>5506</v>
      </c>
      <c r="AU264">
        <v>2025</v>
      </c>
      <c r="AV264">
        <v>47</v>
      </c>
      <c r="AW264">
        <v>8</v>
      </c>
      <c r="AX264" t="s">
        <v>74</v>
      </c>
      <c r="AY264" t="s">
        <v>74</v>
      </c>
      <c r="AZ264" t="s">
        <v>74</v>
      </c>
      <c r="BA264" t="s">
        <v>74</v>
      </c>
      <c r="BB264">
        <v>1872</v>
      </c>
      <c r="BC264">
        <v>1892</v>
      </c>
      <c r="BD264" t="s">
        <v>74</v>
      </c>
      <c r="BE264" t="s">
        <v>5507</v>
      </c>
      <c r="BF264" t="str">
        <f>HYPERLINK("http://dx.doi.org/10.1080/09638288.2024.2388260","http://dx.doi.org/10.1080/09638288.2024.2388260")</f>
        <v>http://dx.doi.org/10.1080/09638288.2024.2388260</v>
      </c>
      <c r="BG264" t="s">
        <v>74</v>
      </c>
      <c r="BH264" t="s">
        <v>4630</v>
      </c>
      <c r="BI264">
        <v>21</v>
      </c>
      <c r="BJ264" t="s">
        <v>101</v>
      </c>
      <c r="BK264" t="s">
        <v>102</v>
      </c>
      <c r="BL264" t="s">
        <v>101</v>
      </c>
      <c r="BM264" t="s">
        <v>5508</v>
      </c>
      <c r="BN264">
        <v>39127885</v>
      </c>
      <c r="BO264" t="s">
        <v>309</v>
      </c>
      <c r="BP264" t="s">
        <v>74</v>
      </c>
      <c r="BQ264" t="s">
        <v>74</v>
      </c>
      <c r="BR264" t="s">
        <v>105</v>
      </c>
      <c r="BS264" t="s">
        <v>5509</v>
      </c>
      <c r="BT264" t="str">
        <f>HYPERLINK("https%3A%2F%2Fwww.webofscience.com%2Fwos%2Fwoscc%2Ffull-record%2FWOS:001288329500001","View Full Record in Web of Science")</f>
        <v>View Full Record in Web of Science</v>
      </c>
    </row>
    <row r="265" spans="1:72" x14ac:dyDescent="0.25">
      <c r="A265" t="s">
        <v>72</v>
      </c>
      <c r="B265" t="s">
        <v>5510</v>
      </c>
      <c r="C265" t="s">
        <v>74</v>
      </c>
      <c r="D265" t="s">
        <v>74</v>
      </c>
      <c r="E265" t="s">
        <v>74</v>
      </c>
      <c r="F265" t="s">
        <v>5511</v>
      </c>
      <c r="G265" t="s">
        <v>74</v>
      </c>
      <c r="H265" t="s">
        <v>74</v>
      </c>
      <c r="I265" t="s">
        <v>5512</v>
      </c>
      <c r="J265" t="s">
        <v>5513</v>
      </c>
      <c r="K265" t="s">
        <v>74</v>
      </c>
      <c r="L265" t="s">
        <v>74</v>
      </c>
      <c r="M265" t="s">
        <v>78</v>
      </c>
      <c r="N265" t="s">
        <v>79</v>
      </c>
      <c r="O265" t="s">
        <v>74</v>
      </c>
      <c r="P265" t="s">
        <v>74</v>
      </c>
      <c r="Q265" t="s">
        <v>74</v>
      </c>
      <c r="R265" t="s">
        <v>74</v>
      </c>
      <c r="S265" t="s">
        <v>74</v>
      </c>
      <c r="T265" t="s">
        <v>5514</v>
      </c>
      <c r="U265" t="s">
        <v>5515</v>
      </c>
      <c r="V265" t="s">
        <v>5516</v>
      </c>
      <c r="W265" t="s">
        <v>5517</v>
      </c>
      <c r="X265" t="s">
        <v>5518</v>
      </c>
      <c r="Y265" t="s">
        <v>5519</v>
      </c>
      <c r="Z265" t="s">
        <v>5520</v>
      </c>
      <c r="AA265" t="s">
        <v>5521</v>
      </c>
      <c r="AB265" t="s">
        <v>5522</v>
      </c>
      <c r="AC265" t="s">
        <v>5523</v>
      </c>
      <c r="AD265" t="s">
        <v>5523</v>
      </c>
      <c r="AE265" t="s">
        <v>5524</v>
      </c>
      <c r="AF265" t="s">
        <v>74</v>
      </c>
      <c r="AG265">
        <v>84</v>
      </c>
      <c r="AH265">
        <v>141</v>
      </c>
      <c r="AI265">
        <v>147</v>
      </c>
      <c r="AJ265">
        <v>2</v>
      </c>
      <c r="AK265">
        <v>16</v>
      </c>
      <c r="AL265" t="s">
        <v>531</v>
      </c>
      <c r="AM265" t="s">
        <v>532</v>
      </c>
      <c r="AN265" t="s">
        <v>533</v>
      </c>
      <c r="AO265" t="s">
        <v>5525</v>
      </c>
      <c r="AP265" t="s">
        <v>5526</v>
      </c>
      <c r="AQ265" t="s">
        <v>74</v>
      </c>
      <c r="AR265" t="s">
        <v>5527</v>
      </c>
      <c r="AS265" t="s">
        <v>5528</v>
      </c>
      <c r="AT265" t="s">
        <v>1070</v>
      </c>
      <c r="AU265">
        <v>2017</v>
      </c>
      <c r="AV265">
        <v>78</v>
      </c>
      <c r="AW265" t="s">
        <v>74</v>
      </c>
      <c r="AX265" t="s">
        <v>74</v>
      </c>
      <c r="AY265" t="s">
        <v>74</v>
      </c>
      <c r="AZ265" t="s">
        <v>74</v>
      </c>
      <c r="BA265" t="s">
        <v>74</v>
      </c>
      <c r="BB265">
        <v>91</v>
      </c>
      <c r="BC265">
        <v>102</v>
      </c>
      <c r="BD265" t="s">
        <v>74</v>
      </c>
      <c r="BE265" t="s">
        <v>5529</v>
      </c>
      <c r="BF265" t="str">
        <f>HYPERLINK("http://dx.doi.org/10.1016/j.ejca.2017.03.006","http://dx.doi.org/10.1016/j.ejca.2017.03.006")</f>
        <v>http://dx.doi.org/10.1016/j.ejca.2017.03.006</v>
      </c>
      <c r="BG265" t="s">
        <v>74</v>
      </c>
      <c r="BH265" t="s">
        <v>74</v>
      </c>
      <c r="BI265">
        <v>12</v>
      </c>
      <c r="BJ265" t="s">
        <v>4032</v>
      </c>
      <c r="BK265" t="s">
        <v>182</v>
      </c>
      <c r="BL265" t="s">
        <v>4032</v>
      </c>
      <c r="BM265" t="s">
        <v>5530</v>
      </c>
      <c r="BN265">
        <v>28431302</v>
      </c>
      <c r="BO265" t="s">
        <v>74</v>
      </c>
      <c r="BP265" t="s">
        <v>74</v>
      </c>
      <c r="BQ265" t="s">
        <v>74</v>
      </c>
      <c r="BR265" t="s">
        <v>105</v>
      </c>
      <c r="BS265" t="s">
        <v>5531</v>
      </c>
      <c r="BT265" t="str">
        <f>HYPERLINK("https%3A%2F%2Fwww.webofscience.com%2Fwos%2Fwoscc%2Ffull-record%2FWOS:000401930300012","View Full Record in Web of Science")</f>
        <v>View Full Record in Web of Science</v>
      </c>
    </row>
    <row r="266" spans="1:72" x14ac:dyDescent="0.25">
      <c r="A266" t="s">
        <v>72</v>
      </c>
      <c r="B266" t="s">
        <v>5532</v>
      </c>
      <c r="C266" t="s">
        <v>74</v>
      </c>
      <c r="D266" t="s">
        <v>74</v>
      </c>
      <c r="E266" t="s">
        <v>74</v>
      </c>
      <c r="F266" t="s">
        <v>5533</v>
      </c>
      <c r="G266" t="s">
        <v>74</v>
      </c>
      <c r="H266" t="s">
        <v>74</v>
      </c>
      <c r="I266" t="s">
        <v>5534</v>
      </c>
      <c r="J266" t="s">
        <v>5535</v>
      </c>
      <c r="K266" t="s">
        <v>74</v>
      </c>
      <c r="L266" t="s">
        <v>74</v>
      </c>
      <c r="M266" t="s">
        <v>78</v>
      </c>
      <c r="N266" t="s">
        <v>79</v>
      </c>
      <c r="O266" t="s">
        <v>74</v>
      </c>
      <c r="P266" t="s">
        <v>74</v>
      </c>
      <c r="Q266" t="s">
        <v>74</v>
      </c>
      <c r="R266" t="s">
        <v>74</v>
      </c>
      <c r="S266" t="s">
        <v>74</v>
      </c>
      <c r="T266" t="s">
        <v>5536</v>
      </c>
      <c r="U266" t="s">
        <v>5537</v>
      </c>
      <c r="V266" t="s">
        <v>5538</v>
      </c>
      <c r="W266" t="s">
        <v>5539</v>
      </c>
      <c r="X266" t="s">
        <v>5540</v>
      </c>
      <c r="Y266" t="s">
        <v>5541</v>
      </c>
      <c r="Z266" t="s">
        <v>5542</v>
      </c>
      <c r="AA266" t="s">
        <v>5543</v>
      </c>
      <c r="AB266" t="s">
        <v>5544</v>
      </c>
      <c r="AC266" t="s">
        <v>74</v>
      </c>
      <c r="AD266" t="s">
        <v>74</v>
      </c>
      <c r="AE266" t="s">
        <v>74</v>
      </c>
      <c r="AF266" t="s">
        <v>74</v>
      </c>
      <c r="AG266">
        <v>6</v>
      </c>
      <c r="AH266">
        <v>0</v>
      </c>
      <c r="AI266">
        <v>0</v>
      </c>
      <c r="AJ266">
        <v>0</v>
      </c>
      <c r="AK266">
        <v>2</v>
      </c>
      <c r="AL266" t="s">
        <v>5545</v>
      </c>
      <c r="AM266" t="s">
        <v>2417</v>
      </c>
      <c r="AN266" t="s">
        <v>5546</v>
      </c>
      <c r="AO266" t="s">
        <v>5547</v>
      </c>
      <c r="AP266" t="s">
        <v>5548</v>
      </c>
      <c r="AQ266" t="s">
        <v>74</v>
      </c>
      <c r="AR266" t="s">
        <v>5549</v>
      </c>
      <c r="AS266" t="s">
        <v>5550</v>
      </c>
      <c r="AT266" t="s">
        <v>538</v>
      </c>
      <c r="AU266">
        <v>2019</v>
      </c>
      <c r="AV266">
        <v>8</v>
      </c>
      <c r="AW266">
        <v>1</v>
      </c>
      <c r="AX266" t="s">
        <v>74</v>
      </c>
      <c r="AY266" t="s">
        <v>74</v>
      </c>
      <c r="AZ266" t="s">
        <v>74</v>
      </c>
      <c r="BA266" t="s">
        <v>74</v>
      </c>
      <c r="BB266">
        <v>20</v>
      </c>
      <c r="BC266">
        <v>25</v>
      </c>
      <c r="BD266" t="s">
        <v>74</v>
      </c>
      <c r="BE266" t="s">
        <v>5551</v>
      </c>
      <c r="BF266" t="str">
        <f>HYPERLINK("http://dx.doi.org/10.18528/ijgii180043","http://dx.doi.org/10.18528/ijgii180043")</f>
        <v>http://dx.doi.org/10.18528/ijgii180043</v>
      </c>
      <c r="BG266" t="s">
        <v>74</v>
      </c>
      <c r="BH266" t="s">
        <v>74</v>
      </c>
      <c r="BI266">
        <v>6</v>
      </c>
      <c r="BJ266" t="s">
        <v>5035</v>
      </c>
      <c r="BK266" t="s">
        <v>155</v>
      </c>
      <c r="BL266" t="s">
        <v>5035</v>
      </c>
      <c r="BM266" t="s">
        <v>5552</v>
      </c>
      <c r="BN266" t="s">
        <v>74</v>
      </c>
      <c r="BO266" t="s">
        <v>2112</v>
      </c>
      <c r="BP266" t="s">
        <v>74</v>
      </c>
      <c r="BQ266" t="s">
        <v>74</v>
      </c>
      <c r="BR266" t="s">
        <v>105</v>
      </c>
      <c r="BS266" t="s">
        <v>5553</v>
      </c>
      <c r="BT266" t="str">
        <f>HYPERLINK("https%3A%2F%2Fwww.webofscience.com%2Fwos%2Fwoscc%2Ffull-record%2FWOS:000521645800005","View Full Record in Web of Science")</f>
        <v>View Full Record in Web of Science</v>
      </c>
    </row>
    <row r="267" spans="1:72" x14ac:dyDescent="0.25">
      <c r="A267" t="s">
        <v>72</v>
      </c>
      <c r="B267" t="s">
        <v>5554</v>
      </c>
      <c r="C267" t="s">
        <v>74</v>
      </c>
      <c r="D267" t="s">
        <v>74</v>
      </c>
      <c r="E267" t="s">
        <v>74</v>
      </c>
      <c r="F267" t="s">
        <v>5555</v>
      </c>
      <c r="G267" t="s">
        <v>74</v>
      </c>
      <c r="H267" t="s">
        <v>74</v>
      </c>
      <c r="I267" t="s">
        <v>5556</v>
      </c>
      <c r="J267" t="s">
        <v>521</v>
      </c>
      <c r="K267" t="s">
        <v>74</v>
      </c>
      <c r="L267" t="s">
        <v>74</v>
      </c>
      <c r="M267" t="s">
        <v>78</v>
      </c>
      <c r="N267" t="s">
        <v>79</v>
      </c>
      <c r="O267" t="s">
        <v>74</v>
      </c>
      <c r="P267" t="s">
        <v>74</v>
      </c>
      <c r="Q267" t="s">
        <v>74</v>
      </c>
      <c r="R267" t="s">
        <v>74</v>
      </c>
      <c r="S267" t="s">
        <v>74</v>
      </c>
      <c r="T267" t="s">
        <v>5557</v>
      </c>
      <c r="U267" t="s">
        <v>5558</v>
      </c>
      <c r="V267" t="s">
        <v>5559</v>
      </c>
      <c r="W267" t="s">
        <v>5560</v>
      </c>
      <c r="X267" t="s">
        <v>5561</v>
      </c>
      <c r="Y267" t="s">
        <v>5562</v>
      </c>
      <c r="Z267" t="s">
        <v>5563</v>
      </c>
      <c r="AA267" t="s">
        <v>5564</v>
      </c>
      <c r="AB267" t="s">
        <v>5565</v>
      </c>
      <c r="AC267" t="s">
        <v>5566</v>
      </c>
      <c r="AD267" t="s">
        <v>5567</v>
      </c>
      <c r="AE267" t="s">
        <v>5568</v>
      </c>
      <c r="AF267" t="s">
        <v>74</v>
      </c>
      <c r="AG267">
        <v>56</v>
      </c>
      <c r="AH267">
        <v>29</v>
      </c>
      <c r="AI267">
        <v>31</v>
      </c>
      <c r="AJ267">
        <v>3</v>
      </c>
      <c r="AK267">
        <v>29</v>
      </c>
      <c r="AL267" t="s">
        <v>531</v>
      </c>
      <c r="AM267" t="s">
        <v>532</v>
      </c>
      <c r="AN267" t="s">
        <v>533</v>
      </c>
      <c r="AO267" t="s">
        <v>534</v>
      </c>
      <c r="AP267" t="s">
        <v>535</v>
      </c>
      <c r="AQ267" t="s">
        <v>74</v>
      </c>
      <c r="AR267" t="s">
        <v>536</v>
      </c>
      <c r="AS267" t="s">
        <v>537</v>
      </c>
      <c r="AT267" t="s">
        <v>1070</v>
      </c>
      <c r="AU267">
        <v>2020</v>
      </c>
      <c r="AV267">
        <v>41</v>
      </c>
      <c r="AW267" t="s">
        <v>74</v>
      </c>
      <c r="AX267" t="s">
        <v>74</v>
      </c>
      <c r="AY267" t="s">
        <v>74</v>
      </c>
      <c r="AZ267" t="s">
        <v>74</v>
      </c>
      <c r="BA267" t="s">
        <v>74</v>
      </c>
      <c r="BB267" t="s">
        <v>74</v>
      </c>
      <c r="BC267" t="s">
        <v>74</v>
      </c>
      <c r="BD267">
        <v>102034</v>
      </c>
      <c r="BE267" t="s">
        <v>5569</v>
      </c>
      <c r="BF267" t="str">
        <f>HYPERLINK("http://dx.doi.org/10.1016/j.msard.2020.102034","http://dx.doi.org/10.1016/j.msard.2020.102034")</f>
        <v>http://dx.doi.org/10.1016/j.msard.2020.102034</v>
      </c>
      <c r="BG267" t="s">
        <v>74</v>
      </c>
      <c r="BH267" t="s">
        <v>74</v>
      </c>
      <c r="BI267">
        <v>20</v>
      </c>
      <c r="BJ267" t="s">
        <v>541</v>
      </c>
      <c r="BK267" t="s">
        <v>102</v>
      </c>
      <c r="BL267" t="s">
        <v>375</v>
      </c>
      <c r="BM267" t="s">
        <v>5570</v>
      </c>
      <c r="BN267">
        <v>32200337</v>
      </c>
      <c r="BO267" t="s">
        <v>74</v>
      </c>
      <c r="BP267" t="s">
        <v>74</v>
      </c>
      <c r="BQ267" t="s">
        <v>74</v>
      </c>
      <c r="BR267" t="s">
        <v>105</v>
      </c>
      <c r="BS267" t="s">
        <v>5571</v>
      </c>
      <c r="BT267" t="str">
        <f>HYPERLINK("https%3A%2F%2Fwww.webofscience.com%2Fwos%2Fwoscc%2Ffull-record%2FWOS:000544068400012","View Full Record in Web of Science")</f>
        <v>View Full Record in Web of Science</v>
      </c>
    </row>
    <row r="268" spans="1:72" x14ac:dyDescent="0.25">
      <c r="A268" t="s">
        <v>72</v>
      </c>
      <c r="B268" t="s">
        <v>5572</v>
      </c>
      <c r="C268" t="s">
        <v>74</v>
      </c>
      <c r="D268" t="s">
        <v>74</v>
      </c>
      <c r="E268" t="s">
        <v>74</v>
      </c>
      <c r="F268" t="s">
        <v>5573</v>
      </c>
      <c r="G268" t="s">
        <v>74</v>
      </c>
      <c r="H268" t="s">
        <v>74</v>
      </c>
      <c r="I268" t="s">
        <v>5574</v>
      </c>
      <c r="J268" t="s">
        <v>4902</v>
      </c>
      <c r="K268" t="s">
        <v>74</v>
      </c>
      <c r="L268" t="s">
        <v>74</v>
      </c>
      <c r="M268" t="s">
        <v>78</v>
      </c>
      <c r="N268" t="s">
        <v>79</v>
      </c>
      <c r="O268" t="s">
        <v>74</v>
      </c>
      <c r="P268" t="s">
        <v>74</v>
      </c>
      <c r="Q268" t="s">
        <v>74</v>
      </c>
      <c r="R268" t="s">
        <v>74</v>
      </c>
      <c r="S268" t="s">
        <v>74</v>
      </c>
      <c r="T268" t="s">
        <v>5575</v>
      </c>
      <c r="U268" t="s">
        <v>5576</v>
      </c>
      <c r="V268" t="s">
        <v>5577</v>
      </c>
      <c r="W268" t="s">
        <v>5578</v>
      </c>
      <c r="X268" t="s">
        <v>5579</v>
      </c>
      <c r="Y268" t="s">
        <v>5580</v>
      </c>
      <c r="Z268" t="s">
        <v>5581</v>
      </c>
      <c r="AA268" t="s">
        <v>5582</v>
      </c>
      <c r="AB268" t="s">
        <v>74</v>
      </c>
      <c r="AC268" t="s">
        <v>74</v>
      </c>
      <c r="AD268" t="s">
        <v>74</v>
      </c>
      <c r="AE268" t="s">
        <v>74</v>
      </c>
      <c r="AF268" t="s">
        <v>74</v>
      </c>
      <c r="AG268">
        <v>20</v>
      </c>
      <c r="AH268">
        <v>142</v>
      </c>
      <c r="AI268">
        <v>168</v>
      </c>
      <c r="AJ268">
        <v>0</v>
      </c>
      <c r="AK268">
        <v>35</v>
      </c>
      <c r="AL268" t="s">
        <v>4915</v>
      </c>
      <c r="AM268" t="s">
        <v>532</v>
      </c>
      <c r="AN268" t="s">
        <v>4916</v>
      </c>
      <c r="AO268" t="s">
        <v>4917</v>
      </c>
      <c r="AP268" t="s">
        <v>4918</v>
      </c>
      <c r="AQ268" t="s">
        <v>74</v>
      </c>
      <c r="AR268" t="s">
        <v>4919</v>
      </c>
      <c r="AS268" t="s">
        <v>4920</v>
      </c>
      <c r="AT268" t="s">
        <v>1070</v>
      </c>
      <c r="AU268">
        <v>2016</v>
      </c>
      <c r="AV268">
        <v>46</v>
      </c>
      <c r="AW268">
        <v>6</v>
      </c>
      <c r="AX268" t="s">
        <v>74</v>
      </c>
      <c r="AY268" t="s">
        <v>74</v>
      </c>
      <c r="AZ268" t="s">
        <v>74</v>
      </c>
      <c r="BA268" t="s">
        <v>74</v>
      </c>
      <c r="BB268">
        <v>497</v>
      </c>
      <c r="BC268">
        <v>501</v>
      </c>
      <c r="BD268" t="s">
        <v>74</v>
      </c>
      <c r="BE268" t="s">
        <v>5583</v>
      </c>
      <c r="BF268" t="str">
        <f>HYPERLINK("http://dx.doi.org/10.1093/jjco/hyw034","http://dx.doi.org/10.1093/jjco/hyw034")</f>
        <v>http://dx.doi.org/10.1093/jjco/hyw034</v>
      </c>
      <c r="BG268" t="s">
        <v>74</v>
      </c>
      <c r="BH268" t="s">
        <v>74</v>
      </c>
      <c r="BI268">
        <v>5</v>
      </c>
      <c r="BJ268" t="s">
        <v>4032</v>
      </c>
      <c r="BK268" t="s">
        <v>182</v>
      </c>
      <c r="BL268" t="s">
        <v>4032</v>
      </c>
      <c r="BM268" t="s">
        <v>5584</v>
      </c>
      <c r="BN268">
        <v>27049022</v>
      </c>
      <c r="BO268" t="s">
        <v>74</v>
      </c>
      <c r="BP268" t="s">
        <v>74</v>
      </c>
      <c r="BQ268" t="s">
        <v>74</v>
      </c>
      <c r="BR268" t="s">
        <v>105</v>
      </c>
      <c r="BS268" t="s">
        <v>5585</v>
      </c>
      <c r="BT268" t="str">
        <f>HYPERLINK("https%3A%2F%2Fwww.webofscience.com%2Fwos%2Fwoscc%2Ffull-record%2FWOS:000381162500001","View Full Record in Web of Science")</f>
        <v>View Full Record in Web of Science</v>
      </c>
    </row>
    <row r="269" spans="1:72" x14ac:dyDescent="0.25">
      <c r="A269" t="s">
        <v>72</v>
      </c>
      <c r="B269" t="s">
        <v>5586</v>
      </c>
      <c r="C269" t="s">
        <v>74</v>
      </c>
      <c r="D269" t="s">
        <v>74</v>
      </c>
      <c r="E269" t="s">
        <v>74</v>
      </c>
      <c r="F269" t="s">
        <v>5587</v>
      </c>
      <c r="G269" t="s">
        <v>74</v>
      </c>
      <c r="H269" t="s">
        <v>74</v>
      </c>
      <c r="I269" t="s">
        <v>5588</v>
      </c>
      <c r="J269" t="s">
        <v>5589</v>
      </c>
      <c r="K269" t="s">
        <v>74</v>
      </c>
      <c r="L269" t="s">
        <v>74</v>
      </c>
      <c r="M269" t="s">
        <v>78</v>
      </c>
      <c r="N269" t="s">
        <v>79</v>
      </c>
      <c r="O269" t="s">
        <v>74</v>
      </c>
      <c r="P269" t="s">
        <v>74</v>
      </c>
      <c r="Q269" t="s">
        <v>74</v>
      </c>
      <c r="R269" t="s">
        <v>74</v>
      </c>
      <c r="S269" t="s">
        <v>74</v>
      </c>
      <c r="T269" t="s">
        <v>5590</v>
      </c>
      <c r="U269" t="s">
        <v>5591</v>
      </c>
      <c r="V269" t="s">
        <v>5592</v>
      </c>
      <c r="W269" t="s">
        <v>5593</v>
      </c>
      <c r="X269" t="s">
        <v>5594</v>
      </c>
      <c r="Y269" t="s">
        <v>5595</v>
      </c>
      <c r="Z269" t="s">
        <v>5596</v>
      </c>
      <c r="AA269" t="s">
        <v>5597</v>
      </c>
      <c r="AB269" t="s">
        <v>5598</v>
      </c>
      <c r="AC269" t="s">
        <v>74</v>
      </c>
      <c r="AD269" t="s">
        <v>74</v>
      </c>
      <c r="AE269" t="s">
        <v>74</v>
      </c>
      <c r="AF269" t="s">
        <v>74</v>
      </c>
      <c r="AG269">
        <v>69</v>
      </c>
      <c r="AH269">
        <v>138</v>
      </c>
      <c r="AI269">
        <v>147</v>
      </c>
      <c r="AJ269">
        <v>0</v>
      </c>
      <c r="AK269">
        <v>23</v>
      </c>
      <c r="AL269" t="s">
        <v>5599</v>
      </c>
      <c r="AM269" t="s">
        <v>1606</v>
      </c>
      <c r="AN269" t="s">
        <v>5600</v>
      </c>
      <c r="AO269" t="s">
        <v>5601</v>
      </c>
      <c r="AP269" t="s">
        <v>5602</v>
      </c>
      <c r="AQ269" t="s">
        <v>74</v>
      </c>
      <c r="AR269" t="s">
        <v>5603</v>
      </c>
      <c r="AS269" t="s">
        <v>5604</v>
      </c>
      <c r="AT269" t="s">
        <v>1888</v>
      </c>
      <c r="AU269">
        <v>2015</v>
      </c>
      <c r="AV269">
        <v>51</v>
      </c>
      <c r="AW269">
        <v>10</v>
      </c>
      <c r="AX269" t="s">
        <v>74</v>
      </c>
      <c r="AY269" t="s">
        <v>74</v>
      </c>
      <c r="AZ269" t="s">
        <v>74</v>
      </c>
      <c r="BA269" t="s">
        <v>74</v>
      </c>
      <c r="BB269">
        <v>888</v>
      </c>
      <c r="BC269">
        <v>900</v>
      </c>
      <c r="BD269" t="s">
        <v>74</v>
      </c>
      <c r="BE269" t="s">
        <v>5605</v>
      </c>
      <c r="BF269" t="str">
        <f>HYPERLINK("http://dx.doi.org/10.1016/j.oraloncology.2015.07.002","http://dx.doi.org/10.1016/j.oraloncology.2015.07.002")</f>
        <v>http://dx.doi.org/10.1016/j.oraloncology.2015.07.002</v>
      </c>
      <c r="BG269" t="s">
        <v>74</v>
      </c>
      <c r="BH269" t="s">
        <v>74</v>
      </c>
      <c r="BI269">
        <v>13</v>
      </c>
      <c r="BJ269" t="s">
        <v>5606</v>
      </c>
      <c r="BK269" t="s">
        <v>102</v>
      </c>
      <c r="BL269" t="s">
        <v>5606</v>
      </c>
      <c r="BM269" t="s">
        <v>5607</v>
      </c>
      <c r="BN269">
        <v>26209066</v>
      </c>
      <c r="BO269" t="s">
        <v>74</v>
      </c>
      <c r="BP269" t="s">
        <v>74</v>
      </c>
      <c r="BQ269" t="s">
        <v>74</v>
      </c>
      <c r="BR269" t="s">
        <v>105</v>
      </c>
      <c r="BS269" t="s">
        <v>5608</v>
      </c>
      <c r="BT269" t="str">
        <f>HYPERLINK("https%3A%2F%2Fwww.webofscience.com%2Fwos%2Fwoscc%2Ffull-record%2FWOS:000361240200004","View Full Record in Web of Science")</f>
        <v>View Full Record in Web of Science</v>
      </c>
    </row>
    <row r="270" spans="1:72" x14ac:dyDescent="0.25">
      <c r="A270" t="s">
        <v>72</v>
      </c>
      <c r="B270" t="s">
        <v>5609</v>
      </c>
      <c r="C270" t="s">
        <v>74</v>
      </c>
      <c r="D270" t="s">
        <v>74</v>
      </c>
      <c r="E270" t="s">
        <v>74</v>
      </c>
      <c r="F270" t="s">
        <v>5610</v>
      </c>
      <c r="G270" t="s">
        <v>74</v>
      </c>
      <c r="H270" t="s">
        <v>74</v>
      </c>
      <c r="I270" t="s">
        <v>5611</v>
      </c>
      <c r="J270" t="s">
        <v>4018</v>
      </c>
      <c r="K270" t="s">
        <v>74</v>
      </c>
      <c r="L270" t="s">
        <v>74</v>
      </c>
      <c r="M270" t="s">
        <v>78</v>
      </c>
      <c r="N270" t="s">
        <v>79</v>
      </c>
      <c r="O270" t="s">
        <v>74</v>
      </c>
      <c r="P270" t="s">
        <v>74</v>
      </c>
      <c r="Q270" t="s">
        <v>74</v>
      </c>
      <c r="R270" t="s">
        <v>74</v>
      </c>
      <c r="S270" t="s">
        <v>74</v>
      </c>
      <c r="T270" t="s">
        <v>5612</v>
      </c>
      <c r="U270" t="s">
        <v>5613</v>
      </c>
      <c r="V270" t="s">
        <v>5614</v>
      </c>
      <c r="W270" t="s">
        <v>5615</v>
      </c>
      <c r="X270" t="s">
        <v>5616</v>
      </c>
      <c r="Y270" t="s">
        <v>5617</v>
      </c>
      <c r="Z270" t="s">
        <v>5618</v>
      </c>
      <c r="AA270" t="s">
        <v>5619</v>
      </c>
      <c r="AB270" t="s">
        <v>5620</v>
      </c>
      <c r="AC270" t="s">
        <v>5621</v>
      </c>
      <c r="AD270" t="s">
        <v>5622</v>
      </c>
      <c r="AE270" t="s">
        <v>5623</v>
      </c>
      <c r="AF270" t="s">
        <v>74</v>
      </c>
      <c r="AG270">
        <v>316</v>
      </c>
      <c r="AH270">
        <v>29</v>
      </c>
      <c r="AI270">
        <v>29</v>
      </c>
      <c r="AJ270">
        <v>3</v>
      </c>
      <c r="AK270">
        <v>20</v>
      </c>
      <c r="AL270" t="s">
        <v>392</v>
      </c>
      <c r="AM270" t="s">
        <v>393</v>
      </c>
      <c r="AN270" t="s">
        <v>394</v>
      </c>
      <c r="AO270" t="s">
        <v>4028</v>
      </c>
      <c r="AP270" t="s">
        <v>74</v>
      </c>
      <c r="AQ270" t="s">
        <v>74</v>
      </c>
      <c r="AR270" t="s">
        <v>4029</v>
      </c>
      <c r="AS270" t="s">
        <v>4030</v>
      </c>
      <c r="AT270" t="s">
        <v>5624</v>
      </c>
      <c r="AU270">
        <v>2022</v>
      </c>
      <c r="AV270">
        <v>12</v>
      </c>
      <c r="AW270" t="s">
        <v>74</v>
      </c>
      <c r="AX270" t="s">
        <v>74</v>
      </c>
      <c r="AY270" t="s">
        <v>74</v>
      </c>
      <c r="AZ270" t="s">
        <v>74</v>
      </c>
      <c r="BA270" t="s">
        <v>74</v>
      </c>
      <c r="BB270" t="s">
        <v>74</v>
      </c>
      <c r="BC270" t="s">
        <v>74</v>
      </c>
      <c r="BD270">
        <v>856575</v>
      </c>
      <c r="BE270" t="s">
        <v>5625</v>
      </c>
      <c r="BF270" t="str">
        <f>HYPERLINK("http://dx.doi.org/10.3389/fonc.2022.856575","http://dx.doi.org/10.3389/fonc.2022.856575")</f>
        <v>http://dx.doi.org/10.3389/fonc.2022.856575</v>
      </c>
      <c r="BG270" t="s">
        <v>74</v>
      </c>
      <c r="BH270" t="s">
        <v>74</v>
      </c>
      <c r="BI270">
        <v>22</v>
      </c>
      <c r="BJ270" t="s">
        <v>4032</v>
      </c>
      <c r="BK270" t="s">
        <v>182</v>
      </c>
      <c r="BL270" t="s">
        <v>4032</v>
      </c>
      <c r="BM270" t="s">
        <v>5626</v>
      </c>
      <c r="BN270">
        <v>35356214</v>
      </c>
      <c r="BO270" t="s">
        <v>355</v>
      </c>
      <c r="BP270" t="s">
        <v>74</v>
      </c>
      <c r="BQ270" t="s">
        <v>74</v>
      </c>
      <c r="BR270" t="s">
        <v>105</v>
      </c>
      <c r="BS270" t="s">
        <v>5627</v>
      </c>
      <c r="BT270" t="str">
        <f>HYPERLINK("https%3A%2F%2Fwww.webofscience.com%2Fwos%2Fwoscc%2Ffull-record%2FWOS:000777848800001","View Full Record in Web of Science")</f>
        <v>View Full Record in Web of Science</v>
      </c>
    </row>
    <row r="271" spans="1:72" x14ac:dyDescent="0.25">
      <c r="A271" t="s">
        <v>72</v>
      </c>
      <c r="B271" t="s">
        <v>5628</v>
      </c>
      <c r="C271" t="s">
        <v>74</v>
      </c>
      <c r="D271" t="s">
        <v>74</v>
      </c>
      <c r="E271" t="s">
        <v>74</v>
      </c>
      <c r="F271" t="s">
        <v>5629</v>
      </c>
      <c r="G271" t="s">
        <v>74</v>
      </c>
      <c r="H271" t="s">
        <v>74</v>
      </c>
      <c r="I271" t="s">
        <v>5630</v>
      </c>
      <c r="J271" t="s">
        <v>5631</v>
      </c>
      <c r="K271" t="s">
        <v>74</v>
      </c>
      <c r="L271" t="s">
        <v>74</v>
      </c>
      <c r="M271" t="s">
        <v>78</v>
      </c>
      <c r="N271" t="s">
        <v>79</v>
      </c>
      <c r="O271" t="s">
        <v>74</v>
      </c>
      <c r="P271" t="s">
        <v>74</v>
      </c>
      <c r="Q271" t="s">
        <v>74</v>
      </c>
      <c r="R271" t="s">
        <v>74</v>
      </c>
      <c r="S271" t="s">
        <v>74</v>
      </c>
      <c r="T271" t="s">
        <v>5632</v>
      </c>
      <c r="U271" t="s">
        <v>5633</v>
      </c>
      <c r="V271" t="s">
        <v>5634</v>
      </c>
      <c r="W271" t="s">
        <v>5635</v>
      </c>
      <c r="X271" t="s">
        <v>5636</v>
      </c>
      <c r="Y271" t="s">
        <v>5637</v>
      </c>
      <c r="Z271" t="s">
        <v>5638</v>
      </c>
      <c r="AA271" t="s">
        <v>74</v>
      </c>
      <c r="AB271" t="s">
        <v>5639</v>
      </c>
      <c r="AC271" t="s">
        <v>5640</v>
      </c>
      <c r="AD271" t="s">
        <v>5641</v>
      </c>
      <c r="AE271" t="s">
        <v>74</v>
      </c>
      <c r="AF271" t="s">
        <v>74</v>
      </c>
      <c r="AG271">
        <v>57</v>
      </c>
      <c r="AH271">
        <v>226</v>
      </c>
      <c r="AI271">
        <v>239</v>
      </c>
      <c r="AJ271">
        <v>2</v>
      </c>
      <c r="AK271">
        <v>45</v>
      </c>
      <c r="AL271" t="s">
        <v>5599</v>
      </c>
      <c r="AM271" t="s">
        <v>1606</v>
      </c>
      <c r="AN271" t="s">
        <v>5600</v>
      </c>
      <c r="AO271" t="s">
        <v>5642</v>
      </c>
      <c r="AP271" t="s">
        <v>5643</v>
      </c>
      <c r="AQ271" t="s">
        <v>74</v>
      </c>
      <c r="AR271" t="s">
        <v>5644</v>
      </c>
      <c r="AS271" t="s">
        <v>5645</v>
      </c>
      <c r="AT271" t="s">
        <v>1734</v>
      </c>
      <c r="AU271">
        <v>2016</v>
      </c>
      <c r="AV271">
        <v>70</v>
      </c>
      <c r="AW271">
        <v>1</v>
      </c>
      <c r="AX271" t="s">
        <v>74</v>
      </c>
      <c r="AY271" t="s">
        <v>74</v>
      </c>
      <c r="AZ271" t="s">
        <v>74</v>
      </c>
      <c r="BA271" t="s">
        <v>74</v>
      </c>
      <c r="BB271">
        <v>176</v>
      </c>
      <c r="BC271">
        <v>187</v>
      </c>
      <c r="BD271" t="s">
        <v>74</v>
      </c>
      <c r="BE271" t="s">
        <v>5646</v>
      </c>
      <c r="BF271" t="str">
        <f>HYPERLINK("http://dx.doi.org/10.1016/j.eururo.2016.02.051","http://dx.doi.org/10.1016/j.eururo.2016.02.051")</f>
        <v>http://dx.doi.org/10.1016/j.eururo.2016.02.051</v>
      </c>
      <c r="BG271" t="s">
        <v>74</v>
      </c>
      <c r="BH271" t="s">
        <v>74</v>
      </c>
      <c r="BI271">
        <v>12</v>
      </c>
      <c r="BJ271" t="s">
        <v>2739</v>
      </c>
      <c r="BK271" t="s">
        <v>182</v>
      </c>
      <c r="BL271" t="s">
        <v>2739</v>
      </c>
      <c r="BM271" t="s">
        <v>5647</v>
      </c>
      <c r="BN271">
        <v>26970912</v>
      </c>
      <c r="BO271" t="s">
        <v>5648</v>
      </c>
      <c r="BP271" t="s">
        <v>74</v>
      </c>
      <c r="BQ271" t="s">
        <v>74</v>
      </c>
      <c r="BR271" t="s">
        <v>105</v>
      </c>
      <c r="BS271" t="s">
        <v>5649</v>
      </c>
      <c r="BT271" t="str">
        <f>HYPERLINK("https%3A%2F%2Fwww.webofscience.com%2Fwos%2Fwoscc%2Ffull-record%2FWOS:000377290100044","View Full Record in Web of Science")</f>
        <v>View Full Record in Web of Science</v>
      </c>
    </row>
    <row r="272" spans="1:72" x14ac:dyDescent="0.25">
      <c r="A272" t="s">
        <v>72</v>
      </c>
      <c r="B272" t="s">
        <v>5650</v>
      </c>
      <c r="C272" t="s">
        <v>74</v>
      </c>
      <c r="D272" t="s">
        <v>74</v>
      </c>
      <c r="E272" t="s">
        <v>74</v>
      </c>
      <c r="F272" t="s">
        <v>5651</v>
      </c>
      <c r="G272" t="s">
        <v>74</v>
      </c>
      <c r="H272" t="s">
        <v>74</v>
      </c>
      <c r="I272" t="s">
        <v>5652</v>
      </c>
      <c r="J272" t="s">
        <v>5653</v>
      </c>
      <c r="K272" t="s">
        <v>74</v>
      </c>
      <c r="L272" t="s">
        <v>74</v>
      </c>
      <c r="M272" t="s">
        <v>78</v>
      </c>
      <c r="N272" t="s">
        <v>79</v>
      </c>
      <c r="O272" t="s">
        <v>74</v>
      </c>
      <c r="P272" t="s">
        <v>74</v>
      </c>
      <c r="Q272" t="s">
        <v>74</v>
      </c>
      <c r="R272" t="s">
        <v>74</v>
      </c>
      <c r="S272" t="s">
        <v>74</v>
      </c>
      <c r="T272" t="s">
        <v>5654</v>
      </c>
      <c r="U272" t="s">
        <v>5655</v>
      </c>
      <c r="V272" t="s">
        <v>5656</v>
      </c>
      <c r="W272" t="s">
        <v>5657</v>
      </c>
      <c r="X272" t="s">
        <v>5658</v>
      </c>
      <c r="Y272" t="s">
        <v>5659</v>
      </c>
      <c r="Z272" t="s">
        <v>5660</v>
      </c>
      <c r="AA272" t="s">
        <v>5661</v>
      </c>
      <c r="AB272" t="s">
        <v>5662</v>
      </c>
      <c r="AC272" t="s">
        <v>74</v>
      </c>
      <c r="AD272" t="s">
        <v>74</v>
      </c>
      <c r="AE272" t="s">
        <v>74</v>
      </c>
      <c r="AF272" t="s">
        <v>74</v>
      </c>
      <c r="AG272">
        <v>294</v>
      </c>
      <c r="AH272">
        <v>3</v>
      </c>
      <c r="AI272">
        <v>3</v>
      </c>
      <c r="AJ272">
        <v>4</v>
      </c>
      <c r="AK272">
        <v>10</v>
      </c>
      <c r="AL272" t="s">
        <v>120</v>
      </c>
      <c r="AM272" t="s">
        <v>121</v>
      </c>
      <c r="AN272" t="s">
        <v>122</v>
      </c>
      <c r="AO272" t="s">
        <v>74</v>
      </c>
      <c r="AP272" t="s">
        <v>5663</v>
      </c>
      <c r="AQ272" t="s">
        <v>74</v>
      </c>
      <c r="AR272" t="s">
        <v>5653</v>
      </c>
      <c r="AS272" t="s">
        <v>5664</v>
      </c>
      <c r="AT272" t="s">
        <v>151</v>
      </c>
      <c r="AU272">
        <v>2023</v>
      </c>
      <c r="AV272">
        <v>13</v>
      </c>
      <c r="AW272">
        <v>12</v>
      </c>
      <c r="AX272" t="s">
        <v>74</v>
      </c>
      <c r="AY272" t="s">
        <v>74</v>
      </c>
      <c r="AZ272" t="s">
        <v>74</v>
      </c>
      <c r="BA272" t="s">
        <v>74</v>
      </c>
      <c r="BB272" t="s">
        <v>74</v>
      </c>
      <c r="BC272" t="s">
        <v>74</v>
      </c>
      <c r="BD272">
        <v>259</v>
      </c>
      <c r="BE272" t="s">
        <v>5665</v>
      </c>
      <c r="BF272" t="str">
        <f>HYPERLINK("http://dx.doi.org/10.3390/soc13120259","http://dx.doi.org/10.3390/soc13120259")</f>
        <v>http://dx.doi.org/10.3390/soc13120259</v>
      </c>
      <c r="BG272" t="s">
        <v>74</v>
      </c>
      <c r="BH272" t="s">
        <v>74</v>
      </c>
      <c r="BI272">
        <v>43</v>
      </c>
      <c r="BJ272" t="s">
        <v>5666</v>
      </c>
      <c r="BK272" t="s">
        <v>155</v>
      </c>
      <c r="BL272" t="s">
        <v>5666</v>
      </c>
      <c r="BM272" t="s">
        <v>5667</v>
      </c>
      <c r="BN272" t="s">
        <v>74</v>
      </c>
      <c r="BO272" t="s">
        <v>185</v>
      </c>
      <c r="BP272" t="s">
        <v>74</v>
      </c>
      <c r="BQ272" t="s">
        <v>74</v>
      </c>
      <c r="BR272" t="s">
        <v>105</v>
      </c>
      <c r="BS272" t="s">
        <v>5668</v>
      </c>
      <c r="BT272" t="str">
        <f>HYPERLINK("https%3A%2F%2Fwww.webofscience.com%2Fwos%2Fwoscc%2Ffull-record%2FWOS:001131465100001","View Full Record in Web of Science")</f>
        <v>View Full Record in Web of Science</v>
      </c>
    </row>
    <row r="273" spans="1:72" x14ac:dyDescent="0.25">
      <c r="A273" t="s">
        <v>72</v>
      </c>
      <c r="B273" t="s">
        <v>5669</v>
      </c>
      <c r="C273" t="s">
        <v>74</v>
      </c>
      <c r="D273" t="s">
        <v>74</v>
      </c>
      <c r="E273" t="s">
        <v>74</v>
      </c>
      <c r="F273" t="s">
        <v>5670</v>
      </c>
      <c r="G273" t="s">
        <v>74</v>
      </c>
      <c r="H273" t="s">
        <v>74</v>
      </c>
      <c r="I273" t="s">
        <v>5671</v>
      </c>
      <c r="J273" t="s">
        <v>916</v>
      </c>
      <c r="K273" t="s">
        <v>74</v>
      </c>
      <c r="L273" t="s">
        <v>74</v>
      </c>
      <c r="M273" t="s">
        <v>78</v>
      </c>
      <c r="N273" t="s">
        <v>79</v>
      </c>
      <c r="O273" t="s">
        <v>74</v>
      </c>
      <c r="P273" t="s">
        <v>74</v>
      </c>
      <c r="Q273" t="s">
        <v>74</v>
      </c>
      <c r="R273" t="s">
        <v>74</v>
      </c>
      <c r="S273" t="s">
        <v>74</v>
      </c>
      <c r="T273" t="s">
        <v>74</v>
      </c>
      <c r="U273" t="s">
        <v>5672</v>
      </c>
      <c r="V273" t="s">
        <v>5673</v>
      </c>
      <c r="W273" t="s">
        <v>5674</v>
      </c>
      <c r="X273" t="s">
        <v>5675</v>
      </c>
      <c r="Y273" t="s">
        <v>5676</v>
      </c>
      <c r="Z273" t="s">
        <v>5677</v>
      </c>
      <c r="AA273" t="s">
        <v>5678</v>
      </c>
      <c r="AB273" t="s">
        <v>5679</v>
      </c>
      <c r="AC273" t="s">
        <v>5680</v>
      </c>
      <c r="AD273" t="s">
        <v>5681</v>
      </c>
      <c r="AE273" t="s">
        <v>5682</v>
      </c>
      <c r="AF273" t="s">
        <v>74</v>
      </c>
      <c r="AG273">
        <v>91</v>
      </c>
      <c r="AH273">
        <v>162</v>
      </c>
      <c r="AI273">
        <v>172</v>
      </c>
      <c r="AJ273">
        <v>5</v>
      </c>
      <c r="AK273">
        <v>94</v>
      </c>
      <c r="AL273" t="s">
        <v>928</v>
      </c>
      <c r="AM273" t="s">
        <v>929</v>
      </c>
      <c r="AN273" t="s">
        <v>930</v>
      </c>
      <c r="AO273" t="s">
        <v>931</v>
      </c>
      <c r="AP273" t="s">
        <v>74</v>
      </c>
      <c r="AQ273" t="s">
        <v>74</v>
      </c>
      <c r="AR273" t="s">
        <v>916</v>
      </c>
      <c r="AS273" t="s">
        <v>932</v>
      </c>
      <c r="AT273" t="s">
        <v>5683</v>
      </c>
      <c r="AU273">
        <v>2021</v>
      </c>
      <c r="AV273">
        <v>16</v>
      </c>
      <c r="AW273">
        <v>2</v>
      </c>
      <c r="AX273" t="s">
        <v>74</v>
      </c>
      <c r="AY273" t="s">
        <v>74</v>
      </c>
      <c r="AZ273" t="s">
        <v>74</v>
      </c>
      <c r="BA273" t="s">
        <v>74</v>
      </c>
      <c r="BB273" t="s">
        <v>74</v>
      </c>
      <c r="BC273" t="s">
        <v>74</v>
      </c>
      <c r="BD273" t="s">
        <v>5684</v>
      </c>
      <c r="BE273" t="s">
        <v>5685</v>
      </c>
      <c r="BF273" t="str">
        <f>HYPERLINK("http://dx.doi.org/10.1371/journal.pone.0247139","http://dx.doi.org/10.1371/journal.pone.0247139")</f>
        <v>http://dx.doi.org/10.1371/journal.pone.0247139</v>
      </c>
      <c r="BG273" t="s">
        <v>74</v>
      </c>
      <c r="BH273" t="s">
        <v>74</v>
      </c>
      <c r="BI273">
        <v>28</v>
      </c>
      <c r="BJ273" t="s">
        <v>936</v>
      </c>
      <c r="BK273" t="s">
        <v>102</v>
      </c>
      <c r="BL273" t="s">
        <v>937</v>
      </c>
      <c r="BM273" t="s">
        <v>5686</v>
      </c>
      <c r="BN273">
        <v>33596273</v>
      </c>
      <c r="BO273" t="s">
        <v>4568</v>
      </c>
      <c r="BP273" t="s">
        <v>869</v>
      </c>
      <c r="BQ273" t="s">
        <v>870</v>
      </c>
      <c r="BR273" t="s">
        <v>105</v>
      </c>
      <c r="BS273" t="s">
        <v>5687</v>
      </c>
      <c r="BT273" t="str">
        <f>HYPERLINK("https%3A%2F%2Fwww.webofscience.com%2Fwos%2Fwoscc%2Ffull-record%2FWOS:000620633200055","View Full Record in Web of Science")</f>
        <v>View Full Record in Web of Science</v>
      </c>
    </row>
    <row r="274" spans="1:72" x14ac:dyDescent="0.25">
      <c r="A274" t="s">
        <v>72</v>
      </c>
      <c r="B274" t="s">
        <v>5688</v>
      </c>
      <c r="C274" t="s">
        <v>74</v>
      </c>
      <c r="D274" t="s">
        <v>74</v>
      </c>
      <c r="E274" t="s">
        <v>74</v>
      </c>
      <c r="F274" t="s">
        <v>5689</v>
      </c>
      <c r="G274" t="s">
        <v>74</v>
      </c>
      <c r="H274" t="s">
        <v>74</v>
      </c>
      <c r="I274" t="s">
        <v>5690</v>
      </c>
      <c r="J274" t="s">
        <v>5691</v>
      </c>
      <c r="K274" t="s">
        <v>74</v>
      </c>
      <c r="L274" t="s">
        <v>74</v>
      </c>
      <c r="M274" t="s">
        <v>78</v>
      </c>
      <c r="N274" t="s">
        <v>79</v>
      </c>
      <c r="O274" t="s">
        <v>74</v>
      </c>
      <c r="P274" t="s">
        <v>74</v>
      </c>
      <c r="Q274" t="s">
        <v>74</v>
      </c>
      <c r="R274" t="s">
        <v>74</v>
      </c>
      <c r="S274" t="s">
        <v>74</v>
      </c>
      <c r="T274" t="s">
        <v>5692</v>
      </c>
      <c r="U274" t="s">
        <v>5693</v>
      </c>
      <c r="V274" t="s">
        <v>5694</v>
      </c>
      <c r="W274" t="s">
        <v>5695</v>
      </c>
      <c r="X274" t="s">
        <v>5696</v>
      </c>
      <c r="Y274" t="s">
        <v>5697</v>
      </c>
      <c r="Z274" t="s">
        <v>5698</v>
      </c>
      <c r="AA274" t="s">
        <v>5699</v>
      </c>
      <c r="AB274" t="s">
        <v>5700</v>
      </c>
      <c r="AC274" t="s">
        <v>74</v>
      </c>
      <c r="AD274" t="s">
        <v>74</v>
      </c>
      <c r="AE274" t="s">
        <v>74</v>
      </c>
      <c r="AF274" t="s">
        <v>74</v>
      </c>
      <c r="AG274">
        <v>33</v>
      </c>
      <c r="AH274">
        <v>1</v>
      </c>
      <c r="AI274">
        <v>1</v>
      </c>
      <c r="AJ274">
        <v>0</v>
      </c>
      <c r="AK274">
        <v>2</v>
      </c>
      <c r="AL274" t="s">
        <v>5701</v>
      </c>
      <c r="AM274" t="s">
        <v>5702</v>
      </c>
      <c r="AN274" t="s">
        <v>5703</v>
      </c>
      <c r="AO274" t="s">
        <v>5704</v>
      </c>
      <c r="AP274" t="s">
        <v>74</v>
      </c>
      <c r="AQ274" t="s">
        <v>74</v>
      </c>
      <c r="AR274" t="s">
        <v>5705</v>
      </c>
      <c r="AS274" t="s">
        <v>5706</v>
      </c>
      <c r="AT274" t="s">
        <v>74</v>
      </c>
      <c r="AU274">
        <v>2023</v>
      </c>
      <c r="AV274">
        <v>11</v>
      </c>
      <c r="AW274">
        <v>4</v>
      </c>
      <c r="AX274" t="s">
        <v>74</v>
      </c>
      <c r="AY274" t="s">
        <v>74</v>
      </c>
      <c r="AZ274" t="s">
        <v>74</v>
      </c>
      <c r="BA274" t="s">
        <v>74</v>
      </c>
      <c r="BB274">
        <v>320</v>
      </c>
      <c r="BC274">
        <v>327</v>
      </c>
      <c r="BD274" t="s">
        <v>74</v>
      </c>
      <c r="BE274" t="s">
        <v>74</v>
      </c>
      <c r="BF274" t="s">
        <v>74</v>
      </c>
      <c r="BG274" t="s">
        <v>74</v>
      </c>
      <c r="BH274" t="s">
        <v>74</v>
      </c>
      <c r="BI274">
        <v>8</v>
      </c>
      <c r="BJ274" t="s">
        <v>2739</v>
      </c>
      <c r="BK274" t="s">
        <v>155</v>
      </c>
      <c r="BL274" t="s">
        <v>2739</v>
      </c>
      <c r="BM274" t="s">
        <v>5707</v>
      </c>
      <c r="BN274">
        <v>37645610</v>
      </c>
      <c r="BO274" t="s">
        <v>74</v>
      </c>
      <c r="BP274" t="s">
        <v>74</v>
      </c>
      <c r="BQ274" t="s">
        <v>74</v>
      </c>
      <c r="BR274" t="s">
        <v>105</v>
      </c>
      <c r="BS274" t="s">
        <v>5708</v>
      </c>
      <c r="BT274" t="str">
        <f>HYPERLINK("https%3A%2F%2Fwww.webofscience.com%2Fwos%2Fwoscc%2Ffull-record%2FWOS:001051476600005","View Full Record in Web of Science")</f>
        <v>View Full Record in Web of Science</v>
      </c>
    </row>
    <row r="275" spans="1:72" x14ac:dyDescent="0.25">
      <c r="A275" t="s">
        <v>72</v>
      </c>
      <c r="B275" t="s">
        <v>5709</v>
      </c>
      <c r="C275" t="s">
        <v>74</v>
      </c>
      <c r="D275" t="s">
        <v>74</v>
      </c>
      <c r="E275" t="s">
        <v>74</v>
      </c>
      <c r="F275" t="s">
        <v>5710</v>
      </c>
      <c r="G275" t="s">
        <v>74</v>
      </c>
      <c r="H275" t="s">
        <v>74</v>
      </c>
      <c r="I275" t="s">
        <v>5711</v>
      </c>
      <c r="J275" t="s">
        <v>5712</v>
      </c>
      <c r="K275" t="s">
        <v>74</v>
      </c>
      <c r="L275" t="s">
        <v>74</v>
      </c>
      <c r="M275" t="s">
        <v>78</v>
      </c>
      <c r="N275" t="s">
        <v>79</v>
      </c>
      <c r="O275" t="s">
        <v>74</v>
      </c>
      <c r="P275" t="s">
        <v>74</v>
      </c>
      <c r="Q275" t="s">
        <v>74</v>
      </c>
      <c r="R275" t="s">
        <v>74</v>
      </c>
      <c r="S275" t="s">
        <v>74</v>
      </c>
      <c r="T275" t="s">
        <v>5713</v>
      </c>
      <c r="U275" t="s">
        <v>5714</v>
      </c>
      <c r="V275" t="s">
        <v>5715</v>
      </c>
      <c r="W275" t="s">
        <v>5716</v>
      </c>
      <c r="X275" t="s">
        <v>5717</v>
      </c>
      <c r="Y275" t="s">
        <v>5718</v>
      </c>
      <c r="Z275" t="s">
        <v>5719</v>
      </c>
      <c r="AA275" t="s">
        <v>74</v>
      </c>
      <c r="AB275" t="s">
        <v>74</v>
      </c>
      <c r="AC275" t="s">
        <v>74</v>
      </c>
      <c r="AD275" t="s">
        <v>74</v>
      </c>
      <c r="AE275" t="s">
        <v>74</v>
      </c>
      <c r="AF275" t="s">
        <v>74</v>
      </c>
      <c r="AG275">
        <v>160</v>
      </c>
      <c r="AH275">
        <v>0</v>
      </c>
      <c r="AI275">
        <v>0</v>
      </c>
      <c r="AJ275">
        <v>1</v>
      </c>
      <c r="AK275">
        <v>1</v>
      </c>
      <c r="AL275" t="s">
        <v>5238</v>
      </c>
      <c r="AM275" t="s">
        <v>5239</v>
      </c>
      <c r="AN275" t="s">
        <v>5240</v>
      </c>
      <c r="AO275" t="s">
        <v>5720</v>
      </c>
      <c r="AP275" t="s">
        <v>5721</v>
      </c>
      <c r="AQ275" t="s">
        <v>74</v>
      </c>
      <c r="AR275" t="s">
        <v>5722</v>
      </c>
      <c r="AS275" t="s">
        <v>5723</v>
      </c>
      <c r="AT275" t="s">
        <v>5724</v>
      </c>
      <c r="AU275">
        <v>2024</v>
      </c>
      <c r="AV275">
        <v>13</v>
      </c>
      <c r="AW275">
        <v>11</v>
      </c>
      <c r="AX275" t="s">
        <v>74</v>
      </c>
      <c r="AY275" t="s">
        <v>74</v>
      </c>
      <c r="AZ275" t="s">
        <v>74</v>
      </c>
      <c r="BA275" t="s">
        <v>74</v>
      </c>
      <c r="BB275">
        <v>2625</v>
      </c>
      <c r="BC275">
        <v>2643</v>
      </c>
      <c r="BD275" t="s">
        <v>74</v>
      </c>
      <c r="BE275" t="s">
        <v>5725</v>
      </c>
      <c r="BF275" t="str">
        <f>HYPERLINK("http://dx.doi.org/10.21037/tau-24-514","http://dx.doi.org/10.21037/tau-24-514")</f>
        <v>http://dx.doi.org/10.21037/tau-24-514</v>
      </c>
      <c r="BG275" t="s">
        <v>74</v>
      </c>
      <c r="BH275" t="s">
        <v>74</v>
      </c>
      <c r="BI275">
        <v>19</v>
      </c>
      <c r="BJ275" t="s">
        <v>5726</v>
      </c>
      <c r="BK275" t="s">
        <v>182</v>
      </c>
      <c r="BL275" t="s">
        <v>5727</v>
      </c>
      <c r="BM275" t="s">
        <v>5728</v>
      </c>
      <c r="BN275">
        <v>39698570</v>
      </c>
      <c r="BO275" t="s">
        <v>185</v>
      </c>
      <c r="BP275" t="s">
        <v>74</v>
      </c>
      <c r="BQ275" t="s">
        <v>74</v>
      </c>
      <c r="BR275" t="s">
        <v>105</v>
      </c>
      <c r="BS275" t="s">
        <v>5729</v>
      </c>
      <c r="BT275" t="str">
        <f>HYPERLINK("https%3A%2F%2Fwww.webofscience.com%2Fwos%2Fwoscc%2Ffull-record%2FWOS:001390893300009","View Full Record in Web of Science")</f>
        <v>View Full Record in Web of Science</v>
      </c>
    </row>
    <row r="276" spans="1:72" x14ac:dyDescent="0.25">
      <c r="A276" t="s">
        <v>72</v>
      </c>
      <c r="B276" t="s">
        <v>5730</v>
      </c>
      <c r="C276" t="s">
        <v>74</v>
      </c>
      <c r="D276" t="s">
        <v>74</v>
      </c>
      <c r="E276" t="s">
        <v>74</v>
      </c>
      <c r="F276" t="s">
        <v>5731</v>
      </c>
      <c r="G276" t="s">
        <v>74</v>
      </c>
      <c r="H276" t="s">
        <v>74</v>
      </c>
      <c r="I276" t="s">
        <v>5732</v>
      </c>
      <c r="J276" t="s">
        <v>5087</v>
      </c>
      <c r="K276" t="s">
        <v>74</v>
      </c>
      <c r="L276" t="s">
        <v>74</v>
      </c>
      <c r="M276" t="s">
        <v>78</v>
      </c>
      <c r="N276" t="s">
        <v>79</v>
      </c>
      <c r="O276" t="s">
        <v>74</v>
      </c>
      <c r="P276" t="s">
        <v>74</v>
      </c>
      <c r="Q276" t="s">
        <v>74</v>
      </c>
      <c r="R276" t="s">
        <v>74</v>
      </c>
      <c r="S276" t="s">
        <v>74</v>
      </c>
      <c r="T276" t="s">
        <v>5733</v>
      </c>
      <c r="U276" t="s">
        <v>5734</v>
      </c>
      <c r="V276" t="s">
        <v>5735</v>
      </c>
      <c r="W276" t="s">
        <v>5736</v>
      </c>
      <c r="X276" t="s">
        <v>5737</v>
      </c>
      <c r="Y276" t="s">
        <v>5738</v>
      </c>
      <c r="Z276" t="s">
        <v>5739</v>
      </c>
      <c r="AA276" t="s">
        <v>5740</v>
      </c>
      <c r="AB276" t="s">
        <v>5741</v>
      </c>
      <c r="AC276" t="s">
        <v>5742</v>
      </c>
      <c r="AD276" t="s">
        <v>5742</v>
      </c>
      <c r="AE276" t="s">
        <v>5743</v>
      </c>
      <c r="AF276" t="s">
        <v>74</v>
      </c>
      <c r="AG276">
        <v>99</v>
      </c>
      <c r="AH276">
        <v>8</v>
      </c>
      <c r="AI276">
        <v>9</v>
      </c>
      <c r="AJ276">
        <v>7</v>
      </c>
      <c r="AK276">
        <v>49</v>
      </c>
      <c r="AL276" t="s">
        <v>557</v>
      </c>
      <c r="AM276" t="s">
        <v>275</v>
      </c>
      <c r="AN276" t="s">
        <v>558</v>
      </c>
      <c r="AO276" t="s">
        <v>5097</v>
      </c>
      <c r="AP276" t="s">
        <v>5098</v>
      </c>
      <c r="AQ276" t="s">
        <v>74</v>
      </c>
      <c r="AR276" t="s">
        <v>5099</v>
      </c>
      <c r="AS276" t="s">
        <v>5100</v>
      </c>
      <c r="AT276" t="s">
        <v>487</v>
      </c>
      <c r="AU276">
        <v>2023</v>
      </c>
      <c r="AV276">
        <v>22</v>
      </c>
      <c r="AW276">
        <v>3</v>
      </c>
      <c r="AX276" t="s">
        <v>74</v>
      </c>
      <c r="AY276" t="s">
        <v>74</v>
      </c>
      <c r="AZ276" t="s">
        <v>74</v>
      </c>
      <c r="BA276" t="s">
        <v>74</v>
      </c>
      <c r="BB276">
        <v>664</v>
      </c>
      <c r="BC276">
        <v>693</v>
      </c>
      <c r="BD276" t="s">
        <v>74</v>
      </c>
      <c r="BE276" t="s">
        <v>5744</v>
      </c>
      <c r="BF276" t="str">
        <f>HYPERLINK("http://dx.doi.org/10.1177/14713012231155985","http://dx.doi.org/10.1177/14713012231155985")</f>
        <v>http://dx.doi.org/10.1177/14713012231155985</v>
      </c>
      <c r="BG276" t="s">
        <v>74</v>
      </c>
      <c r="BH276" t="s">
        <v>5745</v>
      </c>
      <c r="BI276">
        <v>30</v>
      </c>
      <c r="BJ276" t="s">
        <v>5104</v>
      </c>
      <c r="BK276" t="s">
        <v>462</v>
      </c>
      <c r="BL276" t="s">
        <v>4257</v>
      </c>
      <c r="BM276" t="s">
        <v>5746</v>
      </c>
      <c r="BN276">
        <v>36765455</v>
      </c>
      <c r="BO276" t="s">
        <v>5747</v>
      </c>
      <c r="BP276" t="s">
        <v>74</v>
      </c>
      <c r="BQ276" t="s">
        <v>74</v>
      </c>
      <c r="BR276" t="s">
        <v>105</v>
      </c>
      <c r="BS276" t="s">
        <v>5748</v>
      </c>
      <c r="BT276" t="str">
        <f>HYPERLINK("https%3A%2F%2Fwww.webofscience.com%2Fwos%2Fwoscc%2Ffull-record%2FWOS:000932707300001","View Full Record in Web of Science")</f>
        <v>View Full Record in Web of Science</v>
      </c>
    </row>
    <row r="277" spans="1:72" x14ac:dyDescent="0.25">
      <c r="A277" t="s">
        <v>72</v>
      </c>
      <c r="B277" t="s">
        <v>5749</v>
      </c>
      <c r="C277" t="s">
        <v>74</v>
      </c>
      <c r="D277" t="s">
        <v>74</v>
      </c>
      <c r="E277" t="s">
        <v>74</v>
      </c>
      <c r="F277" t="s">
        <v>5750</v>
      </c>
      <c r="G277" t="s">
        <v>74</v>
      </c>
      <c r="H277" t="s">
        <v>74</v>
      </c>
      <c r="I277" t="s">
        <v>5751</v>
      </c>
      <c r="J277" t="s">
        <v>382</v>
      </c>
      <c r="K277" t="s">
        <v>74</v>
      </c>
      <c r="L277" t="s">
        <v>74</v>
      </c>
      <c r="M277" t="s">
        <v>78</v>
      </c>
      <c r="N277" t="s">
        <v>79</v>
      </c>
      <c r="O277" t="s">
        <v>74</v>
      </c>
      <c r="P277" t="s">
        <v>74</v>
      </c>
      <c r="Q277" t="s">
        <v>74</v>
      </c>
      <c r="R277" t="s">
        <v>74</v>
      </c>
      <c r="S277" t="s">
        <v>74</v>
      </c>
      <c r="T277" t="s">
        <v>5752</v>
      </c>
      <c r="U277" t="s">
        <v>5753</v>
      </c>
      <c r="V277" t="s">
        <v>5754</v>
      </c>
      <c r="W277" t="s">
        <v>5755</v>
      </c>
      <c r="X277" t="s">
        <v>5756</v>
      </c>
      <c r="Y277" t="s">
        <v>5757</v>
      </c>
      <c r="Z277" t="s">
        <v>5758</v>
      </c>
      <c r="AA277" t="s">
        <v>74</v>
      </c>
      <c r="AB277" t="s">
        <v>74</v>
      </c>
      <c r="AC277" t="s">
        <v>74</v>
      </c>
      <c r="AD277" t="s">
        <v>74</v>
      </c>
      <c r="AE277" t="s">
        <v>74</v>
      </c>
      <c r="AF277" t="s">
        <v>74</v>
      </c>
      <c r="AG277">
        <v>154</v>
      </c>
      <c r="AH277">
        <v>64</v>
      </c>
      <c r="AI277">
        <v>64</v>
      </c>
      <c r="AJ277">
        <v>0</v>
      </c>
      <c r="AK277">
        <v>11</v>
      </c>
      <c r="AL277" t="s">
        <v>392</v>
      </c>
      <c r="AM277" t="s">
        <v>393</v>
      </c>
      <c r="AN277" t="s">
        <v>394</v>
      </c>
      <c r="AO277" t="s">
        <v>395</v>
      </c>
      <c r="AP277" t="s">
        <v>74</v>
      </c>
      <c r="AQ277" t="s">
        <v>74</v>
      </c>
      <c r="AR277" t="s">
        <v>396</v>
      </c>
      <c r="AS277" t="s">
        <v>397</v>
      </c>
      <c r="AT277" t="s">
        <v>5759</v>
      </c>
      <c r="AU277">
        <v>2020</v>
      </c>
      <c r="AV277">
        <v>11</v>
      </c>
      <c r="AW277" t="s">
        <v>74</v>
      </c>
      <c r="AX277" t="s">
        <v>74</v>
      </c>
      <c r="AY277" t="s">
        <v>74</v>
      </c>
      <c r="AZ277" t="s">
        <v>74</v>
      </c>
      <c r="BA277" t="s">
        <v>74</v>
      </c>
      <c r="BB277" t="s">
        <v>74</v>
      </c>
      <c r="BC277" t="s">
        <v>74</v>
      </c>
      <c r="BD277">
        <v>604</v>
      </c>
      <c r="BE277" t="s">
        <v>5760</v>
      </c>
      <c r="BF277" t="str">
        <f>HYPERLINK("http://dx.doi.org/10.3389/fneur.2020.00604","http://dx.doi.org/10.3389/fneur.2020.00604")</f>
        <v>http://dx.doi.org/10.3389/fneur.2020.00604</v>
      </c>
      <c r="BG277" t="s">
        <v>74</v>
      </c>
      <c r="BH277" t="s">
        <v>74</v>
      </c>
      <c r="BI277">
        <v>16</v>
      </c>
      <c r="BJ277" t="s">
        <v>400</v>
      </c>
      <c r="BK277" t="s">
        <v>182</v>
      </c>
      <c r="BL277" t="s">
        <v>375</v>
      </c>
      <c r="BM277" t="s">
        <v>5761</v>
      </c>
      <c r="BN277">
        <v>32733360</v>
      </c>
      <c r="BO277" t="s">
        <v>355</v>
      </c>
      <c r="BP277" t="s">
        <v>74</v>
      </c>
      <c r="BQ277" t="s">
        <v>74</v>
      </c>
      <c r="BR277" t="s">
        <v>105</v>
      </c>
      <c r="BS277" t="s">
        <v>5762</v>
      </c>
      <c r="BT277" t="str">
        <f>HYPERLINK("https%3A%2F%2Fwww.webofscience.com%2Fwos%2Fwoscc%2Ffull-record%2FWOS:000552370000001","View Full Record in Web of Science")</f>
        <v>View Full Record in Web of Science</v>
      </c>
    </row>
    <row r="278" spans="1:72" x14ac:dyDescent="0.25">
      <c r="A278" t="s">
        <v>72</v>
      </c>
      <c r="B278" t="s">
        <v>5763</v>
      </c>
      <c r="C278" t="s">
        <v>74</v>
      </c>
      <c r="D278" t="s">
        <v>74</v>
      </c>
      <c r="E278" t="s">
        <v>74</v>
      </c>
      <c r="F278" t="s">
        <v>5764</v>
      </c>
      <c r="G278" t="s">
        <v>74</v>
      </c>
      <c r="H278" t="s">
        <v>74</v>
      </c>
      <c r="I278" t="s">
        <v>5765</v>
      </c>
      <c r="J278" t="s">
        <v>3906</v>
      </c>
      <c r="K278" t="s">
        <v>74</v>
      </c>
      <c r="L278" t="s">
        <v>74</v>
      </c>
      <c r="M278" t="s">
        <v>78</v>
      </c>
      <c r="N278" t="s">
        <v>79</v>
      </c>
      <c r="O278" t="s">
        <v>74</v>
      </c>
      <c r="P278" t="s">
        <v>74</v>
      </c>
      <c r="Q278" t="s">
        <v>74</v>
      </c>
      <c r="R278" t="s">
        <v>74</v>
      </c>
      <c r="S278" t="s">
        <v>74</v>
      </c>
      <c r="T278" t="s">
        <v>74</v>
      </c>
      <c r="U278" t="s">
        <v>5766</v>
      </c>
      <c r="V278" t="s">
        <v>5767</v>
      </c>
      <c r="W278" t="s">
        <v>5768</v>
      </c>
      <c r="X278" t="s">
        <v>5769</v>
      </c>
      <c r="Y278" t="s">
        <v>5770</v>
      </c>
      <c r="Z278" t="s">
        <v>5771</v>
      </c>
      <c r="AA278" t="s">
        <v>5772</v>
      </c>
      <c r="AB278" t="s">
        <v>5773</v>
      </c>
      <c r="AC278" t="s">
        <v>5774</v>
      </c>
      <c r="AD278" t="s">
        <v>5775</v>
      </c>
      <c r="AE278" t="s">
        <v>5776</v>
      </c>
      <c r="AF278" t="s">
        <v>74</v>
      </c>
      <c r="AG278">
        <v>104</v>
      </c>
      <c r="AH278">
        <v>46</v>
      </c>
      <c r="AI278">
        <v>50</v>
      </c>
      <c r="AJ278">
        <v>10</v>
      </c>
      <c r="AK278">
        <v>114</v>
      </c>
      <c r="AL278" t="s">
        <v>297</v>
      </c>
      <c r="AM278" t="s">
        <v>298</v>
      </c>
      <c r="AN278" t="s">
        <v>299</v>
      </c>
      <c r="AO278" t="s">
        <v>3917</v>
      </c>
      <c r="AP278" t="s">
        <v>3918</v>
      </c>
      <c r="AQ278" t="s">
        <v>74</v>
      </c>
      <c r="AR278" t="s">
        <v>3919</v>
      </c>
      <c r="AS278" t="s">
        <v>3920</v>
      </c>
      <c r="AT278" t="s">
        <v>74</v>
      </c>
      <c r="AU278">
        <v>2019</v>
      </c>
      <c r="AV278" t="s">
        <v>74</v>
      </c>
      <c r="AW278">
        <v>11</v>
      </c>
      <c r="AX278" t="s">
        <v>74</v>
      </c>
      <c r="AY278" t="s">
        <v>74</v>
      </c>
      <c r="AZ278" t="s">
        <v>74</v>
      </c>
      <c r="BA278" t="s">
        <v>74</v>
      </c>
      <c r="BB278" t="s">
        <v>74</v>
      </c>
      <c r="BC278" t="s">
        <v>74</v>
      </c>
      <c r="BD278" t="s">
        <v>5777</v>
      </c>
      <c r="BE278" t="s">
        <v>5778</v>
      </c>
      <c r="BF278" t="str">
        <f>HYPERLINK("http://dx.doi.org/10.1002/14651858.CD013243.pub2","http://dx.doi.org/10.1002/14651858.CD013243.pub2")</f>
        <v>http://dx.doi.org/10.1002/14651858.CD013243.pub2</v>
      </c>
      <c r="BG278" t="s">
        <v>74</v>
      </c>
      <c r="BH278" t="s">
        <v>74</v>
      </c>
      <c r="BI278">
        <v>74</v>
      </c>
      <c r="BJ278" t="s">
        <v>128</v>
      </c>
      <c r="BK278" t="s">
        <v>102</v>
      </c>
      <c r="BL278" t="s">
        <v>129</v>
      </c>
      <c r="BM278" t="s">
        <v>5779</v>
      </c>
      <c r="BN278">
        <v>31763689</v>
      </c>
      <c r="BO278" t="s">
        <v>2246</v>
      </c>
      <c r="BP278" t="s">
        <v>74</v>
      </c>
      <c r="BQ278" t="s">
        <v>74</v>
      </c>
      <c r="BR278" t="s">
        <v>105</v>
      </c>
      <c r="BS278" t="s">
        <v>5780</v>
      </c>
      <c r="BT278" t="str">
        <f>HYPERLINK("https%3A%2F%2Fwww.webofscience.com%2Fwos%2Fwoscc%2Ffull-record%2FWOS:000504427100031","View Full Record in Web of Science")</f>
        <v>View Full Record in Web of Science</v>
      </c>
    </row>
    <row r="279" spans="1:72" x14ac:dyDescent="0.25">
      <c r="A279" t="s">
        <v>72</v>
      </c>
      <c r="B279" t="s">
        <v>5781</v>
      </c>
      <c r="C279" t="s">
        <v>74</v>
      </c>
      <c r="D279" t="s">
        <v>74</v>
      </c>
      <c r="E279" t="s">
        <v>74</v>
      </c>
      <c r="F279" t="s">
        <v>5782</v>
      </c>
      <c r="G279" t="s">
        <v>74</v>
      </c>
      <c r="H279" t="s">
        <v>74</v>
      </c>
      <c r="I279" t="s">
        <v>5783</v>
      </c>
      <c r="J279" t="s">
        <v>5784</v>
      </c>
      <c r="K279" t="s">
        <v>74</v>
      </c>
      <c r="L279" t="s">
        <v>74</v>
      </c>
      <c r="M279" t="s">
        <v>78</v>
      </c>
      <c r="N279" t="s">
        <v>79</v>
      </c>
      <c r="O279" t="s">
        <v>74</v>
      </c>
      <c r="P279" t="s">
        <v>74</v>
      </c>
      <c r="Q279" t="s">
        <v>74</v>
      </c>
      <c r="R279" t="s">
        <v>74</v>
      </c>
      <c r="S279" t="s">
        <v>74</v>
      </c>
      <c r="T279" t="s">
        <v>74</v>
      </c>
      <c r="U279" t="s">
        <v>5785</v>
      </c>
      <c r="V279" t="s">
        <v>5786</v>
      </c>
      <c r="W279" t="s">
        <v>5787</v>
      </c>
      <c r="X279" t="s">
        <v>5788</v>
      </c>
      <c r="Y279" t="s">
        <v>5789</v>
      </c>
      <c r="Z279" t="s">
        <v>5790</v>
      </c>
      <c r="AA279" t="s">
        <v>74</v>
      </c>
      <c r="AB279" t="s">
        <v>5791</v>
      </c>
      <c r="AC279" t="s">
        <v>74</v>
      </c>
      <c r="AD279" t="s">
        <v>74</v>
      </c>
      <c r="AE279" t="s">
        <v>74</v>
      </c>
      <c r="AF279" t="s">
        <v>74</v>
      </c>
      <c r="AG279">
        <v>72</v>
      </c>
      <c r="AH279">
        <v>3</v>
      </c>
      <c r="AI279">
        <v>3</v>
      </c>
      <c r="AJ279">
        <v>0</v>
      </c>
      <c r="AK279">
        <v>3</v>
      </c>
      <c r="AL279" t="s">
        <v>367</v>
      </c>
      <c r="AM279" t="s">
        <v>275</v>
      </c>
      <c r="AN279" t="s">
        <v>368</v>
      </c>
      <c r="AO279" t="s">
        <v>5792</v>
      </c>
      <c r="AP279" t="s">
        <v>5793</v>
      </c>
      <c r="AQ279" t="s">
        <v>74</v>
      </c>
      <c r="AR279" t="s">
        <v>5794</v>
      </c>
      <c r="AS279" t="s">
        <v>5795</v>
      </c>
      <c r="AT279" t="s">
        <v>5796</v>
      </c>
      <c r="AU279">
        <v>2020</v>
      </c>
      <c r="AV279">
        <v>2020</v>
      </c>
      <c r="AW279" t="s">
        <v>74</v>
      </c>
      <c r="AX279" t="s">
        <v>74</v>
      </c>
      <c r="AY279" t="s">
        <v>74</v>
      </c>
      <c r="AZ279" t="s">
        <v>74</v>
      </c>
      <c r="BA279" t="s">
        <v>74</v>
      </c>
      <c r="BB279" t="s">
        <v>74</v>
      </c>
      <c r="BC279" t="s">
        <v>74</v>
      </c>
      <c r="BD279">
        <v>8883864</v>
      </c>
      <c r="BE279" t="s">
        <v>5797</v>
      </c>
      <c r="BF279" t="str">
        <f>HYPERLINK("http://dx.doi.org/10.1155/2020/8883864","http://dx.doi.org/10.1155/2020/8883864")</f>
        <v>http://dx.doi.org/10.1155/2020/8883864</v>
      </c>
      <c r="BG279" t="s">
        <v>74</v>
      </c>
      <c r="BH279" t="s">
        <v>74</v>
      </c>
      <c r="BI279">
        <v>10</v>
      </c>
      <c r="BJ279" t="s">
        <v>5798</v>
      </c>
      <c r="BK279" t="s">
        <v>155</v>
      </c>
      <c r="BL279" t="s">
        <v>5798</v>
      </c>
      <c r="BM279" t="s">
        <v>5799</v>
      </c>
      <c r="BN279">
        <v>32908722</v>
      </c>
      <c r="BO279" t="s">
        <v>131</v>
      </c>
      <c r="BP279" t="s">
        <v>74</v>
      </c>
      <c r="BQ279" t="s">
        <v>74</v>
      </c>
      <c r="BR279" t="s">
        <v>105</v>
      </c>
      <c r="BS279" t="s">
        <v>5800</v>
      </c>
      <c r="BT279" t="str">
        <f>HYPERLINK("https%3A%2F%2Fwww.webofscience.com%2Fwos%2Fwoscc%2Ffull-record%2FWOS:000567067100001","View Full Record in Web of Science")</f>
        <v>View Full Record in Web of Science</v>
      </c>
    </row>
    <row r="280" spans="1:72" x14ac:dyDescent="0.25">
      <c r="A280" t="s">
        <v>72</v>
      </c>
      <c r="B280" t="s">
        <v>5801</v>
      </c>
      <c r="C280" t="s">
        <v>74</v>
      </c>
      <c r="D280" t="s">
        <v>74</v>
      </c>
      <c r="E280" t="s">
        <v>74</v>
      </c>
      <c r="F280" t="s">
        <v>5802</v>
      </c>
      <c r="G280" t="s">
        <v>74</v>
      </c>
      <c r="H280" t="s">
        <v>74</v>
      </c>
      <c r="I280" t="s">
        <v>5803</v>
      </c>
      <c r="J280" t="s">
        <v>1379</v>
      </c>
      <c r="K280" t="s">
        <v>74</v>
      </c>
      <c r="L280" t="s">
        <v>74</v>
      </c>
      <c r="M280" t="s">
        <v>78</v>
      </c>
      <c r="N280" t="s">
        <v>79</v>
      </c>
      <c r="O280" t="s">
        <v>74</v>
      </c>
      <c r="P280" t="s">
        <v>74</v>
      </c>
      <c r="Q280" t="s">
        <v>74</v>
      </c>
      <c r="R280" t="s">
        <v>74</v>
      </c>
      <c r="S280" t="s">
        <v>74</v>
      </c>
      <c r="T280" t="s">
        <v>5804</v>
      </c>
      <c r="U280" t="s">
        <v>5805</v>
      </c>
      <c r="V280" t="s">
        <v>5806</v>
      </c>
      <c r="W280" t="s">
        <v>5807</v>
      </c>
      <c r="X280" t="s">
        <v>5808</v>
      </c>
      <c r="Y280" t="s">
        <v>5809</v>
      </c>
      <c r="Z280" t="s">
        <v>5810</v>
      </c>
      <c r="AA280" t="s">
        <v>74</v>
      </c>
      <c r="AB280" t="s">
        <v>5811</v>
      </c>
      <c r="AC280" t="s">
        <v>74</v>
      </c>
      <c r="AD280" t="s">
        <v>74</v>
      </c>
      <c r="AE280" t="s">
        <v>74</v>
      </c>
      <c r="AF280" t="s">
        <v>74</v>
      </c>
      <c r="AG280">
        <v>39</v>
      </c>
      <c r="AH280">
        <v>2</v>
      </c>
      <c r="AI280">
        <v>2</v>
      </c>
      <c r="AJ280">
        <v>8</v>
      </c>
      <c r="AK280">
        <v>8</v>
      </c>
      <c r="AL280" t="s">
        <v>1391</v>
      </c>
      <c r="AM280" t="s">
        <v>1392</v>
      </c>
      <c r="AN280" t="s">
        <v>1393</v>
      </c>
      <c r="AO280" t="s">
        <v>1394</v>
      </c>
      <c r="AP280" t="s">
        <v>74</v>
      </c>
      <c r="AQ280" t="s">
        <v>74</v>
      </c>
      <c r="AR280" t="s">
        <v>1395</v>
      </c>
      <c r="AS280" t="s">
        <v>1396</v>
      </c>
      <c r="AT280" t="s">
        <v>5812</v>
      </c>
      <c r="AU280">
        <v>2025</v>
      </c>
      <c r="AV280">
        <v>27</v>
      </c>
      <c r="AW280" t="s">
        <v>74</v>
      </c>
      <c r="AX280" t="s">
        <v>74</v>
      </c>
      <c r="AY280" t="s">
        <v>74</v>
      </c>
      <c r="AZ280" t="s">
        <v>74</v>
      </c>
      <c r="BA280" t="s">
        <v>74</v>
      </c>
      <c r="BB280" t="s">
        <v>74</v>
      </c>
      <c r="BC280" t="s">
        <v>74</v>
      </c>
      <c r="BD280" t="s">
        <v>5813</v>
      </c>
      <c r="BE280" t="s">
        <v>5814</v>
      </c>
      <c r="BF280" t="str">
        <f>HYPERLINK("http://dx.doi.org/10.2196/59892","http://dx.doi.org/10.2196/59892")</f>
        <v>http://dx.doi.org/10.2196/59892</v>
      </c>
      <c r="BG280" t="s">
        <v>74</v>
      </c>
      <c r="BH280" t="s">
        <v>74</v>
      </c>
      <c r="BI280">
        <v>14</v>
      </c>
      <c r="BJ280" t="s">
        <v>1400</v>
      </c>
      <c r="BK280" t="s">
        <v>182</v>
      </c>
      <c r="BL280" t="s">
        <v>1400</v>
      </c>
      <c r="BM280" t="s">
        <v>5815</v>
      </c>
      <c r="BN280">
        <v>40063933</v>
      </c>
      <c r="BO280" t="s">
        <v>185</v>
      </c>
      <c r="BP280" t="s">
        <v>74</v>
      </c>
      <c r="BQ280" t="s">
        <v>74</v>
      </c>
      <c r="BR280" t="s">
        <v>105</v>
      </c>
      <c r="BS280" t="s">
        <v>5816</v>
      </c>
      <c r="BT280" t="str">
        <f>HYPERLINK("https%3A%2F%2Fwww.webofscience.com%2Fwos%2Fwoscc%2Ffull-record%2FWOS:001469530100003","View Full Record in Web of Science")</f>
        <v>View Full Record in Web of Science</v>
      </c>
    </row>
    <row r="281" spans="1:72" x14ac:dyDescent="0.25">
      <c r="A281" t="s">
        <v>72</v>
      </c>
      <c r="B281" t="s">
        <v>5817</v>
      </c>
      <c r="C281" t="s">
        <v>74</v>
      </c>
      <c r="D281" t="s">
        <v>74</v>
      </c>
      <c r="E281" t="s">
        <v>74</v>
      </c>
      <c r="F281" t="s">
        <v>5818</v>
      </c>
      <c r="G281" t="s">
        <v>74</v>
      </c>
      <c r="H281" t="s">
        <v>74</v>
      </c>
      <c r="I281" t="s">
        <v>5819</v>
      </c>
      <c r="J281" t="s">
        <v>5820</v>
      </c>
      <c r="K281" t="s">
        <v>74</v>
      </c>
      <c r="L281" t="s">
        <v>74</v>
      </c>
      <c r="M281" t="s">
        <v>78</v>
      </c>
      <c r="N281" t="s">
        <v>79</v>
      </c>
      <c r="O281" t="s">
        <v>74</v>
      </c>
      <c r="P281" t="s">
        <v>74</v>
      </c>
      <c r="Q281" t="s">
        <v>74</v>
      </c>
      <c r="R281" t="s">
        <v>74</v>
      </c>
      <c r="S281" t="s">
        <v>74</v>
      </c>
      <c r="T281" t="s">
        <v>5821</v>
      </c>
      <c r="U281" t="s">
        <v>5822</v>
      </c>
      <c r="V281" t="s">
        <v>5823</v>
      </c>
      <c r="W281" t="s">
        <v>5824</v>
      </c>
      <c r="X281" t="s">
        <v>5825</v>
      </c>
      <c r="Y281" t="s">
        <v>5826</v>
      </c>
      <c r="Z281" t="s">
        <v>5827</v>
      </c>
      <c r="AA281" t="s">
        <v>5828</v>
      </c>
      <c r="AB281" t="s">
        <v>5829</v>
      </c>
      <c r="AC281" t="s">
        <v>5830</v>
      </c>
      <c r="AD281" t="s">
        <v>5831</v>
      </c>
      <c r="AE281" t="s">
        <v>5832</v>
      </c>
      <c r="AF281" t="s">
        <v>74</v>
      </c>
      <c r="AG281">
        <v>67</v>
      </c>
      <c r="AH281">
        <v>20</v>
      </c>
      <c r="AI281">
        <v>20</v>
      </c>
      <c r="AJ281">
        <v>10</v>
      </c>
      <c r="AK281">
        <v>88</v>
      </c>
      <c r="AL281" t="s">
        <v>836</v>
      </c>
      <c r="AM281" t="s">
        <v>532</v>
      </c>
      <c r="AN281" t="s">
        <v>837</v>
      </c>
      <c r="AO281" t="s">
        <v>5833</v>
      </c>
      <c r="AP281" t="s">
        <v>5834</v>
      </c>
      <c r="AQ281" t="s">
        <v>74</v>
      </c>
      <c r="AR281" t="s">
        <v>5835</v>
      </c>
      <c r="AS281" t="s">
        <v>5836</v>
      </c>
      <c r="AT281" t="s">
        <v>351</v>
      </c>
      <c r="AU281">
        <v>2023</v>
      </c>
      <c r="AV281">
        <v>138</v>
      </c>
      <c r="AW281" t="s">
        <v>74</v>
      </c>
      <c r="AX281" t="s">
        <v>74</v>
      </c>
      <c r="AY281" t="s">
        <v>74</v>
      </c>
      <c r="AZ281" t="s">
        <v>74</v>
      </c>
      <c r="BA281" t="s">
        <v>74</v>
      </c>
      <c r="BB281" t="s">
        <v>74</v>
      </c>
      <c r="BC281" t="s">
        <v>74</v>
      </c>
      <c r="BD281">
        <v>104392</v>
      </c>
      <c r="BE281" t="s">
        <v>5837</v>
      </c>
      <c r="BF281" t="str">
        <f>HYPERLINK("http://dx.doi.org/10.1016/j.ijnurstu.2022.104392","http://dx.doi.org/10.1016/j.ijnurstu.2022.104392")</f>
        <v>http://dx.doi.org/10.1016/j.ijnurstu.2022.104392</v>
      </c>
      <c r="BG281" t="s">
        <v>74</v>
      </c>
      <c r="BH281" t="s">
        <v>5838</v>
      </c>
      <c r="BI281">
        <v>12</v>
      </c>
      <c r="BJ281" t="s">
        <v>3094</v>
      </c>
      <c r="BK281" t="s">
        <v>102</v>
      </c>
      <c r="BL281" t="s">
        <v>3094</v>
      </c>
      <c r="BM281" t="s">
        <v>5839</v>
      </c>
      <c r="BN281">
        <v>36434931</v>
      </c>
      <c r="BO281" t="s">
        <v>238</v>
      </c>
      <c r="BP281" t="s">
        <v>74</v>
      </c>
      <c r="BQ281" t="s">
        <v>74</v>
      </c>
      <c r="BR281" t="s">
        <v>105</v>
      </c>
      <c r="BS281" t="s">
        <v>5840</v>
      </c>
      <c r="BT281" t="str">
        <f>HYPERLINK("https%3A%2F%2Fwww.webofscience.com%2Fwos%2Fwoscc%2Ffull-record%2FWOS:000892232100001","View Full Record in Web of Science")</f>
        <v>View Full Record in Web of Science</v>
      </c>
    </row>
    <row r="282" spans="1:72" x14ac:dyDescent="0.25">
      <c r="A282" t="s">
        <v>72</v>
      </c>
      <c r="B282" t="s">
        <v>5841</v>
      </c>
      <c r="C282" t="s">
        <v>74</v>
      </c>
      <c r="D282" t="s">
        <v>74</v>
      </c>
      <c r="E282" t="s">
        <v>74</v>
      </c>
      <c r="F282" t="s">
        <v>5842</v>
      </c>
      <c r="G282" t="s">
        <v>74</v>
      </c>
      <c r="H282" t="s">
        <v>74</v>
      </c>
      <c r="I282" t="s">
        <v>5843</v>
      </c>
      <c r="J282" t="s">
        <v>5844</v>
      </c>
      <c r="K282" t="s">
        <v>74</v>
      </c>
      <c r="L282" t="s">
        <v>74</v>
      </c>
      <c r="M282" t="s">
        <v>78</v>
      </c>
      <c r="N282" t="s">
        <v>79</v>
      </c>
      <c r="O282" t="s">
        <v>74</v>
      </c>
      <c r="P282" t="s">
        <v>74</v>
      </c>
      <c r="Q282" t="s">
        <v>74</v>
      </c>
      <c r="R282" t="s">
        <v>74</v>
      </c>
      <c r="S282" t="s">
        <v>74</v>
      </c>
      <c r="T282" t="s">
        <v>5845</v>
      </c>
      <c r="U282" t="s">
        <v>5846</v>
      </c>
      <c r="V282" t="s">
        <v>5847</v>
      </c>
      <c r="W282" t="s">
        <v>5848</v>
      </c>
      <c r="X282" t="s">
        <v>5849</v>
      </c>
      <c r="Y282" t="s">
        <v>5850</v>
      </c>
      <c r="Z282" t="s">
        <v>5851</v>
      </c>
      <c r="AA282" t="s">
        <v>74</v>
      </c>
      <c r="AB282" t="s">
        <v>74</v>
      </c>
      <c r="AC282" t="s">
        <v>74</v>
      </c>
      <c r="AD282" t="s">
        <v>74</v>
      </c>
      <c r="AE282" t="s">
        <v>74</v>
      </c>
      <c r="AF282" t="s">
        <v>74</v>
      </c>
      <c r="AG282">
        <v>50</v>
      </c>
      <c r="AH282">
        <v>51</v>
      </c>
      <c r="AI282">
        <v>51</v>
      </c>
      <c r="AJ282">
        <v>0</v>
      </c>
      <c r="AK282">
        <v>24</v>
      </c>
      <c r="AL282" t="s">
        <v>92</v>
      </c>
      <c r="AM282" t="s">
        <v>93</v>
      </c>
      <c r="AN282" t="s">
        <v>94</v>
      </c>
      <c r="AO282" t="s">
        <v>5852</v>
      </c>
      <c r="AP282" t="s">
        <v>5853</v>
      </c>
      <c r="AQ282" t="s">
        <v>74</v>
      </c>
      <c r="AR282" t="s">
        <v>5854</v>
      </c>
      <c r="AS282" t="s">
        <v>5855</v>
      </c>
      <c r="AT282" t="s">
        <v>634</v>
      </c>
      <c r="AU282">
        <v>2013</v>
      </c>
      <c r="AV282">
        <v>22</v>
      </c>
      <c r="AW282">
        <v>4</v>
      </c>
      <c r="AX282" t="s">
        <v>74</v>
      </c>
      <c r="AY282" t="s">
        <v>74</v>
      </c>
      <c r="AZ282" t="s">
        <v>74</v>
      </c>
      <c r="BA282" t="s">
        <v>74</v>
      </c>
      <c r="BB282">
        <v>200</v>
      </c>
      <c r="BC282">
        <v>209</v>
      </c>
      <c r="BD282" t="s">
        <v>74</v>
      </c>
      <c r="BE282" t="s">
        <v>5856</v>
      </c>
      <c r="BF282" t="str">
        <f>HYPERLINK("http://dx.doi.org/10.3109/13645706.2013.816323","http://dx.doi.org/10.3109/13645706.2013.816323")</f>
        <v>http://dx.doi.org/10.3109/13645706.2013.816323</v>
      </c>
      <c r="BG282" t="s">
        <v>74</v>
      </c>
      <c r="BH282" t="s">
        <v>74</v>
      </c>
      <c r="BI282">
        <v>10</v>
      </c>
      <c r="BJ282" t="s">
        <v>4896</v>
      </c>
      <c r="BK282" t="s">
        <v>182</v>
      </c>
      <c r="BL282" t="s">
        <v>4896</v>
      </c>
      <c r="BM282" t="s">
        <v>5857</v>
      </c>
      <c r="BN282">
        <v>23808367</v>
      </c>
      <c r="BO282" t="s">
        <v>74</v>
      </c>
      <c r="BP282" t="s">
        <v>74</v>
      </c>
      <c r="BQ282" t="s">
        <v>74</v>
      </c>
      <c r="BR282" t="s">
        <v>105</v>
      </c>
      <c r="BS282" t="s">
        <v>5858</v>
      </c>
      <c r="BT282" t="str">
        <f>HYPERLINK("https%3A%2F%2Fwww.webofscience.com%2Fwos%2Fwoscc%2Ffull-record%2FWOS:000323492100003","View Full Record in Web of Science")</f>
        <v>View Full Record in Web of Science</v>
      </c>
    </row>
    <row r="283" spans="1:72" x14ac:dyDescent="0.25">
      <c r="A283" t="s">
        <v>72</v>
      </c>
      <c r="B283" t="s">
        <v>5859</v>
      </c>
      <c r="C283" t="s">
        <v>74</v>
      </c>
      <c r="D283" t="s">
        <v>74</v>
      </c>
      <c r="E283" t="s">
        <v>74</v>
      </c>
      <c r="F283" t="s">
        <v>5860</v>
      </c>
      <c r="G283" t="s">
        <v>74</v>
      </c>
      <c r="H283" t="s">
        <v>74</v>
      </c>
      <c r="I283" t="s">
        <v>5861</v>
      </c>
      <c r="J283" t="s">
        <v>3906</v>
      </c>
      <c r="K283" t="s">
        <v>74</v>
      </c>
      <c r="L283" t="s">
        <v>74</v>
      </c>
      <c r="M283" t="s">
        <v>78</v>
      </c>
      <c r="N283" t="s">
        <v>79</v>
      </c>
      <c r="O283" t="s">
        <v>74</v>
      </c>
      <c r="P283" t="s">
        <v>74</v>
      </c>
      <c r="Q283" t="s">
        <v>74</v>
      </c>
      <c r="R283" t="s">
        <v>74</v>
      </c>
      <c r="S283" t="s">
        <v>74</v>
      </c>
      <c r="T283" t="s">
        <v>5862</v>
      </c>
      <c r="U283" t="s">
        <v>5863</v>
      </c>
      <c r="V283" t="s">
        <v>5864</v>
      </c>
      <c r="W283" t="s">
        <v>5865</v>
      </c>
      <c r="X283" t="s">
        <v>5866</v>
      </c>
      <c r="Y283" t="s">
        <v>5867</v>
      </c>
      <c r="Z283" t="s">
        <v>5868</v>
      </c>
      <c r="AA283" t="s">
        <v>5869</v>
      </c>
      <c r="AB283" t="s">
        <v>5870</v>
      </c>
      <c r="AC283" t="s">
        <v>5871</v>
      </c>
      <c r="AD283" t="s">
        <v>5871</v>
      </c>
      <c r="AE283" t="s">
        <v>5872</v>
      </c>
      <c r="AF283" t="s">
        <v>74</v>
      </c>
      <c r="AG283">
        <v>97</v>
      </c>
      <c r="AH283">
        <v>163</v>
      </c>
      <c r="AI283">
        <v>169</v>
      </c>
      <c r="AJ283">
        <v>1</v>
      </c>
      <c r="AK283">
        <v>29</v>
      </c>
      <c r="AL283" t="s">
        <v>297</v>
      </c>
      <c r="AM283" t="s">
        <v>298</v>
      </c>
      <c r="AN283" t="s">
        <v>299</v>
      </c>
      <c r="AO283" t="s">
        <v>3917</v>
      </c>
      <c r="AP283" t="s">
        <v>3918</v>
      </c>
      <c r="AQ283" t="s">
        <v>74</v>
      </c>
      <c r="AR283" t="s">
        <v>3919</v>
      </c>
      <c r="AS283" t="s">
        <v>3920</v>
      </c>
      <c r="AT283" t="s">
        <v>74</v>
      </c>
      <c r="AU283">
        <v>2020</v>
      </c>
      <c r="AV283" t="s">
        <v>74</v>
      </c>
      <c r="AW283">
        <v>10</v>
      </c>
      <c r="AX283" t="s">
        <v>74</v>
      </c>
      <c r="AY283" t="s">
        <v>74</v>
      </c>
      <c r="AZ283" t="s">
        <v>74</v>
      </c>
      <c r="BA283" t="s">
        <v>74</v>
      </c>
      <c r="BB283" t="s">
        <v>74</v>
      </c>
      <c r="BC283" t="s">
        <v>74</v>
      </c>
      <c r="BD283" t="s">
        <v>5873</v>
      </c>
      <c r="BE283" t="s">
        <v>5874</v>
      </c>
      <c r="BF283" t="str">
        <f>HYPERLINK("http://dx.doi.org/10.1002/14651858.CD011031.pub3","http://dx.doi.org/10.1002/14651858.CD011031.pub3")</f>
        <v>http://dx.doi.org/10.1002/14651858.CD011031.pub3</v>
      </c>
      <c r="BG283" t="s">
        <v>74</v>
      </c>
      <c r="BH283" t="s">
        <v>74</v>
      </c>
      <c r="BI283">
        <v>85</v>
      </c>
      <c r="BJ283" t="s">
        <v>128</v>
      </c>
      <c r="BK283" t="s">
        <v>182</v>
      </c>
      <c r="BL283" t="s">
        <v>129</v>
      </c>
      <c r="BM283" t="s">
        <v>5875</v>
      </c>
      <c r="BN283">
        <v>33095458</v>
      </c>
      <c r="BO283" t="s">
        <v>2246</v>
      </c>
      <c r="BP283" t="s">
        <v>74</v>
      </c>
      <c r="BQ283" t="s">
        <v>74</v>
      </c>
      <c r="BR283" t="s">
        <v>105</v>
      </c>
      <c r="BS283" t="s">
        <v>5876</v>
      </c>
      <c r="BT283" t="str">
        <f>HYPERLINK("https%3A%2F%2Fwww.webofscience.com%2Fwos%2Fwoscc%2Ffull-record%2FWOS:000583109400030","View Full Record in Web of Science")</f>
        <v>View Full Record in Web of Science</v>
      </c>
    </row>
    <row r="284" spans="1:72" x14ac:dyDescent="0.25">
      <c r="A284" t="s">
        <v>72</v>
      </c>
      <c r="B284" t="s">
        <v>5877</v>
      </c>
      <c r="C284" t="s">
        <v>74</v>
      </c>
      <c r="D284" t="s">
        <v>74</v>
      </c>
      <c r="E284" t="s">
        <v>74</v>
      </c>
      <c r="F284" t="s">
        <v>5878</v>
      </c>
      <c r="G284" t="s">
        <v>74</v>
      </c>
      <c r="H284" t="s">
        <v>74</v>
      </c>
      <c r="I284" t="s">
        <v>5879</v>
      </c>
      <c r="J284" t="s">
        <v>5880</v>
      </c>
      <c r="K284" t="s">
        <v>74</v>
      </c>
      <c r="L284" t="s">
        <v>74</v>
      </c>
      <c r="M284" t="s">
        <v>78</v>
      </c>
      <c r="N284" t="s">
        <v>79</v>
      </c>
      <c r="O284" t="s">
        <v>74</v>
      </c>
      <c r="P284" t="s">
        <v>74</v>
      </c>
      <c r="Q284" t="s">
        <v>74</v>
      </c>
      <c r="R284" t="s">
        <v>74</v>
      </c>
      <c r="S284" t="s">
        <v>74</v>
      </c>
      <c r="T284" t="s">
        <v>5881</v>
      </c>
      <c r="U284" t="s">
        <v>5882</v>
      </c>
      <c r="V284" t="s">
        <v>5883</v>
      </c>
      <c r="W284" t="s">
        <v>5884</v>
      </c>
      <c r="X284" t="s">
        <v>5885</v>
      </c>
      <c r="Y284" t="s">
        <v>5886</v>
      </c>
      <c r="Z284" t="s">
        <v>5887</v>
      </c>
      <c r="AA284" t="s">
        <v>74</v>
      </c>
      <c r="AB284" t="s">
        <v>74</v>
      </c>
      <c r="AC284" t="s">
        <v>5888</v>
      </c>
      <c r="AD284" t="s">
        <v>5889</v>
      </c>
      <c r="AE284" t="s">
        <v>5890</v>
      </c>
      <c r="AF284" t="s">
        <v>74</v>
      </c>
      <c r="AG284">
        <v>126</v>
      </c>
      <c r="AH284">
        <v>1</v>
      </c>
      <c r="AI284">
        <v>1</v>
      </c>
      <c r="AJ284">
        <v>7</v>
      </c>
      <c r="AK284">
        <v>7</v>
      </c>
      <c r="AL284" t="s">
        <v>172</v>
      </c>
      <c r="AM284" t="s">
        <v>173</v>
      </c>
      <c r="AN284" t="s">
        <v>174</v>
      </c>
      <c r="AO284" t="s">
        <v>5891</v>
      </c>
      <c r="AP284" t="s">
        <v>5892</v>
      </c>
      <c r="AQ284" t="s">
        <v>74</v>
      </c>
      <c r="AR284" t="s">
        <v>5893</v>
      </c>
      <c r="AS284" t="s">
        <v>5894</v>
      </c>
      <c r="AT284" t="s">
        <v>151</v>
      </c>
      <c r="AU284">
        <v>2025</v>
      </c>
      <c r="AV284">
        <v>25</v>
      </c>
      <c r="AW284">
        <v>1</v>
      </c>
      <c r="AX284" t="s">
        <v>74</v>
      </c>
      <c r="AY284" t="s">
        <v>74</v>
      </c>
      <c r="AZ284" t="s">
        <v>74</v>
      </c>
      <c r="BA284" t="s">
        <v>74</v>
      </c>
      <c r="BB284" t="s">
        <v>74</v>
      </c>
      <c r="BC284" t="s">
        <v>74</v>
      </c>
      <c r="BD284">
        <v>22</v>
      </c>
      <c r="BE284" t="s">
        <v>5895</v>
      </c>
      <c r="BF284" t="str">
        <f>HYPERLINK("http://dx.doi.org/10.1007/s11910-025-01407-9","http://dx.doi.org/10.1007/s11910-025-01407-9")</f>
        <v>http://dx.doi.org/10.1007/s11910-025-01407-9</v>
      </c>
      <c r="BG284" t="s">
        <v>74</v>
      </c>
      <c r="BH284" t="s">
        <v>74</v>
      </c>
      <c r="BI284">
        <v>12</v>
      </c>
      <c r="BJ284" t="s">
        <v>400</v>
      </c>
      <c r="BK284" t="s">
        <v>182</v>
      </c>
      <c r="BL284" t="s">
        <v>375</v>
      </c>
      <c r="BM284" t="s">
        <v>5896</v>
      </c>
      <c r="BN284">
        <v>40047982</v>
      </c>
      <c r="BO284" t="s">
        <v>309</v>
      </c>
      <c r="BP284" t="s">
        <v>74</v>
      </c>
      <c r="BQ284" t="s">
        <v>74</v>
      </c>
      <c r="BR284" t="s">
        <v>105</v>
      </c>
      <c r="BS284" t="s">
        <v>5897</v>
      </c>
      <c r="BT284" t="str">
        <f>HYPERLINK("https%3A%2F%2Fwww.webofscience.com%2Fwos%2Fwoscc%2Ffull-record%2FWOS:001439256700002","View Full Record in Web of Science")</f>
        <v>View Full Record in Web of Science</v>
      </c>
    </row>
    <row r="285" spans="1:72" x14ac:dyDescent="0.25">
      <c r="A285" t="s">
        <v>72</v>
      </c>
      <c r="B285" t="s">
        <v>5898</v>
      </c>
      <c r="C285" t="s">
        <v>74</v>
      </c>
      <c r="D285" t="s">
        <v>74</v>
      </c>
      <c r="E285" t="s">
        <v>74</v>
      </c>
      <c r="F285" t="s">
        <v>5899</v>
      </c>
      <c r="G285" t="s">
        <v>74</v>
      </c>
      <c r="H285" t="s">
        <v>74</v>
      </c>
      <c r="I285" t="s">
        <v>5900</v>
      </c>
      <c r="J285" t="s">
        <v>5901</v>
      </c>
      <c r="K285" t="s">
        <v>74</v>
      </c>
      <c r="L285" t="s">
        <v>74</v>
      </c>
      <c r="M285" t="s">
        <v>78</v>
      </c>
      <c r="N285" t="s">
        <v>79</v>
      </c>
      <c r="O285" t="s">
        <v>74</v>
      </c>
      <c r="P285" t="s">
        <v>74</v>
      </c>
      <c r="Q285" t="s">
        <v>74</v>
      </c>
      <c r="R285" t="s">
        <v>74</v>
      </c>
      <c r="S285" t="s">
        <v>74</v>
      </c>
      <c r="T285" t="s">
        <v>5902</v>
      </c>
      <c r="U285" t="s">
        <v>5903</v>
      </c>
      <c r="V285" t="s">
        <v>5904</v>
      </c>
      <c r="W285" t="s">
        <v>5905</v>
      </c>
      <c r="X285" t="s">
        <v>5906</v>
      </c>
      <c r="Y285" t="s">
        <v>5907</v>
      </c>
      <c r="Z285" t="s">
        <v>5908</v>
      </c>
      <c r="AA285" t="s">
        <v>74</v>
      </c>
      <c r="AB285" t="s">
        <v>74</v>
      </c>
      <c r="AC285" t="s">
        <v>74</v>
      </c>
      <c r="AD285" t="s">
        <v>74</v>
      </c>
      <c r="AE285" t="s">
        <v>74</v>
      </c>
      <c r="AF285" t="s">
        <v>74</v>
      </c>
      <c r="AG285">
        <v>121</v>
      </c>
      <c r="AH285">
        <v>0</v>
      </c>
      <c r="AI285">
        <v>0</v>
      </c>
      <c r="AJ285">
        <v>1</v>
      </c>
      <c r="AK285">
        <v>1</v>
      </c>
      <c r="AL285" t="s">
        <v>531</v>
      </c>
      <c r="AM285" t="s">
        <v>2343</v>
      </c>
      <c r="AN285" t="s">
        <v>2344</v>
      </c>
      <c r="AO285" t="s">
        <v>5909</v>
      </c>
      <c r="AP285" t="s">
        <v>5910</v>
      </c>
      <c r="AQ285" t="s">
        <v>74</v>
      </c>
      <c r="AR285" t="s">
        <v>5901</v>
      </c>
      <c r="AS285" t="s">
        <v>5911</v>
      </c>
      <c r="AT285" t="s">
        <v>634</v>
      </c>
      <c r="AU285">
        <v>2025</v>
      </c>
      <c r="AV285">
        <v>52</v>
      </c>
      <c r="AW285">
        <v>4</v>
      </c>
      <c r="AX285" t="s">
        <v>74</v>
      </c>
      <c r="AY285" t="s">
        <v>74</v>
      </c>
      <c r="AZ285" t="s">
        <v>74</v>
      </c>
      <c r="BA285" t="s">
        <v>74</v>
      </c>
      <c r="BB285">
        <v>319</v>
      </c>
      <c r="BC285">
        <v>326</v>
      </c>
      <c r="BD285" t="s">
        <v>74</v>
      </c>
      <c r="BE285" t="s">
        <v>5912</v>
      </c>
      <c r="BF285" t="str">
        <f>HYPERLINK("http://dx.doi.org/10.1016/j.anl.2025.05.002","http://dx.doi.org/10.1016/j.anl.2025.05.002")</f>
        <v>http://dx.doi.org/10.1016/j.anl.2025.05.002</v>
      </c>
      <c r="BG285" t="s">
        <v>74</v>
      </c>
      <c r="BH285" t="s">
        <v>74</v>
      </c>
      <c r="BI285">
        <v>8</v>
      </c>
      <c r="BJ285" t="s">
        <v>5169</v>
      </c>
      <c r="BK285" t="s">
        <v>182</v>
      </c>
      <c r="BL285" t="s">
        <v>5169</v>
      </c>
      <c r="BM285" t="s">
        <v>5913</v>
      </c>
      <c r="BN285">
        <v>40403345</v>
      </c>
      <c r="BO285" t="s">
        <v>74</v>
      </c>
      <c r="BP285" t="s">
        <v>74</v>
      </c>
      <c r="BQ285" t="s">
        <v>74</v>
      </c>
      <c r="BR285" t="s">
        <v>105</v>
      </c>
      <c r="BS285" t="s">
        <v>5914</v>
      </c>
      <c r="BT285" t="str">
        <f>HYPERLINK("https%3A%2F%2Fwww.webofscience.com%2Fwos%2Fwoscc%2Ffull-record%2FWOS:001498377000001","View Full Record in Web of Science")</f>
        <v>View Full Record in Web of Science</v>
      </c>
    </row>
    <row r="286" spans="1:72" x14ac:dyDescent="0.25">
      <c r="A286" t="s">
        <v>72</v>
      </c>
      <c r="B286" t="s">
        <v>5915</v>
      </c>
      <c r="C286" t="s">
        <v>74</v>
      </c>
      <c r="D286" t="s">
        <v>74</v>
      </c>
      <c r="E286" t="s">
        <v>74</v>
      </c>
      <c r="F286" t="s">
        <v>5916</v>
      </c>
      <c r="G286" t="s">
        <v>74</v>
      </c>
      <c r="H286" t="s">
        <v>74</v>
      </c>
      <c r="I286" t="s">
        <v>5917</v>
      </c>
      <c r="J286" t="s">
        <v>5918</v>
      </c>
      <c r="K286" t="s">
        <v>74</v>
      </c>
      <c r="L286" t="s">
        <v>74</v>
      </c>
      <c r="M286" t="s">
        <v>78</v>
      </c>
      <c r="N286" t="s">
        <v>79</v>
      </c>
      <c r="O286" t="s">
        <v>74</v>
      </c>
      <c r="P286" t="s">
        <v>74</v>
      </c>
      <c r="Q286" t="s">
        <v>74</v>
      </c>
      <c r="R286" t="s">
        <v>74</v>
      </c>
      <c r="S286" t="s">
        <v>74</v>
      </c>
      <c r="T286" t="s">
        <v>5919</v>
      </c>
      <c r="U286" t="s">
        <v>5920</v>
      </c>
      <c r="V286" t="s">
        <v>5921</v>
      </c>
      <c r="W286" t="s">
        <v>5922</v>
      </c>
      <c r="X286" t="s">
        <v>5923</v>
      </c>
      <c r="Y286" t="s">
        <v>5924</v>
      </c>
      <c r="Z286" t="s">
        <v>5925</v>
      </c>
      <c r="AA286" t="s">
        <v>5926</v>
      </c>
      <c r="AB286" t="s">
        <v>74</v>
      </c>
      <c r="AC286" t="s">
        <v>74</v>
      </c>
      <c r="AD286" t="s">
        <v>74</v>
      </c>
      <c r="AE286" t="s">
        <v>74</v>
      </c>
      <c r="AF286" t="s">
        <v>74</v>
      </c>
      <c r="AG286">
        <v>96</v>
      </c>
      <c r="AH286">
        <v>0</v>
      </c>
      <c r="AI286">
        <v>0</v>
      </c>
      <c r="AJ286">
        <v>21</v>
      </c>
      <c r="AK286">
        <v>21</v>
      </c>
      <c r="AL286" t="s">
        <v>5927</v>
      </c>
      <c r="AM286" t="s">
        <v>5928</v>
      </c>
      <c r="AN286" t="s">
        <v>5929</v>
      </c>
      <c r="AO286" t="s">
        <v>5930</v>
      </c>
      <c r="AP286" t="s">
        <v>74</v>
      </c>
      <c r="AQ286" t="s">
        <v>74</v>
      </c>
      <c r="AR286" t="s">
        <v>5931</v>
      </c>
      <c r="AS286" t="s">
        <v>5932</v>
      </c>
      <c r="AT286" t="s">
        <v>5933</v>
      </c>
      <c r="AU286">
        <v>2025</v>
      </c>
      <c r="AV286">
        <v>7</v>
      </c>
      <c r="AW286">
        <v>2</v>
      </c>
      <c r="AX286" t="s">
        <v>74</v>
      </c>
      <c r="AY286" t="s">
        <v>74</v>
      </c>
      <c r="AZ286" t="s">
        <v>74</v>
      </c>
      <c r="BA286" t="s">
        <v>74</v>
      </c>
      <c r="BB286" t="s">
        <v>74</v>
      </c>
      <c r="BC286" t="s">
        <v>74</v>
      </c>
      <c r="BD286">
        <v>22301</v>
      </c>
      <c r="BE286" t="s">
        <v>5934</v>
      </c>
      <c r="BF286" t="str">
        <f>HYPERLINK("http://dx.doi.org/10.1088/2631-8695/ada663","http://dx.doi.org/10.1088/2631-8695/ada663")</f>
        <v>http://dx.doi.org/10.1088/2631-8695/ada663</v>
      </c>
      <c r="BG286" t="s">
        <v>74</v>
      </c>
      <c r="BH286" t="s">
        <v>74</v>
      </c>
      <c r="BI286">
        <v>22</v>
      </c>
      <c r="BJ286" t="s">
        <v>1202</v>
      </c>
      <c r="BK286" t="s">
        <v>155</v>
      </c>
      <c r="BL286" t="s">
        <v>183</v>
      </c>
      <c r="BM286" t="s">
        <v>5935</v>
      </c>
      <c r="BN286" t="s">
        <v>74</v>
      </c>
      <c r="BO286" t="s">
        <v>74</v>
      </c>
      <c r="BP286" t="s">
        <v>74</v>
      </c>
      <c r="BQ286" t="s">
        <v>74</v>
      </c>
      <c r="BR286" t="s">
        <v>105</v>
      </c>
      <c r="BS286" t="s">
        <v>5936</v>
      </c>
      <c r="BT286" t="str">
        <f>HYPERLINK("https%3A%2F%2Fwww.webofscience.com%2Fwos%2Fwoscc%2Ffull-record%2FWOS:001466663600001","View Full Record in Web of Science")</f>
        <v>View Full Record in Web of Science</v>
      </c>
    </row>
    <row r="287" spans="1:72" x14ac:dyDescent="0.25">
      <c r="A287" t="s">
        <v>72</v>
      </c>
      <c r="B287" t="s">
        <v>5937</v>
      </c>
      <c r="C287" t="s">
        <v>74</v>
      </c>
      <c r="D287" t="s">
        <v>74</v>
      </c>
      <c r="E287" t="s">
        <v>74</v>
      </c>
      <c r="F287" t="s">
        <v>5938</v>
      </c>
      <c r="G287" t="s">
        <v>74</v>
      </c>
      <c r="H287" t="s">
        <v>74</v>
      </c>
      <c r="I287" t="s">
        <v>5939</v>
      </c>
      <c r="J287" t="s">
        <v>5940</v>
      </c>
      <c r="K287" t="s">
        <v>74</v>
      </c>
      <c r="L287" t="s">
        <v>74</v>
      </c>
      <c r="M287" t="s">
        <v>78</v>
      </c>
      <c r="N287" t="s">
        <v>449</v>
      </c>
      <c r="O287" t="s">
        <v>74</v>
      </c>
      <c r="P287" t="s">
        <v>74</v>
      </c>
      <c r="Q287" t="s">
        <v>74</v>
      </c>
      <c r="R287" t="s">
        <v>74</v>
      </c>
      <c r="S287" t="s">
        <v>74</v>
      </c>
      <c r="T287" t="s">
        <v>5941</v>
      </c>
      <c r="U287" t="s">
        <v>5942</v>
      </c>
      <c r="V287" t="s">
        <v>5943</v>
      </c>
      <c r="W287" t="s">
        <v>5944</v>
      </c>
      <c r="X287" t="s">
        <v>74</v>
      </c>
      <c r="Y287" t="s">
        <v>5945</v>
      </c>
      <c r="Z287" t="s">
        <v>5946</v>
      </c>
      <c r="AA287" t="s">
        <v>74</v>
      </c>
      <c r="AB287" t="s">
        <v>74</v>
      </c>
      <c r="AC287" t="s">
        <v>74</v>
      </c>
      <c r="AD287" t="s">
        <v>74</v>
      </c>
      <c r="AE287" t="s">
        <v>74</v>
      </c>
      <c r="AF287" t="s">
        <v>74</v>
      </c>
      <c r="AG287">
        <v>49</v>
      </c>
      <c r="AH287">
        <v>0</v>
      </c>
      <c r="AI287">
        <v>0</v>
      </c>
      <c r="AJ287">
        <v>0</v>
      </c>
      <c r="AK287">
        <v>0</v>
      </c>
      <c r="AL287" t="s">
        <v>504</v>
      </c>
      <c r="AM287" t="s">
        <v>505</v>
      </c>
      <c r="AN287" t="s">
        <v>506</v>
      </c>
      <c r="AO287" t="s">
        <v>5947</v>
      </c>
      <c r="AP287" t="s">
        <v>5948</v>
      </c>
      <c r="AQ287" t="s">
        <v>74</v>
      </c>
      <c r="AR287" t="s">
        <v>5949</v>
      </c>
      <c r="AS287" t="s">
        <v>5950</v>
      </c>
      <c r="AT287" t="s">
        <v>5951</v>
      </c>
      <c r="AU287">
        <v>2025</v>
      </c>
      <c r="AV287" t="s">
        <v>74</v>
      </c>
      <c r="AW287" t="s">
        <v>74</v>
      </c>
      <c r="AX287" t="s">
        <v>74</v>
      </c>
      <c r="AY287" t="s">
        <v>74</v>
      </c>
      <c r="AZ287" t="s">
        <v>74</v>
      </c>
      <c r="BA287" t="s">
        <v>74</v>
      </c>
      <c r="BB287" t="s">
        <v>74</v>
      </c>
      <c r="BC287" t="s">
        <v>74</v>
      </c>
      <c r="BD287" t="s">
        <v>74</v>
      </c>
      <c r="BE287" t="s">
        <v>5952</v>
      </c>
      <c r="BF287" t="str">
        <f>HYPERLINK("http://dx.doi.org/10.4103/aian.aian_156_25","http://dx.doi.org/10.4103/aian.aian_156_25")</f>
        <v>http://dx.doi.org/10.4103/aian.aian_156_25</v>
      </c>
      <c r="BG287" t="s">
        <v>74</v>
      </c>
      <c r="BH287" t="s">
        <v>4467</v>
      </c>
      <c r="BI287">
        <v>15</v>
      </c>
      <c r="BJ287" t="s">
        <v>541</v>
      </c>
      <c r="BK287" t="s">
        <v>182</v>
      </c>
      <c r="BL287" t="s">
        <v>375</v>
      </c>
      <c r="BM287" t="s">
        <v>5953</v>
      </c>
      <c r="BN287">
        <v>40476708</v>
      </c>
      <c r="BO287" t="s">
        <v>74</v>
      </c>
      <c r="BP287" t="s">
        <v>74</v>
      </c>
      <c r="BQ287" t="s">
        <v>74</v>
      </c>
      <c r="BR287" t="s">
        <v>105</v>
      </c>
      <c r="BS287" t="s">
        <v>5954</v>
      </c>
      <c r="BT287" t="str">
        <f>HYPERLINK("https%3A%2F%2Fwww.webofscience.com%2Fwos%2Fwoscc%2Ffull-record%2FWOS:001503990600001","View Full Record in Web of Science")</f>
        <v>View Full Record in Web of Science</v>
      </c>
    </row>
    <row r="288" spans="1:72" x14ac:dyDescent="0.25">
      <c r="A288" t="s">
        <v>72</v>
      </c>
      <c r="B288" t="s">
        <v>5955</v>
      </c>
      <c r="C288" t="s">
        <v>74</v>
      </c>
      <c r="D288" t="s">
        <v>74</v>
      </c>
      <c r="E288" t="s">
        <v>74</v>
      </c>
      <c r="F288" t="s">
        <v>5956</v>
      </c>
      <c r="G288" t="s">
        <v>74</v>
      </c>
      <c r="H288" t="s">
        <v>74</v>
      </c>
      <c r="I288" t="s">
        <v>5957</v>
      </c>
      <c r="J288" t="s">
        <v>3053</v>
      </c>
      <c r="K288" t="s">
        <v>74</v>
      </c>
      <c r="L288" t="s">
        <v>74</v>
      </c>
      <c r="M288" t="s">
        <v>78</v>
      </c>
      <c r="N288" t="s">
        <v>449</v>
      </c>
      <c r="O288" t="s">
        <v>74</v>
      </c>
      <c r="P288" t="s">
        <v>74</v>
      </c>
      <c r="Q288" t="s">
        <v>74</v>
      </c>
      <c r="R288" t="s">
        <v>74</v>
      </c>
      <c r="S288" t="s">
        <v>74</v>
      </c>
      <c r="T288" t="s">
        <v>5958</v>
      </c>
      <c r="U288" t="s">
        <v>5959</v>
      </c>
      <c r="V288" t="s">
        <v>5960</v>
      </c>
      <c r="W288" t="s">
        <v>5961</v>
      </c>
      <c r="X288" t="s">
        <v>5962</v>
      </c>
      <c r="Y288" t="s">
        <v>5963</v>
      </c>
      <c r="Z288" t="s">
        <v>5964</v>
      </c>
      <c r="AA288" t="s">
        <v>5965</v>
      </c>
      <c r="AB288" t="s">
        <v>74</v>
      </c>
      <c r="AC288" t="s">
        <v>74</v>
      </c>
      <c r="AD288" t="s">
        <v>74</v>
      </c>
      <c r="AE288" t="s">
        <v>74</v>
      </c>
      <c r="AF288" t="s">
        <v>74</v>
      </c>
      <c r="AG288">
        <v>93</v>
      </c>
      <c r="AH288">
        <v>0</v>
      </c>
      <c r="AI288">
        <v>0</v>
      </c>
      <c r="AJ288">
        <v>0</v>
      </c>
      <c r="AK288">
        <v>0</v>
      </c>
      <c r="AL288" t="s">
        <v>92</v>
      </c>
      <c r="AM288" t="s">
        <v>93</v>
      </c>
      <c r="AN288" t="s">
        <v>94</v>
      </c>
      <c r="AO288" t="s">
        <v>3066</v>
      </c>
      <c r="AP288" t="s">
        <v>3067</v>
      </c>
      <c r="AQ288" t="s">
        <v>74</v>
      </c>
      <c r="AR288" t="s">
        <v>3068</v>
      </c>
      <c r="AS288" t="s">
        <v>3069</v>
      </c>
      <c r="AT288" t="s">
        <v>5951</v>
      </c>
      <c r="AU288">
        <v>2025</v>
      </c>
      <c r="AV288" t="s">
        <v>74</v>
      </c>
      <c r="AW288" t="s">
        <v>74</v>
      </c>
      <c r="AX288" t="s">
        <v>74</v>
      </c>
      <c r="AY288" t="s">
        <v>74</v>
      </c>
      <c r="AZ288" t="s">
        <v>74</v>
      </c>
      <c r="BA288" t="s">
        <v>74</v>
      </c>
      <c r="BB288" t="s">
        <v>74</v>
      </c>
      <c r="BC288" t="s">
        <v>74</v>
      </c>
      <c r="BD288" t="s">
        <v>74</v>
      </c>
      <c r="BE288" t="s">
        <v>5966</v>
      </c>
      <c r="BF288" t="str">
        <f>HYPERLINK("http://dx.doi.org/10.1080/10790268.2025.2503049","http://dx.doi.org/10.1080/10790268.2025.2503049")</f>
        <v>http://dx.doi.org/10.1080/10790268.2025.2503049</v>
      </c>
      <c r="BG288" t="s">
        <v>74</v>
      </c>
      <c r="BH288" t="s">
        <v>4467</v>
      </c>
      <c r="BI288">
        <v>27</v>
      </c>
      <c r="BJ288" t="s">
        <v>541</v>
      </c>
      <c r="BK288" t="s">
        <v>182</v>
      </c>
      <c r="BL288" t="s">
        <v>375</v>
      </c>
      <c r="BM288" t="s">
        <v>5967</v>
      </c>
      <c r="BN288">
        <v>40476838</v>
      </c>
      <c r="BO288" t="s">
        <v>74</v>
      </c>
      <c r="BP288" t="s">
        <v>74</v>
      </c>
      <c r="BQ288" t="s">
        <v>74</v>
      </c>
      <c r="BR288" t="s">
        <v>105</v>
      </c>
      <c r="BS288" t="s">
        <v>5968</v>
      </c>
      <c r="BT288" t="str">
        <f>HYPERLINK("https%3A%2F%2Fwww.webofscience.com%2Fwos%2Fwoscc%2Ffull-record%2FWOS:001503302800001","View Full Record in Web of Science")</f>
        <v>View Full Record in Web of Science</v>
      </c>
    </row>
    <row r="289" spans="1:72" x14ac:dyDescent="0.25">
      <c r="A289" t="s">
        <v>72</v>
      </c>
      <c r="B289" t="s">
        <v>5969</v>
      </c>
      <c r="C289" t="s">
        <v>74</v>
      </c>
      <c r="D289" t="s">
        <v>74</v>
      </c>
      <c r="E289" t="s">
        <v>74</v>
      </c>
      <c r="F289" t="s">
        <v>5970</v>
      </c>
      <c r="G289" t="s">
        <v>74</v>
      </c>
      <c r="H289" t="s">
        <v>74</v>
      </c>
      <c r="I289" t="s">
        <v>5971</v>
      </c>
      <c r="J289" t="s">
        <v>110</v>
      </c>
      <c r="K289" t="s">
        <v>74</v>
      </c>
      <c r="L289" t="s">
        <v>74</v>
      </c>
      <c r="M289" t="s">
        <v>78</v>
      </c>
      <c r="N289" t="s">
        <v>79</v>
      </c>
      <c r="O289" t="s">
        <v>74</v>
      </c>
      <c r="P289" t="s">
        <v>74</v>
      </c>
      <c r="Q289" t="s">
        <v>74</v>
      </c>
      <c r="R289" t="s">
        <v>74</v>
      </c>
      <c r="S289" t="s">
        <v>74</v>
      </c>
      <c r="T289" t="s">
        <v>5972</v>
      </c>
      <c r="U289" t="s">
        <v>5973</v>
      </c>
      <c r="V289" t="s">
        <v>5974</v>
      </c>
      <c r="W289" t="s">
        <v>5975</v>
      </c>
      <c r="X289" t="s">
        <v>5976</v>
      </c>
      <c r="Y289" t="s">
        <v>5977</v>
      </c>
      <c r="Z289" t="s">
        <v>5978</v>
      </c>
      <c r="AA289" t="s">
        <v>74</v>
      </c>
      <c r="AB289" t="s">
        <v>74</v>
      </c>
      <c r="AC289" t="s">
        <v>5979</v>
      </c>
      <c r="AD289" t="s">
        <v>5980</v>
      </c>
      <c r="AE289" t="s">
        <v>5981</v>
      </c>
      <c r="AF289" t="s">
        <v>74</v>
      </c>
      <c r="AG289">
        <v>82</v>
      </c>
      <c r="AH289">
        <v>0</v>
      </c>
      <c r="AI289">
        <v>0</v>
      </c>
      <c r="AJ289">
        <v>0</v>
      </c>
      <c r="AK289">
        <v>0</v>
      </c>
      <c r="AL289" t="s">
        <v>120</v>
      </c>
      <c r="AM289" t="s">
        <v>121</v>
      </c>
      <c r="AN289" t="s">
        <v>1221</v>
      </c>
      <c r="AO289" t="s">
        <v>74</v>
      </c>
      <c r="AP289" t="s">
        <v>123</v>
      </c>
      <c r="AQ289" t="s">
        <v>74</v>
      </c>
      <c r="AR289" t="s">
        <v>124</v>
      </c>
      <c r="AS289" t="s">
        <v>125</v>
      </c>
      <c r="AT289" t="s">
        <v>5982</v>
      </c>
      <c r="AU289">
        <v>2025</v>
      </c>
      <c r="AV289">
        <v>14</v>
      </c>
      <c r="AW289">
        <v>11</v>
      </c>
      <c r="AX289" t="s">
        <v>74</v>
      </c>
      <c r="AY289" t="s">
        <v>74</v>
      </c>
      <c r="AZ289" t="s">
        <v>74</v>
      </c>
      <c r="BA289" t="s">
        <v>74</v>
      </c>
      <c r="BB289" t="s">
        <v>74</v>
      </c>
      <c r="BC289" t="s">
        <v>74</v>
      </c>
      <c r="BD289">
        <v>3922</v>
      </c>
      <c r="BE289" t="s">
        <v>5983</v>
      </c>
      <c r="BF289" t="str">
        <f>HYPERLINK("http://dx.doi.org/10.3390/jcm14113922","http://dx.doi.org/10.3390/jcm14113922")</f>
        <v>http://dx.doi.org/10.3390/jcm14113922</v>
      </c>
      <c r="BG289" t="s">
        <v>74</v>
      </c>
      <c r="BH289" t="s">
        <v>74</v>
      </c>
      <c r="BI289">
        <v>30</v>
      </c>
      <c r="BJ289" t="s">
        <v>128</v>
      </c>
      <c r="BK289" t="s">
        <v>182</v>
      </c>
      <c r="BL289" t="s">
        <v>129</v>
      </c>
      <c r="BM289" t="s">
        <v>5984</v>
      </c>
      <c r="BN289">
        <v>40507686</v>
      </c>
      <c r="BO289" t="s">
        <v>74</v>
      </c>
      <c r="BP289" t="s">
        <v>74</v>
      </c>
      <c r="BQ289" t="s">
        <v>74</v>
      </c>
      <c r="BR289" t="s">
        <v>105</v>
      </c>
      <c r="BS289" t="s">
        <v>5985</v>
      </c>
      <c r="BT289" t="str">
        <f>HYPERLINK("https%3A%2F%2Fwww.webofscience.com%2Fwos%2Fwoscc%2Ffull-record%2FWOS:001506470400001","View Full Record in Web of Science")</f>
        <v>View Full Record in Web of Science</v>
      </c>
    </row>
    <row r="290" spans="1:72" x14ac:dyDescent="0.25">
      <c r="A290" t="s">
        <v>72</v>
      </c>
      <c r="B290" t="s">
        <v>5986</v>
      </c>
      <c r="C290" t="s">
        <v>74</v>
      </c>
      <c r="D290" t="s">
        <v>74</v>
      </c>
      <c r="E290" t="s">
        <v>74</v>
      </c>
      <c r="F290" t="s">
        <v>5987</v>
      </c>
      <c r="G290" t="s">
        <v>74</v>
      </c>
      <c r="H290" t="s">
        <v>74</v>
      </c>
      <c r="I290" t="s">
        <v>5988</v>
      </c>
      <c r="J290" t="s">
        <v>594</v>
      </c>
      <c r="K290" t="s">
        <v>74</v>
      </c>
      <c r="L290" t="s">
        <v>74</v>
      </c>
      <c r="M290" t="s">
        <v>78</v>
      </c>
      <c r="N290" t="s">
        <v>79</v>
      </c>
      <c r="O290" t="s">
        <v>74</v>
      </c>
      <c r="P290" t="s">
        <v>74</v>
      </c>
      <c r="Q290" t="s">
        <v>74</v>
      </c>
      <c r="R290" t="s">
        <v>74</v>
      </c>
      <c r="S290" t="s">
        <v>74</v>
      </c>
      <c r="T290" t="s">
        <v>5989</v>
      </c>
      <c r="U290" t="s">
        <v>5990</v>
      </c>
      <c r="V290" t="s">
        <v>5991</v>
      </c>
      <c r="W290" t="s">
        <v>5992</v>
      </c>
      <c r="X290" t="s">
        <v>5993</v>
      </c>
      <c r="Y290" t="s">
        <v>5994</v>
      </c>
      <c r="Z290" t="s">
        <v>5995</v>
      </c>
      <c r="AA290" t="s">
        <v>5996</v>
      </c>
      <c r="AB290" t="s">
        <v>74</v>
      </c>
      <c r="AC290" t="s">
        <v>5997</v>
      </c>
      <c r="AD290" t="s">
        <v>5998</v>
      </c>
      <c r="AE290" t="s">
        <v>5999</v>
      </c>
      <c r="AF290" t="s">
        <v>74</v>
      </c>
      <c r="AG290">
        <v>67</v>
      </c>
      <c r="AH290">
        <v>0</v>
      </c>
      <c r="AI290">
        <v>0</v>
      </c>
      <c r="AJ290">
        <v>2</v>
      </c>
      <c r="AK290">
        <v>2</v>
      </c>
      <c r="AL290" t="s">
        <v>274</v>
      </c>
      <c r="AM290" t="s">
        <v>275</v>
      </c>
      <c r="AN290" t="s">
        <v>276</v>
      </c>
      <c r="AO290" t="s">
        <v>74</v>
      </c>
      <c r="AP290" t="s">
        <v>606</v>
      </c>
      <c r="AQ290" t="s">
        <v>74</v>
      </c>
      <c r="AR290" t="s">
        <v>607</v>
      </c>
      <c r="AS290" t="s">
        <v>608</v>
      </c>
      <c r="AT290" t="s">
        <v>6000</v>
      </c>
      <c r="AU290">
        <v>2025</v>
      </c>
      <c r="AV290">
        <v>22</v>
      </c>
      <c r="AW290">
        <v>1</v>
      </c>
      <c r="AX290" t="s">
        <v>74</v>
      </c>
      <c r="AY290" t="s">
        <v>74</v>
      </c>
      <c r="AZ290" t="s">
        <v>74</v>
      </c>
      <c r="BA290" t="s">
        <v>74</v>
      </c>
      <c r="BB290" t="s">
        <v>74</v>
      </c>
      <c r="BC290" t="s">
        <v>74</v>
      </c>
      <c r="BD290">
        <v>121</v>
      </c>
      <c r="BE290" t="s">
        <v>6001</v>
      </c>
      <c r="BF290" t="str">
        <f>HYPERLINK("http://dx.doi.org/10.1186/s12984-025-01649-1","http://dx.doi.org/10.1186/s12984-025-01649-1")</f>
        <v>http://dx.doi.org/10.1186/s12984-025-01649-1</v>
      </c>
      <c r="BG290" t="s">
        <v>74</v>
      </c>
      <c r="BH290" t="s">
        <v>74</v>
      </c>
      <c r="BI290">
        <v>18</v>
      </c>
      <c r="BJ290" t="s">
        <v>611</v>
      </c>
      <c r="BK290" t="s">
        <v>182</v>
      </c>
      <c r="BL290" t="s">
        <v>612</v>
      </c>
      <c r="BM290" t="s">
        <v>6002</v>
      </c>
      <c r="BN290">
        <v>40442684</v>
      </c>
      <c r="BO290" t="s">
        <v>74</v>
      </c>
      <c r="BP290" t="s">
        <v>74</v>
      </c>
      <c r="BQ290" t="s">
        <v>74</v>
      </c>
      <c r="BR290" t="s">
        <v>105</v>
      </c>
      <c r="BS290" t="s">
        <v>6003</v>
      </c>
      <c r="BT290" t="str">
        <f>HYPERLINK("https%3A%2F%2Fwww.webofscience.com%2Fwos%2Fwoscc%2Ffull-record%2FWOS:001498730400001","View Full Record in Web of Science")</f>
        <v>View Full Record in Web of Science</v>
      </c>
    </row>
    <row r="291" spans="1:72" x14ac:dyDescent="0.25">
      <c r="A291" t="s">
        <v>72</v>
      </c>
      <c r="B291" t="s">
        <v>6004</v>
      </c>
      <c r="C291" t="s">
        <v>74</v>
      </c>
      <c r="D291" t="s">
        <v>74</v>
      </c>
      <c r="E291" t="s">
        <v>74</v>
      </c>
      <c r="F291" t="s">
        <v>6005</v>
      </c>
      <c r="G291" t="s">
        <v>74</v>
      </c>
      <c r="H291" t="s">
        <v>74</v>
      </c>
      <c r="I291" t="s">
        <v>6006</v>
      </c>
      <c r="J291" t="s">
        <v>110</v>
      </c>
      <c r="K291" t="s">
        <v>74</v>
      </c>
      <c r="L291" t="s">
        <v>74</v>
      </c>
      <c r="M291" t="s">
        <v>78</v>
      </c>
      <c r="N291" t="s">
        <v>79</v>
      </c>
      <c r="O291" t="s">
        <v>74</v>
      </c>
      <c r="P291" t="s">
        <v>74</v>
      </c>
      <c r="Q291" t="s">
        <v>74</v>
      </c>
      <c r="R291" t="s">
        <v>74</v>
      </c>
      <c r="S291" t="s">
        <v>74</v>
      </c>
      <c r="T291" t="s">
        <v>6007</v>
      </c>
      <c r="U291" t="s">
        <v>6008</v>
      </c>
      <c r="V291" t="s">
        <v>6009</v>
      </c>
      <c r="W291" t="s">
        <v>6010</v>
      </c>
      <c r="X291" t="s">
        <v>6011</v>
      </c>
      <c r="Y291" t="s">
        <v>6012</v>
      </c>
      <c r="Z291" t="s">
        <v>6013</v>
      </c>
      <c r="AA291" t="s">
        <v>74</v>
      </c>
      <c r="AB291" t="s">
        <v>74</v>
      </c>
      <c r="AC291" t="s">
        <v>74</v>
      </c>
      <c r="AD291" t="s">
        <v>74</v>
      </c>
      <c r="AE291" t="s">
        <v>74</v>
      </c>
      <c r="AF291" t="s">
        <v>74</v>
      </c>
      <c r="AG291">
        <v>190</v>
      </c>
      <c r="AH291">
        <v>0</v>
      </c>
      <c r="AI291">
        <v>0</v>
      </c>
      <c r="AJ291">
        <v>0</v>
      </c>
      <c r="AK291">
        <v>0</v>
      </c>
      <c r="AL291" t="s">
        <v>120</v>
      </c>
      <c r="AM291" t="s">
        <v>121</v>
      </c>
      <c r="AN291" t="s">
        <v>1221</v>
      </c>
      <c r="AO291" t="s">
        <v>74</v>
      </c>
      <c r="AP291" t="s">
        <v>123</v>
      </c>
      <c r="AQ291" t="s">
        <v>74</v>
      </c>
      <c r="AR291" t="s">
        <v>124</v>
      </c>
      <c r="AS291" t="s">
        <v>125</v>
      </c>
      <c r="AT291" t="s">
        <v>6014</v>
      </c>
      <c r="AU291">
        <v>2025</v>
      </c>
      <c r="AV291">
        <v>14</v>
      </c>
      <c r="AW291">
        <v>11</v>
      </c>
      <c r="AX291" t="s">
        <v>74</v>
      </c>
      <c r="AY291" t="s">
        <v>74</v>
      </c>
      <c r="AZ291" t="s">
        <v>74</v>
      </c>
      <c r="BA291" t="s">
        <v>74</v>
      </c>
      <c r="BB291" t="s">
        <v>74</v>
      </c>
      <c r="BC291" t="s">
        <v>74</v>
      </c>
      <c r="BD291">
        <v>3757</v>
      </c>
      <c r="BE291" t="s">
        <v>6015</v>
      </c>
      <c r="BF291" t="str">
        <f>HYPERLINK("http://dx.doi.org/10.3390/jcm14113757","http://dx.doi.org/10.3390/jcm14113757")</f>
        <v>http://dx.doi.org/10.3390/jcm14113757</v>
      </c>
      <c r="BG291" t="s">
        <v>74</v>
      </c>
      <c r="BH291" t="s">
        <v>74</v>
      </c>
      <c r="BI291">
        <v>33</v>
      </c>
      <c r="BJ291" t="s">
        <v>128</v>
      </c>
      <c r="BK291" t="s">
        <v>182</v>
      </c>
      <c r="BL291" t="s">
        <v>129</v>
      </c>
      <c r="BM291" t="s">
        <v>6016</v>
      </c>
      <c r="BN291">
        <v>40507519</v>
      </c>
      <c r="BO291" t="s">
        <v>74</v>
      </c>
      <c r="BP291" t="s">
        <v>74</v>
      </c>
      <c r="BQ291" t="s">
        <v>74</v>
      </c>
      <c r="BR291" t="s">
        <v>105</v>
      </c>
      <c r="BS291" t="s">
        <v>6017</v>
      </c>
      <c r="BT291" t="str">
        <f>HYPERLINK("https%3A%2F%2Fwww.webofscience.com%2Fwos%2Fwoscc%2Ffull-record%2FWOS:001505642300001","View Full Record in Web of Science")</f>
        <v>View Full Record in Web of Science</v>
      </c>
    </row>
    <row r="292" spans="1:72" x14ac:dyDescent="0.25">
      <c r="A292" t="s">
        <v>72</v>
      </c>
      <c r="B292" t="s">
        <v>6018</v>
      </c>
      <c r="C292" t="s">
        <v>74</v>
      </c>
      <c r="D292" t="s">
        <v>74</v>
      </c>
      <c r="E292" t="s">
        <v>74</v>
      </c>
      <c r="F292" t="s">
        <v>6019</v>
      </c>
      <c r="G292" t="s">
        <v>74</v>
      </c>
      <c r="H292" t="s">
        <v>74</v>
      </c>
      <c r="I292" t="s">
        <v>6020</v>
      </c>
      <c r="J292" t="s">
        <v>6021</v>
      </c>
      <c r="K292" t="s">
        <v>74</v>
      </c>
      <c r="L292" t="s">
        <v>74</v>
      </c>
      <c r="M292" t="s">
        <v>78</v>
      </c>
      <c r="N292" t="s">
        <v>449</v>
      </c>
      <c r="O292" t="s">
        <v>74</v>
      </c>
      <c r="P292" t="s">
        <v>74</v>
      </c>
      <c r="Q292" t="s">
        <v>74</v>
      </c>
      <c r="R292" t="s">
        <v>74</v>
      </c>
      <c r="S292" t="s">
        <v>74</v>
      </c>
      <c r="T292" t="s">
        <v>6022</v>
      </c>
      <c r="U292" t="s">
        <v>6023</v>
      </c>
      <c r="V292" t="s">
        <v>6024</v>
      </c>
      <c r="W292" t="s">
        <v>6025</v>
      </c>
      <c r="X292" t="s">
        <v>1285</v>
      </c>
      <c r="Y292" t="s">
        <v>6026</v>
      </c>
      <c r="Z292" t="s">
        <v>6027</v>
      </c>
      <c r="AA292" t="s">
        <v>6028</v>
      </c>
      <c r="AB292" t="s">
        <v>74</v>
      </c>
      <c r="AC292" t="s">
        <v>74</v>
      </c>
      <c r="AD292" t="s">
        <v>74</v>
      </c>
      <c r="AE292" t="s">
        <v>74</v>
      </c>
      <c r="AF292" t="s">
        <v>74</v>
      </c>
      <c r="AG292">
        <v>141</v>
      </c>
      <c r="AH292">
        <v>0</v>
      </c>
      <c r="AI292">
        <v>0</v>
      </c>
      <c r="AJ292">
        <v>0</v>
      </c>
      <c r="AK292">
        <v>0</v>
      </c>
      <c r="AL292" t="s">
        <v>6029</v>
      </c>
      <c r="AM292" t="s">
        <v>6030</v>
      </c>
      <c r="AN292" t="s">
        <v>6031</v>
      </c>
      <c r="AO292" t="s">
        <v>6032</v>
      </c>
      <c r="AP292" t="s">
        <v>6033</v>
      </c>
      <c r="AQ292" t="s">
        <v>74</v>
      </c>
      <c r="AR292" t="s">
        <v>6034</v>
      </c>
      <c r="AS292" t="s">
        <v>6035</v>
      </c>
      <c r="AT292" t="s">
        <v>6036</v>
      </c>
      <c r="AU292">
        <v>2025</v>
      </c>
      <c r="AV292" t="s">
        <v>74</v>
      </c>
      <c r="AW292" t="s">
        <v>74</v>
      </c>
      <c r="AX292" t="s">
        <v>74</v>
      </c>
      <c r="AY292" t="s">
        <v>74</v>
      </c>
      <c r="AZ292" t="s">
        <v>74</v>
      </c>
      <c r="BA292" t="s">
        <v>74</v>
      </c>
      <c r="BB292" t="s">
        <v>74</v>
      </c>
      <c r="BC292" t="s">
        <v>74</v>
      </c>
      <c r="BD292" t="s">
        <v>74</v>
      </c>
      <c r="BE292" t="s">
        <v>6037</v>
      </c>
      <c r="BF292" t="str">
        <f>HYPERLINK("http://dx.doi.org/10.1108/IMDS-05-2024-0464","http://dx.doi.org/10.1108/IMDS-05-2024-0464")</f>
        <v>http://dx.doi.org/10.1108/IMDS-05-2024-0464</v>
      </c>
      <c r="BG292" t="s">
        <v>74</v>
      </c>
      <c r="BH292" t="s">
        <v>4690</v>
      </c>
      <c r="BI292">
        <v>28</v>
      </c>
      <c r="BJ292" t="s">
        <v>6038</v>
      </c>
      <c r="BK292" t="s">
        <v>182</v>
      </c>
      <c r="BL292" t="s">
        <v>6039</v>
      </c>
      <c r="BM292" t="s">
        <v>6040</v>
      </c>
      <c r="BN292" t="s">
        <v>74</v>
      </c>
      <c r="BO292" t="s">
        <v>74</v>
      </c>
      <c r="BP292" t="s">
        <v>74</v>
      </c>
      <c r="BQ292" t="s">
        <v>74</v>
      </c>
      <c r="BR292" t="s">
        <v>105</v>
      </c>
      <c r="BS292" t="s">
        <v>6041</v>
      </c>
      <c r="BT292" t="str">
        <f>HYPERLINK("https%3A%2F%2Fwww.webofscience.com%2Fwos%2Fwoscc%2Ffull-record%2FWOS:001494390600001","View Full Record in Web of Science")</f>
        <v>View Full Record in Web of Science</v>
      </c>
    </row>
    <row r="293" spans="1:72" x14ac:dyDescent="0.25">
      <c r="A293" t="s">
        <v>72</v>
      </c>
      <c r="B293" t="s">
        <v>6042</v>
      </c>
      <c r="C293" t="s">
        <v>74</v>
      </c>
      <c r="D293" t="s">
        <v>74</v>
      </c>
      <c r="E293" t="s">
        <v>74</v>
      </c>
      <c r="F293" t="s">
        <v>6043</v>
      </c>
      <c r="G293" t="s">
        <v>74</v>
      </c>
      <c r="H293" t="s">
        <v>74</v>
      </c>
      <c r="I293" t="s">
        <v>6044</v>
      </c>
      <c r="J293" t="s">
        <v>6045</v>
      </c>
      <c r="K293" t="s">
        <v>74</v>
      </c>
      <c r="L293" t="s">
        <v>74</v>
      </c>
      <c r="M293" t="s">
        <v>78</v>
      </c>
      <c r="N293" t="s">
        <v>449</v>
      </c>
      <c r="O293" t="s">
        <v>74</v>
      </c>
      <c r="P293" t="s">
        <v>74</v>
      </c>
      <c r="Q293" t="s">
        <v>74</v>
      </c>
      <c r="R293" t="s">
        <v>74</v>
      </c>
      <c r="S293" t="s">
        <v>74</v>
      </c>
      <c r="T293" t="s">
        <v>74</v>
      </c>
      <c r="U293" t="s">
        <v>74</v>
      </c>
      <c r="V293" t="s">
        <v>6046</v>
      </c>
      <c r="W293" t="s">
        <v>6047</v>
      </c>
      <c r="X293" t="s">
        <v>6048</v>
      </c>
      <c r="Y293" t="s">
        <v>6049</v>
      </c>
      <c r="Z293" t="s">
        <v>6050</v>
      </c>
      <c r="AA293" t="s">
        <v>74</v>
      </c>
      <c r="AB293" t="s">
        <v>74</v>
      </c>
      <c r="AC293" t="s">
        <v>6051</v>
      </c>
      <c r="AD293" t="s">
        <v>6052</v>
      </c>
      <c r="AE293" t="s">
        <v>6053</v>
      </c>
      <c r="AF293" t="s">
        <v>74</v>
      </c>
      <c r="AG293">
        <v>28</v>
      </c>
      <c r="AH293">
        <v>0</v>
      </c>
      <c r="AI293">
        <v>0</v>
      </c>
      <c r="AJ293">
        <v>9</v>
      </c>
      <c r="AK293">
        <v>9</v>
      </c>
      <c r="AL293" t="s">
        <v>4224</v>
      </c>
      <c r="AM293" t="s">
        <v>1958</v>
      </c>
      <c r="AN293" t="s">
        <v>4225</v>
      </c>
      <c r="AO293" t="s">
        <v>6054</v>
      </c>
      <c r="AP293" t="s">
        <v>6055</v>
      </c>
      <c r="AQ293" t="s">
        <v>74</v>
      </c>
      <c r="AR293" t="s">
        <v>6056</v>
      </c>
      <c r="AS293" t="s">
        <v>6057</v>
      </c>
      <c r="AT293" t="s">
        <v>6058</v>
      </c>
      <c r="AU293">
        <v>2025</v>
      </c>
      <c r="AV293" t="s">
        <v>74</v>
      </c>
      <c r="AW293" t="s">
        <v>74</v>
      </c>
      <c r="AX293" t="s">
        <v>74</v>
      </c>
      <c r="AY293" t="s">
        <v>74</v>
      </c>
      <c r="AZ293" t="s">
        <v>74</v>
      </c>
      <c r="BA293" t="s">
        <v>74</v>
      </c>
      <c r="BB293" t="s">
        <v>74</v>
      </c>
      <c r="BC293" t="s">
        <v>74</v>
      </c>
      <c r="BD293" t="s">
        <v>74</v>
      </c>
      <c r="BE293" t="s">
        <v>6059</v>
      </c>
      <c r="BF293" t="str">
        <f>HYPERLINK("http://dx.doi.org/10.1038/s41596-025-01184-2","http://dx.doi.org/10.1038/s41596-025-01184-2")</f>
        <v>http://dx.doi.org/10.1038/s41596-025-01184-2</v>
      </c>
      <c r="BG293" t="s">
        <v>74</v>
      </c>
      <c r="BH293" t="s">
        <v>4690</v>
      </c>
      <c r="BI293">
        <v>31</v>
      </c>
      <c r="BJ293" t="s">
        <v>6060</v>
      </c>
      <c r="BK293" t="s">
        <v>182</v>
      </c>
      <c r="BL293" t="s">
        <v>6061</v>
      </c>
      <c r="BM293" t="s">
        <v>6062</v>
      </c>
      <c r="BN293">
        <v>40389633</v>
      </c>
      <c r="BO293" t="s">
        <v>74</v>
      </c>
      <c r="BP293" t="s">
        <v>74</v>
      </c>
      <c r="BQ293" t="s">
        <v>74</v>
      </c>
      <c r="BR293" t="s">
        <v>105</v>
      </c>
      <c r="BS293" t="s">
        <v>6063</v>
      </c>
      <c r="BT293" t="str">
        <f>HYPERLINK("https%3A%2F%2Fwww.webofscience.com%2Fwos%2Fwoscc%2Ffull-record%2FWOS:001490517400001","View Full Record in Web of Science")</f>
        <v>View Full Record in Web of Science</v>
      </c>
    </row>
    <row r="294" spans="1:72" x14ac:dyDescent="0.25">
      <c r="A294" t="s">
        <v>72</v>
      </c>
      <c r="B294" t="s">
        <v>6064</v>
      </c>
      <c r="C294" t="s">
        <v>74</v>
      </c>
      <c r="D294" t="s">
        <v>74</v>
      </c>
      <c r="E294" t="s">
        <v>74</v>
      </c>
      <c r="F294" t="s">
        <v>6065</v>
      </c>
      <c r="G294" t="s">
        <v>74</v>
      </c>
      <c r="H294" t="s">
        <v>74</v>
      </c>
      <c r="I294" t="s">
        <v>6066</v>
      </c>
      <c r="J294" t="s">
        <v>1208</v>
      </c>
      <c r="K294" t="s">
        <v>74</v>
      </c>
      <c r="L294" t="s">
        <v>74</v>
      </c>
      <c r="M294" t="s">
        <v>78</v>
      </c>
      <c r="N294" t="s">
        <v>79</v>
      </c>
      <c r="O294" t="s">
        <v>74</v>
      </c>
      <c r="P294" t="s">
        <v>74</v>
      </c>
      <c r="Q294" t="s">
        <v>74</v>
      </c>
      <c r="R294" t="s">
        <v>74</v>
      </c>
      <c r="S294" t="s">
        <v>74</v>
      </c>
      <c r="T294" t="s">
        <v>6067</v>
      </c>
      <c r="U294" t="s">
        <v>6068</v>
      </c>
      <c r="V294" t="s">
        <v>6069</v>
      </c>
      <c r="W294" t="s">
        <v>6070</v>
      </c>
      <c r="X294" t="s">
        <v>6071</v>
      </c>
      <c r="Y294" t="s">
        <v>6072</v>
      </c>
      <c r="Z294" t="s">
        <v>6073</v>
      </c>
      <c r="AA294" t="s">
        <v>6074</v>
      </c>
      <c r="AB294" t="s">
        <v>74</v>
      </c>
      <c r="AC294" t="s">
        <v>74</v>
      </c>
      <c r="AD294" t="s">
        <v>74</v>
      </c>
      <c r="AE294" t="s">
        <v>74</v>
      </c>
      <c r="AF294" t="s">
        <v>74</v>
      </c>
      <c r="AG294">
        <v>158</v>
      </c>
      <c r="AH294">
        <v>0</v>
      </c>
      <c r="AI294">
        <v>0</v>
      </c>
      <c r="AJ294">
        <v>3</v>
      </c>
      <c r="AK294">
        <v>3</v>
      </c>
      <c r="AL294" t="s">
        <v>120</v>
      </c>
      <c r="AM294" t="s">
        <v>121</v>
      </c>
      <c r="AN294" t="s">
        <v>1221</v>
      </c>
      <c r="AO294" t="s">
        <v>74</v>
      </c>
      <c r="AP294" t="s">
        <v>1222</v>
      </c>
      <c r="AQ294" t="s">
        <v>74</v>
      </c>
      <c r="AR294" t="s">
        <v>1208</v>
      </c>
      <c r="AS294" t="s">
        <v>1223</v>
      </c>
      <c r="AT294" t="s">
        <v>6075</v>
      </c>
      <c r="AU294">
        <v>2025</v>
      </c>
      <c r="AV294">
        <v>13</v>
      </c>
      <c r="AW294">
        <v>5</v>
      </c>
      <c r="AX294" t="s">
        <v>74</v>
      </c>
      <c r="AY294" t="s">
        <v>74</v>
      </c>
      <c r="AZ294" t="s">
        <v>74</v>
      </c>
      <c r="BA294" t="s">
        <v>74</v>
      </c>
      <c r="BB294" t="s">
        <v>74</v>
      </c>
      <c r="BC294" t="s">
        <v>74</v>
      </c>
      <c r="BD294">
        <v>429</v>
      </c>
      <c r="BE294" t="s">
        <v>6076</v>
      </c>
      <c r="BF294" t="str">
        <f>HYPERLINK("http://dx.doi.org/10.3390/machines13050429","http://dx.doi.org/10.3390/machines13050429")</f>
        <v>http://dx.doi.org/10.3390/machines13050429</v>
      </c>
      <c r="BG294" t="s">
        <v>74</v>
      </c>
      <c r="BH294" t="s">
        <v>74</v>
      </c>
      <c r="BI294">
        <v>32</v>
      </c>
      <c r="BJ294" t="s">
        <v>1225</v>
      </c>
      <c r="BK294" t="s">
        <v>182</v>
      </c>
      <c r="BL294" t="s">
        <v>183</v>
      </c>
      <c r="BM294" t="s">
        <v>6077</v>
      </c>
      <c r="BN294" t="s">
        <v>74</v>
      </c>
      <c r="BO294" t="s">
        <v>74</v>
      </c>
      <c r="BP294" t="s">
        <v>74</v>
      </c>
      <c r="BQ294" t="s">
        <v>74</v>
      </c>
      <c r="BR294" t="s">
        <v>105</v>
      </c>
      <c r="BS294" t="s">
        <v>6078</v>
      </c>
      <c r="BT294" t="str">
        <f>HYPERLINK("https%3A%2F%2Fwww.webofscience.com%2Fwos%2Fwoscc%2Ffull-record%2FWOS:001496435900001","View Full Record in Web of Science")</f>
        <v>View Full Record in Web of Science</v>
      </c>
    </row>
    <row r="295" spans="1:72" x14ac:dyDescent="0.25">
      <c r="A295" t="s">
        <v>72</v>
      </c>
      <c r="B295" t="s">
        <v>6079</v>
      </c>
      <c r="C295" t="s">
        <v>74</v>
      </c>
      <c r="D295" t="s">
        <v>74</v>
      </c>
      <c r="E295" t="s">
        <v>74</v>
      </c>
      <c r="F295" t="s">
        <v>6080</v>
      </c>
      <c r="G295" t="s">
        <v>74</v>
      </c>
      <c r="H295" t="s">
        <v>74</v>
      </c>
      <c r="I295" t="s">
        <v>6081</v>
      </c>
      <c r="J295" t="s">
        <v>4982</v>
      </c>
      <c r="K295" t="s">
        <v>74</v>
      </c>
      <c r="L295" t="s">
        <v>74</v>
      </c>
      <c r="M295" t="s">
        <v>78</v>
      </c>
      <c r="N295" t="s">
        <v>79</v>
      </c>
      <c r="O295" t="s">
        <v>74</v>
      </c>
      <c r="P295" t="s">
        <v>74</v>
      </c>
      <c r="Q295" t="s">
        <v>74</v>
      </c>
      <c r="R295" t="s">
        <v>74</v>
      </c>
      <c r="S295" t="s">
        <v>74</v>
      </c>
      <c r="T295" t="s">
        <v>6082</v>
      </c>
      <c r="U295" t="s">
        <v>6083</v>
      </c>
      <c r="V295" t="s">
        <v>6084</v>
      </c>
      <c r="W295" t="s">
        <v>6085</v>
      </c>
      <c r="X295" t="s">
        <v>6086</v>
      </c>
      <c r="Y295" t="s">
        <v>6087</v>
      </c>
      <c r="Z295" t="s">
        <v>6088</v>
      </c>
      <c r="AA295" t="s">
        <v>6089</v>
      </c>
      <c r="AB295" t="s">
        <v>6090</v>
      </c>
      <c r="AC295" t="s">
        <v>6091</v>
      </c>
      <c r="AD295" t="s">
        <v>6092</v>
      </c>
      <c r="AE295" t="s">
        <v>6093</v>
      </c>
      <c r="AF295" t="s">
        <v>74</v>
      </c>
      <c r="AG295">
        <v>121</v>
      </c>
      <c r="AH295">
        <v>0</v>
      </c>
      <c r="AI295">
        <v>0</v>
      </c>
      <c r="AJ295">
        <v>0</v>
      </c>
      <c r="AK295">
        <v>0</v>
      </c>
      <c r="AL295" t="s">
        <v>120</v>
      </c>
      <c r="AM295" t="s">
        <v>121</v>
      </c>
      <c r="AN295" t="s">
        <v>1221</v>
      </c>
      <c r="AO295" t="s">
        <v>74</v>
      </c>
      <c r="AP295" t="s">
        <v>4995</v>
      </c>
      <c r="AQ295" t="s">
        <v>74</v>
      </c>
      <c r="AR295" t="s">
        <v>4982</v>
      </c>
      <c r="AS295" t="s">
        <v>4996</v>
      </c>
      <c r="AT295" t="s">
        <v>6075</v>
      </c>
      <c r="AU295">
        <v>2025</v>
      </c>
      <c r="AV295">
        <v>13</v>
      </c>
      <c r="AW295">
        <v>5</v>
      </c>
      <c r="AX295" t="s">
        <v>74</v>
      </c>
      <c r="AY295" t="s">
        <v>74</v>
      </c>
      <c r="AZ295" t="s">
        <v>74</v>
      </c>
      <c r="BA295" t="s">
        <v>74</v>
      </c>
      <c r="BB295" t="s">
        <v>74</v>
      </c>
      <c r="BC295" t="s">
        <v>74</v>
      </c>
      <c r="BD295">
        <v>1228</v>
      </c>
      <c r="BE295" t="s">
        <v>6094</v>
      </c>
      <c r="BF295" t="str">
        <f>HYPERLINK("http://dx.doi.org/10.3390/biomedicines13051228","http://dx.doi.org/10.3390/biomedicines13051228")</f>
        <v>http://dx.doi.org/10.3390/biomedicines13051228</v>
      </c>
      <c r="BG295" t="s">
        <v>74</v>
      </c>
      <c r="BH295" t="s">
        <v>74</v>
      </c>
      <c r="BI295">
        <v>22</v>
      </c>
      <c r="BJ295" t="s">
        <v>4998</v>
      </c>
      <c r="BK295" t="s">
        <v>182</v>
      </c>
      <c r="BL295" t="s">
        <v>4999</v>
      </c>
      <c r="BM295" t="s">
        <v>6095</v>
      </c>
      <c r="BN295">
        <v>40427058</v>
      </c>
      <c r="BO295" t="s">
        <v>74</v>
      </c>
      <c r="BP295" t="s">
        <v>74</v>
      </c>
      <c r="BQ295" t="s">
        <v>74</v>
      </c>
      <c r="BR295" t="s">
        <v>105</v>
      </c>
      <c r="BS295" t="s">
        <v>6096</v>
      </c>
      <c r="BT295" t="str">
        <f>HYPERLINK("https%3A%2F%2Fwww.webofscience.com%2Fwos%2Fwoscc%2Ffull-record%2FWOS:001496600900001","View Full Record in Web of Science")</f>
        <v>View Full Record in Web of Science</v>
      </c>
    </row>
    <row r="296" spans="1:72" x14ac:dyDescent="0.25">
      <c r="A296" t="s">
        <v>72</v>
      </c>
      <c r="B296" t="s">
        <v>6097</v>
      </c>
      <c r="C296" t="s">
        <v>74</v>
      </c>
      <c r="D296" t="s">
        <v>74</v>
      </c>
      <c r="E296" t="s">
        <v>74</v>
      </c>
      <c r="F296" t="s">
        <v>6098</v>
      </c>
      <c r="G296" t="s">
        <v>74</v>
      </c>
      <c r="H296" t="s">
        <v>74</v>
      </c>
      <c r="I296" t="s">
        <v>6099</v>
      </c>
      <c r="J296" t="s">
        <v>2745</v>
      </c>
      <c r="K296" t="s">
        <v>74</v>
      </c>
      <c r="L296" t="s">
        <v>74</v>
      </c>
      <c r="M296" t="s">
        <v>78</v>
      </c>
      <c r="N296" t="s">
        <v>79</v>
      </c>
      <c r="O296" t="s">
        <v>74</v>
      </c>
      <c r="P296" t="s">
        <v>74</v>
      </c>
      <c r="Q296" t="s">
        <v>74</v>
      </c>
      <c r="R296" t="s">
        <v>74</v>
      </c>
      <c r="S296" t="s">
        <v>74</v>
      </c>
      <c r="T296" t="s">
        <v>6100</v>
      </c>
      <c r="U296" t="s">
        <v>74</v>
      </c>
      <c r="V296" t="s">
        <v>6101</v>
      </c>
      <c r="W296" t="s">
        <v>6102</v>
      </c>
      <c r="X296" t="s">
        <v>6103</v>
      </c>
      <c r="Y296" t="s">
        <v>6104</v>
      </c>
      <c r="Z296" t="s">
        <v>6105</v>
      </c>
      <c r="AA296" t="s">
        <v>6106</v>
      </c>
      <c r="AB296" t="s">
        <v>6107</v>
      </c>
      <c r="AC296" t="s">
        <v>74</v>
      </c>
      <c r="AD296" t="s">
        <v>74</v>
      </c>
      <c r="AE296" t="s">
        <v>74</v>
      </c>
      <c r="AF296" t="s">
        <v>74</v>
      </c>
      <c r="AG296">
        <v>87</v>
      </c>
      <c r="AH296">
        <v>2</v>
      </c>
      <c r="AI296">
        <v>2</v>
      </c>
      <c r="AJ296">
        <v>2</v>
      </c>
      <c r="AK296">
        <v>2</v>
      </c>
      <c r="AL296" t="s">
        <v>120</v>
      </c>
      <c r="AM296" t="s">
        <v>121</v>
      </c>
      <c r="AN296" t="s">
        <v>1221</v>
      </c>
      <c r="AO296" t="s">
        <v>74</v>
      </c>
      <c r="AP296" t="s">
        <v>2757</v>
      </c>
      <c r="AQ296" t="s">
        <v>74</v>
      </c>
      <c r="AR296" t="s">
        <v>2745</v>
      </c>
      <c r="AS296" t="s">
        <v>2758</v>
      </c>
      <c r="AT296" t="s">
        <v>6108</v>
      </c>
      <c r="AU296">
        <v>2025</v>
      </c>
      <c r="AV296">
        <v>12</v>
      </c>
      <c r="AW296">
        <v>5</v>
      </c>
      <c r="AX296" t="s">
        <v>74</v>
      </c>
      <c r="AY296" t="s">
        <v>74</v>
      </c>
      <c r="AZ296" t="s">
        <v>74</v>
      </c>
      <c r="BA296" t="s">
        <v>74</v>
      </c>
      <c r="BB296" t="s">
        <v>74</v>
      </c>
      <c r="BC296" t="s">
        <v>74</v>
      </c>
      <c r="BD296">
        <v>513</v>
      </c>
      <c r="BE296" t="s">
        <v>6109</v>
      </c>
      <c r="BF296" t="str">
        <f>HYPERLINK("http://dx.doi.org/10.3390/bioengineering12050513","http://dx.doi.org/10.3390/bioengineering12050513")</f>
        <v>http://dx.doi.org/10.3390/bioengineering12050513</v>
      </c>
      <c r="BG296" t="s">
        <v>74</v>
      </c>
      <c r="BH296" t="s">
        <v>74</v>
      </c>
      <c r="BI296">
        <v>21</v>
      </c>
      <c r="BJ296" t="s">
        <v>2760</v>
      </c>
      <c r="BK296" t="s">
        <v>182</v>
      </c>
      <c r="BL296" t="s">
        <v>2761</v>
      </c>
      <c r="BM296" t="s">
        <v>6110</v>
      </c>
      <c r="BN296">
        <v>40428132</v>
      </c>
      <c r="BO296" t="s">
        <v>74</v>
      </c>
      <c r="BP296" t="s">
        <v>74</v>
      </c>
      <c r="BQ296" t="s">
        <v>74</v>
      </c>
      <c r="BR296" t="s">
        <v>105</v>
      </c>
      <c r="BS296" t="s">
        <v>6111</v>
      </c>
      <c r="BT296" t="str">
        <f>HYPERLINK("https%3A%2F%2Fwww.webofscience.com%2Fwos%2Fwoscc%2Ffull-record%2FWOS:001496639000001","View Full Record in Web of Science")</f>
        <v>View Full Record in Web of Science</v>
      </c>
    </row>
    <row r="297" spans="1:72" x14ac:dyDescent="0.25">
      <c r="A297" t="s">
        <v>72</v>
      </c>
      <c r="B297" t="s">
        <v>6112</v>
      </c>
      <c r="C297" t="s">
        <v>74</v>
      </c>
      <c r="D297" t="s">
        <v>74</v>
      </c>
      <c r="E297" t="s">
        <v>74</v>
      </c>
      <c r="F297" t="s">
        <v>6113</v>
      </c>
      <c r="G297" t="s">
        <v>74</v>
      </c>
      <c r="H297" t="s">
        <v>74</v>
      </c>
      <c r="I297" t="s">
        <v>6114</v>
      </c>
      <c r="J297" t="s">
        <v>6115</v>
      </c>
      <c r="K297" t="s">
        <v>74</v>
      </c>
      <c r="L297" t="s">
        <v>74</v>
      </c>
      <c r="M297" t="s">
        <v>78</v>
      </c>
      <c r="N297" t="s">
        <v>79</v>
      </c>
      <c r="O297" t="s">
        <v>74</v>
      </c>
      <c r="P297" t="s">
        <v>74</v>
      </c>
      <c r="Q297" t="s">
        <v>74</v>
      </c>
      <c r="R297" t="s">
        <v>74</v>
      </c>
      <c r="S297" t="s">
        <v>74</v>
      </c>
      <c r="T297" t="s">
        <v>6116</v>
      </c>
      <c r="U297" t="s">
        <v>74</v>
      </c>
      <c r="V297" t="s">
        <v>6117</v>
      </c>
      <c r="W297" t="s">
        <v>6118</v>
      </c>
      <c r="X297" t="s">
        <v>6119</v>
      </c>
      <c r="Y297" t="s">
        <v>6120</v>
      </c>
      <c r="Z297" t="s">
        <v>6121</v>
      </c>
      <c r="AA297" t="s">
        <v>6122</v>
      </c>
      <c r="AB297" t="s">
        <v>6123</v>
      </c>
      <c r="AC297" t="s">
        <v>74</v>
      </c>
      <c r="AD297" t="s">
        <v>74</v>
      </c>
      <c r="AE297" t="s">
        <v>74</v>
      </c>
      <c r="AF297" t="s">
        <v>74</v>
      </c>
      <c r="AG297">
        <v>35</v>
      </c>
      <c r="AH297">
        <v>0</v>
      </c>
      <c r="AI297">
        <v>0</v>
      </c>
      <c r="AJ297">
        <v>0</v>
      </c>
      <c r="AK297">
        <v>0</v>
      </c>
      <c r="AL297" t="s">
        <v>120</v>
      </c>
      <c r="AM297" t="s">
        <v>121</v>
      </c>
      <c r="AN297" t="s">
        <v>1221</v>
      </c>
      <c r="AO297" t="s">
        <v>74</v>
      </c>
      <c r="AP297" t="s">
        <v>6124</v>
      </c>
      <c r="AQ297" t="s">
        <v>74</v>
      </c>
      <c r="AR297" t="s">
        <v>6115</v>
      </c>
      <c r="AS297" t="s">
        <v>6125</v>
      </c>
      <c r="AT297" t="s">
        <v>6126</v>
      </c>
      <c r="AU297">
        <v>2025</v>
      </c>
      <c r="AV297">
        <v>17</v>
      </c>
      <c r="AW297">
        <v>10</v>
      </c>
      <c r="AX297" t="s">
        <v>74</v>
      </c>
      <c r="AY297" t="s">
        <v>74</v>
      </c>
      <c r="AZ297" t="s">
        <v>74</v>
      </c>
      <c r="BA297" t="s">
        <v>74</v>
      </c>
      <c r="BB297" t="s">
        <v>74</v>
      </c>
      <c r="BC297" t="s">
        <v>74</v>
      </c>
      <c r="BD297">
        <v>1615</v>
      </c>
      <c r="BE297" t="s">
        <v>6127</v>
      </c>
      <c r="BF297" t="str">
        <f>HYPERLINK("http://dx.doi.org/10.3390/cancers17101615","http://dx.doi.org/10.3390/cancers17101615")</f>
        <v>http://dx.doi.org/10.3390/cancers17101615</v>
      </c>
      <c r="BG297" t="s">
        <v>74</v>
      </c>
      <c r="BH297" t="s">
        <v>74</v>
      </c>
      <c r="BI297">
        <v>14</v>
      </c>
      <c r="BJ297" t="s">
        <v>4032</v>
      </c>
      <c r="BK297" t="s">
        <v>182</v>
      </c>
      <c r="BL297" t="s">
        <v>4032</v>
      </c>
      <c r="BM297" t="s">
        <v>6128</v>
      </c>
      <c r="BN297">
        <v>40427114</v>
      </c>
      <c r="BO297" t="s">
        <v>185</v>
      </c>
      <c r="BP297" t="s">
        <v>74</v>
      </c>
      <c r="BQ297" t="s">
        <v>74</v>
      </c>
      <c r="BR297" t="s">
        <v>105</v>
      </c>
      <c r="BS297" t="s">
        <v>6129</v>
      </c>
      <c r="BT297" t="str">
        <f>HYPERLINK("https%3A%2F%2Fwww.webofscience.com%2Fwos%2Fwoscc%2Ffull-record%2FWOS:001495577100001","View Full Record in Web of Science")</f>
        <v>View Full Record in Web of Science</v>
      </c>
    </row>
    <row r="298" spans="1:72" x14ac:dyDescent="0.25">
      <c r="A298" t="s">
        <v>72</v>
      </c>
      <c r="B298" t="s">
        <v>6130</v>
      </c>
      <c r="C298" t="s">
        <v>74</v>
      </c>
      <c r="D298" t="s">
        <v>74</v>
      </c>
      <c r="E298" t="s">
        <v>74</v>
      </c>
      <c r="F298" t="s">
        <v>6131</v>
      </c>
      <c r="G298" t="s">
        <v>74</v>
      </c>
      <c r="H298" t="s">
        <v>74</v>
      </c>
      <c r="I298" t="s">
        <v>6132</v>
      </c>
      <c r="J298" t="s">
        <v>2091</v>
      </c>
      <c r="K298" t="s">
        <v>74</v>
      </c>
      <c r="L298" t="s">
        <v>74</v>
      </c>
      <c r="M298" t="s">
        <v>78</v>
      </c>
      <c r="N298" t="s">
        <v>79</v>
      </c>
      <c r="O298" t="s">
        <v>74</v>
      </c>
      <c r="P298" t="s">
        <v>74</v>
      </c>
      <c r="Q298" t="s">
        <v>74</v>
      </c>
      <c r="R298" t="s">
        <v>74</v>
      </c>
      <c r="S298" t="s">
        <v>74</v>
      </c>
      <c r="T298" t="s">
        <v>6133</v>
      </c>
      <c r="U298" t="s">
        <v>6134</v>
      </c>
      <c r="V298" t="s">
        <v>6135</v>
      </c>
      <c r="W298" t="s">
        <v>6136</v>
      </c>
      <c r="X298" t="s">
        <v>6137</v>
      </c>
      <c r="Y298" t="s">
        <v>6138</v>
      </c>
      <c r="Z298" t="s">
        <v>6139</v>
      </c>
      <c r="AA298" t="s">
        <v>6140</v>
      </c>
      <c r="AB298" t="s">
        <v>74</v>
      </c>
      <c r="AC298" t="s">
        <v>6141</v>
      </c>
      <c r="AD298" t="s">
        <v>6141</v>
      </c>
      <c r="AE298" t="s">
        <v>6142</v>
      </c>
      <c r="AF298" t="s">
        <v>74</v>
      </c>
      <c r="AG298">
        <v>61</v>
      </c>
      <c r="AH298">
        <v>0</v>
      </c>
      <c r="AI298">
        <v>0</v>
      </c>
      <c r="AJ298">
        <v>0</v>
      </c>
      <c r="AK298">
        <v>0</v>
      </c>
      <c r="AL298" t="s">
        <v>120</v>
      </c>
      <c r="AM298" t="s">
        <v>121</v>
      </c>
      <c r="AN298" t="s">
        <v>1221</v>
      </c>
      <c r="AO298" t="s">
        <v>74</v>
      </c>
      <c r="AP298" t="s">
        <v>2104</v>
      </c>
      <c r="AQ298" t="s">
        <v>74</v>
      </c>
      <c r="AR298" t="s">
        <v>2105</v>
      </c>
      <c r="AS298" t="s">
        <v>2106</v>
      </c>
      <c r="AT298" t="s">
        <v>6126</v>
      </c>
      <c r="AU298">
        <v>2025</v>
      </c>
      <c r="AV298">
        <v>15</v>
      </c>
      <c r="AW298">
        <v>10</v>
      </c>
      <c r="AX298" t="s">
        <v>74</v>
      </c>
      <c r="AY298" t="s">
        <v>74</v>
      </c>
      <c r="AZ298" t="s">
        <v>74</v>
      </c>
      <c r="BA298" t="s">
        <v>74</v>
      </c>
      <c r="BB298" t="s">
        <v>74</v>
      </c>
      <c r="BC298" t="s">
        <v>74</v>
      </c>
      <c r="BD298">
        <v>5340</v>
      </c>
      <c r="BE298" t="s">
        <v>6143</v>
      </c>
      <c r="BF298" t="str">
        <f>HYPERLINK("http://dx.doi.org/10.3390/app15105340","http://dx.doi.org/10.3390/app15105340")</f>
        <v>http://dx.doi.org/10.3390/app15105340</v>
      </c>
      <c r="BG298" t="s">
        <v>74</v>
      </c>
      <c r="BH298" t="s">
        <v>74</v>
      </c>
      <c r="BI298">
        <v>20</v>
      </c>
      <c r="BJ298" t="s">
        <v>2109</v>
      </c>
      <c r="BK298" t="s">
        <v>182</v>
      </c>
      <c r="BL298" t="s">
        <v>2110</v>
      </c>
      <c r="BM298" t="s">
        <v>6144</v>
      </c>
      <c r="BN298" t="s">
        <v>74</v>
      </c>
      <c r="BO298" t="s">
        <v>185</v>
      </c>
      <c r="BP298" t="s">
        <v>74</v>
      </c>
      <c r="BQ298" t="s">
        <v>74</v>
      </c>
      <c r="BR298" t="s">
        <v>105</v>
      </c>
      <c r="BS298" t="s">
        <v>6145</v>
      </c>
      <c r="BT298" t="str">
        <f>HYPERLINK("https%3A%2F%2Fwww.webofscience.com%2Fwos%2Fwoscc%2Ffull-record%2FWOS:001495854500001","View Full Record in Web of Science")</f>
        <v>View Full Record in Web of Science</v>
      </c>
    </row>
    <row r="299" spans="1:72" x14ac:dyDescent="0.25">
      <c r="A299" t="s">
        <v>72</v>
      </c>
      <c r="B299" t="s">
        <v>6146</v>
      </c>
      <c r="C299" t="s">
        <v>74</v>
      </c>
      <c r="D299" t="s">
        <v>74</v>
      </c>
      <c r="E299" t="s">
        <v>74</v>
      </c>
      <c r="F299" t="s">
        <v>6147</v>
      </c>
      <c r="G299" t="s">
        <v>74</v>
      </c>
      <c r="H299" t="s">
        <v>74</v>
      </c>
      <c r="I299" t="s">
        <v>6148</v>
      </c>
      <c r="J299" t="s">
        <v>6149</v>
      </c>
      <c r="K299" t="s">
        <v>74</v>
      </c>
      <c r="L299" t="s">
        <v>74</v>
      </c>
      <c r="M299" t="s">
        <v>78</v>
      </c>
      <c r="N299" t="s">
        <v>449</v>
      </c>
      <c r="O299" t="s">
        <v>74</v>
      </c>
      <c r="P299" t="s">
        <v>74</v>
      </c>
      <c r="Q299" t="s">
        <v>74</v>
      </c>
      <c r="R299" t="s">
        <v>74</v>
      </c>
      <c r="S299" t="s">
        <v>74</v>
      </c>
      <c r="T299" t="s">
        <v>6150</v>
      </c>
      <c r="U299" t="s">
        <v>6151</v>
      </c>
      <c r="V299" t="s">
        <v>6152</v>
      </c>
      <c r="W299" t="s">
        <v>6153</v>
      </c>
      <c r="X299" t="s">
        <v>6154</v>
      </c>
      <c r="Y299" t="s">
        <v>6155</v>
      </c>
      <c r="Z299" t="s">
        <v>6156</v>
      </c>
      <c r="AA299" t="s">
        <v>6157</v>
      </c>
      <c r="AB299" t="s">
        <v>74</v>
      </c>
      <c r="AC299" t="s">
        <v>6158</v>
      </c>
      <c r="AD299" t="s">
        <v>6159</v>
      </c>
      <c r="AE299" t="s">
        <v>6160</v>
      </c>
      <c r="AF299" t="s">
        <v>74</v>
      </c>
      <c r="AG299">
        <v>77</v>
      </c>
      <c r="AH299">
        <v>0</v>
      </c>
      <c r="AI299">
        <v>0</v>
      </c>
      <c r="AJ299">
        <v>1</v>
      </c>
      <c r="AK299">
        <v>1</v>
      </c>
      <c r="AL299" t="s">
        <v>6161</v>
      </c>
      <c r="AM299" t="s">
        <v>1349</v>
      </c>
      <c r="AN299" t="s">
        <v>6162</v>
      </c>
      <c r="AO299" t="s">
        <v>6163</v>
      </c>
      <c r="AP299" t="s">
        <v>6164</v>
      </c>
      <c r="AQ299" t="s">
        <v>74</v>
      </c>
      <c r="AR299" t="s">
        <v>6165</v>
      </c>
      <c r="AS299" t="s">
        <v>6166</v>
      </c>
      <c r="AT299" t="s">
        <v>6167</v>
      </c>
      <c r="AU299">
        <v>2025</v>
      </c>
      <c r="AV299" t="s">
        <v>74</v>
      </c>
      <c r="AW299" t="s">
        <v>74</v>
      </c>
      <c r="AX299" t="s">
        <v>74</v>
      </c>
      <c r="AY299" t="s">
        <v>74</v>
      </c>
      <c r="AZ299" t="s">
        <v>74</v>
      </c>
      <c r="BA299" t="s">
        <v>74</v>
      </c>
      <c r="BB299" t="s">
        <v>74</v>
      </c>
      <c r="BC299" t="s">
        <v>74</v>
      </c>
      <c r="BD299" t="s">
        <v>74</v>
      </c>
      <c r="BE299" t="s">
        <v>6168</v>
      </c>
      <c r="BF299" t="str">
        <f>HYPERLINK("http://dx.doi.org/10.5551/jat.RV22036","http://dx.doi.org/10.5551/jat.RV22036")</f>
        <v>http://dx.doi.org/10.5551/jat.RV22036</v>
      </c>
      <c r="BG299" t="s">
        <v>74</v>
      </c>
      <c r="BH299" t="s">
        <v>4690</v>
      </c>
      <c r="BI299">
        <v>8</v>
      </c>
      <c r="BJ299" t="s">
        <v>6169</v>
      </c>
      <c r="BK299" t="s">
        <v>182</v>
      </c>
      <c r="BL299" t="s">
        <v>4951</v>
      </c>
      <c r="BM299" t="s">
        <v>6170</v>
      </c>
      <c r="BN299">
        <v>40350320</v>
      </c>
      <c r="BO299" t="s">
        <v>74</v>
      </c>
      <c r="BP299" t="s">
        <v>74</v>
      </c>
      <c r="BQ299" t="s">
        <v>74</v>
      </c>
      <c r="BR299" t="s">
        <v>105</v>
      </c>
      <c r="BS299" t="s">
        <v>6171</v>
      </c>
      <c r="BT299" t="str">
        <f>HYPERLINK("https%3A%2F%2Fwww.webofscience.com%2Fwos%2Fwoscc%2Ffull-record%2FWOS:001491948200001","View Full Record in Web of Science")</f>
        <v>View Full Record in Web of Science</v>
      </c>
    </row>
    <row r="300" spans="1:72" x14ac:dyDescent="0.25">
      <c r="A300" t="s">
        <v>72</v>
      </c>
      <c r="B300" t="s">
        <v>6172</v>
      </c>
      <c r="C300" t="s">
        <v>74</v>
      </c>
      <c r="D300" t="s">
        <v>74</v>
      </c>
      <c r="E300" t="s">
        <v>74</v>
      </c>
      <c r="F300" t="s">
        <v>6173</v>
      </c>
      <c r="G300" t="s">
        <v>74</v>
      </c>
      <c r="H300" t="s">
        <v>74</v>
      </c>
      <c r="I300" t="s">
        <v>6174</v>
      </c>
      <c r="J300" t="s">
        <v>6175</v>
      </c>
      <c r="K300" t="s">
        <v>74</v>
      </c>
      <c r="L300" t="s">
        <v>74</v>
      </c>
      <c r="M300" t="s">
        <v>78</v>
      </c>
      <c r="N300" t="s">
        <v>79</v>
      </c>
      <c r="O300" t="s">
        <v>74</v>
      </c>
      <c r="P300" t="s">
        <v>74</v>
      </c>
      <c r="Q300" t="s">
        <v>74</v>
      </c>
      <c r="R300" t="s">
        <v>74</v>
      </c>
      <c r="S300" t="s">
        <v>74</v>
      </c>
      <c r="T300" t="s">
        <v>6176</v>
      </c>
      <c r="U300" t="s">
        <v>6177</v>
      </c>
      <c r="V300" t="s">
        <v>6178</v>
      </c>
      <c r="W300" t="s">
        <v>6179</v>
      </c>
      <c r="X300" t="s">
        <v>6180</v>
      </c>
      <c r="Y300" t="s">
        <v>6181</v>
      </c>
      <c r="Z300" t="s">
        <v>6182</v>
      </c>
      <c r="AA300" t="s">
        <v>6183</v>
      </c>
      <c r="AB300" t="s">
        <v>74</v>
      </c>
      <c r="AC300" t="s">
        <v>74</v>
      </c>
      <c r="AD300" t="s">
        <v>74</v>
      </c>
      <c r="AE300" t="s">
        <v>74</v>
      </c>
      <c r="AF300" t="s">
        <v>74</v>
      </c>
      <c r="AG300">
        <v>76</v>
      </c>
      <c r="AH300">
        <v>0</v>
      </c>
      <c r="AI300">
        <v>0</v>
      </c>
      <c r="AJ300">
        <v>0</v>
      </c>
      <c r="AK300">
        <v>0</v>
      </c>
      <c r="AL300" t="s">
        <v>120</v>
      </c>
      <c r="AM300" t="s">
        <v>121</v>
      </c>
      <c r="AN300" t="s">
        <v>1221</v>
      </c>
      <c r="AO300" t="s">
        <v>74</v>
      </c>
      <c r="AP300" t="s">
        <v>6184</v>
      </c>
      <c r="AQ300" t="s">
        <v>74</v>
      </c>
      <c r="AR300" t="s">
        <v>6175</v>
      </c>
      <c r="AS300" t="s">
        <v>6185</v>
      </c>
      <c r="AT300" t="s">
        <v>6186</v>
      </c>
      <c r="AU300">
        <v>2025</v>
      </c>
      <c r="AV300">
        <v>18</v>
      </c>
      <c r="AW300">
        <v>5</v>
      </c>
      <c r="AX300" t="s">
        <v>74</v>
      </c>
      <c r="AY300" t="s">
        <v>74</v>
      </c>
      <c r="AZ300" t="s">
        <v>74</v>
      </c>
      <c r="BA300" t="s">
        <v>74</v>
      </c>
      <c r="BB300" t="s">
        <v>74</v>
      </c>
      <c r="BC300" t="s">
        <v>74</v>
      </c>
      <c r="BD300">
        <v>276</v>
      </c>
      <c r="BE300" t="s">
        <v>6187</v>
      </c>
      <c r="BF300" t="str">
        <f>HYPERLINK("http://dx.doi.org/10.3390/a18050276","http://dx.doi.org/10.3390/a18050276")</f>
        <v>http://dx.doi.org/10.3390/a18050276</v>
      </c>
      <c r="BG300" t="s">
        <v>74</v>
      </c>
      <c r="BH300" t="s">
        <v>74</v>
      </c>
      <c r="BI300">
        <v>19</v>
      </c>
      <c r="BJ300" t="s">
        <v>6188</v>
      </c>
      <c r="BK300" t="s">
        <v>155</v>
      </c>
      <c r="BL300" t="s">
        <v>6189</v>
      </c>
      <c r="BM300" t="s">
        <v>6190</v>
      </c>
      <c r="BN300" t="s">
        <v>74</v>
      </c>
      <c r="BO300" t="s">
        <v>74</v>
      </c>
      <c r="BP300" t="s">
        <v>74</v>
      </c>
      <c r="BQ300" t="s">
        <v>74</v>
      </c>
      <c r="BR300" t="s">
        <v>105</v>
      </c>
      <c r="BS300" t="s">
        <v>6191</v>
      </c>
      <c r="BT300" t="str">
        <f>HYPERLINK("https%3A%2F%2Fwww.webofscience.com%2Fwos%2Fwoscc%2Ffull-record%2FWOS:001495769900001","View Full Record in Web of Science")</f>
        <v>View Full Record in Web of Science</v>
      </c>
    </row>
    <row r="301" spans="1:72" x14ac:dyDescent="0.25">
      <c r="A301" t="s">
        <v>72</v>
      </c>
      <c r="B301" t="s">
        <v>6192</v>
      </c>
      <c r="C301" t="s">
        <v>74</v>
      </c>
      <c r="D301" t="s">
        <v>74</v>
      </c>
      <c r="E301" t="s">
        <v>74</v>
      </c>
      <c r="F301" t="s">
        <v>6193</v>
      </c>
      <c r="G301" t="s">
        <v>74</v>
      </c>
      <c r="H301" t="s">
        <v>74</v>
      </c>
      <c r="I301" t="s">
        <v>6194</v>
      </c>
      <c r="J301" t="s">
        <v>2745</v>
      </c>
      <c r="K301" t="s">
        <v>74</v>
      </c>
      <c r="L301" t="s">
        <v>74</v>
      </c>
      <c r="M301" t="s">
        <v>78</v>
      </c>
      <c r="N301" t="s">
        <v>79</v>
      </c>
      <c r="O301" t="s">
        <v>74</v>
      </c>
      <c r="P301" t="s">
        <v>74</v>
      </c>
      <c r="Q301" t="s">
        <v>74</v>
      </c>
      <c r="R301" t="s">
        <v>74</v>
      </c>
      <c r="S301" t="s">
        <v>74</v>
      </c>
      <c r="T301" t="s">
        <v>6195</v>
      </c>
      <c r="U301" t="s">
        <v>74</v>
      </c>
      <c r="V301" t="s">
        <v>6196</v>
      </c>
      <c r="W301" t="s">
        <v>6197</v>
      </c>
      <c r="X301" t="s">
        <v>6198</v>
      </c>
      <c r="Y301" t="s">
        <v>6199</v>
      </c>
      <c r="Z301" t="s">
        <v>6200</v>
      </c>
      <c r="AA301" t="s">
        <v>74</v>
      </c>
      <c r="AB301" t="s">
        <v>74</v>
      </c>
      <c r="AC301" t="s">
        <v>74</v>
      </c>
      <c r="AD301" t="s">
        <v>74</v>
      </c>
      <c r="AE301" t="s">
        <v>74</v>
      </c>
      <c r="AF301" t="s">
        <v>74</v>
      </c>
      <c r="AG301">
        <v>84</v>
      </c>
      <c r="AH301">
        <v>0</v>
      </c>
      <c r="AI301">
        <v>0</v>
      </c>
      <c r="AJ301">
        <v>0</v>
      </c>
      <c r="AK301">
        <v>0</v>
      </c>
      <c r="AL301" t="s">
        <v>120</v>
      </c>
      <c r="AM301" t="s">
        <v>121</v>
      </c>
      <c r="AN301" t="s">
        <v>1221</v>
      </c>
      <c r="AO301" t="s">
        <v>74</v>
      </c>
      <c r="AP301" t="s">
        <v>2757</v>
      </c>
      <c r="AQ301" t="s">
        <v>74</v>
      </c>
      <c r="AR301" t="s">
        <v>2745</v>
      </c>
      <c r="AS301" t="s">
        <v>2758</v>
      </c>
      <c r="AT301" t="s">
        <v>6201</v>
      </c>
      <c r="AU301">
        <v>2025</v>
      </c>
      <c r="AV301">
        <v>12</v>
      </c>
      <c r="AW301">
        <v>5</v>
      </c>
      <c r="AX301" t="s">
        <v>74</v>
      </c>
      <c r="AY301" t="s">
        <v>74</v>
      </c>
      <c r="AZ301" t="s">
        <v>74</v>
      </c>
      <c r="BA301" t="s">
        <v>74</v>
      </c>
      <c r="BB301" t="s">
        <v>74</v>
      </c>
      <c r="BC301" t="s">
        <v>74</v>
      </c>
      <c r="BD301">
        <v>494</v>
      </c>
      <c r="BE301" t="s">
        <v>6202</v>
      </c>
      <c r="BF301" t="str">
        <f>HYPERLINK("http://dx.doi.org/10.3390/bioengineering12050494","http://dx.doi.org/10.3390/bioengineering12050494")</f>
        <v>http://dx.doi.org/10.3390/bioengineering12050494</v>
      </c>
      <c r="BG301" t="s">
        <v>74</v>
      </c>
      <c r="BH301" t="s">
        <v>74</v>
      </c>
      <c r="BI301">
        <v>23</v>
      </c>
      <c r="BJ301" t="s">
        <v>2760</v>
      </c>
      <c r="BK301" t="s">
        <v>182</v>
      </c>
      <c r="BL301" t="s">
        <v>2761</v>
      </c>
      <c r="BM301" t="s">
        <v>6203</v>
      </c>
      <c r="BN301">
        <v>40428113</v>
      </c>
      <c r="BO301" t="s">
        <v>185</v>
      </c>
      <c r="BP301" t="s">
        <v>74</v>
      </c>
      <c r="BQ301" t="s">
        <v>74</v>
      </c>
      <c r="BR301" t="s">
        <v>105</v>
      </c>
      <c r="BS301" t="s">
        <v>6204</v>
      </c>
      <c r="BT301" t="str">
        <f>HYPERLINK("https%3A%2F%2Fwww.webofscience.com%2Fwos%2Fwoscc%2Ffull-record%2FWOS:001496543600001","View Full Record in Web of Science")</f>
        <v>View Full Record in Web of Science</v>
      </c>
    </row>
    <row r="302" spans="1:72" x14ac:dyDescent="0.25">
      <c r="A302" t="s">
        <v>72</v>
      </c>
      <c r="B302" t="s">
        <v>6205</v>
      </c>
      <c r="C302" t="s">
        <v>74</v>
      </c>
      <c r="D302" t="s">
        <v>74</v>
      </c>
      <c r="E302" t="s">
        <v>74</v>
      </c>
      <c r="F302" t="s">
        <v>6206</v>
      </c>
      <c r="G302" t="s">
        <v>74</v>
      </c>
      <c r="H302" t="s">
        <v>74</v>
      </c>
      <c r="I302" t="s">
        <v>6207</v>
      </c>
      <c r="J302" t="s">
        <v>6208</v>
      </c>
      <c r="K302" t="s">
        <v>74</v>
      </c>
      <c r="L302" t="s">
        <v>74</v>
      </c>
      <c r="M302" t="s">
        <v>78</v>
      </c>
      <c r="N302" t="s">
        <v>449</v>
      </c>
      <c r="O302" t="s">
        <v>74</v>
      </c>
      <c r="P302" t="s">
        <v>74</v>
      </c>
      <c r="Q302" t="s">
        <v>74</v>
      </c>
      <c r="R302" t="s">
        <v>74</v>
      </c>
      <c r="S302" t="s">
        <v>74</v>
      </c>
      <c r="T302" t="s">
        <v>6209</v>
      </c>
      <c r="U302" t="s">
        <v>6210</v>
      </c>
      <c r="V302" t="s">
        <v>6211</v>
      </c>
      <c r="W302" t="s">
        <v>6212</v>
      </c>
      <c r="X302" t="s">
        <v>6213</v>
      </c>
      <c r="Y302" t="s">
        <v>6214</v>
      </c>
      <c r="Z302" t="s">
        <v>6215</v>
      </c>
      <c r="AA302" t="s">
        <v>6216</v>
      </c>
      <c r="AB302" t="s">
        <v>6217</v>
      </c>
      <c r="AC302" t="s">
        <v>6218</v>
      </c>
      <c r="AD302" t="s">
        <v>6218</v>
      </c>
      <c r="AE302" t="s">
        <v>6219</v>
      </c>
      <c r="AF302" t="s">
        <v>74</v>
      </c>
      <c r="AG302">
        <v>46</v>
      </c>
      <c r="AH302">
        <v>0</v>
      </c>
      <c r="AI302">
        <v>0</v>
      </c>
      <c r="AJ302">
        <v>0</v>
      </c>
      <c r="AK302">
        <v>0</v>
      </c>
      <c r="AL302" t="s">
        <v>92</v>
      </c>
      <c r="AM302" t="s">
        <v>93</v>
      </c>
      <c r="AN302" t="s">
        <v>94</v>
      </c>
      <c r="AO302" t="s">
        <v>6220</v>
      </c>
      <c r="AP302" t="s">
        <v>6221</v>
      </c>
      <c r="AQ302" t="s">
        <v>74</v>
      </c>
      <c r="AR302" t="s">
        <v>6208</v>
      </c>
      <c r="AS302" t="s">
        <v>6222</v>
      </c>
      <c r="AT302" t="s">
        <v>6223</v>
      </c>
      <c r="AU302">
        <v>2025</v>
      </c>
      <c r="AV302" t="s">
        <v>74</v>
      </c>
      <c r="AW302" t="s">
        <v>74</v>
      </c>
      <c r="AX302" t="s">
        <v>74</v>
      </c>
      <c r="AY302" t="s">
        <v>74</v>
      </c>
      <c r="AZ302" t="s">
        <v>74</v>
      </c>
      <c r="BA302" t="s">
        <v>74</v>
      </c>
      <c r="BB302" t="s">
        <v>74</v>
      </c>
      <c r="BC302" t="s">
        <v>74</v>
      </c>
      <c r="BD302" t="s">
        <v>74</v>
      </c>
      <c r="BE302" t="s">
        <v>6224</v>
      </c>
      <c r="BF302" t="str">
        <f>HYPERLINK("http://dx.doi.org/10.1080/02699052.2025.2490285","http://dx.doi.org/10.1080/02699052.2025.2490285")</f>
        <v>http://dx.doi.org/10.1080/02699052.2025.2490285</v>
      </c>
      <c r="BG302" t="s">
        <v>74</v>
      </c>
      <c r="BH302" t="s">
        <v>4690</v>
      </c>
      <c r="BI302">
        <v>11</v>
      </c>
      <c r="BJ302" t="s">
        <v>6225</v>
      </c>
      <c r="BK302" t="s">
        <v>102</v>
      </c>
      <c r="BL302" t="s">
        <v>1050</v>
      </c>
      <c r="BM302" t="s">
        <v>6226</v>
      </c>
      <c r="BN302">
        <v>40323792</v>
      </c>
      <c r="BO302" t="s">
        <v>74</v>
      </c>
      <c r="BP302" t="s">
        <v>74</v>
      </c>
      <c r="BQ302" t="s">
        <v>74</v>
      </c>
      <c r="BR302" t="s">
        <v>105</v>
      </c>
      <c r="BS302" t="s">
        <v>6227</v>
      </c>
      <c r="BT302" t="str">
        <f>HYPERLINK("https%3A%2F%2Fwww.webofscience.com%2Fwos%2Fwoscc%2Ffull-record%2FWOS:001481620600001","View Full Record in Web of Science")</f>
        <v>View Full Record in Web of Science</v>
      </c>
    </row>
    <row r="303" spans="1:72" x14ac:dyDescent="0.25">
      <c r="A303" t="s">
        <v>72</v>
      </c>
      <c r="B303" t="s">
        <v>6228</v>
      </c>
      <c r="C303" t="s">
        <v>74</v>
      </c>
      <c r="D303" t="s">
        <v>74</v>
      </c>
      <c r="E303" t="s">
        <v>74</v>
      </c>
      <c r="F303" t="s">
        <v>6229</v>
      </c>
      <c r="G303" t="s">
        <v>74</v>
      </c>
      <c r="H303" t="s">
        <v>74</v>
      </c>
      <c r="I303" t="s">
        <v>6230</v>
      </c>
      <c r="J303" t="s">
        <v>2040</v>
      </c>
      <c r="K303" t="s">
        <v>74</v>
      </c>
      <c r="L303" t="s">
        <v>74</v>
      </c>
      <c r="M303" t="s">
        <v>78</v>
      </c>
      <c r="N303" t="s">
        <v>79</v>
      </c>
      <c r="O303" t="s">
        <v>74</v>
      </c>
      <c r="P303" t="s">
        <v>74</v>
      </c>
      <c r="Q303" t="s">
        <v>74</v>
      </c>
      <c r="R303" t="s">
        <v>74</v>
      </c>
      <c r="S303" t="s">
        <v>74</v>
      </c>
      <c r="T303" t="s">
        <v>6231</v>
      </c>
      <c r="U303" t="s">
        <v>6232</v>
      </c>
      <c r="V303" t="s">
        <v>6233</v>
      </c>
      <c r="W303" t="s">
        <v>6234</v>
      </c>
      <c r="X303" t="s">
        <v>6235</v>
      </c>
      <c r="Y303" t="s">
        <v>6236</v>
      </c>
      <c r="Z303" t="s">
        <v>6237</v>
      </c>
      <c r="AA303" t="s">
        <v>6238</v>
      </c>
      <c r="AB303" t="s">
        <v>6239</v>
      </c>
      <c r="AC303" t="s">
        <v>74</v>
      </c>
      <c r="AD303" t="s">
        <v>74</v>
      </c>
      <c r="AE303" t="s">
        <v>74</v>
      </c>
      <c r="AF303" t="s">
        <v>74</v>
      </c>
      <c r="AG303">
        <v>187</v>
      </c>
      <c r="AH303">
        <v>0</v>
      </c>
      <c r="AI303">
        <v>0</v>
      </c>
      <c r="AJ303">
        <v>4</v>
      </c>
      <c r="AK303">
        <v>4</v>
      </c>
      <c r="AL303" t="s">
        <v>120</v>
      </c>
      <c r="AM303" t="s">
        <v>121</v>
      </c>
      <c r="AN303" t="s">
        <v>1221</v>
      </c>
      <c r="AO303" t="s">
        <v>74</v>
      </c>
      <c r="AP303" t="s">
        <v>2050</v>
      </c>
      <c r="AQ303" t="s">
        <v>74</v>
      </c>
      <c r="AR303" t="s">
        <v>2051</v>
      </c>
      <c r="AS303" t="s">
        <v>2052</v>
      </c>
      <c r="AT303" t="s">
        <v>959</v>
      </c>
      <c r="AU303">
        <v>2025</v>
      </c>
      <c r="AV303">
        <v>25</v>
      </c>
      <c r="AW303">
        <v>9</v>
      </c>
      <c r="AX303" t="s">
        <v>74</v>
      </c>
      <c r="AY303" t="s">
        <v>74</v>
      </c>
      <c r="AZ303" t="s">
        <v>74</v>
      </c>
      <c r="BA303" t="s">
        <v>74</v>
      </c>
      <c r="BB303" t="s">
        <v>74</v>
      </c>
      <c r="BC303" t="s">
        <v>74</v>
      </c>
      <c r="BD303">
        <v>2895</v>
      </c>
      <c r="BE303" t="s">
        <v>6240</v>
      </c>
      <c r="BF303" t="str">
        <f>HYPERLINK("http://dx.doi.org/10.3390/s25092895","http://dx.doi.org/10.3390/s25092895")</f>
        <v>http://dx.doi.org/10.3390/s25092895</v>
      </c>
      <c r="BG303" t="s">
        <v>74</v>
      </c>
      <c r="BH303" t="s">
        <v>74</v>
      </c>
      <c r="BI303">
        <v>29</v>
      </c>
      <c r="BJ303" t="s">
        <v>2054</v>
      </c>
      <c r="BK303" t="s">
        <v>182</v>
      </c>
      <c r="BL303" t="s">
        <v>2055</v>
      </c>
      <c r="BM303" t="s">
        <v>6241</v>
      </c>
      <c r="BN303">
        <v>40363331</v>
      </c>
      <c r="BO303" t="s">
        <v>74</v>
      </c>
      <c r="BP303" t="s">
        <v>74</v>
      </c>
      <c r="BQ303" t="s">
        <v>74</v>
      </c>
      <c r="BR303" t="s">
        <v>105</v>
      </c>
      <c r="BS303" t="s">
        <v>6242</v>
      </c>
      <c r="BT303" t="str">
        <f>HYPERLINK("https%3A%2F%2Fwww.webofscience.com%2Fwos%2Fwoscc%2Ffull-record%2FWOS:001486715800001","View Full Record in Web of Science")</f>
        <v>View Full Record in Web of Science</v>
      </c>
    </row>
    <row r="304" spans="1:72" x14ac:dyDescent="0.25">
      <c r="A304" t="s">
        <v>72</v>
      </c>
      <c r="B304" t="s">
        <v>6243</v>
      </c>
      <c r="C304" t="s">
        <v>74</v>
      </c>
      <c r="D304" t="s">
        <v>74</v>
      </c>
      <c r="E304" t="s">
        <v>74</v>
      </c>
      <c r="F304" t="s">
        <v>6244</v>
      </c>
      <c r="G304" t="s">
        <v>74</v>
      </c>
      <c r="H304" t="s">
        <v>74</v>
      </c>
      <c r="I304" t="s">
        <v>6245</v>
      </c>
      <c r="J304" t="s">
        <v>265</v>
      </c>
      <c r="K304" t="s">
        <v>74</v>
      </c>
      <c r="L304" t="s">
        <v>74</v>
      </c>
      <c r="M304" t="s">
        <v>78</v>
      </c>
      <c r="N304" t="s">
        <v>79</v>
      </c>
      <c r="O304" t="s">
        <v>74</v>
      </c>
      <c r="P304" t="s">
        <v>74</v>
      </c>
      <c r="Q304" t="s">
        <v>74</v>
      </c>
      <c r="R304" t="s">
        <v>74</v>
      </c>
      <c r="S304" t="s">
        <v>74</v>
      </c>
      <c r="T304" t="s">
        <v>6246</v>
      </c>
      <c r="U304" t="s">
        <v>6247</v>
      </c>
      <c r="V304" t="s">
        <v>6248</v>
      </c>
      <c r="W304" t="s">
        <v>6249</v>
      </c>
      <c r="X304" t="s">
        <v>6250</v>
      </c>
      <c r="Y304" t="s">
        <v>6251</v>
      </c>
      <c r="Z304" t="s">
        <v>6252</v>
      </c>
      <c r="AA304" t="s">
        <v>6253</v>
      </c>
      <c r="AB304" t="s">
        <v>74</v>
      </c>
      <c r="AC304" t="s">
        <v>74</v>
      </c>
      <c r="AD304" t="s">
        <v>74</v>
      </c>
      <c r="AE304" t="s">
        <v>74</v>
      </c>
      <c r="AF304" t="s">
        <v>74</v>
      </c>
      <c r="AG304">
        <v>71</v>
      </c>
      <c r="AH304">
        <v>0</v>
      </c>
      <c r="AI304">
        <v>0</v>
      </c>
      <c r="AJ304">
        <v>2</v>
      </c>
      <c r="AK304">
        <v>2</v>
      </c>
      <c r="AL304" t="s">
        <v>274</v>
      </c>
      <c r="AM304" t="s">
        <v>275</v>
      </c>
      <c r="AN304" t="s">
        <v>276</v>
      </c>
      <c r="AO304" t="s">
        <v>74</v>
      </c>
      <c r="AP304" t="s">
        <v>277</v>
      </c>
      <c r="AQ304" t="s">
        <v>74</v>
      </c>
      <c r="AR304" t="s">
        <v>278</v>
      </c>
      <c r="AS304" t="s">
        <v>279</v>
      </c>
      <c r="AT304" t="s">
        <v>6254</v>
      </c>
      <c r="AU304">
        <v>2025</v>
      </c>
      <c r="AV304">
        <v>24</v>
      </c>
      <c r="AW304">
        <v>1</v>
      </c>
      <c r="AX304" t="s">
        <v>74</v>
      </c>
      <c r="AY304" t="s">
        <v>74</v>
      </c>
      <c r="AZ304" t="s">
        <v>74</v>
      </c>
      <c r="BA304" t="s">
        <v>74</v>
      </c>
      <c r="BB304" t="s">
        <v>74</v>
      </c>
      <c r="BC304" t="s">
        <v>74</v>
      </c>
      <c r="BD304">
        <v>50</v>
      </c>
      <c r="BE304" t="s">
        <v>6255</v>
      </c>
      <c r="BF304" t="str">
        <f>HYPERLINK("http://dx.doi.org/10.1186/s12938-025-01362-z","http://dx.doi.org/10.1186/s12938-025-01362-z")</f>
        <v>http://dx.doi.org/10.1186/s12938-025-01362-z</v>
      </c>
      <c r="BG304" t="s">
        <v>74</v>
      </c>
      <c r="BH304" t="s">
        <v>74</v>
      </c>
      <c r="BI304">
        <v>28</v>
      </c>
      <c r="BJ304" t="s">
        <v>282</v>
      </c>
      <c r="BK304" t="s">
        <v>182</v>
      </c>
      <c r="BL304" t="s">
        <v>183</v>
      </c>
      <c r="BM304" t="s">
        <v>6256</v>
      </c>
      <c r="BN304">
        <v>40301894</v>
      </c>
      <c r="BO304" t="s">
        <v>185</v>
      </c>
      <c r="BP304" t="s">
        <v>74</v>
      </c>
      <c r="BQ304" t="s">
        <v>74</v>
      </c>
      <c r="BR304" t="s">
        <v>105</v>
      </c>
      <c r="BS304" t="s">
        <v>6257</v>
      </c>
      <c r="BT304" t="str">
        <f>HYPERLINK("https%3A%2F%2Fwww.webofscience.com%2Fwos%2Fwoscc%2Ffull-record%2FWOS:001478626400001","View Full Record in Web of Science")</f>
        <v>View Full Record in Web of Science</v>
      </c>
    </row>
    <row r="305" spans="1:72" x14ac:dyDescent="0.25">
      <c r="A305" t="s">
        <v>72</v>
      </c>
      <c r="B305" t="s">
        <v>6258</v>
      </c>
      <c r="C305" t="s">
        <v>74</v>
      </c>
      <c r="D305" t="s">
        <v>74</v>
      </c>
      <c r="E305" t="s">
        <v>74</v>
      </c>
      <c r="F305" t="s">
        <v>6259</v>
      </c>
      <c r="G305" t="s">
        <v>74</v>
      </c>
      <c r="H305" t="s">
        <v>74</v>
      </c>
      <c r="I305" t="s">
        <v>6260</v>
      </c>
      <c r="J305" t="s">
        <v>6261</v>
      </c>
      <c r="K305" t="s">
        <v>74</v>
      </c>
      <c r="L305" t="s">
        <v>74</v>
      </c>
      <c r="M305" t="s">
        <v>78</v>
      </c>
      <c r="N305" t="s">
        <v>79</v>
      </c>
      <c r="O305" t="s">
        <v>74</v>
      </c>
      <c r="P305" t="s">
        <v>74</v>
      </c>
      <c r="Q305" t="s">
        <v>74</v>
      </c>
      <c r="R305" t="s">
        <v>74</v>
      </c>
      <c r="S305" t="s">
        <v>74</v>
      </c>
      <c r="T305" t="s">
        <v>6262</v>
      </c>
      <c r="U305" t="s">
        <v>74</v>
      </c>
      <c r="V305" t="s">
        <v>6263</v>
      </c>
      <c r="W305" t="s">
        <v>6264</v>
      </c>
      <c r="X305" t="s">
        <v>6265</v>
      </c>
      <c r="Y305" t="s">
        <v>6266</v>
      </c>
      <c r="Z305" t="s">
        <v>6267</v>
      </c>
      <c r="AA305" t="s">
        <v>6268</v>
      </c>
      <c r="AB305" t="s">
        <v>74</v>
      </c>
      <c r="AC305" t="s">
        <v>6269</v>
      </c>
      <c r="AD305" t="s">
        <v>6270</v>
      </c>
      <c r="AE305" t="s">
        <v>6271</v>
      </c>
      <c r="AF305" t="s">
        <v>74</v>
      </c>
      <c r="AG305">
        <v>0</v>
      </c>
      <c r="AH305">
        <v>0</v>
      </c>
      <c r="AI305">
        <v>0</v>
      </c>
      <c r="AJ305">
        <v>5</v>
      </c>
      <c r="AK305">
        <v>5</v>
      </c>
      <c r="AL305" t="s">
        <v>6272</v>
      </c>
      <c r="AM305" t="s">
        <v>393</v>
      </c>
      <c r="AN305" t="s">
        <v>6273</v>
      </c>
      <c r="AO305" t="s">
        <v>6274</v>
      </c>
      <c r="AP305" t="s">
        <v>6275</v>
      </c>
      <c r="AQ305" t="s">
        <v>74</v>
      </c>
      <c r="AR305" t="s">
        <v>6276</v>
      </c>
      <c r="AS305" t="s">
        <v>6277</v>
      </c>
      <c r="AT305" t="s">
        <v>1734</v>
      </c>
      <c r="AU305">
        <v>2025</v>
      </c>
      <c r="AV305">
        <v>165</v>
      </c>
      <c r="AW305" t="s">
        <v>74</v>
      </c>
      <c r="AX305" t="s">
        <v>74</v>
      </c>
      <c r="AY305" t="s">
        <v>74</v>
      </c>
      <c r="AZ305" t="s">
        <v>74</v>
      </c>
      <c r="BA305" t="s">
        <v>74</v>
      </c>
      <c r="BB305" t="s">
        <v>74</v>
      </c>
      <c r="BC305" t="s">
        <v>74</v>
      </c>
      <c r="BD305">
        <v>100990</v>
      </c>
      <c r="BE305" t="s">
        <v>6278</v>
      </c>
      <c r="BF305" t="str">
        <f>HYPERLINK("http://dx.doi.org/10.1016/j.mser.2025.100990","http://dx.doi.org/10.1016/j.mser.2025.100990")</f>
        <v>http://dx.doi.org/10.1016/j.mser.2025.100990</v>
      </c>
      <c r="BG305" t="s">
        <v>74</v>
      </c>
      <c r="BH305" t="s">
        <v>1612</v>
      </c>
      <c r="BI305">
        <v>26</v>
      </c>
      <c r="BJ305" t="s">
        <v>6279</v>
      </c>
      <c r="BK305" t="s">
        <v>182</v>
      </c>
      <c r="BL305" t="s">
        <v>6280</v>
      </c>
      <c r="BM305" t="s">
        <v>6281</v>
      </c>
      <c r="BN305" t="s">
        <v>74</v>
      </c>
      <c r="BO305" t="s">
        <v>74</v>
      </c>
      <c r="BP305" t="s">
        <v>74</v>
      </c>
      <c r="BQ305" t="s">
        <v>74</v>
      </c>
      <c r="BR305" t="s">
        <v>105</v>
      </c>
      <c r="BS305" t="s">
        <v>6282</v>
      </c>
      <c r="BT305" t="str">
        <f>HYPERLINK("https%3A%2F%2Fwww.webofscience.com%2Fwos%2Fwoscc%2Ffull-record%2FWOS:001483930600001","View Full Record in Web of Science")</f>
        <v>View Full Record in Web of Science</v>
      </c>
    </row>
    <row r="306" spans="1:72" x14ac:dyDescent="0.25">
      <c r="A306" t="s">
        <v>72</v>
      </c>
      <c r="B306" t="s">
        <v>6283</v>
      </c>
      <c r="C306" t="s">
        <v>74</v>
      </c>
      <c r="D306" t="s">
        <v>74</v>
      </c>
      <c r="E306" t="s">
        <v>74</v>
      </c>
      <c r="F306" t="s">
        <v>6284</v>
      </c>
      <c r="G306" t="s">
        <v>74</v>
      </c>
      <c r="H306" t="s">
        <v>74</v>
      </c>
      <c r="I306" t="s">
        <v>6285</v>
      </c>
      <c r="J306" t="s">
        <v>243</v>
      </c>
      <c r="K306" t="s">
        <v>74</v>
      </c>
      <c r="L306" t="s">
        <v>74</v>
      </c>
      <c r="M306" t="s">
        <v>78</v>
      </c>
      <c r="N306" t="s">
        <v>449</v>
      </c>
      <c r="O306" t="s">
        <v>74</v>
      </c>
      <c r="P306" t="s">
        <v>74</v>
      </c>
      <c r="Q306" t="s">
        <v>74</v>
      </c>
      <c r="R306" t="s">
        <v>74</v>
      </c>
      <c r="S306" t="s">
        <v>74</v>
      </c>
      <c r="T306" t="s">
        <v>6286</v>
      </c>
      <c r="U306" t="s">
        <v>6287</v>
      </c>
      <c r="V306" t="s">
        <v>6288</v>
      </c>
      <c r="W306" t="s">
        <v>6289</v>
      </c>
      <c r="X306" t="s">
        <v>6290</v>
      </c>
      <c r="Y306" t="s">
        <v>6291</v>
      </c>
      <c r="Z306" t="s">
        <v>6292</v>
      </c>
      <c r="AA306" t="s">
        <v>6293</v>
      </c>
      <c r="AB306" t="s">
        <v>74</v>
      </c>
      <c r="AC306" t="s">
        <v>74</v>
      </c>
      <c r="AD306" t="s">
        <v>74</v>
      </c>
      <c r="AE306" t="s">
        <v>74</v>
      </c>
      <c r="AF306" t="s">
        <v>74</v>
      </c>
      <c r="AG306">
        <v>46</v>
      </c>
      <c r="AH306">
        <v>0</v>
      </c>
      <c r="AI306">
        <v>0</v>
      </c>
      <c r="AJ306">
        <v>2</v>
      </c>
      <c r="AK306">
        <v>2</v>
      </c>
      <c r="AL306" t="s">
        <v>253</v>
      </c>
      <c r="AM306" t="s">
        <v>227</v>
      </c>
      <c r="AN306" t="s">
        <v>254</v>
      </c>
      <c r="AO306" t="s">
        <v>255</v>
      </c>
      <c r="AP306" t="s">
        <v>256</v>
      </c>
      <c r="AQ306" t="s">
        <v>74</v>
      </c>
      <c r="AR306" t="s">
        <v>257</v>
      </c>
      <c r="AS306" t="s">
        <v>258</v>
      </c>
      <c r="AT306" t="s">
        <v>6294</v>
      </c>
      <c r="AU306">
        <v>2025</v>
      </c>
      <c r="AV306" t="s">
        <v>74</v>
      </c>
      <c r="AW306" t="s">
        <v>74</v>
      </c>
      <c r="AX306" t="s">
        <v>74</v>
      </c>
      <c r="AY306" t="s">
        <v>74</v>
      </c>
      <c r="AZ306" t="s">
        <v>74</v>
      </c>
      <c r="BA306" t="s">
        <v>74</v>
      </c>
      <c r="BB306" t="s">
        <v>74</v>
      </c>
      <c r="BC306" t="s">
        <v>74</v>
      </c>
      <c r="BD306" t="s">
        <v>74</v>
      </c>
      <c r="BE306" t="s">
        <v>6295</v>
      </c>
      <c r="BF306" t="str">
        <f>HYPERLINK("http://dx.doi.org/10.1080/17483107.2025.2493223","http://dx.doi.org/10.1080/17483107.2025.2493223")</f>
        <v>http://dx.doi.org/10.1080/17483107.2025.2493223</v>
      </c>
      <c r="BG306" t="s">
        <v>74</v>
      </c>
      <c r="BH306" t="s">
        <v>1612</v>
      </c>
      <c r="BI306">
        <v>12</v>
      </c>
      <c r="BJ306" t="s">
        <v>101</v>
      </c>
      <c r="BK306" t="s">
        <v>462</v>
      </c>
      <c r="BL306" t="s">
        <v>101</v>
      </c>
      <c r="BM306" t="s">
        <v>6296</v>
      </c>
      <c r="BN306">
        <v>40276861</v>
      </c>
      <c r="BO306" t="s">
        <v>74</v>
      </c>
      <c r="BP306" t="s">
        <v>74</v>
      </c>
      <c r="BQ306" t="s">
        <v>74</v>
      </c>
      <c r="BR306" t="s">
        <v>105</v>
      </c>
      <c r="BS306" t="s">
        <v>6297</v>
      </c>
      <c r="BT306" t="str">
        <f>HYPERLINK("https%3A%2F%2Fwww.webofscience.com%2Fwos%2Fwoscc%2Ffull-record%2FWOS:001476730800001","View Full Record in Web of Science")</f>
        <v>View Full Record in Web of Science</v>
      </c>
    </row>
    <row r="307" spans="1:72" x14ac:dyDescent="0.25">
      <c r="A307" t="s">
        <v>72</v>
      </c>
      <c r="B307" t="s">
        <v>6298</v>
      </c>
      <c r="C307" t="s">
        <v>74</v>
      </c>
      <c r="D307" t="s">
        <v>74</v>
      </c>
      <c r="E307" t="s">
        <v>74</v>
      </c>
      <c r="F307" t="s">
        <v>6299</v>
      </c>
      <c r="G307" t="s">
        <v>74</v>
      </c>
      <c r="H307" t="s">
        <v>74</v>
      </c>
      <c r="I307" t="s">
        <v>6300</v>
      </c>
      <c r="J307" t="s">
        <v>2797</v>
      </c>
      <c r="K307" t="s">
        <v>74</v>
      </c>
      <c r="L307" t="s">
        <v>74</v>
      </c>
      <c r="M307" t="s">
        <v>78</v>
      </c>
      <c r="N307" t="s">
        <v>79</v>
      </c>
      <c r="O307" t="s">
        <v>74</v>
      </c>
      <c r="P307" t="s">
        <v>74</v>
      </c>
      <c r="Q307" t="s">
        <v>74</v>
      </c>
      <c r="R307" t="s">
        <v>74</v>
      </c>
      <c r="S307" t="s">
        <v>74</v>
      </c>
      <c r="T307" t="s">
        <v>6301</v>
      </c>
      <c r="U307" t="s">
        <v>6302</v>
      </c>
      <c r="V307" t="s">
        <v>6303</v>
      </c>
      <c r="W307" t="s">
        <v>6304</v>
      </c>
      <c r="X307" t="s">
        <v>6305</v>
      </c>
      <c r="Y307" t="s">
        <v>6306</v>
      </c>
      <c r="Z307" t="s">
        <v>6307</v>
      </c>
      <c r="AA307" t="s">
        <v>6308</v>
      </c>
      <c r="AB307" t="s">
        <v>74</v>
      </c>
      <c r="AC307" t="s">
        <v>74</v>
      </c>
      <c r="AD307" t="s">
        <v>74</v>
      </c>
      <c r="AE307" t="s">
        <v>74</v>
      </c>
      <c r="AF307" t="s">
        <v>74</v>
      </c>
      <c r="AG307">
        <v>291</v>
      </c>
      <c r="AH307">
        <v>0</v>
      </c>
      <c r="AI307">
        <v>0</v>
      </c>
      <c r="AJ307">
        <v>21</v>
      </c>
      <c r="AK307">
        <v>21</v>
      </c>
      <c r="AL307" t="s">
        <v>836</v>
      </c>
      <c r="AM307" t="s">
        <v>532</v>
      </c>
      <c r="AN307" t="s">
        <v>837</v>
      </c>
      <c r="AO307" t="s">
        <v>2809</v>
      </c>
      <c r="AP307" t="s">
        <v>2810</v>
      </c>
      <c r="AQ307" t="s">
        <v>74</v>
      </c>
      <c r="AR307" t="s">
        <v>2797</v>
      </c>
      <c r="AS307" t="s">
        <v>2811</v>
      </c>
      <c r="AT307" t="s">
        <v>6309</v>
      </c>
      <c r="AU307">
        <v>2025</v>
      </c>
      <c r="AV307">
        <v>572</v>
      </c>
      <c r="AW307" t="s">
        <v>74</v>
      </c>
      <c r="AX307" t="s">
        <v>74</v>
      </c>
      <c r="AY307" t="s">
        <v>74</v>
      </c>
      <c r="AZ307" t="s">
        <v>74</v>
      </c>
      <c r="BA307" t="s">
        <v>74</v>
      </c>
      <c r="BB307">
        <v>214</v>
      </c>
      <c r="BC307">
        <v>231</v>
      </c>
      <c r="BD307" t="s">
        <v>74</v>
      </c>
      <c r="BE307" t="s">
        <v>6310</v>
      </c>
      <c r="BF307" t="str">
        <f>HYPERLINK("http://dx.doi.org/10.1016/j.neuroscience.2025.03.017","http://dx.doi.org/10.1016/j.neuroscience.2025.03.017")</f>
        <v>http://dx.doi.org/10.1016/j.neuroscience.2025.03.017</v>
      </c>
      <c r="BG307" t="s">
        <v>74</v>
      </c>
      <c r="BH307" t="s">
        <v>1612</v>
      </c>
      <c r="BI307">
        <v>18</v>
      </c>
      <c r="BJ307" t="s">
        <v>374</v>
      </c>
      <c r="BK307" t="s">
        <v>182</v>
      </c>
      <c r="BL307" t="s">
        <v>375</v>
      </c>
      <c r="BM307" t="s">
        <v>6311</v>
      </c>
      <c r="BN307">
        <v>40068721</v>
      </c>
      <c r="BO307" t="s">
        <v>74</v>
      </c>
      <c r="BP307" t="s">
        <v>74</v>
      </c>
      <c r="BQ307" t="s">
        <v>74</v>
      </c>
      <c r="BR307" t="s">
        <v>105</v>
      </c>
      <c r="BS307" t="s">
        <v>6312</v>
      </c>
      <c r="BT307" t="str">
        <f>HYPERLINK("https%3A%2F%2Fwww.webofscience.com%2Fwos%2Fwoscc%2Ffull-record%2FWOS:001454700800001","View Full Record in Web of Science")</f>
        <v>View Full Record in Web of Science</v>
      </c>
    </row>
    <row r="308" spans="1:72" x14ac:dyDescent="0.25">
      <c r="A308" t="s">
        <v>72</v>
      </c>
      <c r="B308" t="s">
        <v>6313</v>
      </c>
      <c r="C308" t="s">
        <v>74</v>
      </c>
      <c r="D308" t="s">
        <v>74</v>
      </c>
      <c r="E308" t="s">
        <v>74</v>
      </c>
      <c r="F308" t="s">
        <v>6314</v>
      </c>
      <c r="G308" t="s">
        <v>74</v>
      </c>
      <c r="H308" t="s">
        <v>74</v>
      </c>
      <c r="I308" t="s">
        <v>6315</v>
      </c>
      <c r="J308" t="s">
        <v>594</v>
      </c>
      <c r="K308" t="s">
        <v>74</v>
      </c>
      <c r="L308" t="s">
        <v>74</v>
      </c>
      <c r="M308" t="s">
        <v>78</v>
      </c>
      <c r="N308" t="s">
        <v>79</v>
      </c>
      <c r="O308" t="s">
        <v>74</v>
      </c>
      <c r="P308" t="s">
        <v>74</v>
      </c>
      <c r="Q308" t="s">
        <v>74</v>
      </c>
      <c r="R308" t="s">
        <v>74</v>
      </c>
      <c r="S308" t="s">
        <v>74</v>
      </c>
      <c r="T308" t="s">
        <v>6316</v>
      </c>
      <c r="U308" t="s">
        <v>6317</v>
      </c>
      <c r="V308" t="s">
        <v>6318</v>
      </c>
      <c r="W308" t="s">
        <v>6319</v>
      </c>
      <c r="X308" t="s">
        <v>6320</v>
      </c>
      <c r="Y308" t="s">
        <v>6321</v>
      </c>
      <c r="Z308" t="s">
        <v>6322</v>
      </c>
      <c r="AA308" t="s">
        <v>74</v>
      </c>
      <c r="AB308" t="s">
        <v>74</v>
      </c>
      <c r="AC308" t="s">
        <v>6323</v>
      </c>
      <c r="AD308" t="s">
        <v>6323</v>
      </c>
      <c r="AE308" t="s">
        <v>6324</v>
      </c>
      <c r="AF308" t="s">
        <v>74</v>
      </c>
      <c r="AG308">
        <v>339</v>
      </c>
      <c r="AH308">
        <v>0</v>
      </c>
      <c r="AI308">
        <v>0</v>
      </c>
      <c r="AJ308">
        <v>12</v>
      </c>
      <c r="AK308">
        <v>12</v>
      </c>
      <c r="AL308" t="s">
        <v>274</v>
      </c>
      <c r="AM308" t="s">
        <v>275</v>
      </c>
      <c r="AN308" t="s">
        <v>276</v>
      </c>
      <c r="AO308" t="s">
        <v>74</v>
      </c>
      <c r="AP308" t="s">
        <v>606</v>
      </c>
      <c r="AQ308" t="s">
        <v>74</v>
      </c>
      <c r="AR308" t="s">
        <v>607</v>
      </c>
      <c r="AS308" t="s">
        <v>608</v>
      </c>
      <c r="AT308" t="s">
        <v>6309</v>
      </c>
      <c r="AU308">
        <v>2025</v>
      </c>
      <c r="AV308">
        <v>22</v>
      </c>
      <c r="AW308">
        <v>1</v>
      </c>
      <c r="AX308" t="s">
        <v>74</v>
      </c>
      <c r="AY308" t="s">
        <v>74</v>
      </c>
      <c r="AZ308" t="s">
        <v>74</v>
      </c>
      <c r="BA308" t="s">
        <v>74</v>
      </c>
      <c r="BB308" t="s">
        <v>74</v>
      </c>
      <c r="BC308" t="s">
        <v>74</v>
      </c>
      <c r="BD308">
        <v>87</v>
      </c>
      <c r="BE308" t="s">
        <v>6325</v>
      </c>
      <c r="BF308" t="str">
        <f>HYPERLINK("http://dx.doi.org/10.1186/s12984-025-01617-9","http://dx.doi.org/10.1186/s12984-025-01617-9")</f>
        <v>http://dx.doi.org/10.1186/s12984-025-01617-9</v>
      </c>
      <c r="BG308" t="s">
        <v>74</v>
      </c>
      <c r="BH308" t="s">
        <v>74</v>
      </c>
      <c r="BI308">
        <v>33</v>
      </c>
      <c r="BJ308" t="s">
        <v>611</v>
      </c>
      <c r="BK308" t="s">
        <v>182</v>
      </c>
      <c r="BL308" t="s">
        <v>612</v>
      </c>
      <c r="BM308" t="s">
        <v>6326</v>
      </c>
      <c r="BN308">
        <v>40253334</v>
      </c>
      <c r="BO308" t="s">
        <v>74</v>
      </c>
      <c r="BP308" t="s">
        <v>74</v>
      </c>
      <c r="BQ308" t="s">
        <v>74</v>
      </c>
      <c r="BR308" t="s">
        <v>105</v>
      </c>
      <c r="BS308" t="s">
        <v>6327</v>
      </c>
      <c r="BT308" t="str">
        <f>HYPERLINK("https%3A%2F%2Fwww.webofscience.com%2Fwos%2Fwoscc%2Ffull-record%2FWOS:001470001500003","View Full Record in Web of Science")</f>
        <v>View Full Record in Web of Science</v>
      </c>
    </row>
    <row r="309" spans="1:72" x14ac:dyDescent="0.25">
      <c r="A309" t="s">
        <v>72</v>
      </c>
      <c r="B309" t="s">
        <v>6328</v>
      </c>
      <c r="C309" t="s">
        <v>74</v>
      </c>
      <c r="D309" t="s">
        <v>74</v>
      </c>
      <c r="E309" t="s">
        <v>74</v>
      </c>
      <c r="F309" t="s">
        <v>6329</v>
      </c>
      <c r="G309" t="s">
        <v>74</v>
      </c>
      <c r="H309" t="s">
        <v>74</v>
      </c>
      <c r="I309" t="s">
        <v>6330</v>
      </c>
      <c r="J309" t="s">
        <v>6331</v>
      </c>
      <c r="K309" t="s">
        <v>74</v>
      </c>
      <c r="L309" t="s">
        <v>74</v>
      </c>
      <c r="M309" t="s">
        <v>78</v>
      </c>
      <c r="N309" t="s">
        <v>449</v>
      </c>
      <c r="O309" t="s">
        <v>74</v>
      </c>
      <c r="P309" t="s">
        <v>74</v>
      </c>
      <c r="Q309" t="s">
        <v>74</v>
      </c>
      <c r="R309" t="s">
        <v>74</v>
      </c>
      <c r="S309" t="s">
        <v>74</v>
      </c>
      <c r="T309" t="s">
        <v>6332</v>
      </c>
      <c r="U309" t="s">
        <v>6333</v>
      </c>
      <c r="V309" t="s">
        <v>6334</v>
      </c>
      <c r="W309" t="s">
        <v>6335</v>
      </c>
      <c r="X309" t="s">
        <v>6336</v>
      </c>
      <c r="Y309" t="s">
        <v>6337</v>
      </c>
      <c r="Z309" t="s">
        <v>6338</v>
      </c>
      <c r="AA309" t="s">
        <v>74</v>
      </c>
      <c r="AB309" t="s">
        <v>74</v>
      </c>
      <c r="AC309" t="s">
        <v>6339</v>
      </c>
      <c r="AD309" t="s">
        <v>6340</v>
      </c>
      <c r="AE309" t="s">
        <v>6341</v>
      </c>
      <c r="AF309" t="s">
        <v>74</v>
      </c>
      <c r="AG309">
        <v>76</v>
      </c>
      <c r="AH309">
        <v>0</v>
      </c>
      <c r="AI309">
        <v>0</v>
      </c>
      <c r="AJ309">
        <v>11</v>
      </c>
      <c r="AK309">
        <v>11</v>
      </c>
      <c r="AL309" t="s">
        <v>6342</v>
      </c>
      <c r="AM309" t="s">
        <v>1349</v>
      </c>
      <c r="AN309" t="s">
        <v>6343</v>
      </c>
      <c r="AO309" t="s">
        <v>6344</v>
      </c>
      <c r="AP309" t="s">
        <v>6345</v>
      </c>
      <c r="AQ309" t="s">
        <v>74</v>
      </c>
      <c r="AR309" t="s">
        <v>6346</v>
      </c>
      <c r="AS309" t="s">
        <v>6347</v>
      </c>
      <c r="AT309" t="s">
        <v>6348</v>
      </c>
      <c r="AU309">
        <v>2025</v>
      </c>
      <c r="AV309" t="s">
        <v>74</v>
      </c>
      <c r="AW309" t="s">
        <v>74</v>
      </c>
      <c r="AX309" t="s">
        <v>74</v>
      </c>
      <c r="AY309" t="s">
        <v>74</v>
      </c>
      <c r="AZ309" t="s">
        <v>74</v>
      </c>
      <c r="BA309" t="s">
        <v>74</v>
      </c>
      <c r="BB309" t="s">
        <v>74</v>
      </c>
      <c r="BC309" t="s">
        <v>74</v>
      </c>
      <c r="BD309" t="s">
        <v>74</v>
      </c>
      <c r="BE309" t="s">
        <v>6349</v>
      </c>
      <c r="BF309" t="str">
        <f>HYPERLINK("http://dx.doi.org/10.5582/bst.2025.01109","http://dx.doi.org/10.5582/bst.2025.01109")</f>
        <v>http://dx.doi.org/10.5582/bst.2025.01109</v>
      </c>
      <c r="BG309" t="s">
        <v>74</v>
      </c>
      <c r="BH309" t="s">
        <v>1612</v>
      </c>
      <c r="BI309">
        <v>9</v>
      </c>
      <c r="BJ309" t="s">
        <v>6350</v>
      </c>
      <c r="BK309" t="s">
        <v>182</v>
      </c>
      <c r="BL309" t="s">
        <v>6351</v>
      </c>
      <c r="BM309" t="s">
        <v>6352</v>
      </c>
      <c r="BN309">
        <v>40240152</v>
      </c>
      <c r="BO309" t="s">
        <v>74</v>
      </c>
      <c r="BP309" t="s">
        <v>74</v>
      </c>
      <c r="BQ309" t="s">
        <v>74</v>
      </c>
      <c r="BR309" t="s">
        <v>105</v>
      </c>
      <c r="BS309" t="s">
        <v>6353</v>
      </c>
      <c r="BT309" t="str">
        <f>HYPERLINK("https%3A%2F%2Fwww.webofscience.com%2Fwos%2Fwoscc%2Ffull-record%2FWOS:001472324400001","View Full Record in Web of Science")</f>
        <v>View Full Record in Web of Science</v>
      </c>
    </row>
    <row r="310" spans="1:72" x14ac:dyDescent="0.25">
      <c r="A310" t="s">
        <v>72</v>
      </c>
      <c r="B310" t="s">
        <v>6354</v>
      </c>
      <c r="C310" t="s">
        <v>74</v>
      </c>
      <c r="D310" t="s">
        <v>74</v>
      </c>
      <c r="E310" t="s">
        <v>74</v>
      </c>
      <c r="F310" t="s">
        <v>6355</v>
      </c>
      <c r="G310" t="s">
        <v>74</v>
      </c>
      <c r="H310" t="s">
        <v>74</v>
      </c>
      <c r="I310" t="s">
        <v>6356</v>
      </c>
      <c r="J310" t="s">
        <v>2543</v>
      </c>
      <c r="K310" t="s">
        <v>74</v>
      </c>
      <c r="L310" t="s">
        <v>74</v>
      </c>
      <c r="M310" t="s">
        <v>78</v>
      </c>
      <c r="N310" t="s">
        <v>79</v>
      </c>
      <c r="O310" t="s">
        <v>74</v>
      </c>
      <c r="P310" t="s">
        <v>74</v>
      </c>
      <c r="Q310" t="s">
        <v>74</v>
      </c>
      <c r="R310" t="s">
        <v>74</v>
      </c>
      <c r="S310" t="s">
        <v>74</v>
      </c>
      <c r="T310" t="s">
        <v>6357</v>
      </c>
      <c r="U310" t="s">
        <v>6358</v>
      </c>
      <c r="V310" t="s">
        <v>6359</v>
      </c>
      <c r="W310" t="s">
        <v>6360</v>
      </c>
      <c r="X310" t="s">
        <v>6361</v>
      </c>
      <c r="Y310" t="s">
        <v>6362</v>
      </c>
      <c r="Z310" t="s">
        <v>6363</v>
      </c>
      <c r="AA310" t="s">
        <v>74</v>
      </c>
      <c r="AB310" t="s">
        <v>6364</v>
      </c>
      <c r="AC310" t="s">
        <v>6365</v>
      </c>
      <c r="AD310" t="s">
        <v>1266</v>
      </c>
      <c r="AE310" t="s">
        <v>6366</v>
      </c>
      <c r="AF310" t="s">
        <v>74</v>
      </c>
      <c r="AG310">
        <v>152</v>
      </c>
      <c r="AH310">
        <v>0</v>
      </c>
      <c r="AI310">
        <v>0</v>
      </c>
      <c r="AJ310">
        <v>5</v>
      </c>
      <c r="AK310">
        <v>5</v>
      </c>
      <c r="AL310" t="s">
        <v>120</v>
      </c>
      <c r="AM310" t="s">
        <v>121</v>
      </c>
      <c r="AN310" t="s">
        <v>1221</v>
      </c>
      <c r="AO310" t="s">
        <v>74</v>
      </c>
      <c r="AP310" t="s">
        <v>2553</v>
      </c>
      <c r="AQ310" t="s">
        <v>74</v>
      </c>
      <c r="AR310" t="s">
        <v>2554</v>
      </c>
      <c r="AS310" t="s">
        <v>2555</v>
      </c>
      <c r="AT310" t="s">
        <v>6367</v>
      </c>
      <c r="AU310">
        <v>2025</v>
      </c>
      <c r="AV310">
        <v>15</v>
      </c>
      <c r="AW310">
        <v>4</v>
      </c>
      <c r="AX310" t="s">
        <v>74</v>
      </c>
      <c r="AY310" t="s">
        <v>74</v>
      </c>
      <c r="AZ310" t="s">
        <v>74</v>
      </c>
      <c r="BA310" t="s">
        <v>74</v>
      </c>
      <c r="BB310" t="s">
        <v>74</v>
      </c>
      <c r="BC310" t="s">
        <v>74</v>
      </c>
      <c r="BD310">
        <v>396</v>
      </c>
      <c r="BE310" t="s">
        <v>6368</v>
      </c>
      <c r="BF310" t="str">
        <f>HYPERLINK("http://dx.doi.org/10.3390/brainsci15040396","http://dx.doi.org/10.3390/brainsci15040396")</f>
        <v>http://dx.doi.org/10.3390/brainsci15040396</v>
      </c>
      <c r="BG310" t="s">
        <v>74</v>
      </c>
      <c r="BH310" t="s">
        <v>74</v>
      </c>
      <c r="BI310">
        <v>41</v>
      </c>
      <c r="BJ310" t="s">
        <v>374</v>
      </c>
      <c r="BK310" t="s">
        <v>182</v>
      </c>
      <c r="BL310" t="s">
        <v>375</v>
      </c>
      <c r="BM310" t="s">
        <v>6369</v>
      </c>
      <c r="BN310">
        <v>40309878</v>
      </c>
      <c r="BO310" t="s">
        <v>185</v>
      </c>
      <c r="BP310" t="s">
        <v>74</v>
      </c>
      <c r="BQ310" t="s">
        <v>74</v>
      </c>
      <c r="BR310" t="s">
        <v>105</v>
      </c>
      <c r="BS310" t="s">
        <v>6370</v>
      </c>
      <c r="BT310" t="str">
        <f>HYPERLINK("https%3A%2F%2Fwww.webofscience.com%2Fwos%2Fwoscc%2Ffull-record%2FWOS:001477304600001","View Full Record in Web of Science")</f>
        <v>View Full Record in Web of Science</v>
      </c>
    </row>
    <row r="311" spans="1:72" x14ac:dyDescent="0.25">
      <c r="A311" t="s">
        <v>72</v>
      </c>
      <c r="B311" t="s">
        <v>6371</v>
      </c>
      <c r="C311" t="s">
        <v>74</v>
      </c>
      <c r="D311" t="s">
        <v>74</v>
      </c>
      <c r="E311" t="s">
        <v>74</v>
      </c>
      <c r="F311" t="s">
        <v>6372</v>
      </c>
      <c r="G311" t="s">
        <v>74</v>
      </c>
      <c r="H311" t="s">
        <v>74</v>
      </c>
      <c r="I311" t="s">
        <v>6373</v>
      </c>
      <c r="J311" t="s">
        <v>2040</v>
      </c>
      <c r="K311" t="s">
        <v>74</v>
      </c>
      <c r="L311" t="s">
        <v>74</v>
      </c>
      <c r="M311" t="s">
        <v>78</v>
      </c>
      <c r="N311" t="s">
        <v>79</v>
      </c>
      <c r="O311" t="s">
        <v>74</v>
      </c>
      <c r="P311" t="s">
        <v>74</v>
      </c>
      <c r="Q311" t="s">
        <v>74</v>
      </c>
      <c r="R311" t="s">
        <v>74</v>
      </c>
      <c r="S311" t="s">
        <v>74</v>
      </c>
      <c r="T311" t="s">
        <v>6374</v>
      </c>
      <c r="U311" t="s">
        <v>6375</v>
      </c>
      <c r="V311" t="s">
        <v>6376</v>
      </c>
      <c r="W311" t="s">
        <v>6377</v>
      </c>
      <c r="X311" t="s">
        <v>74</v>
      </c>
      <c r="Y311" t="s">
        <v>6378</v>
      </c>
      <c r="Z311" t="s">
        <v>6379</v>
      </c>
      <c r="AA311" t="s">
        <v>6380</v>
      </c>
      <c r="AB311" t="s">
        <v>74</v>
      </c>
      <c r="AC311" t="s">
        <v>6381</v>
      </c>
      <c r="AD311" t="s">
        <v>6382</v>
      </c>
      <c r="AE311" t="s">
        <v>6383</v>
      </c>
      <c r="AF311" t="s">
        <v>74</v>
      </c>
      <c r="AG311">
        <v>115</v>
      </c>
      <c r="AH311">
        <v>0</v>
      </c>
      <c r="AI311">
        <v>0</v>
      </c>
      <c r="AJ311">
        <v>13</v>
      </c>
      <c r="AK311">
        <v>13</v>
      </c>
      <c r="AL311" t="s">
        <v>120</v>
      </c>
      <c r="AM311" t="s">
        <v>121</v>
      </c>
      <c r="AN311" t="s">
        <v>1221</v>
      </c>
      <c r="AO311" t="s">
        <v>74</v>
      </c>
      <c r="AP311" t="s">
        <v>2050</v>
      </c>
      <c r="AQ311" t="s">
        <v>74</v>
      </c>
      <c r="AR311" t="s">
        <v>2051</v>
      </c>
      <c r="AS311" t="s">
        <v>2052</v>
      </c>
      <c r="AT311" t="s">
        <v>6384</v>
      </c>
      <c r="AU311">
        <v>2025</v>
      </c>
      <c r="AV311">
        <v>25</v>
      </c>
      <c r="AW311">
        <v>8</v>
      </c>
      <c r="AX311" t="s">
        <v>74</v>
      </c>
      <c r="AY311" t="s">
        <v>74</v>
      </c>
      <c r="AZ311" t="s">
        <v>74</v>
      </c>
      <c r="BA311" t="s">
        <v>74</v>
      </c>
      <c r="BB311" t="s">
        <v>74</v>
      </c>
      <c r="BC311" t="s">
        <v>74</v>
      </c>
      <c r="BD311">
        <v>2448</v>
      </c>
      <c r="BE311" t="s">
        <v>6385</v>
      </c>
      <c r="BF311" t="str">
        <f>HYPERLINK("http://dx.doi.org/10.3390/s25082448","http://dx.doi.org/10.3390/s25082448")</f>
        <v>http://dx.doi.org/10.3390/s25082448</v>
      </c>
      <c r="BG311" t="s">
        <v>74</v>
      </c>
      <c r="BH311" t="s">
        <v>74</v>
      </c>
      <c r="BI311">
        <v>27</v>
      </c>
      <c r="BJ311" t="s">
        <v>2054</v>
      </c>
      <c r="BK311" t="s">
        <v>182</v>
      </c>
      <c r="BL311" t="s">
        <v>2055</v>
      </c>
      <c r="BM311" t="s">
        <v>6386</v>
      </c>
      <c r="BN311">
        <v>40285139</v>
      </c>
      <c r="BO311" t="s">
        <v>74</v>
      </c>
      <c r="BP311" t="s">
        <v>74</v>
      </c>
      <c r="BQ311" t="s">
        <v>74</v>
      </c>
      <c r="BR311" t="s">
        <v>105</v>
      </c>
      <c r="BS311" t="s">
        <v>6387</v>
      </c>
      <c r="BT311" t="str">
        <f>HYPERLINK("https%3A%2F%2Fwww.webofscience.com%2Fwos%2Fwoscc%2Ffull-record%2FWOS:001475772800001","View Full Record in Web of Science")</f>
        <v>View Full Record in Web of Science</v>
      </c>
    </row>
    <row r="312" spans="1:72" x14ac:dyDescent="0.25">
      <c r="A312" t="s">
        <v>72</v>
      </c>
      <c r="B312" t="s">
        <v>6388</v>
      </c>
      <c r="C312" t="s">
        <v>74</v>
      </c>
      <c r="D312" t="s">
        <v>74</v>
      </c>
      <c r="E312" t="s">
        <v>74</v>
      </c>
      <c r="F312" t="s">
        <v>6389</v>
      </c>
      <c r="G312" t="s">
        <v>74</v>
      </c>
      <c r="H312" t="s">
        <v>74</v>
      </c>
      <c r="I312" t="s">
        <v>6390</v>
      </c>
      <c r="J312" t="s">
        <v>406</v>
      </c>
      <c r="K312" t="s">
        <v>74</v>
      </c>
      <c r="L312" t="s">
        <v>74</v>
      </c>
      <c r="M312" t="s">
        <v>78</v>
      </c>
      <c r="N312" t="s">
        <v>79</v>
      </c>
      <c r="O312" t="s">
        <v>74</v>
      </c>
      <c r="P312" t="s">
        <v>74</v>
      </c>
      <c r="Q312" t="s">
        <v>74</v>
      </c>
      <c r="R312" t="s">
        <v>74</v>
      </c>
      <c r="S312" t="s">
        <v>74</v>
      </c>
      <c r="T312" t="s">
        <v>6391</v>
      </c>
      <c r="U312" t="s">
        <v>6392</v>
      </c>
      <c r="V312" t="s">
        <v>6393</v>
      </c>
      <c r="W312" t="s">
        <v>6394</v>
      </c>
      <c r="X312" t="s">
        <v>6395</v>
      </c>
      <c r="Y312" t="s">
        <v>6396</v>
      </c>
      <c r="Z312" t="s">
        <v>6397</v>
      </c>
      <c r="AA312" t="s">
        <v>6398</v>
      </c>
      <c r="AB312" t="s">
        <v>6399</v>
      </c>
      <c r="AC312" t="s">
        <v>6400</v>
      </c>
      <c r="AD312" t="s">
        <v>6401</v>
      </c>
      <c r="AE312" t="s">
        <v>6402</v>
      </c>
      <c r="AF312" t="s">
        <v>74</v>
      </c>
      <c r="AG312">
        <v>58</v>
      </c>
      <c r="AH312">
        <v>0</v>
      </c>
      <c r="AI312">
        <v>0</v>
      </c>
      <c r="AJ312">
        <v>2</v>
      </c>
      <c r="AK312">
        <v>2</v>
      </c>
      <c r="AL312" t="s">
        <v>120</v>
      </c>
      <c r="AM312" t="s">
        <v>121</v>
      </c>
      <c r="AN312" t="s">
        <v>1221</v>
      </c>
      <c r="AO312" t="s">
        <v>74</v>
      </c>
      <c r="AP312" t="s">
        <v>417</v>
      </c>
      <c r="AQ312" t="s">
        <v>74</v>
      </c>
      <c r="AR312" t="s">
        <v>418</v>
      </c>
      <c r="AS312" t="s">
        <v>419</v>
      </c>
      <c r="AT312" t="s">
        <v>6403</v>
      </c>
      <c r="AU312">
        <v>2025</v>
      </c>
      <c r="AV312">
        <v>13</v>
      </c>
      <c r="AW312">
        <v>7</v>
      </c>
      <c r="AX312" t="s">
        <v>74</v>
      </c>
      <c r="AY312" t="s">
        <v>74</v>
      </c>
      <c r="AZ312" t="s">
        <v>74</v>
      </c>
      <c r="BA312" t="s">
        <v>74</v>
      </c>
      <c r="BB312" t="s">
        <v>74</v>
      </c>
      <c r="BC312" t="s">
        <v>74</v>
      </c>
      <c r="BD312">
        <v>828</v>
      </c>
      <c r="BE312" t="s">
        <v>6404</v>
      </c>
      <c r="BF312" t="str">
        <f>HYPERLINK("http://dx.doi.org/10.3390/healthcare13070828","http://dx.doi.org/10.3390/healthcare13070828")</f>
        <v>http://dx.doi.org/10.3390/healthcare13070828</v>
      </c>
      <c r="BG312" t="s">
        <v>74</v>
      </c>
      <c r="BH312" t="s">
        <v>74</v>
      </c>
      <c r="BI312">
        <v>19</v>
      </c>
      <c r="BJ312" t="s">
        <v>422</v>
      </c>
      <c r="BK312" t="s">
        <v>102</v>
      </c>
      <c r="BL312" t="s">
        <v>423</v>
      </c>
      <c r="BM312" t="s">
        <v>6405</v>
      </c>
      <c r="BN312">
        <v>40218126</v>
      </c>
      <c r="BO312" t="s">
        <v>74</v>
      </c>
      <c r="BP312" t="s">
        <v>74</v>
      </c>
      <c r="BQ312" t="s">
        <v>74</v>
      </c>
      <c r="BR312" t="s">
        <v>105</v>
      </c>
      <c r="BS312" t="s">
        <v>6406</v>
      </c>
      <c r="BT312" t="str">
        <f>HYPERLINK("https%3A%2F%2Fwww.webofscience.com%2Fwos%2Fwoscc%2Ffull-record%2FWOS:001463724000001","View Full Record in Web of Science")</f>
        <v>View Full Record in Web of Science</v>
      </c>
    </row>
    <row r="313" spans="1:72" x14ac:dyDescent="0.25">
      <c r="A313" t="s">
        <v>72</v>
      </c>
      <c r="B313" t="s">
        <v>6407</v>
      </c>
      <c r="C313" t="s">
        <v>74</v>
      </c>
      <c r="D313" t="s">
        <v>74</v>
      </c>
      <c r="E313" t="s">
        <v>74</v>
      </c>
      <c r="F313" t="s">
        <v>6408</v>
      </c>
      <c r="G313" t="s">
        <v>74</v>
      </c>
      <c r="H313" t="s">
        <v>74</v>
      </c>
      <c r="I313" t="s">
        <v>6409</v>
      </c>
      <c r="J313" t="s">
        <v>6410</v>
      </c>
      <c r="K313" t="s">
        <v>74</v>
      </c>
      <c r="L313" t="s">
        <v>74</v>
      </c>
      <c r="M313" t="s">
        <v>78</v>
      </c>
      <c r="N313" t="s">
        <v>79</v>
      </c>
      <c r="O313" t="s">
        <v>74</v>
      </c>
      <c r="P313" t="s">
        <v>74</v>
      </c>
      <c r="Q313" t="s">
        <v>74</v>
      </c>
      <c r="R313" t="s">
        <v>74</v>
      </c>
      <c r="S313" t="s">
        <v>74</v>
      </c>
      <c r="T313" t="s">
        <v>6411</v>
      </c>
      <c r="U313" t="s">
        <v>6412</v>
      </c>
      <c r="V313" t="s">
        <v>6413</v>
      </c>
      <c r="W313" t="s">
        <v>6414</v>
      </c>
      <c r="X313" t="s">
        <v>6415</v>
      </c>
      <c r="Y313" t="s">
        <v>6416</v>
      </c>
      <c r="Z313" t="s">
        <v>6417</v>
      </c>
      <c r="AA313" t="s">
        <v>6418</v>
      </c>
      <c r="AB313" t="s">
        <v>74</v>
      </c>
      <c r="AC313" t="s">
        <v>74</v>
      </c>
      <c r="AD313" t="s">
        <v>74</v>
      </c>
      <c r="AE313" t="s">
        <v>74</v>
      </c>
      <c r="AF313" t="s">
        <v>74</v>
      </c>
      <c r="AG313">
        <v>31</v>
      </c>
      <c r="AH313">
        <v>1</v>
      </c>
      <c r="AI313">
        <v>1</v>
      </c>
      <c r="AJ313">
        <v>1</v>
      </c>
      <c r="AK313">
        <v>1</v>
      </c>
      <c r="AL313" t="s">
        <v>6410</v>
      </c>
      <c r="AM313" t="s">
        <v>6419</v>
      </c>
      <c r="AN313" t="s">
        <v>6420</v>
      </c>
      <c r="AO313" t="s">
        <v>6421</v>
      </c>
      <c r="AP313" t="s">
        <v>6422</v>
      </c>
      <c r="AQ313" t="s">
        <v>74</v>
      </c>
      <c r="AR313" t="s">
        <v>6423</v>
      </c>
      <c r="AS313" t="s">
        <v>6424</v>
      </c>
      <c r="AT313" t="s">
        <v>487</v>
      </c>
      <c r="AU313">
        <v>2025</v>
      </c>
      <c r="AV313">
        <v>29</v>
      </c>
      <c r="AW313">
        <v>2</v>
      </c>
      <c r="AX313" t="s">
        <v>74</v>
      </c>
      <c r="AY313" t="s">
        <v>74</v>
      </c>
      <c r="AZ313" t="s">
        <v>74</v>
      </c>
      <c r="BA313" t="s">
        <v>74</v>
      </c>
      <c r="BB313" t="s">
        <v>74</v>
      </c>
      <c r="BC313" t="s">
        <v>74</v>
      </c>
      <c r="BD313" t="s">
        <v>74</v>
      </c>
      <c r="BE313" t="s">
        <v>6425</v>
      </c>
      <c r="BF313" t="str">
        <f>HYPERLINK("http://dx.doi.org/10.35975/apic.v29i2.2723","http://dx.doi.org/10.35975/apic.v29i2.2723")</f>
        <v>http://dx.doi.org/10.35975/apic.v29i2.2723</v>
      </c>
      <c r="BG313" t="s">
        <v>74</v>
      </c>
      <c r="BH313" t="s">
        <v>74</v>
      </c>
      <c r="BI313">
        <v>7</v>
      </c>
      <c r="BJ313" t="s">
        <v>6426</v>
      </c>
      <c r="BK313" t="s">
        <v>155</v>
      </c>
      <c r="BL313" t="s">
        <v>6426</v>
      </c>
      <c r="BM313" t="s">
        <v>6427</v>
      </c>
      <c r="BN313" t="s">
        <v>74</v>
      </c>
      <c r="BO313" t="s">
        <v>74</v>
      </c>
      <c r="BP313" t="s">
        <v>74</v>
      </c>
      <c r="BQ313" t="s">
        <v>74</v>
      </c>
      <c r="BR313" t="s">
        <v>105</v>
      </c>
      <c r="BS313" t="s">
        <v>6428</v>
      </c>
      <c r="BT313" t="str">
        <f>HYPERLINK("https%3A%2F%2Fwww.webofscience.com%2Fwos%2Fwoscc%2Ffull-record%2FWOS:001473716100026","View Full Record in Web of Science")</f>
        <v>View Full Record in Web of Science</v>
      </c>
    </row>
    <row r="314" spans="1:72" x14ac:dyDescent="0.25">
      <c r="A314" t="s">
        <v>72</v>
      </c>
      <c r="B314" t="s">
        <v>6429</v>
      </c>
      <c r="C314" t="s">
        <v>74</v>
      </c>
      <c r="D314" t="s">
        <v>74</v>
      </c>
      <c r="E314" t="s">
        <v>74</v>
      </c>
      <c r="F314" t="s">
        <v>6430</v>
      </c>
      <c r="G314" t="s">
        <v>74</v>
      </c>
      <c r="H314" t="s">
        <v>74</v>
      </c>
      <c r="I314" t="s">
        <v>6431</v>
      </c>
      <c r="J314" t="s">
        <v>6432</v>
      </c>
      <c r="K314" t="s">
        <v>74</v>
      </c>
      <c r="L314" t="s">
        <v>74</v>
      </c>
      <c r="M314" t="s">
        <v>78</v>
      </c>
      <c r="N314" t="s">
        <v>449</v>
      </c>
      <c r="O314" t="s">
        <v>74</v>
      </c>
      <c r="P314" t="s">
        <v>74</v>
      </c>
      <c r="Q314" t="s">
        <v>74</v>
      </c>
      <c r="R314" t="s">
        <v>74</v>
      </c>
      <c r="S314" t="s">
        <v>74</v>
      </c>
      <c r="T314" t="s">
        <v>6433</v>
      </c>
      <c r="U314" t="s">
        <v>6434</v>
      </c>
      <c r="V314" t="s">
        <v>6435</v>
      </c>
      <c r="W314" t="s">
        <v>6436</v>
      </c>
      <c r="X314" t="s">
        <v>6437</v>
      </c>
      <c r="Y314" t="s">
        <v>6438</v>
      </c>
      <c r="Z314" t="s">
        <v>6439</v>
      </c>
      <c r="AA314" t="s">
        <v>74</v>
      </c>
      <c r="AB314" t="s">
        <v>74</v>
      </c>
      <c r="AC314" t="s">
        <v>6440</v>
      </c>
      <c r="AD314" t="s">
        <v>6441</v>
      </c>
      <c r="AE314" t="s">
        <v>6442</v>
      </c>
      <c r="AF314" t="s">
        <v>74</v>
      </c>
      <c r="AG314">
        <v>145</v>
      </c>
      <c r="AH314">
        <v>0</v>
      </c>
      <c r="AI314">
        <v>0</v>
      </c>
      <c r="AJ314">
        <v>4</v>
      </c>
      <c r="AK314">
        <v>4</v>
      </c>
      <c r="AL314" t="s">
        <v>6443</v>
      </c>
      <c r="AM314" t="s">
        <v>4114</v>
      </c>
      <c r="AN314" t="s">
        <v>6444</v>
      </c>
      <c r="AO314" t="s">
        <v>6445</v>
      </c>
      <c r="AP314" t="s">
        <v>6446</v>
      </c>
      <c r="AQ314" t="s">
        <v>74</v>
      </c>
      <c r="AR314" t="s">
        <v>6447</v>
      </c>
      <c r="AS314" t="s">
        <v>6448</v>
      </c>
      <c r="AT314" t="s">
        <v>6449</v>
      </c>
      <c r="AU314">
        <v>2025</v>
      </c>
      <c r="AV314" t="s">
        <v>74</v>
      </c>
      <c r="AW314" t="s">
        <v>74</v>
      </c>
      <c r="AX314" t="s">
        <v>74</v>
      </c>
      <c r="AY314" t="s">
        <v>74</v>
      </c>
      <c r="AZ314" t="s">
        <v>74</v>
      </c>
      <c r="BA314" t="s">
        <v>74</v>
      </c>
      <c r="BB314" t="s">
        <v>74</v>
      </c>
      <c r="BC314" t="s">
        <v>74</v>
      </c>
      <c r="BD314" t="s">
        <v>74</v>
      </c>
      <c r="BE314" t="s">
        <v>6450</v>
      </c>
      <c r="BF314" t="str">
        <f>HYPERLINK("http://dx.doi.org/10.1192/bjp.2025.11","http://dx.doi.org/10.1192/bjp.2025.11")</f>
        <v>http://dx.doi.org/10.1192/bjp.2025.11</v>
      </c>
      <c r="BG314" t="s">
        <v>74</v>
      </c>
      <c r="BH314" t="s">
        <v>1612</v>
      </c>
      <c r="BI314">
        <v>13</v>
      </c>
      <c r="BJ314" t="s">
        <v>4751</v>
      </c>
      <c r="BK314" t="s">
        <v>102</v>
      </c>
      <c r="BL314" t="s">
        <v>4751</v>
      </c>
      <c r="BM314" t="s">
        <v>6451</v>
      </c>
      <c r="BN314">
        <v>40166965</v>
      </c>
      <c r="BO314" t="s">
        <v>74</v>
      </c>
      <c r="BP314" t="s">
        <v>74</v>
      </c>
      <c r="BQ314" t="s">
        <v>74</v>
      </c>
      <c r="BR314" t="s">
        <v>105</v>
      </c>
      <c r="BS314" t="s">
        <v>6452</v>
      </c>
      <c r="BT314" t="str">
        <f>HYPERLINK("https%3A%2F%2Fwww.webofscience.com%2Fwos%2Fwoscc%2Ffull-record%2FWOS:001456370200001","View Full Record in Web of Science")</f>
        <v>View Full Record in Web of Science</v>
      </c>
    </row>
    <row r="315" spans="1:72" x14ac:dyDescent="0.25">
      <c r="A315" t="s">
        <v>72</v>
      </c>
      <c r="B315" t="s">
        <v>6453</v>
      </c>
      <c r="C315" t="s">
        <v>74</v>
      </c>
      <c r="D315" t="s">
        <v>74</v>
      </c>
      <c r="E315" t="s">
        <v>74</v>
      </c>
      <c r="F315" t="s">
        <v>6454</v>
      </c>
      <c r="G315" t="s">
        <v>74</v>
      </c>
      <c r="H315" t="s">
        <v>74</v>
      </c>
      <c r="I315" t="s">
        <v>6455</v>
      </c>
      <c r="J315" t="s">
        <v>6456</v>
      </c>
      <c r="K315" t="s">
        <v>74</v>
      </c>
      <c r="L315" t="s">
        <v>74</v>
      </c>
      <c r="M315" t="s">
        <v>78</v>
      </c>
      <c r="N315" t="s">
        <v>79</v>
      </c>
      <c r="O315" t="s">
        <v>74</v>
      </c>
      <c r="P315" t="s">
        <v>74</v>
      </c>
      <c r="Q315" t="s">
        <v>74</v>
      </c>
      <c r="R315" t="s">
        <v>74</v>
      </c>
      <c r="S315" t="s">
        <v>74</v>
      </c>
      <c r="T315" t="s">
        <v>6457</v>
      </c>
      <c r="U315" t="s">
        <v>6458</v>
      </c>
      <c r="V315" t="s">
        <v>6459</v>
      </c>
      <c r="W315" t="s">
        <v>6460</v>
      </c>
      <c r="X315" t="s">
        <v>6461</v>
      </c>
      <c r="Y315" t="s">
        <v>6462</v>
      </c>
      <c r="Z315" t="s">
        <v>6463</v>
      </c>
      <c r="AA315" t="s">
        <v>6464</v>
      </c>
      <c r="AB315" t="s">
        <v>6465</v>
      </c>
      <c r="AC315" t="s">
        <v>6466</v>
      </c>
      <c r="AD315" t="s">
        <v>6467</v>
      </c>
      <c r="AE315" t="s">
        <v>6468</v>
      </c>
      <c r="AF315" t="s">
        <v>74</v>
      </c>
      <c r="AG315">
        <v>145</v>
      </c>
      <c r="AH315">
        <v>0</v>
      </c>
      <c r="AI315">
        <v>0</v>
      </c>
      <c r="AJ315">
        <v>8</v>
      </c>
      <c r="AK315">
        <v>8</v>
      </c>
      <c r="AL315" t="s">
        <v>120</v>
      </c>
      <c r="AM315" t="s">
        <v>121</v>
      </c>
      <c r="AN315" t="s">
        <v>1221</v>
      </c>
      <c r="AO315" t="s">
        <v>74</v>
      </c>
      <c r="AP315" t="s">
        <v>6469</v>
      </c>
      <c r="AQ315" t="s">
        <v>74</v>
      </c>
      <c r="AR315" t="s">
        <v>6470</v>
      </c>
      <c r="AS315" t="s">
        <v>6471</v>
      </c>
      <c r="AT315" t="s">
        <v>6472</v>
      </c>
      <c r="AU315">
        <v>2025</v>
      </c>
      <c r="AV315">
        <v>10</v>
      </c>
      <c r="AW315">
        <v>4</v>
      </c>
      <c r="AX315" t="s">
        <v>74</v>
      </c>
      <c r="AY315" t="s">
        <v>74</v>
      </c>
      <c r="AZ315" t="s">
        <v>74</v>
      </c>
      <c r="BA315" t="s">
        <v>74</v>
      </c>
      <c r="BB315" t="s">
        <v>74</v>
      </c>
      <c r="BC315" t="s">
        <v>74</v>
      </c>
      <c r="BD315">
        <v>214</v>
      </c>
      <c r="BE315" t="s">
        <v>6473</v>
      </c>
      <c r="BF315" t="str">
        <f>HYPERLINK("http://dx.doi.org/10.3390/biomimetics10040214","http://dx.doi.org/10.3390/biomimetics10040214")</f>
        <v>http://dx.doi.org/10.3390/biomimetics10040214</v>
      </c>
      <c r="BG315" t="s">
        <v>74</v>
      </c>
      <c r="BH315" t="s">
        <v>74</v>
      </c>
      <c r="BI315">
        <v>24</v>
      </c>
      <c r="BJ315" t="s">
        <v>6474</v>
      </c>
      <c r="BK315" t="s">
        <v>182</v>
      </c>
      <c r="BL315" t="s">
        <v>4232</v>
      </c>
      <c r="BM315" t="s">
        <v>6475</v>
      </c>
      <c r="BN315">
        <v>40277613</v>
      </c>
      <c r="BO315" t="s">
        <v>185</v>
      </c>
      <c r="BP315" t="s">
        <v>74</v>
      </c>
      <c r="BQ315" t="s">
        <v>74</v>
      </c>
      <c r="BR315" t="s">
        <v>105</v>
      </c>
      <c r="BS315" t="s">
        <v>6476</v>
      </c>
      <c r="BT315" t="str">
        <f>HYPERLINK("https%3A%2F%2Fwww.webofscience.com%2Fwos%2Fwoscc%2Ffull-record%2FWOS:001477307000001","View Full Record in Web of Science")</f>
        <v>View Full Record in Web of Science</v>
      </c>
    </row>
    <row r="316" spans="1:72" x14ac:dyDescent="0.25">
      <c r="A316" t="s">
        <v>72</v>
      </c>
      <c r="B316" t="s">
        <v>6477</v>
      </c>
      <c r="C316" t="s">
        <v>74</v>
      </c>
      <c r="D316" t="s">
        <v>74</v>
      </c>
      <c r="E316" t="s">
        <v>74</v>
      </c>
      <c r="F316" t="s">
        <v>6478</v>
      </c>
      <c r="G316" t="s">
        <v>74</v>
      </c>
      <c r="H316" t="s">
        <v>74</v>
      </c>
      <c r="I316" t="s">
        <v>6479</v>
      </c>
      <c r="J316" t="s">
        <v>382</v>
      </c>
      <c r="K316" t="s">
        <v>74</v>
      </c>
      <c r="L316" t="s">
        <v>74</v>
      </c>
      <c r="M316" t="s">
        <v>78</v>
      </c>
      <c r="N316" t="s">
        <v>79</v>
      </c>
      <c r="O316" t="s">
        <v>74</v>
      </c>
      <c r="P316" t="s">
        <v>74</v>
      </c>
      <c r="Q316" t="s">
        <v>74</v>
      </c>
      <c r="R316" t="s">
        <v>74</v>
      </c>
      <c r="S316" t="s">
        <v>74</v>
      </c>
      <c r="T316" t="s">
        <v>6480</v>
      </c>
      <c r="U316" t="s">
        <v>6481</v>
      </c>
      <c r="V316" t="s">
        <v>6482</v>
      </c>
      <c r="W316" t="s">
        <v>6483</v>
      </c>
      <c r="X316" t="s">
        <v>6484</v>
      </c>
      <c r="Y316" t="s">
        <v>6485</v>
      </c>
      <c r="Z316" t="s">
        <v>6486</v>
      </c>
      <c r="AA316" t="s">
        <v>74</v>
      </c>
      <c r="AB316" t="s">
        <v>74</v>
      </c>
      <c r="AC316" t="s">
        <v>6487</v>
      </c>
      <c r="AD316" t="s">
        <v>6487</v>
      </c>
      <c r="AE316" t="s">
        <v>6488</v>
      </c>
      <c r="AF316" t="s">
        <v>74</v>
      </c>
      <c r="AG316">
        <v>80</v>
      </c>
      <c r="AH316">
        <v>1</v>
      </c>
      <c r="AI316">
        <v>1</v>
      </c>
      <c r="AJ316">
        <v>9</v>
      </c>
      <c r="AK316">
        <v>9</v>
      </c>
      <c r="AL316" t="s">
        <v>392</v>
      </c>
      <c r="AM316" t="s">
        <v>393</v>
      </c>
      <c r="AN316" t="s">
        <v>394</v>
      </c>
      <c r="AO316" t="s">
        <v>395</v>
      </c>
      <c r="AP316" t="s">
        <v>74</v>
      </c>
      <c r="AQ316" t="s">
        <v>74</v>
      </c>
      <c r="AR316" t="s">
        <v>396</v>
      </c>
      <c r="AS316" t="s">
        <v>397</v>
      </c>
      <c r="AT316" t="s">
        <v>6489</v>
      </c>
      <c r="AU316">
        <v>2025</v>
      </c>
      <c r="AV316">
        <v>16</v>
      </c>
      <c r="AW316" t="s">
        <v>74</v>
      </c>
      <c r="AX316" t="s">
        <v>74</v>
      </c>
      <c r="AY316" t="s">
        <v>74</v>
      </c>
      <c r="AZ316" t="s">
        <v>74</v>
      </c>
      <c r="BA316" t="s">
        <v>74</v>
      </c>
      <c r="BB316" t="s">
        <v>74</v>
      </c>
      <c r="BC316" t="s">
        <v>74</v>
      </c>
      <c r="BD316">
        <v>1555990</v>
      </c>
      <c r="BE316" t="s">
        <v>6490</v>
      </c>
      <c r="BF316" t="str">
        <f>HYPERLINK("http://dx.doi.org/10.3389/fneur.2025.1555990","http://dx.doi.org/10.3389/fneur.2025.1555990")</f>
        <v>http://dx.doi.org/10.3389/fneur.2025.1555990</v>
      </c>
      <c r="BG316" t="s">
        <v>74</v>
      </c>
      <c r="BH316" t="s">
        <v>74</v>
      </c>
      <c r="BI316">
        <v>13</v>
      </c>
      <c r="BJ316" t="s">
        <v>400</v>
      </c>
      <c r="BK316" t="s">
        <v>182</v>
      </c>
      <c r="BL316" t="s">
        <v>375</v>
      </c>
      <c r="BM316" t="s">
        <v>6491</v>
      </c>
      <c r="BN316">
        <v>40224310</v>
      </c>
      <c r="BO316" t="s">
        <v>185</v>
      </c>
      <c r="BP316" t="s">
        <v>74</v>
      </c>
      <c r="BQ316" t="s">
        <v>74</v>
      </c>
      <c r="BR316" t="s">
        <v>105</v>
      </c>
      <c r="BS316" t="s">
        <v>6492</v>
      </c>
      <c r="BT316" t="str">
        <f>HYPERLINK("https%3A%2F%2Fwww.webofscience.com%2Fwos%2Fwoscc%2Ffull-record%2FWOS:001463366400001","View Full Record in Web of Science")</f>
        <v>View Full Record in Web of Science</v>
      </c>
    </row>
    <row r="317" spans="1:72" x14ac:dyDescent="0.25">
      <c r="A317" t="s">
        <v>72</v>
      </c>
      <c r="B317" t="s">
        <v>6493</v>
      </c>
      <c r="C317" t="s">
        <v>74</v>
      </c>
      <c r="D317" t="s">
        <v>74</v>
      </c>
      <c r="E317" t="s">
        <v>74</v>
      </c>
      <c r="F317" t="s">
        <v>6494</v>
      </c>
      <c r="G317" t="s">
        <v>74</v>
      </c>
      <c r="H317" t="s">
        <v>74</v>
      </c>
      <c r="I317" t="s">
        <v>6495</v>
      </c>
      <c r="J317" t="s">
        <v>110</v>
      </c>
      <c r="K317" t="s">
        <v>74</v>
      </c>
      <c r="L317" t="s">
        <v>74</v>
      </c>
      <c r="M317" t="s">
        <v>78</v>
      </c>
      <c r="N317" t="s">
        <v>79</v>
      </c>
      <c r="O317" t="s">
        <v>74</v>
      </c>
      <c r="P317" t="s">
        <v>74</v>
      </c>
      <c r="Q317" t="s">
        <v>74</v>
      </c>
      <c r="R317" t="s">
        <v>74</v>
      </c>
      <c r="S317" t="s">
        <v>74</v>
      </c>
      <c r="T317" t="s">
        <v>6496</v>
      </c>
      <c r="U317" t="s">
        <v>6497</v>
      </c>
      <c r="V317" t="s">
        <v>6498</v>
      </c>
      <c r="W317" t="s">
        <v>6499</v>
      </c>
      <c r="X317" t="s">
        <v>6500</v>
      </c>
      <c r="Y317" t="s">
        <v>6501</v>
      </c>
      <c r="Z317" t="s">
        <v>6502</v>
      </c>
      <c r="AA317" t="s">
        <v>6503</v>
      </c>
      <c r="AB317" t="s">
        <v>6504</v>
      </c>
      <c r="AC317" t="s">
        <v>6505</v>
      </c>
      <c r="AD317" t="s">
        <v>6505</v>
      </c>
      <c r="AE317" t="s">
        <v>6506</v>
      </c>
      <c r="AF317" t="s">
        <v>74</v>
      </c>
      <c r="AG317">
        <v>243</v>
      </c>
      <c r="AH317">
        <v>0</v>
      </c>
      <c r="AI317">
        <v>0</v>
      </c>
      <c r="AJ317">
        <v>2</v>
      </c>
      <c r="AK317">
        <v>2</v>
      </c>
      <c r="AL317" t="s">
        <v>120</v>
      </c>
      <c r="AM317" t="s">
        <v>121</v>
      </c>
      <c r="AN317" t="s">
        <v>1221</v>
      </c>
      <c r="AO317" t="s">
        <v>74</v>
      </c>
      <c r="AP317" t="s">
        <v>123</v>
      </c>
      <c r="AQ317" t="s">
        <v>74</v>
      </c>
      <c r="AR317" t="s">
        <v>124</v>
      </c>
      <c r="AS317" t="s">
        <v>125</v>
      </c>
      <c r="AT317" t="s">
        <v>6507</v>
      </c>
      <c r="AU317">
        <v>2025</v>
      </c>
      <c r="AV317">
        <v>14</v>
      </c>
      <c r="AW317">
        <v>7</v>
      </c>
      <c r="AX317" t="s">
        <v>74</v>
      </c>
      <c r="AY317" t="s">
        <v>74</v>
      </c>
      <c r="AZ317" t="s">
        <v>74</v>
      </c>
      <c r="BA317" t="s">
        <v>74</v>
      </c>
      <c r="BB317" t="s">
        <v>74</v>
      </c>
      <c r="BC317" t="s">
        <v>74</v>
      </c>
      <c r="BD317">
        <v>2203</v>
      </c>
      <c r="BE317" t="s">
        <v>6508</v>
      </c>
      <c r="BF317" t="str">
        <f>HYPERLINK("http://dx.doi.org/10.3390/jcm14072203","http://dx.doi.org/10.3390/jcm14072203")</f>
        <v>http://dx.doi.org/10.3390/jcm14072203</v>
      </c>
      <c r="BG317" t="s">
        <v>74</v>
      </c>
      <c r="BH317" t="s">
        <v>74</v>
      </c>
      <c r="BI317">
        <v>41</v>
      </c>
      <c r="BJ317" t="s">
        <v>128</v>
      </c>
      <c r="BK317" t="s">
        <v>182</v>
      </c>
      <c r="BL317" t="s">
        <v>129</v>
      </c>
      <c r="BM317" t="s">
        <v>6509</v>
      </c>
      <c r="BN317">
        <v>40217653</v>
      </c>
      <c r="BO317" t="s">
        <v>185</v>
      </c>
      <c r="BP317" t="s">
        <v>74</v>
      </c>
      <c r="BQ317" t="s">
        <v>74</v>
      </c>
      <c r="BR317" t="s">
        <v>105</v>
      </c>
      <c r="BS317" t="s">
        <v>6510</v>
      </c>
      <c r="BT317" t="str">
        <f>HYPERLINK("https%3A%2F%2Fwww.webofscience.com%2Fwos%2Fwoscc%2Ffull-record%2FWOS:001463579300001","View Full Record in Web of Science")</f>
        <v>View Full Record in Web of Science</v>
      </c>
    </row>
    <row r="318" spans="1:72" x14ac:dyDescent="0.25">
      <c r="A318" t="s">
        <v>72</v>
      </c>
      <c r="B318" t="s">
        <v>6511</v>
      </c>
      <c r="C318" t="s">
        <v>74</v>
      </c>
      <c r="D318" t="s">
        <v>74</v>
      </c>
      <c r="E318" t="s">
        <v>74</v>
      </c>
      <c r="F318" t="s">
        <v>6512</v>
      </c>
      <c r="G318" t="s">
        <v>74</v>
      </c>
      <c r="H318" t="s">
        <v>74</v>
      </c>
      <c r="I318" t="s">
        <v>6513</v>
      </c>
      <c r="J318" t="s">
        <v>6514</v>
      </c>
      <c r="K318" t="s">
        <v>74</v>
      </c>
      <c r="L318" t="s">
        <v>74</v>
      </c>
      <c r="M318" t="s">
        <v>78</v>
      </c>
      <c r="N318" t="s">
        <v>79</v>
      </c>
      <c r="O318" t="s">
        <v>74</v>
      </c>
      <c r="P318" t="s">
        <v>74</v>
      </c>
      <c r="Q318" t="s">
        <v>74</v>
      </c>
      <c r="R318" t="s">
        <v>74</v>
      </c>
      <c r="S318" t="s">
        <v>74</v>
      </c>
      <c r="T318" t="s">
        <v>6515</v>
      </c>
      <c r="U318" t="s">
        <v>6516</v>
      </c>
      <c r="V318" t="s">
        <v>6517</v>
      </c>
      <c r="W318" t="s">
        <v>6518</v>
      </c>
      <c r="X318" t="s">
        <v>6519</v>
      </c>
      <c r="Y318" t="s">
        <v>6520</v>
      </c>
      <c r="Z318" t="s">
        <v>6521</v>
      </c>
      <c r="AA318" t="s">
        <v>6522</v>
      </c>
      <c r="AB318" t="s">
        <v>74</v>
      </c>
      <c r="AC318" t="s">
        <v>6523</v>
      </c>
      <c r="AD318" t="s">
        <v>6523</v>
      </c>
      <c r="AE318" t="s">
        <v>6524</v>
      </c>
      <c r="AF318" t="s">
        <v>74</v>
      </c>
      <c r="AG318">
        <v>90</v>
      </c>
      <c r="AH318">
        <v>0</v>
      </c>
      <c r="AI318">
        <v>0</v>
      </c>
      <c r="AJ318">
        <v>6</v>
      </c>
      <c r="AK318">
        <v>6</v>
      </c>
      <c r="AL318" t="s">
        <v>120</v>
      </c>
      <c r="AM318" t="s">
        <v>121</v>
      </c>
      <c r="AN318" t="s">
        <v>1221</v>
      </c>
      <c r="AO318" t="s">
        <v>74</v>
      </c>
      <c r="AP318" t="s">
        <v>6525</v>
      </c>
      <c r="AQ318" t="s">
        <v>74</v>
      </c>
      <c r="AR318" t="s">
        <v>6514</v>
      </c>
      <c r="AS318" t="s">
        <v>6526</v>
      </c>
      <c r="AT318" t="s">
        <v>6527</v>
      </c>
      <c r="AU318">
        <v>2025</v>
      </c>
      <c r="AV318">
        <v>15</v>
      </c>
      <c r="AW318">
        <v>3</v>
      </c>
      <c r="AX318" t="s">
        <v>74</v>
      </c>
      <c r="AY318" t="s">
        <v>74</v>
      </c>
      <c r="AZ318" t="s">
        <v>74</v>
      </c>
      <c r="BA318" t="s">
        <v>74</v>
      </c>
      <c r="BB318" t="s">
        <v>74</v>
      </c>
      <c r="BC318" t="s">
        <v>74</v>
      </c>
      <c r="BD318">
        <v>503</v>
      </c>
      <c r="BE318" t="s">
        <v>6528</v>
      </c>
      <c r="BF318" t="str">
        <f>HYPERLINK("http://dx.doi.org/10.3390/life15030503","http://dx.doi.org/10.3390/life15030503")</f>
        <v>http://dx.doi.org/10.3390/life15030503</v>
      </c>
      <c r="BG318" t="s">
        <v>74</v>
      </c>
      <c r="BH318" t="s">
        <v>74</v>
      </c>
      <c r="BI318">
        <v>27</v>
      </c>
      <c r="BJ318" t="s">
        <v>6529</v>
      </c>
      <c r="BK318" t="s">
        <v>182</v>
      </c>
      <c r="BL318" t="s">
        <v>6530</v>
      </c>
      <c r="BM318" t="s">
        <v>6531</v>
      </c>
      <c r="BN318">
        <v>40141847</v>
      </c>
      <c r="BO318" t="s">
        <v>185</v>
      </c>
      <c r="BP318" t="s">
        <v>74</v>
      </c>
      <c r="BQ318" t="s">
        <v>74</v>
      </c>
      <c r="BR318" t="s">
        <v>105</v>
      </c>
      <c r="BS318" t="s">
        <v>6532</v>
      </c>
      <c r="BT318" t="str">
        <f>HYPERLINK("https%3A%2F%2Fwww.webofscience.com%2Fwos%2Fwoscc%2Ffull-record%2FWOS:001453137000001","View Full Record in Web of Science")</f>
        <v>View Full Record in Web of Science</v>
      </c>
    </row>
    <row r="319" spans="1:72" x14ac:dyDescent="0.25">
      <c r="A319" t="s">
        <v>72</v>
      </c>
      <c r="B319" t="s">
        <v>6533</v>
      </c>
      <c r="C319" t="s">
        <v>74</v>
      </c>
      <c r="D319" t="s">
        <v>74</v>
      </c>
      <c r="E319" t="s">
        <v>74</v>
      </c>
      <c r="F319" t="s">
        <v>6534</v>
      </c>
      <c r="G319" t="s">
        <v>74</v>
      </c>
      <c r="H319" t="s">
        <v>74</v>
      </c>
      <c r="I319" t="s">
        <v>6535</v>
      </c>
      <c r="J319" t="s">
        <v>6536</v>
      </c>
      <c r="K319" t="s">
        <v>74</v>
      </c>
      <c r="L319" t="s">
        <v>74</v>
      </c>
      <c r="M319" t="s">
        <v>78</v>
      </c>
      <c r="N319" t="s">
        <v>449</v>
      </c>
      <c r="O319" t="s">
        <v>74</v>
      </c>
      <c r="P319" t="s">
        <v>74</v>
      </c>
      <c r="Q319" t="s">
        <v>74</v>
      </c>
      <c r="R319" t="s">
        <v>74</v>
      </c>
      <c r="S319" t="s">
        <v>74</v>
      </c>
      <c r="T319" t="s">
        <v>6537</v>
      </c>
      <c r="U319" t="s">
        <v>6538</v>
      </c>
      <c r="V319" t="s">
        <v>6539</v>
      </c>
      <c r="W319" t="s">
        <v>6540</v>
      </c>
      <c r="X319" t="s">
        <v>6541</v>
      </c>
      <c r="Y319" t="s">
        <v>6542</v>
      </c>
      <c r="Z319" t="s">
        <v>6543</v>
      </c>
      <c r="AA319" t="s">
        <v>6544</v>
      </c>
      <c r="AB319" t="s">
        <v>74</v>
      </c>
      <c r="AC319" t="s">
        <v>6545</v>
      </c>
      <c r="AD319" t="s">
        <v>6546</v>
      </c>
      <c r="AE319" t="s">
        <v>6547</v>
      </c>
      <c r="AF319" t="s">
        <v>74</v>
      </c>
      <c r="AG319">
        <v>93</v>
      </c>
      <c r="AH319">
        <v>0</v>
      </c>
      <c r="AI319">
        <v>0</v>
      </c>
      <c r="AJ319">
        <v>9</v>
      </c>
      <c r="AK319">
        <v>9</v>
      </c>
      <c r="AL319" t="s">
        <v>6443</v>
      </c>
      <c r="AM319" t="s">
        <v>4114</v>
      </c>
      <c r="AN319" t="s">
        <v>6444</v>
      </c>
      <c r="AO319" t="s">
        <v>6548</v>
      </c>
      <c r="AP319" t="s">
        <v>6549</v>
      </c>
      <c r="AQ319" t="s">
        <v>74</v>
      </c>
      <c r="AR319" t="s">
        <v>6536</v>
      </c>
      <c r="AS319" t="s">
        <v>6550</v>
      </c>
      <c r="AT319" t="s">
        <v>6551</v>
      </c>
      <c r="AU319">
        <v>2025</v>
      </c>
      <c r="AV319" t="s">
        <v>74</v>
      </c>
      <c r="AW319" t="s">
        <v>74</v>
      </c>
      <c r="AX319" t="s">
        <v>74</v>
      </c>
      <c r="AY319" t="s">
        <v>74</v>
      </c>
      <c r="AZ319" t="s">
        <v>74</v>
      </c>
      <c r="BA319" t="s">
        <v>74</v>
      </c>
      <c r="BB319" t="s">
        <v>74</v>
      </c>
      <c r="BC319" t="s">
        <v>74</v>
      </c>
      <c r="BD319" t="s">
        <v>74</v>
      </c>
      <c r="BE319" t="s">
        <v>6552</v>
      </c>
      <c r="BF319" t="str">
        <f>HYPERLINK("http://dx.doi.org/10.1017/S0263574725000220","http://dx.doi.org/10.1017/S0263574725000220")</f>
        <v>http://dx.doi.org/10.1017/S0263574725000220</v>
      </c>
      <c r="BG319" t="s">
        <v>74</v>
      </c>
      <c r="BH319" t="s">
        <v>5394</v>
      </c>
      <c r="BI319">
        <v>18</v>
      </c>
      <c r="BJ319" t="s">
        <v>714</v>
      </c>
      <c r="BK319" t="s">
        <v>182</v>
      </c>
      <c r="BL319" t="s">
        <v>714</v>
      </c>
      <c r="BM319" t="s">
        <v>6553</v>
      </c>
      <c r="BN319" t="s">
        <v>74</v>
      </c>
      <c r="BO319" t="s">
        <v>74</v>
      </c>
      <c r="BP319" t="s">
        <v>74</v>
      </c>
      <c r="BQ319" t="s">
        <v>74</v>
      </c>
      <c r="BR319" t="s">
        <v>105</v>
      </c>
      <c r="BS319" t="s">
        <v>6554</v>
      </c>
      <c r="BT319" t="str">
        <f>HYPERLINK("https%3A%2F%2Fwww.webofscience.com%2Fwos%2Fwoscc%2Ffull-record%2FWOS:001446989900001","View Full Record in Web of Science")</f>
        <v>View Full Record in Web of Science</v>
      </c>
    </row>
    <row r="320" spans="1:72" x14ac:dyDescent="0.25">
      <c r="A320" t="s">
        <v>72</v>
      </c>
      <c r="B320" t="s">
        <v>6555</v>
      </c>
      <c r="C320" t="s">
        <v>74</v>
      </c>
      <c r="D320" t="s">
        <v>74</v>
      </c>
      <c r="E320" t="s">
        <v>74</v>
      </c>
      <c r="F320" t="s">
        <v>6556</v>
      </c>
      <c r="G320" t="s">
        <v>74</v>
      </c>
      <c r="H320" t="s">
        <v>74</v>
      </c>
      <c r="I320" t="s">
        <v>6557</v>
      </c>
      <c r="J320" t="s">
        <v>2745</v>
      </c>
      <c r="K320" t="s">
        <v>74</v>
      </c>
      <c r="L320" t="s">
        <v>74</v>
      </c>
      <c r="M320" t="s">
        <v>78</v>
      </c>
      <c r="N320" t="s">
        <v>79</v>
      </c>
      <c r="O320" t="s">
        <v>74</v>
      </c>
      <c r="P320" t="s">
        <v>74</v>
      </c>
      <c r="Q320" t="s">
        <v>74</v>
      </c>
      <c r="R320" t="s">
        <v>74</v>
      </c>
      <c r="S320" t="s">
        <v>74</v>
      </c>
      <c r="T320" t="s">
        <v>6558</v>
      </c>
      <c r="U320" t="s">
        <v>74</v>
      </c>
      <c r="V320" t="s">
        <v>6559</v>
      </c>
      <c r="W320" t="s">
        <v>6560</v>
      </c>
      <c r="X320" t="s">
        <v>411</v>
      </c>
      <c r="Y320" t="s">
        <v>6561</v>
      </c>
      <c r="Z320" t="s">
        <v>6562</v>
      </c>
      <c r="AA320" t="s">
        <v>6563</v>
      </c>
      <c r="AB320" t="s">
        <v>6564</v>
      </c>
      <c r="AC320" t="s">
        <v>6565</v>
      </c>
      <c r="AD320" t="s">
        <v>6566</v>
      </c>
      <c r="AE320" t="s">
        <v>6567</v>
      </c>
      <c r="AF320" t="s">
        <v>74</v>
      </c>
      <c r="AG320">
        <v>138</v>
      </c>
      <c r="AH320">
        <v>0</v>
      </c>
      <c r="AI320">
        <v>0</v>
      </c>
      <c r="AJ320">
        <v>4</v>
      </c>
      <c r="AK320">
        <v>4</v>
      </c>
      <c r="AL320" t="s">
        <v>120</v>
      </c>
      <c r="AM320" t="s">
        <v>121</v>
      </c>
      <c r="AN320" t="s">
        <v>1221</v>
      </c>
      <c r="AO320" t="s">
        <v>74</v>
      </c>
      <c r="AP320" t="s">
        <v>2757</v>
      </c>
      <c r="AQ320" t="s">
        <v>74</v>
      </c>
      <c r="AR320" t="s">
        <v>2745</v>
      </c>
      <c r="AS320" t="s">
        <v>2758</v>
      </c>
      <c r="AT320" t="s">
        <v>6568</v>
      </c>
      <c r="AU320">
        <v>2025</v>
      </c>
      <c r="AV320">
        <v>12</v>
      </c>
      <c r="AW320">
        <v>3</v>
      </c>
      <c r="AX320" t="s">
        <v>74</v>
      </c>
      <c r="AY320" t="s">
        <v>74</v>
      </c>
      <c r="AZ320" t="s">
        <v>74</v>
      </c>
      <c r="BA320" t="s">
        <v>74</v>
      </c>
      <c r="BB320" t="s">
        <v>74</v>
      </c>
      <c r="BC320" t="s">
        <v>74</v>
      </c>
      <c r="BD320">
        <v>287</v>
      </c>
      <c r="BE320" t="s">
        <v>6569</v>
      </c>
      <c r="BF320" t="str">
        <f>HYPERLINK("http://dx.doi.org/10.3390/bioengineering12030287","http://dx.doi.org/10.3390/bioengineering12030287")</f>
        <v>http://dx.doi.org/10.3390/bioengineering12030287</v>
      </c>
      <c r="BG320" t="s">
        <v>74</v>
      </c>
      <c r="BH320" t="s">
        <v>74</v>
      </c>
      <c r="BI320">
        <v>23</v>
      </c>
      <c r="BJ320" t="s">
        <v>2760</v>
      </c>
      <c r="BK320" t="s">
        <v>182</v>
      </c>
      <c r="BL320" t="s">
        <v>2761</v>
      </c>
      <c r="BM320" t="s">
        <v>6570</v>
      </c>
      <c r="BN320">
        <v>40150751</v>
      </c>
      <c r="BO320" t="s">
        <v>185</v>
      </c>
      <c r="BP320" t="s">
        <v>74</v>
      </c>
      <c r="BQ320" t="s">
        <v>74</v>
      </c>
      <c r="BR320" t="s">
        <v>105</v>
      </c>
      <c r="BS320" t="s">
        <v>6571</v>
      </c>
      <c r="BT320" t="str">
        <f>HYPERLINK("https%3A%2F%2Fwww.webofscience.com%2Fwos%2Fwoscc%2Ffull-record%2FWOS:001452959700001","View Full Record in Web of Science")</f>
        <v>View Full Record in Web of Science</v>
      </c>
    </row>
    <row r="321" spans="1:72" x14ac:dyDescent="0.25">
      <c r="A321" t="s">
        <v>72</v>
      </c>
      <c r="B321" t="s">
        <v>6572</v>
      </c>
      <c r="C321" t="s">
        <v>74</v>
      </c>
      <c r="D321" t="s">
        <v>74</v>
      </c>
      <c r="E321" t="s">
        <v>74</v>
      </c>
      <c r="F321" t="s">
        <v>6573</v>
      </c>
      <c r="G321" t="s">
        <v>74</v>
      </c>
      <c r="H321" t="s">
        <v>74</v>
      </c>
      <c r="I321" t="s">
        <v>6574</v>
      </c>
      <c r="J321" t="s">
        <v>2745</v>
      </c>
      <c r="K321" t="s">
        <v>74</v>
      </c>
      <c r="L321" t="s">
        <v>74</v>
      </c>
      <c r="M321" t="s">
        <v>78</v>
      </c>
      <c r="N321" t="s">
        <v>79</v>
      </c>
      <c r="O321" t="s">
        <v>74</v>
      </c>
      <c r="P321" t="s">
        <v>74</v>
      </c>
      <c r="Q321" t="s">
        <v>74</v>
      </c>
      <c r="R321" t="s">
        <v>74</v>
      </c>
      <c r="S321" t="s">
        <v>74</v>
      </c>
      <c r="T321" t="s">
        <v>6575</v>
      </c>
      <c r="U321" t="s">
        <v>74</v>
      </c>
      <c r="V321" t="s">
        <v>6576</v>
      </c>
      <c r="W321" t="s">
        <v>6577</v>
      </c>
      <c r="X321" t="s">
        <v>6578</v>
      </c>
      <c r="Y321" t="s">
        <v>6579</v>
      </c>
      <c r="Z321" t="s">
        <v>6580</v>
      </c>
      <c r="AA321" t="s">
        <v>74</v>
      </c>
      <c r="AB321" t="s">
        <v>74</v>
      </c>
      <c r="AC321" t="s">
        <v>6581</v>
      </c>
      <c r="AD321" t="s">
        <v>6582</v>
      </c>
      <c r="AE321" t="s">
        <v>6583</v>
      </c>
      <c r="AF321" t="s">
        <v>74</v>
      </c>
      <c r="AG321">
        <v>134</v>
      </c>
      <c r="AH321">
        <v>0</v>
      </c>
      <c r="AI321">
        <v>0</v>
      </c>
      <c r="AJ321">
        <v>9</v>
      </c>
      <c r="AK321">
        <v>9</v>
      </c>
      <c r="AL321" t="s">
        <v>120</v>
      </c>
      <c r="AM321" t="s">
        <v>121</v>
      </c>
      <c r="AN321" t="s">
        <v>1221</v>
      </c>
      <c r="AO321" t="s">
        <v>74</v>
      </c>
      <c r="AP321" t="s">
        <v>2757</v>
      </c>
      <c r="AQ321" t="s">
        <v>74</v>
      </c>
      <c r="AR321" t="s">
        <v>2745</v>
      </c>
      <c r="AS321" t="s">
        <v>2758</v>
      </c>
      <c r="AT321" t="s">
        <v>6584</v>
      </c>
      <c r="AU321">
        <v>2025</v>
      </c>
      <c r="AV321">
        <v>12</v>
      </c>
      <c r="AW321">
        <v>3</v>
      </c>
      <c r="AX321" t="s">
        <v>74</v>
      </c>
      <c r="AY321" t="s">
        <v>74</v>
      </c>
      <c r="AZ321" t="s">
        <v>74</v>
      </c>
      <c r="BA321" t="s">
        <v>74</v>
      </c>
      <c r="BB321" t="s">
        <v>74</v>
      </c>
      <c r="BC321" t="s">
        <v>74</v>
      </c>
      <c r="BD321">
        <v>276</v>
      </c>
      <c r="BE321" t="s">
        <v>6585</v>
      </c>
      <c r="BF321" t="str">
        <f>HYPERLINK("http://dx.doi.org/10.3390/bioengineering12030276","http://dx.doi.org/10.3390/bioengineering12030276")</f>
        <v>http://dx.doi.org/10.3390/bioengineering12030276</v>
      </c>
      <c r="BG321" t="s">
        <v>74</v>
      </c>
      <c r="BH321" t="s">
        <v>74</v>
      </c>
      <c r="BI321">
        <v>31</v>
      </c>
      <c r="BJ321" t="s">
        <v>2760</v>
      </c>
      <c r="BK321" t="s">
        <v>182</v>
      </c>
      <c r="BL321" t="s">
        <v>2761</v>
      </c>
      <c r="BM321" t="s">
        <v>6586</v>
      </c>
      <c r="BN321">
        <v>40150741</v>
      </c>
      <c r="BO321" t="s">
        <v>185</v>
      </c>
      <c r="BP321" t="s">
        <v>74</v>
      </c>
      <c r="BQ321" t="s">
        <v>74</v>
      </c>
      <c r="BR321" t="s">
        <v>105</v>
      </c>
      <c r="BS321" t="s">
        <v>6587</v>
      </c>
      <c r="BT321" t="str">
        <f>HYPERLINK("https%3A%2F%2Fwww.webofscience.com%2Fwos%2Fwoscc%2Ffull-record%2FWOS:001452982000001","View Full Record in Web of Science")</f>
        <v>View Full Record in Web of Science</v>
      </c>
    </row>
    <row r="322" spans="1:72" x14ac:dyDescent="0.25">
      <c r="A322" t="s">
        <v>72</v>
      </c>
      <c r="B322" t="s">
        <v>6588</v>
      </c>
      <c r="C322" t="s">
        <v>74</v>
      </c>
      <c r="D322" t="s">
        <v>74</v>
      </c>
      <c r="E322" t="s">
        <v>74</v>
      </c>
      <c r="F322" t="s">
        <v>6589</v>
      </c>
      <c r="G322" t="s">
        <v>74</v>
      </c>
      <c r="H322" t="s">
        <v>74</v>
      </c>
      <c r="I322" t="s">
        <v>6590</v>
      </c>
      <c r="J322" t="s">
        <v>1008</v>
      </c>
      <c r="K322" t="s">
        <v>74</v>
      </c>
      <c r="L322" t="s">
        <v>74</v>
      </c>
      <c r="M322" t="s">
        <v>78</v>
      </c>
      <c r="N322" t="s">
        <v>449</v>
      </c>
      <c r="O322" t="s">
        <v>74</v>
      </c>
      <c r="P322" t="s">
        <v>74</v>
      </c>
      <c r="Q322" t="s">
        <v>74</v>
      </c>
      <c r="R322" t="s">
        <v>74</v>
      </c>
      <c r="S322" t="s">
        <v>74</v>
      </c>
      <c r="T322" t="s">
        <v>6591</v>
      </c>
      <c r="U322" t="s">
        <v>6592</v>
      </c>
      <c r="V322" t="s">
        <v>6593</v>
      </c>
      <c r="W322" t="s">
        <v>6594</v>
      </c>
      <c r="X322" t="s">
        <v>6595</v>
      </c>
      <c r="Y322" t="s">
        <v>6596</v>
      </c>
      <c r="Z322" t="s">
        <v>6597</v>
      </c>
      <c r="AA322" t="s">
        <v>6598</v>
      </c>
      <c r="AB322" t="s">
        <v>6599</v>
      </c>
      <c r="AC322" t="s">
        <v>6600</v>
      </c>
      <c r="AD322" t="s">
        <v>4047</v>
      </c>
      <c r="AE322" t="s">
        <v>6601</v>
      </c>
      <c r="AF322" t="s">
        <v>74</v>
      </c>
      <c r="AG322">
        <v>231</v>
      </c>
      <c r="AH322">
        <v>0</v>
      </c>
      <c r="AI322">
        <v>0</v>
      </c>
      <c r="AJ322">
        <v>37</v>
      </c>
      <c r="AK322">
        <v>37</v>
      </c>
      <c r="AL322" t="s">
        <v>2529</v>
      </c>
      <c r="AM322" t="s">
        <v>2530</v>
      </c>
      <c r="AN322" t="s">
        <v>2531</v>
      </c>
      <c r="AO322" t="s">
        <v>1021</v>
      </c>
      <c r="AP322" t="s">
        <v>6602</v>
      </c>
      <c r="AQ322" t="s">
        <v>74</v>
      </c>
      <c r="AR322" t="s">
        <v>1022</v>
      </c>
      <c r="AS322" t="s">
        <v>1023</v>
      </c>
      <c r="AT322" t="s">
        <v>6603</v>
      </c>
      <c r="AU322">
        <v>2025</v>
      </c>
      <c r="AV322" t="s">
        <v>74</v>
      </c>
      <c r="AW322" t="s">
        <v>74</v>
      </c>
      <c r="AX322" t="s">
        <v>74</v>
      </c>
      <c r="AY322" t="s">
        <v>74</v>
      </c>
      <c r="AZ322" t="s">
        <v>74</v>
      </c>
      <c r="BA322" t="s">
        <v>74</v>
      </c>
      <c r="BB322" t="s">
        <v>74</v>
      </c>
      <c r="BC322" t="s">
        <v>74</v>
      </c>
      <c r="BD322" t="s">
        <v>74</v>
      </c>
      <c r="BE322" t="s">
        <v>6604</v>
      </c>
      <c r="BF322" t="str">
        <f>HYPERLINK("http://dx.doi.org/10.1007/s11517-025-03340-y","http://dx.doi.org/10.1007/s11517-025-03340-y")</f>
        <v>http://dx.doi.org/10.1007/s11517-025-03340-y</v>
      </c>
      <c r="BG322" t="s">
        <v>74</v>
      </c>
      <c r="BH322" t="s">
        <v>5394</v>
      </c>
      <c r="BI322">
        <v>25</v>
      </c>
      <c r="BJ322" t="s">
        <v>1025</v>
      </c>
      <c r="BK322" t="s">
        <v>182</v>
      </c>
      <c r="BL322" t="s">
        <v>1026</v>
      </c>
      <c r="BM322" t="s">
        <v>6605</v>
      </c>
      <c r="BN322">
        <v>40059266</v>
      </c>
      <c r="BO322" t="s">
        <v>74</v>
      </c>
      <c r="BP322" t="s">
        <v>74</v>
      </c>
      <c r="BQ322" t="s">
        <v>74</v>
      </c>
      <c r="BR322" t="s">
        <v>105</v>
      </c>
      <c r="BS322" t="s">
        <v>6606</v>
      </c>
      <c r="BT322" t="str">
        <f>HYPERLINK("https%3A%2F%2Fwww.webofscience.com%2Fwos%2Fwoscc%2Ffull-record%2FWOS:001439845700001","View Full Record in Web of Science")</f>
        <v>View Full Record in Web of Science</v>
      </c>
    </row>
    <row r="323" spans="1:72" x14ac:dyDescent="0.25">
      <c r="A323" t="s">
        <v>72</v>
      </c>
      <c r="B323" t="s">
        <v>6607</v>
      </c>
      <c r="C323" t="s">
        <v>74</v>
      </c>
      <c r="D323" t="s">
        <v>74</v>
      </c>
      <c r="E323" t="s">
        <v>74</v>
      </c>
      <c r="F323" t="s">
        <v>6608</v>
      </c>
      <c r="G323" t="s">
        <v>74</v>
      </c>
      <c r="H323" t="s">
        <v>74</v>
      </c>
      <c r="I323" t="s">
        <v>6609</v>
      </c>
      <c r="J323" t="s">
        <v>2690</v>
      </c>
      <c r="K323" t="s">
        <v>74</v>
      </c>
      <c r="L323" t="s">
        <v>74</v>
      </c>
      <c r="M323" t="s">
        <v>78</v>
      </c>
      <c r="N323" t="s">
        <v>79</v>
      </c>
      <c r="O323" t="s">
        <v>74</v>
      </c>
      <c r="P323" t="s">
        <v>74</v>
      </c>
      <c r="Q323" t="s">
        <v>74</v>
      </c>
      <c r="R323" t="s">
        <v>74</v>
      </c>
      <c r="S323" t="s">
        <v>74</v>
      </c>
      <c r="T323" t="s">
        <v>6610</v>
      </c>
      <c r="U323" t="s">
        <v>6611</v>
      </c>
      <c r="V323" t="s">
        <v>6612</v>
      </c>
      <c r="W323" t="s">
        <v>6613</v>
      </c>
      <c r="X323" t="s">
        <v>6614</v>
      </c>
      <c r="Y323" t="s">
        <v>6615</v>
      </c>
      <c r="Z323" t="s">
        <v>6616</v>
      </c>
      <c r="AA323" t="s">
        <v>6617</v>
      </c>
      <c r="AB323" t="s">
        <v>6618</v>
      </c>
      <c r="AC323" t="s">
        <v>74</v>
      </c>
      <c r="AD323" t="s">
        <v>74</v>
      </c>
      <c r="AE323" t="s">
        <v>74</v>
      </c>
      <c r="AF323" t="s">
        <v>74</v>
      </c>
      <c r="AG323">
        <v>61</v>
      </c>
      <c r="AH323">
        <v>0</v>
      </c>
      <c r="AI323">
        <v>0</v>
      </c>
      <c r="AJ323">
        <v>1</v>
      </c>
      <c r="AK323">
        <v>1</v>
      </c>
      <c r="AL323" t="s">
        <v>120</v>
      </c>
      <c r="AM323" t="s">
        <v>121</v>
      </c>
      <c r="AN323" t="s">
        <v>1221</v>
      </c>
      <c r="AO323" t="s">
        <v>74</v>
      </c>
      <c r="AP323" t="s">
        <v>2698</v>
      </c>
      <c r="AQ323" t="s">
        <v>74</v>
      </c>
      <c r="AR323" t="s">
        <v>2690</v>
      </c>
      <c r="AS323" t="s">
        <v>2699</v>
      </c>
      <c r="AT323" t="s">
        <v>5624</v>
      </c>
      <c r="AU323">
        <v>2025</v>
      </c>
      <c r="AV323">
        <v>14</v>
      </c>
      <c r="AW323">
        <v>3</v>
      </c>
      <c r="AX323" t="s">
        <v>74</v>
      </c>
      <c r="AY323" t="s">
        <v>74</v>
      </c>
      <c r="AZ323" t="s">
        <v>74</v>
      </c>
      <c r="BA323" t="s">
        <v>74</v>
      </c>
      <c r="BB323" t="s">
        <v>74</v>
      </c>
      <c r="BC323" t="s">
        <v>74</v>
      </c>
      <c r="BD323">
        <v>133</v>
      </c>
      <c r="BE323" t="s">
        <v>6619</v>
      </c>
      <c r="BF323" t="str">
        <f>HYPERLINK("http://dx.doi.org/10.3390/act14030133","http://dx.doi.org/10.3390/act14030133")</f>
        <v>http://dx.doi.org/10.3390/act14030133</v>
      </c>
      <c r="BG323" t="s">
        <v>74</v>
      </c>
      <c r="BH323" t="s">
        <v>74</v>
      </c>
      <c r="BI323">
        <v>22</v>
      </c>
      <c r="BJ323" t="s">
        <v>2701</v>
      </c>
      <c r="BK323" t="s">
        <v>182</v>
      </c>
      <c r="BL323" t="s">
        <v>2702</v>
      </c>
      <c r="BM323" t="s">
        <v>6620</v>
      </c>
      <c r="BN323" t="s">
        <v>74</v>
      </c>
      <c r="BO323" t="s">
        <v>185</v>
      </c>
      <c r="BP323" t="s">
        <v>74</v>
      </c>
      <c r="BQ323" t="s">
        <v>74</v>
      </c>
      <c r="BR323" t="s">
        <v>105</v>
      </c>
      <c r="BS323" t="s">
        <v>6621</v>
      </c>
      <c r="BT323" t="str">
        <f>HYPERLINK("https%3A%2F%2Fwww.webofscience.com%2Fwos%2Fwoscc%2Ffull-record%2FWOS:001453451300001","View Full Record in Web of Science")</f>
        <v>View Full Record in Web of Science</v>
      </c>
    </row>
    <row r="324" spans="1:72" x14ac:dyDescent="0.25">
      <c r="A324" t="s">
        <v>72</v>
      </c>
      <c r="B324" t="s">
        <v>6622</v>
      </c>
      <c r="C324" t="s">
        <v>74</v>
      </c>
      <c r="D324" t="s">
        <v>74</v>
      </c>
      <c r="E324" t="s">
        <v>74</v>
      </c>
      <c r="F324" t="s">
        <v>6623</v>
      </c>
      <c r="G324" t="s">
        <v>74</v>
      </c>
      <c r="H324" t="s">
        <v>74</v>
      </c>
      <c r="I324" t="s">
        <v>6624</v>
      </c>
      <c r="J324" t="s">
        <v>3629</v>
      </c>
      <c r="K324" t="s">
        <v>74</v>
      </c>
      <c r="L324" t="s">
        <v>74</v>
      </c>
      <c r="M324" t="s">
        <v>78</v>
      </c>
      <c r="N324" t="s">
        <v>79</v>
      </c>
      <c r="O324" t="s">
        <v>74</v>
      </c>
      <c r="P324" t="s">
        <v>74</v>
      </c>
      <c r="Q324" t="s">
        <v>74</v>
      </c>
      <c r="R324" t="s">
        <v>74</v>
      </c>
      <c r="S324" t="s">
        <v>74</v>
      </c>
      <c r="T324" t="s">
        <v>6625</v>
      </c>
      <c r="U324" t="s">
        <v>6626</v>
      </c>
      <c r="V324" t="s">
        <v>6627</v>
      </c>
      <c r="W324" t="s">
        <v>6628</v>
      </c>
      <c r="X324" t="s">
        <v>6629</v>
      </c>
      <c r="Y324" t="s">
        <v>6630</v>
      </c>
      <c r="Z324" t="s">
        <v>6631</v>
      </c>
      <c r="AA324" t="s">
        <v>74</v>
      </c>
      <c r="AB324" t="s">
        <v>74</v>
      </c>
      <c r="AC324" t="s">
        <v>74</v>
      </c>
      <c r="AD324" t="s">
        <v>74</v>
      </c>
      <c r="AE324" t="s">
        <v>74</v>
      </c>
      <c r="AF324" t="s">
        <v>74</v>
      </c>
      <c r="AG324">
        <v>75</v>
      </c>
      <c r="AH324">
        <v>1</v>
      </c>
      <c r="AI324">
        <v>1</v>
      </c>
      <c r="AJ324">
        <v>5</v>
      </c>
      <c r="AK324">
        <v>5</v>
      </c>
      <c r="AL324" t="s">
        <v>1605</v>
      </c>
      <c r="AM324" t="s">
        <v>1606</v>
      </c>
      <c r="AN324" t="s">
        <v>1607</v>
      </c>
      <c r="AO324" t="s">
        <v>3641</v>
      </c>
      <c r="AP324" t="s">
        <v>74</v>
      </c>
      <c r="AQ324" t="s">
        <v>74</v>
      </c>
      <c r="AR324" t="s">
        <v>3642</v>
      </c>
      <c r="AS324" t="s">
        <v>3643</v>
      </c>
      <c r="AT324" t="s">
        <v>1471</v>
      </c>
      <c r="AU324">
        <v>2025</v>
      </c>
      <c r="AV324">
        <v>7</v>
      </c>
      <c r="AW324">
        <v>1</v>
      </c>
      <c r="AX324" t="s">
        <v>74</v>
      </c>
      <c r="AY324" t="s">
        <v>74</v>
      </c>
      <c r="AZ324" t="s">
        <v>74</v>
      </c>
      <c r="BA324" t="s">
        <v>74</v>
      </c>
      <c r="BB324" t="s">
        <v>74</v>
      </c>
      <c r="BC324" t="s">
        <v>74</v>
      </c>
      <c r="BD324">
        <v>100387</v>
      </c>
      <c r="BE324" t="s">
        <v>6632</v>
      </c>
      <c r="BF324" t="str">
        <f>HYPERLINK("http://dx.doi.org/10.1016/j.arrct.2024.100387","http://dx.doi.org/10.1016/j.arrct.2024.100387")</f>
        <v>http://dx.doi.org/10.1016/j.arrct.2024.100387</v>
      </c>
      <c r="BG324" t="s">
        <v>74</v>
      </c>
      <c r="BH324" t="s">
        <v>5394</v>
      </c>
      <c r="BI324">
        <v>15</v>
      </c>
      <c r="BJ324" t="s">
        <v>101</v>
      </c>
      <c r="BK324" t="s">
        <v>155</v>
      </c>
      <c r="BL324" t="s">
        <v>101</v>
      </c>
      <c r="BM324" t="s">
        <v>6633</v>
      </c>
      <c r="BN324">
        <v>40463769</v>
      </c>
      <c r="BO324" t="s">
        <v>185</v>
      </c>
      <c r="BP324" t="s">
        <v>74</v>
      </c>
      <c r="BQ324" t="s">
        <v>74</v>
      </c>
      <c r="BR324" t="s">
        <v>105</v>
      </c>
      <c r="BS324" t="s">
        <v>6634</v>
      </c>
      <c r="BT324" t="str">
        <f>HYPERLINK("https%3A%2F%2Fwww.webofscience.com%2Fwos%2Fwoscc%2Ffull-record%2FWOS:001442900100001","View Full Record in Web of Science")</f>
        <v>View Full Record in Web of Science</v>
      </c>
    </row>
    <row r="325" spans="1:72" x14ac:dyDescent="0.25">
      <c r="A325" t="s">
        <v>72</v>
      </c>
      <c r="B325" t="s">
        <v>6635</v>
      </c>
      <c r="C325" t="s">
        <v>74</v>
      </c>
      <c r="D325" t="s">
        <v>74</v>
      </c>
      <c r="E325" t="s">
        <v>74</v>
      </c>
      <c r="F325" t="s">
        <v>6636</v>
      </c>
      <c r="G325" t="s">
        <v>74</v>
      </c>
      <c r="H325" t="s">
        <v>74</v>
      </c>
      <c r="I325" t="s">
        <v>6637</v>
      </c>
      <c r="J325" t="s">
        <v>382</v>
      </c>
      <c r="K325" t="s">
        <v>74</v>
      </c>
      <c r="L325" t="s">
        <v>74</v>
      </c>
      <c r="M325" t="s">
        <v>78</v>
      </c>
      <c r="N325" t="s">
        <v>79</v>
      </c>
      <c r="O325" t="s">
        <v>74</v>
      </c>
      <c r="P325" t="s">
        <v>74</v>
      </c>
      <c r="Q325" t="s">
        <v>74</v>
      </c>
      <c r="R325" t="s">
        <v>74</v>
      </c>
      <c r="S325" t="s">
        <v>74</v>
      </c>
      <c r="T325" t="s">
        <v>6638</v>
      </c>
      <c r="U325" t="s">
        <v>6639</v>
      </c>
      <c r="V325" t="s">
        <v>6640</v>
      </c>
      <c r="W325" t="s">
        <v>6641</v>
      </c>
      <c r="X325" t="s">
        <v>6642</v>
      </c>
      <c r="Y325" t="s">
        <v>6643</v>
      </c>
      <c r="Z325" t="s">
        <v>6644</v>
      </c>
      <c r="AA325" t="s">
        <v>74</v>
      </c>
      <c r="AB325" t="s">
        <v>74</v>
      </c>
      <c r="AC325" t="s">
        <v>6645</v>
      </c>
      <c r="AD325" t="s">
        <v>6646</v>
      </c>
      <c r="AE325" t="s">
        <v>6647</v>
      </c>
      <c r="AF325" t="s">
        <v>74</v>
      </c>
      <c r="AG325">
        <v>45</v>
      </c>
      <c r="AH325">
        <v>1</v>
      </c>
      <c r="AI325">
        <v>1</v>
      </c>
      <c r="AJ325">
        <v>2</v>
      </c>
      <c r="AK325">
        <v>2</v>
      </c>
      <c r="AL325" t="s">
        <v>392</v>
      </c>
      <c r="AM325" t="s">
        <v>393</v>
      </c>
      <c r="AN325" t="s">
        <v>394</v>
      </c>
      <c r="AO325" t="s">
        <v>395</v>
      </c>
      <c r="AP325" t="s">
        <v>74</v>
      </c>
      <c r="AQ325" t="s">
        <v>74</v>
      </c>
      <c r="AR325" t="s">
        <v>396</v>
      </c>
      <c r="AS325" t="s">
        <v>397</v>
      </c>
      <c r="AT325" t="s">
        <v>6648</v>
      </c>
      <c r="AU325">
        <v>2025</v>
      </c>
      <c r="AV325">
        <v>16</v>
      </c>
      <c r="AW325" t="s">
        <v>74</v>
      </c>
      <c r="AX325" t="s">
        <v>74</v>
      </c>
      <c r="AY325" t="s">
        <v>74</v>
      </c>
      <c r="AZ325" t="s">
        <v>74</v>
      </c>
      <c r="BA325" t="s">
        <v>74</v>
      </c>
      <c r="BB325" t="s">
        <v>74</v>
      </c>
      <c r="BC325" t="s">
        <v>74</v>
      </c>
      <c r="BD325">
        <v>1500020</v>
      </c>
      <c r="BE325" t="s">
        <v>6649</v>
      </c>
      <c r="BF325" t="str">
        <f>HYPERLINK("http://dx.doi.org/10.3389/fneur.2025.1500020","http://dx.doi.org/10.3389/fneur.2025.1500020")</f>
        <v>http://dx.doi.org/10.3389/fneur.2025.1500020</v>
      </c>
      <c r="BG325" t="s">
        <v>74</v>
      </c>
      <c r="BH325" t="s">
        <v>74</v>
      </c>
      <c r="BI325">
        <v>10</v>
      </c>
      <c r="BJ325" t="s">
        <v>400</v>
      </c>
      <c r="BK325" t="s">
        <v>182</v>
      </c>
      <c r="BL325" t="s">
        <v>375</v>
      </c>
      <c r="BM325" t="s">
        <v>6650</v>
      </c>
      <c r="BN325">
        <v>40125401</v>
      </c>
      <c r="BO325" t="s">
        <v>185</v>
      </c>
      <c r="BP325" t="s">
        <v>74</v>
      </c>
      <c r="BQ325" t="s">
        <v>74</v>
      </c>
      <c r="BR325" t="s">
        <v>105</v>
      </c>
      <c r="BS325" t="s">
        <v>6651</v>
      </c>
      <c r="BT325" t="str">
        <f>HYPERLINK("https%3A%2F%2Fwww.webofscience.com%2Fwos%2Fwoscc%2Ffull-record%2FWOS:001449373900001","View Full Record in Web of Science")</f>
        <v>View Full Record in Web of Science</v>
      </c>
    </row>
    <row r="326" spans="1:72" x14ac:dyDescent="0.25">
      <c r="A326" t="s">
        <v>72</v>
      </c>
      <c r="B326" t="s">
        <v>6652</v>
      </c>
      <c r="C326" t="s">
        <v>74</v>
      </c>
      <c r="D326" t="s">
        <v>74</v>
      </c>
      <c r="E326" t="s">
        <v>74</v>
      </c>
      <c r="F326" t="s">
        <v>6653</v>
      </c>
      <c r="G326" t="s">
        <v>74</v>
      </c>
      <c r="H326" t="s">
        <v>74</v>
      </c>
      <c r="I326" t="s">
        <v>6654</v>
      </c>
      <c r="J326" t="s">
        <v>594</v>
      </c>
      <c r="K326" t="s">
        <v>74</v>
      </c>
      <c r="L326" t="s">
        <v>74</v>
      </c>
      <c r="M326" t="s">
        <v>78</v>
      </c>
      <c r="N326" t="s">
        <v>79</v>
      </c>
      <c r="O326" t="s">
        <v>74</v>
      </c>
      <c r="P326" t="s">
        <v>74</v>
      </c>
      <c r="Q326" t="s">
        <v>74</v>
      </c>
      <c r="R326" t="s">
        <v>74</v>
      </c>
      <c r="S326" t="s">
        <v>74</v>
      </c>
      <c r="T326" t="s">
        <v>6655</v>
      </c>
      <c r="U326" t="s">
        <v>6656</v>
      </c>
      <c r="V326" t="s">
        <v>6657</v>
      </c>
      <c r="W326" t="s">
        <v>6658</v>
      </c>
      <c r="X326" t="s">
        <v>6659</v>
      </c>
      <c r="Y326" t="s">
        <v>6660</v>
      </c>
      <c r="Z326" t="s">
        <v>6661</v>
      </c>
      <c r="AA326" t="s">
        <v>6662</v>
      </c>
      <c r="AB326" t="s">
        <v>74</v>
      </c>
      <c r="AC326" t="s">
        <v>6663</v>
      </c>
      <c r="AD326" t="s">
        <v>6664</v>
      </c>
      <c r="AE326" t="s">
        <v>6665</v>
      </c>
      <c r="AF326" t="s">
        <v>74</v>
      </c>
      <c r="AG326">
        <v>70</v>
      </c>
      <c r="AH326">
        <v>1</v>
      </c>
      <c r="AI326">
        <v>1</v>
      </c>
      <c r="AJ326">
        <v>19</v>
      </c>
      <c r="AK326">
        <v>19</v>
      </c>
      <c r="AL326" t="s">
        <v>274</v>
      </c>
      <c r="AM326" t="s">
        <v>275</v>
      </c>
      <c r="AN326" t="s">
        <v>276</v>
      </c>
      <c r="AO326" t="s">
        <v>74</v>
      </c>
      <c r="AP326" t="s">
        <v>606</v>
      </c>
      <c r="AQ326" t="s">
        <v>74</v>
      </c>
      <c r="AR326" t="s">
        <v>607</v>
      </c>
      <c r="AS326" t="s">
        <v>608</v>
      </c>
      <c r="AT326" t="s">
        <v>6666</v>
      </c>
      <c r="AU326">
        <v>2025</v>
      </c>
      <c r="AV326">
        <v>22</v>
      </c>
      <c r="AW326">
        <v>1</v>
      </c>
      <c r="AX326" t="s">
        <v>74</v>
      </c>
      <c r="AY326" t="s">
        <v>74</v>
      </c>
      <c r="AZ326" t="s">
        <v>74</v>
      </c>
      <c r="BA326" t="s">
        <v>74</v>
      </c>
      <c r="BB326" t="s">
        <v>74</v>
      </c>
      <c r="BC326" t="s">
        <v>74</v>
      </c>
      <c r="BD326">
        <v>44</v>
      </c>
      <c r="BE326" t="s">
        <v>6667</v>
      </c>
      <c r="BF326" t="str">
        <f>HYPERLINK("http://dx.doi.org/10.1186/s12984-025-01588-x","http://dx.doi.org/10.1186/s12984-025-01588-x")</f>
        <v>http://dx.doi.org/10.1186/s12984-025-01588-x</v>
      </c>
      <c r="BG326" t="s">
        <v>74</v>
      </c>
      <c r="BH326" t="s">
        <v>74</v>
      </c>
      <c r="BI326">
        <v>14</v>
      </c>
      <c r="BJ326" t="s">
        <v>611</v>
      </c>
      <c r="BK326" t="s">
        <v>182</v>
      </c>
      <c r="BL326" t="s">
        <v>612</v>
      </c>
      <c r="BM326" t="s">
        <v>6668</v>
      </c>
      <c r="BN326">
        <v>40033447</v>
      </c>
      <c r="BO326" t="s">
        <v>185</v>
      </c>
      <c r="BP326" t="s">
        <v>74</v>
      </c>
      <c r="BQ326" t="s">
        <v>74</v>
      </c>
      <c r="BR326" t="s">
        <v>105</v>
      </c>
      <c r="BS326" t="s">
        <v>6669</v>
      </c>
      <c r="BT326" t="str">
        <f>HYPERLINK("https%3A%2F%2Fwww.webofscience.com%2Fwos%2Fwoscc%2Ffull-record%2FWOS:001437285100003","View Full Record in Web of Science")</f>
        <v>View Full Record in Web of Science</v>
      </c>
    </row>
    <row r="327" spans="1:72" x14ac:dyDescent="0.25">
      <c r="A327" t="s">
        <v>72</v>
      </c>
      <c r="B327" t="s">
        <v>6670</v>
      </c>
      <c r="C327" t="s">
        <v>74</v>
      </c>
      <c r="D327" t="s">
        <v>74</v>
      </c>
      <c r="E327" t="s">
        <v>74</v>
      </c>
      <c r="F327" t="s">
        <v>6671</v>
      </c>
      <c r="G327" t="s">
        <v>74</v>
      </c>
      <c r="H327" t="s">
        <v>74</v>
      </c>
      <c r="I327" t="s">
        <v>6672</v>
      </c>
      <c r="J327" t="s">
        <v>1208</v>
      </c>
      <c r="K327" t="s">
        <v>74</v>
      </c>
      <c r="L327" t="s">
        <v>74</v>
      </c>
      <c r="M327" t="s">
        <v>78</v>
      </c>
      <c r="N327" t="s">
        <v>79</v>
      </c>
      <c r="O327" t="s">
        <v>74</v>
      </c>
      <c r="P327" t="s">
        <v>74</v>
      </c>
      <c r="Q327" t="s">
        <v>74</v>
      </c>
      <c r="R327" t="s">
        <v>74</v>
      </c>
      <c r="S327" t="s">
        <v>74</v>
      </c>
      <c r="T327" t="s">
        <v>6673</v>
      </c>
      <c r="U327" t="s">
        <v>6674</v>
      </c>
      <c r="V327" t="s">
        <v>6675</v>
      </c>
      <c r="W327" t="s">
        <v>6676</v>
      </c>
      <c r="X327" t="s">
        <v>74</v>
      </c>
      <c r="Y327" t="s">
        <v>6677</v>
      </c>
      <c r="Z327" t="s">
        <v>6678</v>
      </c>
      <c r="AA327" t="s">
        <v>6380</v>
      </c>
      <c r="AB327" t="s">
        <v>74</v>
      </c>
      <c r="AC327" t="s">
        <v>6381</v>
      </c>
      <c r="AD327" t="s">
        <v>6382</v>
      </c>
      <c r="AE327" t="s">
        <v>6383</v>
      </c>
      <c r="AF327" t="s">
        <v>74</v>
      </c>
      <c r="AG327">
        <v>146</v>
      </c>
      <c r="AH327">
        <v>2</v>
      </c>
      <c r="AI327">
        <v>2</v>
      </c>
      <c r="AJ327">
        <v>17</v>
      </c>
      <c r="AK327">
        <v>17</v>
      </c>
      <c r="AL327" t="s">
        <v>120</v>
      </c>
      <c r="AM327" t="s">
        <v>121</v>
      </c>
      <c r="AN327" t="s">
        <v>1221</v>
      </c>
      <c r="AO327" t="s">
        <v>74</v>
      </c>
      <c r="AP327" t="s">
        <v>1222</v>
      </c>
      <c r="AQ327" t="s">
        <v>74</v>
      </c>
      <c r="AR327" t="s">
        <v>1208</v>
      </c>
      <c r="AS327" t="s">
        <v>1223</v>
      </c>
      <c r="AT327" t="s">
        <v>6666</v>
      </c>
      <c r="AU327">
        <v>2025</v>
      </c>
      <c r="AV327">
        <v>13</v>
      </c>
      <c r="AW327">
        <v>3</v>
      </c>
      <c r="AX327" t="s">
        <v>74</v>
      </c>
      <c r="AY327" t="s">
        <v>74</v>
      </c>
      <c r="AZ327" t="s">
        <v>74</v>
      </c>
      <c r="BA327" t="s">
        <v>74</v>
      </c>
      <c r="BB327" t="s">
        <v>74</v>
      </c>
      <c r="BC327" t="s">
        <v>74</v>
      </c>
      <c r="BD327">
        <v>207</v>
      </c>
      <c r="BE327" t="s">
        <v>6679</v>
      </c>
      <c r="BF327" t="str">
        <f>HYPERLINK("http://dx.doi.org/10.3390/machines13030207","http://dx.doi.org/10.3390/machines13030207")</f>
        <v>http://dx.doi.org/10.3390/machines13030207</v>
      </c>
      <c r="BG327" t="s">
        <v>74</v>
      </c>
      <c r="BH327" t="s">
        <v>74</v>
      </c>
      <c r="BI327">
        <v>38</v>
      </c>
      <c r="BJ327" t="s">
        <v>1225</v>
      </c>
      <c r="BK327" t="s">
        <v>182</v>
      </c>
      <c r="BL327" t="s">
        <v>183</v>
      </c>
      <c r="BM327" t="s">
        <v>6680</v>
      </c>
      <c r="BN327" t="s">
        <v>74</v>
      </c>
      <c r="BO327" t="s">
        <v>185</v>
      </c>
      <c r="BP327" t="s">
        <v>74</v>
      </c>
      <c r="BQ327" t="s">
        <v>74</v>
      </c>
      <c r="BR327" t="s">
        <v>105</v>
      </c>
      <c r="BS327" t="s">
        <v>6681</v>
      </c>
      <c r="BT327" t="str">
        <f>HYPERLINK("https%3A%2F%2Fwww.webofscience.com%2Fwos%2Fwoscc%2Ffull-record%2FWOS:001452572100001","View Full Record in Web of Science")</f>
        <v>View Full Record in Web of Science</v>
      </c>
    </row>
    <row r="328" spans="1:72" x14ac:dyDescent="0.25">
      <c r="A328" t="s">
        <v>72</v>
      </c>
      <c r="B328" t="s">
        <v>6682</v>
      </c>
      <c r="C328" t="s">
        <v>74</v>
      </c>
      <c r="D328" t="s">
        <v>74</v>
      </c>
      <c r="E328" t="s">
        <v>74</v>
      </c>
      <c r="F328" t="s">
        <v>6683</v>
      </c>
      <c r="G328" t="s">
        <v>74</v>
      </c>
      <c r="H328" t="s">
        <v>74</v>
      </c>
      <c r="I328" t="s">
        <v>6684</v>
      </c>
      <c r="J328" t="s">
        <v>6685</v>
      </c>
      <c r="K328" t="s">
        <v>74</v>
      </c>
      <c r="L328" t="s">
        <v>74</v>
      </c>
      <c r="M328" t="s">
        <v>78</v>
      </c>
      <c r="N328" t="s">
        <v>79</v>
      </c>
      <c r="O328" t="s">
        <v>74</v>
      </c>
      <c r="P328" t="s">
        <v>74</v>
      </c>
      <c r="Q328" t="s">
        <v>74</v>
      </c>
      <c r="R328" t="s">
        <v>74</v>
      </c>
      <c r="S328" t="s">
        <v>74</v>
      </c>
      <c r="T328" t="s">
        <v>6686</v>
      </c>
      <c r="U328" t="s">
        <v>6687</v>
      </c>
      <c r="V328" t="s">
        <v>6688</v>
      </c>
      <c r="W328" t="s">
        <v>6689</v>
      </c>
      <c r="X328" t="s">
        <v>6690</v>
      </c>
      <c r="Y328" t="s">
        <v>6691</v>
      </c>
      <c r="Z328" t="s">
        <v>6692</v>
      </c>
      <c r="AA328" t="s">
        <v>6693</v>
      </c>
      <c r="AB328" t="s">
        <v>6694</v>
      </c>
      <c r="AC328" t="s">
        <v>6695</v>
      </c>
      <c r="AD328" t="s">
        <v>6695</v>
      </c>
      <c r="AE328" t="s">
        <v>6696</v>
      </c>
      <c r="AF328" t="s">
        <v>74</v>
      </c>
      <c r="AG328">
        <v>133</v>
      </c>
      <c r="AH328">
        <v>2</v>
      </c>
      <c r="AI328">
        <v>2</v>
      </c>
      <c r="AJ328">
        <v>17</v>
      </c>
      <c r="AK328">
        <v>17</v>
      </c>
      <c r="AL328" t="s">
        <v>5927</v>
      </c>
      <c r="AM328" t="s">
        <v>5928</v>
      </c>
      <c r="AN328" t="s">
        <v>5929</v>
      </c>
      <c r="AO328" t="s">
        <v>6697</v>
      </c>
      <c r="AP328" t="s">
        <v>6698</v>
      </c>
      <c r="AQ328" t="s">
        <v>74</v>
      </c>
      <c r="AR328" t="s">
        <v>6699</v>
      </c>
      <c r="AS328" t="s">
        <v>6700</v>
      </c>
      <c r="AT328" t="s">
        <v>6701</v>
      </c>
      <c r="AU328">
        <v>2025</v>
      </c>
      <c r="AV328">
        <v>34</v>
      </c>
      <c r="AW328">
        <v>3</v>
      </c>
      <c r="AX328" t="s">
        <v>74</v>
      </c>
      <c r="AY328" t="s">
        <v>74</v>
      </c>
      <c r="AZ328" t="s">
        <v>74</v>
      </c>
      <c r="BA328" t="s">
        <v>74</v>
      </c>
      <c r="BB328" t="s">
        <v>74</v>
      </c>
      <c r="BC328" t="s">
        <v>74</v>
      </c>
      <c r="BD328">
        <v>33001</v>
      </c>
      <c r="BE328" t="s">
        <v>6702</v>
      </c>
      <c r="BF328" t="str">
        <f>HYPERLINK("http://dx.doi.org/10.1088/1361-665X/adae6a","http://dx.doi.org/10.1088/1361-665X/adae6a")</f>
        <v>http://dx.doi.org/10.1088/1361-665X/adae6a</v>
      </c>
      <c r="BG328" t="s">
        <v>74</v>
      </c>
      <c r="BH328" t="s">
        <v>74</v>
      </c>
      <c r="BI328">
        <v>20</v>
      </c>
      <c r="BJ328" t="s">
        <v>6703</v>
      </c>
      <c r="BK328" t="s">
        <v>182</v>
      </c>
      <c r="BL328" t="s">
        <v>6704</v>
      </c>
      <c r="BM328" t="s">
        <v>6705</v>
      </c>
      <c r="BN328" t="s">
        <v>74</v>
      </c>
      <c r="BO328" t="s">
        <v>74</v>
      </c>
      <c r="BP328" t="s">
        <v>74</v>
      </c>
      <c r="BQ328" t="s">
        <v>74</v>
      </c>
      <c r="BR328" t="s">
        <v>105</v>
      </c>
      <c r="BS328" t="s">
        <v>6706</v>
      </c>
      <c r="BT328" t="str">
        <f>HYPERLINK("https%3A%2F%2Fwww.webofscience.com%2Fwos%2Fwoscc%2Ffull-record%2FWOS:001413036700001","View Full Record in Web of Science")</f>
        <v>View Full Record in Web of Science</v>
      </c>
    </row>
    <row r="329" spans="1:72" x14ac:dyDescent="0.25">
      <c r="A329" t="s">
        <v>72</v>
      </c>
      <c r="B329" t="s">
        <v>6707</v>
      </c>
      <c r="C329" t="s">
        <v>74</v>
      </c>
      <c r="D329" t="s">
        <v>74</v>
      </c>
      <c r="E329" t="s">
        <v>74</v>
      </c>
      <c r="F329" t="s">
        <v>6708</v>
      </c>
      <c r="G329" t="s">
        <v>74</v>
      </c>
      <c r="H329" t="s">
        <v>74</v>
      </c>
      <c r="I329" t="s">
        <v>6709</v>
      </c>
      <c r="J329" t="s">
        <v>406</v>
      </c>
      <c r="K329" t="s">
        <v>74</v>
      </c>
      <c r="L329" t="s">
        <v>74</v>
      </c>
      <c r="M329" t="s">
        <v>78</v>
      </c>
      <c r="N329" t="s">
        <v>79</v>
      </c>
      <c r="O329" t="s">
        <v>74</v>
      </c>
      <c r="P329" t="s">
        <v>74</v>
      </c>
      <c r="Q329" t="s">
        <v>74</v>
      </c>
      <c r="R329" t="s">
        <v>74</v>
      </c>
      <c r="S329" t="s">
        <v>74</v>
      </c>
      <c r="T329" t="s">
        <v>6710</v>
      </c>
      <c r="U329" t="s">
        <v>6711</v>
      </c>
      <c r="V329" t="s">
        <v>6712</v>
      </c>
      <c r="W329" t="s">
        <v>6713</v>
      </c>
      <c r="X329" t="s">
        <v>6714</v>
      </c>
      <c r="Y329" t="s">
        <v>6715</v>
      </c>
      <c r="Z329" t="s">
        <v>6716</v>
      </c>
      <c r="AA329" t="s">
        <v>6717</v>
      </c>
      <c r="AB329" t="s">
        <v>6718</v>
      </c>
      <c r="AC329" t="s">
        <v>74</v>
      </c>
      <c r="AD329" t="s">
        <v>74</v>
      </c>
      <c r="AE329" t="s">
        <v>74</v>
      </c>
      <c r="AF329" t="s">
        <v>74</v>
      </c>
      <c r="AG329">
        <v>54</v>
      </c>
      <c r="AH329">
        <v>0</v>
      </c>
      <c r="AI329">
        <v>0</v>
      </c>
      <c r="AJ329">
        <v>0</v>
      </c>
      <c r="AK329">
        <v>0</v>
      </c>
      <c r="AL329" t="s">
        <v>120</v>
      </c>
      <c r="AM329" t="s">
        <v>121</v>
      </c>
      <c r="AN329" t="s">
        <v>1221</v>
      </c>
      <c r="AO329" t="s">
        <v>74</v>
      </c>
      <c r="AP329" t="s">
        <v>417</v>
      </c>
      <c r="AQ329" t="s">
        <v>74</v>
      </c>
      <c r="AR329" t="s">
        <v>418</v>
      </c>
      <c r="AS329" t="s">
        <v>419</v>
      </c>
      <c r="AT329" t="s">
        <v>1471</v>
      </c>
      <c r="AU329">
        <v>2025</v>
      </c>
      <c r="AV329">
        <v>13</v>
      </c>
      <c r="AW329">
        <v>5</v>
      </c>
      <c r="AX329" t="s">
        <v>74</v>
      </c>
      <c r="AY329" t="s">
        <v>74</v>
      </c>
      <c r="AZ329" t="s">
        <v>74</v>
      </c>
      <c r="BA329" t="s">
        <v>74</v>
      </c>
      <c r="BB329" t="s">
        <v>74</v>
      </c>
      <c r="BC329" t="s">
        <v>74</v>
      </c>
      <c r="BD329">
        <v>459</v>
      </c>
      <c r="BE329" t="s">
        <v>6719</v>
      </c>
      <c r="BF329" t="str">
        <f>HYPERLINK("http://dx.doi.org/10.3390/healthcare13050459","http://dx.doi.org/10.3390/healthcare13050459")</f>
        <v>http://dx.doi.org/10.3390/healthcare13050459</v>
      </c>
      <c r="BG329" t="s">
        <v>74</v>
      </c>
      <c r="BH329" t="s">
        <v>74</v>
      </c>
      <c r="BI329">
        <v>21</v>
      </c>
      <c r="BJ329" t="s">
        <v>422</v>
      </c>
      <c r="BK329" t="s">
        <v>102</v>
      </c>
      <c r="BL329" t="s">
        <v>423</v>
      </c>
      <c r="BM329" t="s">
        <v>6720</v>
      </c>
      <c r="BN329">
        <v>40077021</v>
      </c>
      <c r="BO329" t="s">
        <v>185</v>
      </c>
      <c r="BP329" t="s">
        <v>74</v>
      </c>
      <c r="BQ329" t="s">
        <v>74</v>
      </c>
      <c r="BR329" t="s">
        <v>105</v>
      </c>
      <c r="BS329" t="s">
        <v>6721</v>
      </c>
      <c r="BT329" t="str">
        <f>HYPERLINK("https%3A%2F%2Fwww.webofscience.com%2Fwos%2Fwoscc%2Ffull-record%2FWOS:001442346000001","View Full Record in Web of Science")</f>
        <v>View Full Record in Web of Science</v>
      </c>
    </row>
    <row r="330" spans="1:72" x14ac:dyDescent="0.25">
      <c r="A330" t="s">
        <v>72</v>
      </c>
      <c r="B330" t="s">
        <v>6722</v>
      </c>
      <c r="C330" t="s">
        <v>74</v>
      </c>
      <c r="D330" t="s">
        <v>74</v>
      </c>
      <c r="E330" t="s">
        <v>74</v>
      </c>
      <c r="F330" t="s">
        <v>6723</v>
      </c>
      <c r="G330" t="s">
        <v>74</v>
      </c>
      <c r="H330" t="s">
        <v>74</v>
      </c>
      <c r="I330" t="s">
        <v>6724</v>
      </c>
      <c r="J330" t="s">
        <v>5110</v>
      </c>
      <c r="K330" t="s">
        <v>74</v>
      </c>
      <c r="L330" t="s">
        <v>74</v>
      </c>
      <c r="M330" t="s">
        <v>78</v>
      </c>
      <c r="N330" t="s">
        <v>79</v>
      </c>
      <c r="O330" t="s">
        <v>74</v>
      </c>
      <c r="P330" t="s">
        <v>74</v>
      </c>
      <c r="Q330" t="s">
        <v>74</v>
      </c>
      <c r="R330" t="s">
        <v>74</v>
      </c>
      <c r="S330" t="s">
        <v>74</v>
      </c>
      <c r="T330" t="s">
        <v>6725</v>
      </c>
      <c r="U330" t="s">
        <v>6726</v>
      </c>
      <c r="V330" t="s">
        <v>6727</v>
      </c>
      <c r="W330" t="s">
        <v>6728</v>
      </c>
      <c r="X330" t="s">
        <v>6729</v>
      </c>
      <c r="Y330" t="s">
        <v>6730</v>
      </c>
      <c r="Z330" t="s">
        <v>6731</v>
      </c>
      <c r="AA330" t="s">
        <v>6732</v>
      </c>
      <c r="AB330" t="s">
        <v>6733</v>
      </c>
      <c r="AC330" t="s">
        <v>74</v>
      </c>
      <c r="AD330" t="s">
        <v>74</v>
      </c>
      <c r="AE330" t="s">
        <v>74</v>
      </c>
      <c r="AF330" t="s">
        <v>74</v>
      </c>
      <c r="AG330">
        <v>179</v>
      </c>
      <c r="AH330">
        <v>0</v>
      </c>
      <c r="AI330">
        <v>0</v>
      </c>
      <c r="AJ330">
        <v>15</v>
      </c>
      <c r="AK330">
        <v>15</v>
      </c>
      <c r="AL330" t="s">
        <v>5121</v>
      </c>
      <c r="AM330" t="s">
        <v>173</v>
      </c>
      <c r="AN330" t="s">
        <v>5122</v>
      </c>
      <c r="AO330" t="s">
        <v>74</v>
      </c>
      <c r="AP330" t="s">
        <v>5123</v>
      </c>
      <c r="AQ330" t="s">
        <v>74</v>
      </c>
      <c r="AR330" t="s">
        <v>5124</v>
      </c>
      <c r="AS330" t="s">
        <v>5125</v>
      </c>
      <c r="AT330" t="s">
        <v>1471</v>
      </c>
      <c r="AU330">
        <v>2025</v>
      </c>
      <c r="AV330">
        <v>14</v>
      </c>
      <c r="AW330">
        <v>1</v>
      </c>
      <c r="AX330" t="s">
        <v>74</v>
      </c>
      <c r="AY330" t="s">
        <v>74</v>
      </c>
      <c r="AZ330" t="s">
        <v>74</v>
      </c>
      <c r="BA330" t="s">
        <v>74</v>
      </c>
      <c r="BB330" t="s">
        <v>74</v>
      </c>
      <c r="BC330" t="s">
        <v>74</v>
      </c>
      <c r="BD330">
        <v>12</v>
      </c>
      <c r="BE330" t="s">
        <v>6734</v>
      </c>
      <c r="BF330" t="str">
        <f>HYPERLINK("http://dx.doi.org/10.1145/3698240","http://dx.doi.org/10.1145/3698240")</f>
        <v>http://dx.doi.org/10.1145/3698240</v>
      </c>
      <c r="BG330" t="s">
        <v>74</v>
      </c>
      <c r="BH330" t="s">
        <v>74</v>
      </c>
      <c r="BI330">
        <v>30</v>
      </c>
      <c r="BJ330" t="s">
        <v>714</v>
      </c>
      <c r="BK330" t="s">
        <v>155</v>
      </c>
      <c r="BL330" t="s">
        <v>714</v>
      </c>
      <c r="BM330" t="s">
        <v>6735</v>
      </c>
      <c r="BN330" t="s">
        <v>74</v>
      </c>
      <c r="BO330" t="s">
        <v>74</v>
      </c>
      <c r="BP330" t="s">
        <v>74</v>
      </c>
      <c r="BQ330" t="s">
        <v>74</v>
      </c>
      <c r="BR330" t="s">
        <v>105</v>
      </c>
      <c r="BS330" t="s">
        <v>6736</v>
      </c>
      <c r="BT330" t="str">
        <f>HYPERLINK("https%3A%2F%2Fwww.webofscience.com%2Fwos%2Fwoscc%2Ffull-record%2FWOS:001415851100004","View Full Record in Web of Science")</f>
        <v>View Full Record in Web of Science</v>
      </c>
    </row>
    <row r="331" spans="1:72" x14ac:dyDescent="0.25">
      <c r="A331" t="s">
        <v>72</v>
      </c>
      <c r="B331" t="s">
        <v>6737</v>
      </c>
      <c r="C331" t="s">
        <v>74</v>
      </c>
      <c r="D331" t="s">
        <v>74</v>
      </c>
      <c r="E331" t="s">
        <v>74</v>
      </c>
      <c r="F331" t="s">
        <v>6738</v>
      </c>
      <c r="G331" t="s">
        <v>74</v>
      </c>
      <c r="H331" t="s">
        <v>74</v>
      </c>
      <c r="I331" t="s">
        <v>6739</v>
      </c>
      <c r="J331" t="s">
        <v>2690</v>
      </c>
      <c r="K331" t="s">
        <v>74</v>
      </c>
      <c r="L331" t="s">
        <v>74</v>
      </c>
      <c r="M331" t="s">
        <v>78</v>
      </c>
      <c r="N331" t="s">
        <v>79</v>
      </c>
      <c r="O331" t="s">
        <v>74</v>
      </c>
      <c r="P331" t="s">
        <v>74</v>
      </c>
      <c r="Q331" t="s">
        <v>74</v>
      </c>
      <c r="R331" t="s">
        <v>74</v>
      </c>
      <c r="S331" t="s">
        <v>74</v>
      </c>
      <c r="T331" t="s">
        <v>6740</v>
      </c>
      <c r="U331" t="s">
        <v>6741</v>
      </c>
      <c r="V331" t="s">
        <v>6742</v>
      </c>
      <c r="W331" t="s">
        <v>6743</v>
      </c>
      <c r="X331" t="s">
        <v>2695</v>
      </c>
      <c r="Y331" t="s">
        <v>6744</v>
      </c>
      <c r="Z331" t="s">
        <v>6745</v>
      </c>
      <c r="AA331" t="s">
        <v>74</v>
      </c>
      <c r="AB331" t="s">
        <v>74</v>
      </c>
      <c r="AC331" t="s">
        <v>74</v>
      </c>
      <c r="AD331" t="s">
        <v>74</v>
      </c>
      <c r="AE331" t="s">
        <v>74</v>
      </c>
      <c r="AF331" t="s">
        <v>74</v>
      </c>
      <c r="AG331">
        <v>102</v>
      </c>
      <c r="AH331">
        <v>0</v>
      </c>
      <c r="AI331">
        <v>0</v>
      </c>
      <c r="AJ331">
        <v>18</v>
      </c>
      <c r="AK331">
        <v>18</v>
      </c>
      <c r="AL331" t="s">
        <v>120</v>
      </c>
      <c r="AM331" t="s">
        <v>121</v>
      </c>
      <c r="AN331" t="s">
        <v>1221</v>
      </c>
      <c r="AO331" t="s">
        <v>74</v>
      </c>
      <c r="AP331" t="s">
        <v>2698</v>
      </c>
      <c r="AQ331" t="s">
        <v>74</v>
      </c>
      <c r="AR331" t="s">
        <v>2690</v>
      </c>
      <c r="AS331" t="s">
        <v>2699</v>
      </c>
      <c r="AT331" t="s">
        <v>6746</v>
      </c>
      <c r="AU331">
        <v>2025</v>
      </c>
      <c r="AV331">
        <v>14</v>
      </c>
      <c r="AW331">
        <v>3</v>
      </c>
      <c r="AX331" t="s">
        <v>74</v>
      </c>
      <c r="AY331" t="s">
        <v>74</v>
      </c>
      <c r="AZ331" t="s">
        <v>74</v>
      </c>
      <c r="BA331" t="s">
        <v>74</v>
      </c>
      <c r="BB331" t="s">
        <v>74</v>
      </c>
      <c r="BC331" t="s">
        <v>74</v>
      </c>
      <c r="BD331">
        <v>108</v>
      </c>
      <c r="BE331" t="s">
        <v>6747</v>
      </c>
      <c r="BF331" t="str">
        <f>HYPERLINK("http://dx.doi.org/10.3390/act14030108","http://dx.doi.org/10.3390/act14030108")</f>
        <v>http://dx.doi.org/10.3390/act14030108</v>
      </c>
      <c r="BG331" t="s">
        <v>74</v>
      </c>
      <c r="BH331" t="s">
        <v>74</v>
      </c>
      <c r="BI331">
        <v>55</v>
      </c>
      <c r="BJ331" t="s">
        <v>2701</v>
      </c>
      <c r="BK331" t="s">
        <v>182</v>
      </c>
      <c r="BL331" t="s">
        <v>2702</v>
      </c>
      <c r="BM331" t="s">
        <v>6748</v>
      </c>
      <c r="BN331" t="s">
        <v>74</v>
      </c>
      <c r="BO331" t="s">
        <v>185</v>
      </c>
      <c r="BP331" t="s">
        <v>74</v>
      </c>
      <c r="BQ331" t="s">
        <v>74</v>
      </c>
      <c r="BR331" t="s">
        <v>105</v>
      </c>
      <c r="BS331" t="s">
        <v>6749</v>
      </c>
      <c r="BT331" t="str">
        <f>HYPERLINK("https%3A%2F%2Fwww.webofscience.com%2Fwos%2Fwoscc%2Ffull-record%2FWOS:001453580600001","View Full Record in Web of Science")</f>
        <v>View Full Record in Web of Science</v>
      </c>
    </row>
    <row r="332" spans="1:72" x14ac:dyDescent="0.25">
      <c r="A332" t="s">
        <v>72</v>
      </c>
      <c r="B332" t="s">
        <v>6750</v>
      </c>
      <c r="C332" t="s">
        <v>74</v>
      </c>
      <c r="D332" t="s">
        <v>74</v>
      </c>
      <c r="E332" t="s">
        <v>74</v>
      </c>
      <c r="F332" t="s">
        <v>6751</v>
      </c>
      <c r="G332" t="s">
        <v>74</v>
      </c>
      <c r="H332" t="s">
        <v>74</v>
      </c>
      <c r="I332" t="s">
        <v>6752</v>
      </c>
      <c r="J332" t="s">
        <v>6753</v>
      </c>
      <c r="K332" t="s">
        <v>74</v>
      </c>
      <c r="L332" t="s">
        <v>74</v>
      </c>
      <c r="M332" t="s">
        <v>78</v>
      </c>
      <c r="N332" t="s">
        <v>79</v>
      </c>
      <c r="O332" t="s">
        <v>74</v>
      </c>
      <c r="P332" t="s">
        <v>74</v>
      </c>
      <c r="Q332" t="s">
        <v>74</v>
      </c>
      <c r="R332" t="s">
        <v>74</v>
      </c>
      <c r="S332" t="s">
        <v>74</v>
      </c>
      <c r="T332" t="s">
        <v>6754</v>
      </c>
      <c r="U332" t="s">
        <v>6755</v>
      </c>
      <c r="V332" t="s">
        <v>6756</v>
      </c>
      <c r="W332" t="s">
        <v>6757</v>
      </c>
      <c r="X332" t="s">
        <v>6758</v>
      </c>
      <c r="Y332" t="s">
        <v>6759</v>
      </c>
      <c r="Z332" t="s">
        <v>6760</v>
      </c>
      <c r="AA332" t="s">
        <v>74</v>
      </c>
      <c r="AB332" t="s">
        <v>74</v>
      </c>
      <c r="AC332" t="s">
        <v>74</v>
      </c>
      <c r="AD332" t="s">
        <v>74</v>
      </c>
      <c r="AE332" t="s">
        <v>74</v>
      </c>
      <c r="AF332" t="s">
        <v>74</v>
      </c>
      <c r="AG332">
        <v>188</v>
      </c>
      <c r="AH332">
        <v>0</v>
      </c>
      <c r="AI332">
        <v>0</v>
      </c>
      <c r="AJ332">
        <v>3</v>
      </c>
      <c r="AK332">
        <v>3</v>
      </c>
      <c r="AL332" t="s">
        <v>92</v>
      </c>
      <c r="AM332" t="s">
        <v>93</v>
      </c>
      <c r="AN332" t="s">
        <v>94</v>
      </c>
      <c r="AO332" t="s">
        <v>6761</v>
      </c>
      <c r="AP332" t="s">
        <v>6762</v>
      </c>
      <c r="AQ332" t="s">
        <v>74</v>
      </c>
      <c r="AR332" t="s">
        <v>6763</v>
      </c>
      <c r="AS332" t="s">
        <v>6764</v>
      </c>
      <c r="AT332" t="s">
        <v>2191</v>
      </c>
      <c r="AU332">
        <v>2025</v>
      </c>
      <c r="AV332">
        <v>30</v>
      </c>
      <c r="AW332">
        <v>2</v>
      </c>
      <c r="AX332" t="s">
        <v>74</v>
      </c>
      <c r="AY332" t="s">
        <v>74</v>
      </c>
      <c r="AZ332" t="s">
        <v>74</v>
      </c>
      <c r="BA332" t="s">
        <v>74</v>
      </c>
      <c r="BB332">
        <v>118</v>
      </c>
      <c r="BC332">
        <v>136</v>
      </c>
      <c r="BD332" t="s">
        <v>74</v>
      </c>
      <c r="BE332" t="s">
        <v>6765</v>
      </c>
      <c r="BF332" t="str">
        <f>HYPERLINK("http://dx.doi.org/10.1080/10833196.2025.2465937","http://dx.doi.org/10.1080/10833196.2025.2465937")</f>
        <v>http://dx.doi.org/10.1080/10833196.2025.2465937</v>
      </c>
      <c r="BG332" t="s">
        <v>74</v>
      </c>
      <c r="BH332" t="s">
        <v>3585</v>
      </c>
      <c r="BI332">
        <v>19</v>
      </c>
      <c r="BJ332" t="s">
        <v>101</v>
      </c>
      <c r="BK332" t="s">
        <v>155</v>
      </c>
      <c r="BL332" t="s">
        <v>101</v>
      </c>
      <c r="BM332" t="s">
        <v>6766</v>
      </c>
      <c r="BN332" t="s">
        <v>74</v>
      </c>
      <c r="BO332" t="s">
        <v>238</v>
      </c>
      <c r="BP332" t="s">
        <v>74</v>
      </c>
      <c r="BQ332" t="s">
        <v>74</v>
      </c>
      <c r="BR332" t="s">
        <v>105</v>
      </c>
      <c r="BS332" t="s">
        <v>6767</v>
      </c>
      <c r="BT332" t="str">
        <f>HYPERLINK("https%3A%2F%2Fwww.webofscience.com%2Fwos%2Fwoscc%2Ffull-record%2FWOS:001423211900001","View Full Record in Web of Science")</f>
        <v>View Full Record in Web of Science</v>
      </c>
    </row>
    <row r="333" spans="1:72" x14ac:dyDescent="0.25">
      <c r="A333" t="s">
        <v>72</v>
      </c>
      <c r="B333" t="s">
        <v>6768</v>
      </c>
      <c r="C333" t="s">
        <v>74</v>
      </c>
      <c r="D333" t="s">
        <v>74</v>
      </c>
      <c r="E333" t="s">
        <v>74</v>
      </c>
      <c r="F333" t="s">
        <v>6769</v>
      </c>
      <c r="G333" t="s">
        <v>74</v>
      </c>
      <c r="H333" t="s">
        <v>74</v>
      </c>
      <c r="I333" t="s">
        <v>6770</v>
      </c>
      <c r="J333" t="s">
        <v>6771</v>
      </c>
      <c r="K333" t="s">
        <v>74</v>
      </c>
      <c r="L333" t="s">
        <v>74</v>
      </c>
      <c r="M333" t="s">
        <v>1876</v>
      </c>
      <c r="N333" t="s">
        <v>79</v>
      </c>
      <c r="O333" t="s">
        <v>74</v>
      </c>
      <c r="P333" t="s">
        <v>74</v>
      </c>
      <c r="Q333" t="s">
        <v>74</v>
      </c>
      <c r="R333" t="s">
        <v>74</v>
      </c>
      <c r="S333" t="s">
        <v>74</v>
      </c>
      <c r="T333" t="s">
        <v>6772</v>
      </c>
      <c r="U333" t="s">
        <v>6773</v>
      </c>
      <c r="V333" t="s">
        <v>6774</v>
      </c>
      <c r="W333" t="s">
        <v>6775</v>
      </c>
      <c r="X333" t="s">
        <v>74</v>
      </c>
      <c r="Y333" t="s">
        <v>6776</v>
      </c>
      <c r="Z333" t="s">
        <v>6777</v>
      </c>
      <c r="AA333" t="s">
        <v>74</v>
      </c>
      <c r="AB333" t="s">
        <v>74</v>
      </c>
      <c r="AC333" t="s">
        <v>74</v>
      </c>
      <c r="AD333" t="s">
        <v>74</v>
      </c>
      <c r="AE333" t="s">
        <v>74</v>
      </c>
      <c r="AF333" t="s">
        <v>74</v>
      </c>
      <c r="AG333">
        <v>26</v>
      </c>
      <c r="AH333">
        <v>0</v>
      </c>
      <c r="AI333">
        <v>0</v>
      </c>
      <c r="AJ333">
        <v>0</v>
      </c>
      <c r="AK333">
        <v>0</v>
      </c>
      <c r="AL333" t="s">
        <v>172</v>
      </c>
      <c r="AM333" t="s">
        <v>173</v>
      </c>
      <c r="AN333" t="s">
        <v>174</v>
      </c>
      <c r="AO333" t="s">
        <v>6778</v>
      </c>
      <c r="AP333" t="s">
        <v>6779</v>
      </c>
      <c r="AQ333" t="s">
        <v>74</v>
      </c>
      <c r="AR333" t="s">
        <v>6771</v>
      </c>
      <c r="AS333" t="s">
        <v>6780</v>
      </c>
      <c r="AT333" t="s">
        <v>1471</v>
      </c>
      <c r="AU333">
        <v>2025</v>
      </c>
      <c r="AV333">
        <v>54</v>
      </c>
      <c r="AW333">
        <v>3</v>
      </c>
      <c r="AX333" t="s">
        <v>74</v>
      </c>
      <c r="AY333" t="s">
        <v>74</v>
      </c>
      <c r="AZ333" t="s">
        <v>152</v>
      </c>
      <c r="BA333" t="s">
        <v>74</v>
      </c>
      <c r="BB333">
        <v>169</v>
      </c>
      <c r="BC333">
        <v>176</v>
      </c>
      <c r="BD333" t="s">
        <v>74</v>
      </c>
      <c r="BE333" t="s">
        <v>6781</v>
      </c>
      <c r="BF333" t="str">
        <f>HYPERLINK("http://dx.doi.org/10.1007/s00132-025-04617-8","http://dx.doi.org/10.1007/s00132-025-04617-8")</f>
        <v>http://dx.doi.org/10.1007/s00132-025-04617-8</v>
      </c>
      <c r="BG333" t="s">
        <v>74</v>
      </c>
      <c r="BH333" t="s">
        <v>3585</v>
      </c>
      <c r="BI333">
        <v>8</v>
      </c>
      <c r="BJ333" t="s">
        <v>443</v>
      </c>
      <c r="BK333" t="s">
        <v>182</v>
      </c>
      <c r="BL333" t="s">
        <v>443</v>
      </c>
      <c r="BM333" t="s">
        <v>6782</v>
      </c>
      <c r="BN333">
        <v>39930012</v>
      </c>
      <c r="BO333" t="s">
        <v>74</v>
      </c>
      <c r="BP333" t="s">
        <v>74</v>
      </c>
      <c r="BQ333" t="s">
        <v>74</v>
      </c>
      <c r="BR333" t="s">
        <v>105</v>
      </c>
      <c r="BS333" t="s">
        <v>6783</v>
      </c>
      <c r="BT333" t="str">
        <f>HYPERLINK("https%3A%2F%2Fwww.webofscience.com%2Fwos%2Fwoscc%2Ffull-record%2FWOS:001417643500001","View Full Record in Web of Science")</f>
        <v>View Full Record in Web of Science</v>
      </c>
    </row>
    <row r="334" spans="1:72" x14ac:dyDescent="0.25">
      <c r="A334" t="s">
        <v>72</v>
      </c>
      <c r="B334" t="s">
        <v>6784</v>
      </c>
      <c r="C334" t="s">
        <v>74</v>
      </c>
      <c r="D334" t="s">
        <v>74</v>
      </c>
      <c r="E334" t="s">
        <v>74</v>
      </c>
      <c r="F334" t="s">
        <v>6785</v>
      </c>
      <c r="G334" t="s">
        <v>74</v>
      </c>
      <c r="H334" t="s">
        <v>74</v>
      </c>
      <c r="I334" t="s">
        <v>6786</v>
      </c>
      <c r="J334" t="s">
        <v>6787</v>
      </c>
      <c r="K334" t="s">
        <v>74</v>
      </c>
      <c r="L334" t="s">
        <v>74</v>
      </c>
      <c r="M334" t="s">
        <v>78</v>
      </c>
      <c r="N334" t="s">
        <v>79</v>
      </c>
      <c r="O334" t="s">
        <v>74</v>
      </c>
      <c r="P334" t="s">
        <v>74</v>
      </c>
      <c r="Q334" t="s">
        <v>74</v>
      </c>
      <c r="R334" t="s">
        <v>74</v>
      </c>
      <c r="S334" t="s">
        <v>74</v>
      </c>
      <c r="T334" t="s">
        <v>6788</v>
      </c>
      <c r="U334" t="s">
        <v>6789</v>
      </c>
      <c r="V334" t="s">
        <v>6790</v>
      </c>
      <c r="W334" t="s">
        <v>6791</v>
      </c>
      <c r="X334" t="s">
        <v>6792</v>
      </c>
      <c r="Y334" t="s">
        <v>6793</v>
      </c>
      <c r="Z334" t="s">
        <v>6794</v>
      </c>
      <c r="AA334" t="s">
        <v>74</v>
      </c>
      <c r="AB334" t="s">
        <v>74</v>
      </c>
      <c r="AC334" t="s">
        <v>74</v>
      </c>
      <c r="AD334" t="s">
        <v>74</v>
      </c>
      <c r="AE334" t="s">
        <v>74</v>
      </c>
      <c r="AF334" t="s">
        <v>74</v>
      </c>
      <c r="AG334">
        <v>55</v>
      </c>
      <c r="AH334">
        <v>1</v>
      </c>
      <c r="AI334">
        <v>1</v>
      </c>
      <c r="AJ334">
        <v>6</v>
      </c>
      <c r="AK334">
        <v>6</v>
      </c>
      <c r="AL334" t="s">
        <v>531</v>
      </c>
      <c r="AM334" t="s">
        <v>2343</v>
      </c>
      <c r="AN334" t="s">
        <v>2344</v>
      </c>
      <c r="AO334" t="s">
        <v>6795</v>
      </c>
      <c r="AP334" t="s">
        <v>6796</v>
      </c>
      <c r="AQ334" t="s">
        <v>74</v>
      </c>
      <c r="AR334" t="s">
        <v>6797</v>
      </c>
      <c r="AS334" t="s">
        <v>6798</v>
      </c>
      <c r="AT334" t="s">
        <v>487</v>
      </c>
      <c r="AU334">
        <v>2025</v>
      </c>
      <c r="AV334">
        <v>81</v>
      </c>
      <c r="AW334" t="s">
        <v>74</v>
      </c>
      <c r="AX334" t="s">
        <v>74</v>
      </c>
      <c r="AY334" t="s">
        <v>74</v>
      </c>
      <c r="AZ334" t="s">
        <v>74</v>
      </c>
      <c r="BA334" t="s">
        <v>74</v>
      </c>
      <c r="BB334" t="s">
        <v>74</v>
      </c>
      <c r="BC334" t="s">
        <v>74</v>
      </c>
      <c r="BD334">
        <v>102988</v>
      </c>
      <c r="BE334" t="s">
        <v>6799</v>
      </c>
      <c r="BF334" t="str">
        <f>HYPERLINK("http://dx.doi.org/10.1016/j.jelekin.2025.102988","http://dx.doi.org/10.1016/j.jelekin.2025.102988")</f>
        <v>http://dx.doi.org/10.1016/j.jelekin.2025.102988</v>
      </c>
      <c r="BG334" t="s">
        <v>74</v>
      </c>
      <c r="BH334" t="s">
        <v>3585</v>
      </c>
      <c r="BI334">
        <v>9</v>
      </c>
      <c r="BJ334" t="s">
        <v>6800</v>
      </c>
      <c r="BK334" t="s">
        <v>182</v>
      </c>
      <c r="BL334" t="s">
        <v>6801</v>
      </c>
      <c r="BM334" t="s">
        <v>6802</v>
      </c>
      <c r="BN334">
        <v>39923431</v>
      </c>
      <c r="BO334" t="s">
        <v>309</v>
      </c>
      <c r="BP334" t="s">
        <v>74</v>
      </c>
      <c r="BQ334" t="s">
        <v>74</v>
      </c>
      <c r="BR334" t="s">
        <v>105</v>
      </c>
      <c r="BS334" t="s">
        <v>6803</v>
      </c>
      <c r="BT334" t="str">
        <f>HYPERLINK("https%3A%2F%2Fwww.webofscience.com%2Fwos%2Fwoscc%2Ffull-record%2FWOS:001425017600001","View Full Record in Web of Science")</f>
        <v>View Full Record in Web of Science</v>
      </c>
    </row>
    <row r="335" spans="1:72" x14ac:dyDescent="0.25">
      <c r="A335" t="s">
        <v>72</v>
      </c>
      <c r="B335" t="s">
        <v>6804</v>
      </c>
      <c r="C335" t="s">
        <v>74</v>
      </c>
      <c r="D335" t="s">
        <v>74</v>
      </c>
      <c r="E335" t="s">
        <v>74</v>
      </c>
      <c r="F335" t="s">
        <v>6805</v>
      </c>
      <c r="G335" t="s">
        <v>74</v>
      </c>
      <c r="H335" t="s">
        <v>74</v>
      </c>
      <c r="I335" t="s">
        <v>6806</v>
      </c>
      <c r="J335" t="s">
        <v>6807</v>
      </c>
      <c r="K335" t="s">
        <v>74</v>
      </c>
      <c r="L335" t="s">
        <v>74</v>
      </c>
      <c r="M335" t="s">
        <v>78</v>
      </c>
      <c r="N335" t="s">
        <v>79</v>
      </c>
      <c r="O335" t="s">
        <v>74</v>
      </c>
      <c r="P335" t="s">
        <v>74</v>
      </c>
      <c r="Q335" t="s">
        <v>74</v>
      </c>
      <c r="R335" t="s">
        <v>74</v>
      </c>
      <c r="S335" t="s">
        <v>74</v>
      </c>
      <c r="T335" t="s">
        <v>6808</v>
      </c>
      <c r="U335" t="s">
        <v>6809</v>
      </c>
      <c r="V335" t="s">
        <v>6810</v>
      </c>
      <c r="W335" t="s">
        <v>6811</v>
      </c>
      <c r="X335" t="s">
        <v>6812</v>
      </c>
      <c r="Y335" t="s">
        <v>6813</v>
      </c>
      <c r="Z335" t="s">
        <v>6814</v>
      </c>
      <c r="AA335" t="s">
        <v>6815</v>
      </c>
      <c r="AB335" t="s">
        <v>74</v>
      </c>
      <c r="AC335" t="s">
        <v>6816</v>
      </c>
      <c r="AD335" t="s">
        <v>6817</v>
      </c>
      <c r="AE335" t="s">
        <v>6818</v>
      </c>
      <c r="AF335" t="s">
        <v>74</v>
      </c>
      <c r="AG335">
        <v>52</v>
      </c>
      <c r="AH335">
        <v>0</v>
      </c>
      <c r="AI335">
        <v>0</v>
      </c>
      <c r="AJ335">
        <v>0</v>
      </c>
      <c r="AK335">
        <v>0</v>
      </c>
      <c r="AL335" t="s">
        <v>172</v>
      </c>
      <c r="AM335" t="s">
        <v>173</v>
      </c>
      <c r="AN335" t="s">
        <v>174</v>
      </c>
      <c r="AO335" t="s">
        <v>6819</v>
      </c>
      <c r="AP335" t="s">
        <v>74</v>
      </c>
      <c r="AQ335" t="s">
        <v>74</v>
      </c>
      <c r="AR335" t="s">
        <v>6820</v>
      </c>
      <c r="AS335" t="s">
        <v>6821</v>
      </c>
      <c r="AT335" t="s">
        <v>6822</v>
      </c>
      <c r="AU335">
        <v>2025</v>
      </c>
      <c r="AV335">
        <v>13</v>
      </c>
      <c r="AW335">
        <v>1</v>
      </c>
      <c r="AX335" t="s">
        <v>74</v>
      </c>
      <c r="AY335" t="s">
        <v>74</v>
      </c>
      <c r="AZ335" t="s">
        <v>74</v>
      </c>
      <c r="BA335" t="s">
        <v>74</v>
      </c>
      <c r="BB335" t="s">
        <v>74</v>
      </c>
      <c r="BC335" t="s">
        <v>74</v>
      </c>
      <c r="BD335">
        <v>12</v>
      </c>
      <c r="BE335" t="s">
        <v>6823</v>
      </c>
      <c r="BF335" t="str">
        <f>HYPERLINK("http://dx.doi.org/10.1007/s40137-025-00444-0","http://dx.doi.org/10.1007/s40137-025-00444-0")</f>
        <v>http://dx.doi.org/10.1007/s40137-025-00444-0</v>
      </c>
      <c r="BG335" t="s">
        <v>74</v>
      </c>
      <c r="BH335" t="s">
        <v>74</v>
      </c>
      <c r="BI335">
        <v>9</v>
      </c>
      <c r="BJ335" t="s">
        <v>4896</v>
      </c>
      <c r="BK335" t="s">
        <v>155</v>
      </c>
      <c r="BL335" t="s">
        <v>4896</v>
      </c>
      <c r="BM335" t="s">
        <v>6824</v>
      </c>
      <c r="BN335" t="s">
        <v>74</v>
      </c>
      <c r="BO335" t="s">
        <v>74</v>
      </c>
      <c r="BP335" t="s">
        <v>74</v>
      </c>
      <c r="BQ335" t="s">
        <v>74</v>
      </c>
      <c r="BR335" t="s">
        <v>105</v>
      </c>
      <c r="BS335" t="s">
        <v>6825</v>
      </c>
      <c r="BT335" t="str">
        <f>HYPERLINK("https%3A%2F%2Fwww.webofscience.com%2Fwos%2Fwoscc%2Ffull-record%2FWOS:001415549000001","View Full Record in Web of Science")</f>
        <v>View Full Record in Web of Science</v>
      </c>
    </row>
    <row r="336" spans="1:72" x14ac:dyDescent="0.25">
      <c r="A336" t="s">
        <v>72</v>
      </c>
      <c r="B336" t="s">
        <v>6826</v>
      </c>
      <c r="C336" t="s">
        <v>74</v>
      </c>
      <c r="D336" t="s">
        <v>74</v>
      </c>
      <c r="E336" t="s">
        <v>74</v>
      </c>
      <c r="F336" t="s">
        <v>6827</v>
      </c>
      <c r="G336" t="s">
        <v>74</v>
      </c>
      <c r="H336" t="s">
        <v>74</v>
      </c>
      <c r="I336" t="s">
        <v>6828</v>
      </c>
      <c r="J336" t="s">
        <v>1008</v>
      </c>
      <c r="K336" t="s">
        <v>74</v>
      </c>
      <c r="L336" t="s">
        <v>74</v>
      </c>
      <c r="M336" t="s">
        <v>78</v>
      </c>
      <c r="N336" t="s">
        <v>449</v>
      </c>
      <c r="O336" t="s">
        <v>74</v>
      </c>
      <c r="P336" t="s">
        <v>74</v>
      </c>
      <c r="Q336" t="s">
        <v>74</v>
      </c>
      <c r="R336" t="s">
        <v>74</v>
      </c>
      <c r="S336" t="s">
        <v>74</v>
      </c>
      <c r="T336" t="s">
        <v>6829</v>
      </c>
      <c r="U336" t="s">
        <v>6830</v>
      </c>
      <c r="V336" t="s">
        <v>6831</v>
      </c>
      <c r="W336" t="s">
        <v>6832</v>
      </c>
      <c r="X336" t="s">
        <v>6833</v>
      </c>
      <c r="Y336" t="s">
        <v>6834</v>
      </c>
      <c r="Z336" t="s">
        <v>6835</v>
      </c>
      <c r="AA336" t="s">
        <v>6836</v>
      </c>
      <c r="AB336" t="s">
        <v>74</v>
      </c>
      <c r="AC336" t="s">
        <v>6837</v>
      </c>
      <c r="AD336" t="s">
        <v>6838</v>
      </c>
      <c r="AE336" t="s">
        <v>6839</v>
      </c>
      <c r="AF336" t="s">
        <v>74</v>
      </c>
      <c r="AG336">
        <v>123</v>
      </c>
      <c r="AH336">
        <v>0</v>
      </c>
      <c r="AI336">
        <v>0</v>
      </c>
      <c r="AJ336">
        <v>13</v>
      </c>
      <c r="AK336">
        <v>13</v>
      </c>
      <c r="AL336" t="s">
        <v>2529</v>
      </c>
      <c r="AM336" t="s">
        <v>2530</v>
      </c>
      <c r="AN336" t="s">
        <v>2531</v>
      </c>
      <c r="AO336" t="s">
        <v>1021</v>
      </c>
      <c r="AP336" t="s">
        <v>6602</v>
      </c>
      <c r="AQ336" t="s">
        <v>74</v>
      </c>
      <c r="AR336" t="s">
        <v>1022</v>
      </c>
      <c r="AS336" t="s">
        <v>1023</v>
      </c>
      <c r="AT336" t="s">
        <v>6840</v>
      </c>
      <c r="AU336">
        <v>2025</v>
      </c>
      <c r="AV336" t="s">
        <v>74</v>
      </c>
      <c r="AW336" t="s">
        <v>74</v>
      </c>
      <c r="AX336" t="s">
        <v>74</v>
      </c>
      <c r="AY336" t="s">
        <v>74</v>
      </c>
      <c r="AZ336" t="s">
        <v>74</v>
      </c>
      <c r="BA336" t="s">
        <v>74</v>
      </c>
      <c r="BB336" t="s">
        <v>74</v>
      </c>
      <c r="BC336" t="s">
        <v>74</v>
      </c>
      <c r="BD336" t="s">
        <v>74</v>
      </c>
      <c r="BE336" t="s">
        <v>6841</v>
      </c>
      <c r="BF336" t="str">
        <f>HYPERLINK("http://dx.doi.org/10.1007/s11517-025-03315-z","http://dx.doi.org/10.1007/s11517-025-03315-z")</f>
        <v>http://dx.doi.org/10.1007/s11517-025-03315-z</v>
      </c>
      <c r="BG336" t="s">
        <v>74</v>
      </c>
      <c r="BH336" t="s">
        <v>3585</v>
      </c>
      <c r="BI336">
        <v>20</v>
      </c>
      <c r="BJ336" t="s">
        <v>1025</v>
      </c>
      <c r="BK336" t="s">
        <v>182</v>
      </c>
      <c r="BL336" t="s">
        <v>1026</v>
      </c>
      <c r="BM336" t="s">
        <v>6842</v>
      </c>
      <c r="BN336">
        <v>39918767</v>
      </c>
      <c r="BO336" t="s">
        <v>309</v>
      </c>
      <c r="BP336" t="s">
        <v>74</v>
      </c>
      <c r="BQ336" t="s">
        <v>74</v>
      </c>
      <c r="BR336" t="s">
        <v>105</v>
      </c>
      <c r="BS336" t="s">
        <v>6843</v>
      </c>
      <c r="BT336" t="str">
        <f>HYPERLINK("https%3A%2F%2Fwww.webofscience.com%2Fwos%2Fwoscc%2Ffull-record%2FWOS:001415630600001","View Full Record in Web of Science")</f>
        <v>View Full Record in Web of Science</v>
      </c>
    </row>
    <row r="337" spans="1:72" x14ac:dyDescent="0.25">
      <c r="A337" t="s">
        <v>72</v>
      </c>
      <c r="B337" t="s">
        <v>6844</v>
      </c>
      <c r="C337" t="s">
        <v>74</v>
      </c>
      <c r="D337" t="s">
        <v>74</v>
      </c>
      <c r="E337" t="s">
        <v>74</v>
      </c>
      <c r="F337" t="s">
        <v>6845</v>
      </c>
      <c r="G337" t="s">
        <v>74</v>
      </c>
      <c r="H337" t="s">
        <v>74</v>
      </c>
      <c r="I337" t="s">
        <v>6846</v>
      </c>
      <c r="J337" t="s">
        <v>6847</v>
      </c>
      <c r="K337" t="s">
        <v>74</v>
      </c>
      <c r="L337" t="s">
        <v>74</v>
      </c>
      <c r="M337" t="s">
        <v>78</v>
      </c>
      <c r="N337" t="s">
        <v>449</v>
      </c>
      <c r="O337" t="s">
        <v>74</v>
      </c>
      <c r="P337" t="s">
        <v>74</v>
      </c>
      <c r="Q337" t="s">
        <v>74</v>
      </c>
      <c r="R337" t="s">
        <v>74</v>
      </c>
      <c r="S337" t="s">
        <v>74</v>
      </c>
      <c r="T337" t="s">
        <v>6848</v>
      </c>
      <c r="U337" t="s">
        <v>6849</v>
      </c>
      <c r="V337" t="s">
        <v>6850</v>
      </c>
      <c r="W337" t="s">
        <v>6851</v>
      </c>
      <c r="X337" t="s">
        <v>6852</v>
      </c>
      <c r="Y337" t="s">
        <v>6853</v>
      </c>
      <c r="Z337" t="s">
        <v>6854</v>
      </c>
      <c r="AA337" t="s">
        <v>6855</v>
      </c>
      <c r="AB337" t="s">
        <v>6856</v>
      </c>
      <c r="AC337" t="s">
        <v>74</v>
      </c>
      <c r="AD337" t="s">
        <v>74</v>
      </c>
      <c r="AE337" t="s">
        <v>74</v>
      </c>
      <c r="AF337" t="s">
        <v>74</v>
      </c>
      <c r="AG337">
        <v>120</v>
      </c>
      <c r="AH337">
        <v>0</v>
      </c>
      <c r="AI337">
        <v>0</v>
      </c>
      <c r="AJ337">
        <v>9</v>
      </c>
      <c r="AK337">
        <v>9</v>
      </c>
      <c r="AL337" t="s">
        <v>297</v>
      </c>
      <c r="AM337" t="s">
        <v>298</v>
      </c>
      <c r="AN337" t="s">
        <v>299</v>
      </c>
      <c r="AO337" t="s">
        <v>6857</v>
      </c>
      <c r="AP337" t="s">
        <v>6858</v>
      </c>
      <c r="AQ337" t="s">
        <v>74</v>
      </c>
      <c r="AR337" t="s">
        <v>6859</v>
      </c>
      <c r="AS337" t="s">
        <v>6860</v>
      </c>
      <c r="AT337" t="s">
        <v>6861</v>
      </c>
      <c r="AU337">
        <v>2025</v>
      </c>
      <c r="AV337" t="s">
        <v>74</v>
      </c>
      <c r="AW337" t="s">
        <v>74</v>
      </c>
      <c r="AX337" t="s">
        <v>74</v>
      </c>
      <c r="AY337" t="s">
        <v>74</v>
      </c>
      <c r="AZ337" t="s">
        <v>74</v>
      </c>
      <c r="BA337" t="s">
        <v>74</v>
      </c>
      <c r="BB337" t="s">
        <v>74</v>
      </c>
      <c r="BC337" t="s">
        <v>74</v>
      </c>
      <c r="BD337" t="s">
        <v>74</v>
      </c>
      <c r="BE337" t="s">
        <v>6862</v>
      </c>
      <c r="BF337" t="str">
        <f>HYPERLINK("http://dx.doi.org/10.1002/rob.22529","http://dx.doi.org/10.1002/rob.22529")</f>
        <v>http://dx.doi.org/10.1002/rob.22529</v>
      </c>
      <c r="BG337" t="s">
        <v>74</v>
      </c>
      <c r="BH337" t="s">
        <v>3585</v>
      </c>
      <c r="BI337">
        <v>15</v>
      </c>
      <c r="BJ337" t="s">
        <v>714</v>
      </c>
      <c r="BK337" t="s">
        <v>182</v>
      </c>
      <c r="BL337" t="s">
        <v>714</v>
      </c>
      <c r="BM337" t="s">
        <v>6863</v>
      </c>
      <c r="BN337" t="s">
        <v>74</v>
      </c>
      <c r="BO337" t="s">
        <v>74</v>
      </c>
      <c r="BP337" t="s">
        <v>74</v>
      </c>
      <c r="BQ337" t="s">
        <v>74</v>
      </c>
      <c r="BR337" t="s">
        <v>105</v>
      </c>
      <c r="BS337" t="s">
        <v>6864</v>
      </c>
      <c r="BT337" t="str">
        <f>HYPERLINK("https%3A%2F%2Fwww.webofscience.com%2Fwos%2Fwoscc%2Ffull-record%2FWOS:001462075300001","View Full Record in Web of Science")</f>
        <v>View Full Record in Web of Science</v>
      </c>
    </row>
    <row r="338" spans="1:72" x14ac:dyDescent="0.25">
      <c r="A338" t="s">
        <v>72</v>
      </c>
      <c r="B338" t="s">
        <v>6865</v>
      </c>
      <c r="C338" t="s">
        <v>74</v>
      </c>
      <c r="D338" t="s">
        <v>74</v>
      </c>
      <c r="E338" t="s">
        <v>74</v>
      </c>
      <c r="F338" t="s">
        <v>6866</v>
      </c>
      <c r="G338" t="s">
        <v>74</v>
      </c>
      <c r="H338" t="s">
        <v>74</v>
      </c>
      <c r="I338" t="s">
        <v>6867</v>
      </c>
      <c r="J338" t="s">
        <v>6868</v>
      </c>
      <c r="K338" t="s">
        <v>74</v>
      </c>
      <c r="L338" t="s">
        <v>74</v>
      </c>
      <c r="M338" t="s">
        <v>6869</v>
      </c>
      <c r="N338" t="s">
        <v>79</v>
      </c>
      <c r="O338" t="s">
        <v>74</v>
      </c>
      <c r="P338" t="s">
        <v>74</v>
      </c>
      <c r="Q338" t="s">
        <v>74</v>
      </c>
      <c r="R338" t="s">
        <v>74</v>
      </c>
      <c r="S338" t="s">
        <v>74</v>
      </c>
      <c r="T338" t="s">
        <v>6870</v>
      </c>
      <c r="U338" t="s">
        <v>6871</v>
      </c>
      <c r="V338" t="s">
        <v>6872</v>
      </c>
      <c r="W338" t="s">
        <v>6873</v>
      </c>
      <c r="X338" t="s">
        <v>6874</v>
      </c>
      <c r="Y338" t="s">
        <v>6875</v>
      </c>
      <c r="Z338" t="s">
        <v>6876</v>
      </c>
      <c r="AA338" t="s">
        <v>6877</v>
      </c>
      <c r="AB338" t="s">
        <v>6878</v>
      </c>
      <c r="AC338" t="s">
        <v>74</v>
      </c>
      <c r="AD338" t="s">
        <v>74</v>
      </c>
      <c r="AE338" t="s">
        <v>74</v>
      </c>
      <c r="AF338" t="s">
        <v>74</v>
      </c>
      <c r="AG338">
        <v>26</v>
      </c>
      <c r="AH338">
        <v>0</v>
      </c>
      <c r="AI338">
        <v>0</v>
      </c>
      <c r="AJ338">
        <v>4</v>
      </c>
      <c r="AK338">
        <v>4</v>
      </c>
      <c r="AL338" t="s">
        <v>6879</v>
      </c>
      <c r="AM338" t="s">
        <v>6880</v>
      </c>
      <c r="AN338" t="s">
        <v>6881</v>
      </c>
      <c r="AO338" t="s">
        <v>6882</v>
      </c>
      <c r="AP338" t="s">
        <v>6883</v>
      </c>
      <c r="AQ338" t="s">
        <v>74</v>
      </c>
      <c r="AR338" t="s">
        <v>6868</v>
      </c>
      <c r="AS338" t="s">
        <v>6884</v>
      </c>
      <c r="AT338" t="s">
        <v>6885</v>
      </c>
      <c r="AU338">
        <v>2025</v>
      </c>
      <c r="AV338">
        <v>166</v>
      </c>
      <c r="AW338">
        <v>5</v>
      </c>
      <c r="AX338" t="s">
        <v>74</v>
      </c>
      <c r="AY338" t="s">
        <v>74</v>
      </c>
      <c r="AZ338" t="s">
        <v>74</v>
      </c>
      <c r="BA338" t="s">
        <v>74</v>
      </c>
      <c r="BB338">
        <v>175</v>
      </c>
      <c r="BC338">
        <v>182</v>
      </c>
      <c r="BD338" t="s">
        <v>74</v>
      </c>
      <c r="BE338" t="s">
        <v>6886</v>
      </c>
      <c r="BF338" t="str">
        <f>HYPERLINK("http://dx.doi.org/10.1556/650.2025.33223","http://dx.doi.org/10.1556/650.2025.33223")</f>
        <v>http://dx.doi.org/10.1556/650.2025.33223</v>
      </c>
      <c r="BG338" t="s">
        <v>74</v>
      </c>
      <c r="BH338" t="s">
        <v>74</v>
      </c>
      <c r="BI338">
        <v>8</v>
      </c>
      <c r="BJ338" t="s">
        <v>128</v>
      </c>
      <c r="BK338" t="s">
        <v>182</v>
      </c>
      <c r="BL338" t="s">
        <v>129</v>
      </c>
      <c r="BM338" t="s">
        <v>6887</v>
      </c>
      <c r="BN338">
        <v>39893598</v>
      </c>
      <c r="BO338" t="s">
        <v>74</v>
      </c>
      <c r="BP338" t="s">
        <v>74</v>
      </c>
      <c r="BQ338" t="s">
        <v>74</v>
      </c>
      <c r="BR338" t="s">
        <v>105</v>
      </c>
      <c r="BS338" t="s">
        <v>6888</v>
      </c>
      <c r="BT338" t="str">
        <f>HYPERLINK("https%3A%2F%2Fwww.webofscience.com%2Fwos%2Fwoscc%2Ffull-record%2FWOS:001412918400001","View Full Record in Web of Science")</f>
        <v>View Full Record in Web of Science</v>
      </c>
    </row>
    <row r="339" spans="1:72" x14ac:dyDescent="0.25">
      <c r="A339" t="s">
        <v>72</v>
      </c>
      <c r="B339" t="s">
        <v>6889</v>
      </c>
      <c r="C339" t="s">
        <v>74</v>
      </c>
      <c r="D339" t="s">
        <v>74</v>
      </c>
      <c r="E339" t="s">
        <v>74</v>
      </c>
      <c r="F339" t="s">
        <v>6890</v>
      </c>
      <c r="G339" t="s">
        <v>74</v>
      </c>
      <c r="H339" t="s">
        <v>74</v>
      </c>
      <c r="I339" t="s">
        <v>6891</v>
      </c>
      <c r="J339" t="s">
        <v>6892</v>
      </c>
      <c r="K339" t="s">
        <v>74</v>
      </c>
      <c r="L339" t="s">
        <v>74</v>
      </c>
      <c r="M339" t="s">
        <v>78</v>
      </c>
      <c r="N339" t="s">
        <v>79</v>
      </c>
      <c r="O339" t="s">
        <v>74</v>
      </c>
      <c r="P339" t="s">
        <v>74</v>
      </c>
      <c r="Q339" t="s">
        <v>74</v>
      </c>
      <c r="R339" t="s">
        <v>74</v>
      </c>
      <c r="S339" t="s">
        <v>74</v>
      </c>
      <c r="T339" t="s">
        <v>6893</v>
      </c>
      <c r="U339" t="s">
        <v>74</v>
      </c>
      <c r="V339" t="s">
        <v>6894</v>
      </c>
      <c r="W339" t="s">
        <v>6895</v>
      </c>
      <c r="X339" t="s">
        <v>74</v>
      </c>
      <c r="Y339" t="s">
        <v>6896</v>
      </c>
      <c r="Z339" t="s">
        <v>6897</v>
      </c>
      <c r="AA339" t="s">
        <v>6898</v>
      </c>
      <c r="AB339" t="s">
        <v>74</v>
      </c>
      <c r="AC339" t="s">
        <v>74</v>
      </c>
      <c r="AD339" t="s">
        <v>74</v>
      </c>
      <c r="AE339" t="s">
        <v>74</v>
      </c>
      <c r="AF339" t="s">
        <v>74</v>
      </c>
      <c r="AG339">
        <v>16</v>
      </c>
      <c r="AH339">
        <v>0</v>
      </c>
      <c r="AI339">
        <v>0</v>
      </c>
      <c r="AJ339">
        <v>4</v>
      </c>
      <c r="AK339">
        <v>4</v>
      </c>
      <c r="AL339" t="s">
        <v>1801</v>
      </c>
      <c r="AM339" t="s">
        <v>1802</v>
      </c>
      <c r="AN339" t="s">
        <v>1803</v>
      </c>
      <c r="AO339" t="s">
        <v>6899</v>
      </c>
      <c r="AP339" t="s">
        <v>74</v>
      </c>
      <c r="AQ339" t="s">
        <v>74</v>
      </c>
      <c r="AR339" t="s">
        <v>6900</v>
      </c>
      <c r="AS339" t="s">
        <v>6901</v>
      </c>
      <c r="AT339" t="s">
        <v>351</v>
      </c>
      <c r="AU339">
        <v>2025</v>
      </c>
      <c r="AV339">
        <v>75</v>
      </c>
      <c r="AW339">
        <v>2</v>
      </c>
      <c r="AX339" t="s">
        <v>74</v>
      </c>
      <c r="AY339" t="s">
        <v>74</v>
      </c>
      <c r="AZ339" t="s">
        <v>74</v>
      </c>
      <c r="BA339" t="s">
        <v>74</v>
      </c>
      <c r="BB339">
        <v>339</v>
      </c>
      <c r="BC339">
        <v>341</v>
      </c>
      <c r="BD339" t="s">
        <v>74</v>
      </c>
      <c r="BE339" t="s">
        <v>6902</v>
      </c>
      <c r="BF339" t="str">
        <f>HYPERLINK("http://dx.doi.org/10.47391/JPMA.25-16","http://dx.doi.org/10.47391/JPMA.25-16")</f>
        <v>http://dx.doi.org/10.47391/JPMA.25-16</v>
      </c>
      <c r="BG339" t="s">
        <v>74</v>
      </c>
      <c r="BH339" t="s">
        <v>74</v>
      </c>
      <c r="BI339">
        <v>3</v>
      </c>
      <c r="BJ339" t="s">
        <v>5349</v>
      </c>
      <c r="BK339" t="s">
        <v>182</v>
      </c>
      <c r="BL339" t="s">
        <v>5350</v>
      </c>
      <c r="BM339" t="s">
        <v>6903</v>
      </c>
      <c r="BN339">
        <v>39948807</v>
      </c>
      <c r="BO339" t="s">
        <v>185</v>
      </c>
      <c r="BP339" t="s">
        <v>74</v>
      </c>
      <c r="BQ339" t="s">
        <v>74</v>
      </c>
      <c r="BR339" t="s">
        <v>105</v>
      </c>
      <c r="BS339" t="s">
        <v>6904</v>
      </c>
      <c r="BT339" t="str">
        <f>HYPERLINK("https%3A%2F%2Fwww.webofscience.com%2Fwos%2Fwoscc%2Ffull-record%2FWOS:001447287600031","View Full Record in Web of Science")</f>
        <v>View Full Record in Web of Science</v>
      </c>
    </row>
    <row r="340" spans="1:72" x14ac:dyDescent="0.25">
      <c r="A340" t="s">
        <v>72</v>
      </c>
      <c r="B340" t="s">
        <v>6905</v>
      </c>
      <c r="C340" t="s">
        <v>74</v>
      </c>
      <c r="D340" t="s">
        <v>74</v>
      </c>
      <c r="E340" t="s">
        <v>74</v>
      </c>
      <c r="F340" t="s">
        <v>6906</v>
      </c>
      <c r="G340" t="s">
        <v>74</v>
      </c>
      <c r="H340" t="s">
        <v>74</v>
      </c>
      <c r="I340" t="s">
        <v>6907</v>
      </c>
      <c r="J340" t="s">
        <v>110</v>
      </c>
      <c r="K340" t="s">
        <v>74</v>
      </c>
      <c r="L340" t="s">
        <v>74</v>
      </c>
      <c r="M340" t="s">
        <v>78</v>
      </c>
      <c r="N340" t="s">
        <v>79</v>
      </c>
      <c r="O340" t="s">
        <v>74</v>
      </c>
      <c r="P340" t="s">
        <v>74</v>
      </c>
      <c r="Q340" t="s">
        <v>74</v>
      </c>
      <c r="R340" t="s">
        <v>74</v>
      </c>
      <c r="S340" t="s">
        <v>74</v>
      </c>
      <c r="T340" t="s">
        <v>6908</v>
      </c>
      <c r="U340" t="s">
        <v>6909</v>
      </c>
      <c r="V340" t="s">
        <v>6910</v>
      </c>
      <c r="W340" t="s">
        <v>6911</v>
      </c>
      <c r="X340" t="s">
        <v>6912</v>
      </c>
      <c r="Y340" t="s">
        <v>6913</v>
      </c>
      <c r="Z340" t="s">
        <v>6914</v>
      </c>
      <c r="AA340" t="s">
        <v>74</v>
      </c>
      <c r="AB340" t="s">
        <v>6915</v>
      </c>
      <c r="AC340" t="s">
        <v>74</v>
      </c>
      <c r="AD340" t="s">
        <v>74</v>
      </c>
      <c r="AE340" t="s">
        <v>74</v>
      </c>
      <c r="AF340" t="s">
        <v>74</v>
      </c>
      <c r="AG340">
        <v>42</v>
      </c>
      <c r="AH340">
        <v>0</v>
      </c>
      <c r="AI340">
        <v>0</v>
      </c>
      <c r="AJ340">
        <v>0</v>
      </c>
      <c r="AK340">
        <v>0</v>
      </c>
      <c r="AL340" t="s">
        <v>120</v>
      </c>
      <c r="AM340" t="s">
        <v>121</v>
      </c>
      <c r="AN340" t="s">
        <v>1221</v>
      </c>
      <c r="AO340" t="s">
        <v>74</v>
      </c>
      <c r="AP340" t="s">
        <v>123</v>
      </c>
      <c r="AQ340" t="s">
        <v>74</v>
      </c>
      <c r="AR340" t="s">
        <v>124</v>
      </c>
      <c r="AS340" t="s">
        <v>125</v>
      </c>
      <c r="AT340" t="s">
        <v>351</v>
      </c>
      <c r="AU340">
        <v>2025</v>
      </c>
      <c r="AV340">
        <v>14</v>
      </c>
      <c r="AW340">
        <v>4</v>
      </c>
      <c r="AX340" t="s">
        <v>74</v>
      </c>
      <c r="AY340" t="s">
        <v>74</v>
      </c>
      <c r="AZ340" t="s">
        <v>74</v>
      </c>
      <c r="BA340" t="s">
        <v>74</v>
      </c>
      <c r="BB340" t="s">
        <v>74</v>
      </c>
      <c r="BC340" t="s">
        <v>74</v>
      </c>
      <c r="BD340">
        <v>1289</v>
      </c>
      <c r="BE340" t="s">
        <v>6916</v>
      </c>
      <c r="BF340" t="str">
        <f>HYPERLINK("http://dx.doi.org/10.3390/jcm14041289","http://dx.doi.org/10.3390/jcm14041289")</f>
        <v>http://dx.doi.org/10.3390/jcm14041289</v>
      </c>
      <c r="BG340" t="s">
        <v>74</v>
      </c>
      <c r="BH340" t="s">
        <v>74</v>
      </c>
      <c r="BI340">
        <v>17</v>
      </c>
      <c r="BJ340" t="s">
        <v>128</v>
      </c>
      <c r="BK340" t="s">
        <v>182</v>
      </c>
      <c r="BL340" t="s">
        <v>129</v>
      </c>
      <c r="BM340" t="s">
        <v>6917</v>
      </c>
      <c r="BN340">
        <v>40004821</v>
      </c>
      <c r="BO340" t="s">
        <v>185</v>
      </c>
      <c r="BP340" t="s">
        <v>74</v>
      </c>
      <c r="BQ340" t="s">
        <v>74</v>
      </c>
      <c r="BR340" t="s">
        <v>105</v>
      </c>
      <c r="BS340" t="s">
        <v>6918</v>
      </c>
      <c r="BT340" t="str">
        <f>HYPERLINK("https%3A%2F%2Fwww.webofscience.com%2Fwos%2Fwoscc%2Ffull-record%2FWOS:001431985700001","View Full Record in Web of Science")</f>
        <v>View Full Record in Web of Science</v>
      </c>
    </row>
    <row r="341" spans="1:72" x14ac:dyDescent="0.25">
      <c r="A341" t="s">
        <v>72</v>
      </c>
      <c r="B341" t="s">
        <v>6919</v>
      </c>
      <c r="C341" t="s">
        <v>74</v>
      </c>
      <c r="D341" t="s">
        <v>74</v>
      </c>
      <c r="E341" t="s">
        <v>74</v>
      </c>
      <c r="F341" t="s">
        <v>6920</v>
      </c>
      <c r="G341" t="s">
        <v>74</v>
      </c>
      <c r="H341" t="s">
        <v>74</v>
      </c>
      <c r="I341" t="s">
        <v>6921</v>
      </c>
      <c r="J341" t="s">
        <v>6922</v>
      </c>
      <c r="K341" t="s">
        <v>74</v>
      </c>
      <c r="L341" t="s">
        <v>74</v>
      </c>
      <c r="M341" t="s">
        <v>78</v>
      </c>
      <c r="N341" t="s">
        <v>79</v>
      </c>
      <c r="O341" t="s">
        <v>74</v>
      </c>
      <c r="P341" t="s">
        <v>74</v>
      </c>
      <c r="Q341" t="s">
        <v>74</v>
      </c>
      <c r="R341" t="s">
        <v>74</v>
      </c>
      <c r="S341" t="s">
        <v>74</v>
      </c>
      <c r="T341" t="s">
        <v>6923</v>
      </c>
      <c r="U341" t="s">
        <v>6924</v>
      </c>
      <c r="V341" t="s">
        <v>6925</v>
      </c>
      <c r="W341" t="s">
        <v>6926</v>
      </c>
      <c r="X341" t="s">
        <v>6927</v>
      </c>
      <c r="Y341" t="s">
        <v>6928</v>
      </c>
      <c r="Z341" t="s">
        <v>6929</v>
      </c>
      <c r="AA341" t="s">
        <v>6930</v>
      </c>
      <c r="AB341" t="s">
        <v>74</v>
      </c>
      <c r="AC341" t="s">
        <v>6931</v>
      </c>
      <c r="AD341" t="s">
        <v>6932</v>
      </c>
      <c r="AE341" t="s">
        <v>6933</v>
      </c>
      <c r="AF341" t="s">
        <v>74</v>
      </c>
      <c r="AG341">
        <v>120</v>
      </c>
      <c r="AH341">
        <v>3</v>
      </c>
      <c r="AI341">
        <v>4</v>
      </c>
      <c r="AJ341">
        <v>0</v>
      </c>
      <c r="AK341">
        <v>0</v>
      </c>
      <c r="AL341" t="s">
        <v>1040</v>
      </c>
      <c r="AM341" t="s">
        <v>1041</v>
      </c>
      <c r="AN341" t="s">
        <v>1042</v>
      </c>
      <c r="AO341" t="s">
        <v>6934</v>
      </c>
      <c r="AP341" t="s">
        <v>6935</v>
      </c>
      <c r="AQ341" t="s">
        <v>74</v>
      </c>
      <c r="AR341" t="s">
        <v>6936</v>
      </c>
      <c r="AS341" t="s">
        <v>6937</v>
      </c>
      <c r="AT341" t="s">
        <v>351</v>
      </c>
      <c r="AU341">
        <v>2025</v>
      </c>
      <c r="AV341">
        <v>17</v>
      </c>
      <c r="AW341">
        <v>1</v>
      </c>
      <c r="AX341" t="s">
        <v>74</v>
      </c>
      <c r="AY341" t="s">
        <v>74</v>
      </c>
      <c r="AZ341" t="s">
        <v>74</v>
      </c>
      <c r="BA341" t="s">
        <v>74</v>
      </c>
      <c r="BB341">
        <v>5</v>
      </c>
      <c r="BC341">
        <v>27</v>
      </c>
      <c r="BD341" t="s">
        <v>74</v>
      </c>
      <c r="BE341" t="s">
        <v>6938</v>
      </c>
      <c r="BF341" t="str">
        <f>HYPERLINK("http://dx.doi.org/10.3233/AIS-230198","http://dx.doi.org/10.3233/AIS-230198")</f>
        <v>http://dx.doi.org/10.3233/AIS-230198</v>
      </c>
      <c r="BG341" t="s">
        <v>74</v>
      </c>
      <c r="BH341" t="s">
        <v>74</v>
      </c>
      <c r="BI341">
        <v>23</v>
      </c>
      <c r="BJ341" t="s">
        <v>6939</v>
      </c>
      <c r="BK341" t="s">
        <v>182</v>
      </c>
      <c r="BL341" t="s">
        <v>6940</v>
      </c>
      <c r="BM341" t="s">
        <v>6941</v>
      </c>
      <c r="BN341" t="s">
        <v>74</v>
      </c>
      <c r="BO341" t="s">
        <v>74</v>
      </c>
      <c r="BP341" t="s">
        <v>74</v>
      </c>
      <c r="BQ341" t="s">
        <v>74</v>
      </c>
      <c r="BR341" t="s">
        <v>105</v>
      </c>
      <c r="BS341" t="s">
        <v>6942</v>
      </c>
      <c r="BT341" t="str">
        <f>HYPERLINK("https%3A%2F%2Fwww.webofscience.com%2Fwos%2Fwoscc%2Ffull-record%2FWOS:001465299500003","View Full Record in Web of Science")</f>
        <v>View Full Record in Web of Science</v>
      </c>
    </row>
    <row r="342" spans="1:72" x14ac:dyDescent="0.25">
      <c r="A342" t="s">
        <v>72</v>
      </c>
      <c r="B342" t="s">
        <v>6943</v>
      </c>
      <c r="C342" t="s">
        <v>74</v>
      </c>
      <c r="D342" t="s">
        <v>74</v>
      </c>
      <c r="E342" t="s">
        <v>74</v>
      </c>
      <c r="F342" t="s">
        <v>6944</v>
      </c>
      <c r="G342" t="s">
        <v>74</v>
      </c>
      <c r="H342" t="s">
        <v>74</v>
      </c>
      <c r="I342" t="s">
        <v>6945</v>
      </c>
      <c r="J342" t="s">
        <v>6946</v>
      </c>
      <c r="K342" t="s">
        <v>74</v>
      </c>
      <c r="L342" t="s">
        <v>74</v>
      </c>
      <c r="M342" t="s">
        <v>78</v>
      </c>
      <c r="N342" t="s">
        <v>79</v>
      </c>
      <c r="O342" t="s">
        <v>74</v>
      </c>
      <c r="P342" t="s">
        <v>74</v>
      </c>
      <c r="Q342" t="s">
        <v>74</v>
      </c>
      <c r="R342" t="s">
        <v>74</v>
      </c>
      <c r="S342" t="s">
        <v>74</v>
      </c>
      <c r="T342" t="s">
        <v>6947</v>
      </c>
      <c r="U342" t="s">
        <v>6948</v>
      </c>
      <c r="V342" t="s">
        <v>6949</v>
      </c>
      <c r="W342" t="s">
        <v>6950</v>
      </c>
      <c r="X342" t="s">
        <v>6951</v>
      </c>
      <c r="Y342" t="s">
        <v>6952</v>
      </c>
      <c r="Z342" t="s">
        <v>6953</v>
      </c>
      <c r="AA342" t="s">
        <v>6954</v>
      </c>
      <c r="AB342" t="s">
        <v>6955</v>
      </c>
      <c r="AC342" t="s">
        <v>6956</v>
      </c>
      <c r="AD342" t="s">
        <v>6957</v>
      </c>
      <c r="AE342" t="s">
        <v>6958</v>
      </c>
      <c r="AF342" t="s">
        <v>74</v>
      </c>
      <c r="AG342">
        <v>125</v>
      </c>
      <c r="AH342">
        <v>4</v>
      </c>
      <c r="AI342">
        <v>4</v>
      </c>
      <c r="AJ342">
        <v>28</v>
      </c>
      <c r="AK342">
        <v>28</v>
      </c>
      <c r="AL342" t="s">
        <v>120</v>
      </c>
      <c r="AM342" t="s">
        <v>121</v>
      </c>
      <c r="AN342" t="s">
        <v>1221</v>
      </c>
      <c r="AO342" t="s">
        <v>74</v>
      </c>
      <c r="AP342" t="s">
        <v>6959</v>
      </c>
      <c r="AQ342" t="s">
        <v>74</v>
      </c>
      <c r="AR342" t="s">
        <v>6946</v>
      </c>
      <c r="AS342" t="s">
        <v>6960</v>
      </c>
      <c r="AT342" t="s">
        <v>351</v>
      </c>
      <c r="AU342">
        <v>2025</v>
      </c>
      <c r="AV342">
        <v>13</v>
      </c>
      <c r="AW342">
        <v>2</v>
      </c>
      <c r="AX342" t="s">
        <v>74</v>
      </c>
      <c r="AY342" t="s">
        <v>74</v>
      </c>
      <c r="AZ342" t="s">
        <v>74</v>
      </c>
      <c r="BA342" t="s">
        <v>74</v>
      </c>
      <c r="BB342" t="s">
        <v>74</v>
      </c>
      <c r="BC342" t="s">
        <v>74</v>
      </c>
      <c r="BD342">
        <v>69</v>
      </c>
      <c r="BE342" t="s">
        <v>6961</v>
      </c>
      <c r="BF342" t="str">
        <f>HYPERLINK("http://dx.doi.org/10.3390/technologies13020069","http://dx.doi.org/10.3390/technologies13020069")</f>
        <v>http://dx.doi.org/10.3390/technologies13020069</v>
      </c>
      <c r="BG342" t="s">
        <v>74</v>
      </c>
      <c r="BH342" t="s">
        <v>74</v>
      </c>
      <c r="BI342">
        <v>22</v>
      </c>
      <c r="BJ342" t="s">
        <v>1202</v>
      </c>
      <c r="BK342" t="s">
        <v>155</v>
      </c>
      <c r="BL342" t="s">
        <v>183</v>
      </c>
      <c r="BM342" t="s">
        <v>6962</v>
      </c>
      <c r="BN342" t="s">
        <v>74</v>
      </c>
      <c r="BO342" t="s">
        <v>185</v>
      </c>
      <c r="BP342" t="s">
        <v>74</v>
      </c>
      <c r="BQ342" t="s">
        <v>74</v>
      </c>
      <c r="BR342" t="s">
        <v>105</v>
      </c>
      <c r="BS342" t="s">
        <v>6963</v>
      </c>
      <c r="BT342" t="str">
        <f>HYPERLINK("https%3A%2F%2Fwww.webofscience.com%2Fwos%2Fwoscc%2Ffull-record%2FWOS:001429570200001","View Full Record in Web of Science")</f>
        <v>View Full Record in Web of Science</v>
      </c>
    </row>
    <row r="343" spans="1:72" x14ac:dyDescent="0.25">
      <c r="A343" t="s">
        <v>72</v>
      </c>
      <c r="B343" t="s">
        <v>6964</v>
      </c>
      <c r="C343" t="s">
        <v>74</v>
      </c>
      <c r="D343" t="s">
        <v>74</v>
      </c>
      <c r="E343" t="s">
        <v>74</v>
      </c>
      <c r="F343" t="s">
        <v>6965</v>
      </c>
      <c r="G343" t="s">
        <v>74</v>
      </c>
      <c r="H343" t="s">
        <v>74</v>
      </c>
      <c r="I343" t="s">
        <v>6966</v>
      </c>
      <c r="J343" t="s">
        <v>6967</v>
      </c>
      <c r="K343" t="s">
        <v>74</v>
      </c>
      <c r="L343" t="s">
        <v>74</v>
      </c>
      <c r="M343" t="s">
        <v>78</v>
      </c>
      <c r="N343" t="s">
        <v>79</v>
      </c>
      <c r="O343" t="s">
        <v>74</v>
      </c>
      <c r="P343" t="s">
        <v>74</v>
      </c>
      <c r="Q343" t="s">
        <v>74</v>
      </c>
      <c r="R343" t="s">
        <v>74</v>
      </c>
      <c r="S343" t="s">
        <v>74</v>
      </c>
      <c r="T343" t="s">
        <v>6968</v>
      </c>
      <c r="U343" t="s">
        <v>6969</v>
      </c>
      <c r="V343" t="s">
        <v>6970</v>
      </c>
      <c r="W343" t="s">
        <v>6971</v>
      </c>
      <c r="X343" t="s">
        <v>6972</v>
      </c>
      <c r="Y343" t="s">
        <v>6973</v>
      </c>
      <c r="Z343" t="s">
        <v>6974</v>
      </c>
      <c r="AA343" t="s">
        <v>6975</v>
      </c>
      <c r="AB343" t="s">
        <v>6976</v>
      </c>
      <c r="AC343" t="s">
        <v>6977</v>
      </c>
      <c r="AD343" t="s">
        <v>1649</v>
      </c>
      <c r="AE343" t="s">
        <v>6978</v>
      </c>
      <c r="AF343" t="s">
        <v>74</v>
      </c>
      <c r="AG343">
        <v>50</v>
      </c>
      <c r="AH343">
        <v>0</v>
      </c>
      <c r="AI343">
        <v>0</v>
      </c>
      <c r="AJ343">
        <v>1</v>
      </c>
      <c r="AK343">
        <v>1</v>
      </c>
      <c r="AL343" t="s">
        <v>1040</v>
      </c>
      <c r="AM343" t="s">
        <v>1041</v>
      </c>
      <c r="AN343" t="s">
        <v>1042</v>
      </c>
      <c r="AO343" t="s">
        <v>6979</v>
      </c>
      <c r="AP343" t="s">
        <v>6980</v>
      </c>
      <c r="AQ343" t="s">
        <v>74</v>
      </c>
      <c r="AR343" t="s">
        <v>6967</v>
      </c>
      <c r="AS343" t="s">
        <v>6981</v>
      </c>
      <c r="AT343" t="s">
        <v>151</v>
      </c>
      <c r="AU343">
        <v>2024</v>
      </c>
      <c r="AV343">
        <v>55</v>
      </c>
      <c r="AW343">
        <v>4</v>
      </c>
      <c r="AX343" t="s">
        <v>74</v>
      </c>
      <c r="AY343" t="s">
        <v>74</v>
      </c>
      <c r="AZ343" t="s">
        <v>74</v>
      </c>
      <c r="BA343" t="s">
        <v>74</v>
      </c>
      <c r="BB343">
        <v>428</v>
      </c>
      <c r="BC343">
        <v>439</v>
      </c>
      <c r="BD343" t="s">
        <v>74</v>
      </c>
      <c r="BE343" t="s">
        <v>6982</v>
      </c>
      <c r="BF343" t="str">
        <f>HYPERLINK("http://dx.doi.org/10.1177/10538135241296010","http://dx.doi.org/10.1177/10538135241296010")</f>
        <v>http://dx.doi.org/10.1177/10538135241296010</v>
      </c>
      <c r="BG343" t="s">
        <v>74</v>
      </c>
      <c r="BH343" t="s">
        <v>6983</v>
      </c>
      <c r="BI343">
        <v>12</v>
      </c>
      <c r="BJ343" t="s">
        <v>1049</v>
      </c>
      <c r="BK343" t="s">
        <v>102</v>
      </c>
      <c r="BL343" t="s">
        <v>1050</v>
      </c>
      <c r="BM343" t="s">
        <v>6984</v>
      </c>
      <c r="BN343" t="s">
        <v>74</v>
      </c>
      <c r="BO343" t="s">
        <v>74</v>
      </c>
      <c r="BP343" t="s">
        <v>74</v>
      </c>
      <c r="BQ343" t="s">
        <v>74</v>
      </c>
      <c r="BR343" t="s">
        <v>105</v>
      </c>
      <c r="BS343" t="s">
        <v>6985</v>
      </c>
      <c r="BT343" t="str">
        <f>HYPERLINK("https%3A%2F%2Fwww.webofscience.com%2Fwos%2Fwoscc%2Ffull-record%2FWOS:001465218000001","View Full Record in Web of Science")</f>
        <v>View Full Record in Web of Science</v>
      </c>
    </row>
    <row r="344" spans="1:72" x14ac:dyDescent="0.25">
      <c r="A344" t="s">
        <v>72</v>
      </c>
      <c r="B344" t="s">
        <v>6986</v>
      </c>
      <c r="C344" t="s">
        <v>74</v>
      </c>
      <c r="D344" t="s">
        <v>74</v>
      </c>
      <c r="E344" t="s">
        <v>74</v>
      </c>
      <c r="F344" t="s">
        <v>6987</v>
      </c>
      <c r="G344" t="s">
        <v>74</v>
      </c>
      <c r="H344" t="s">
        <v>74</v>
      </c>
      <c r="I344" t="s">
        <v>6988</v>
      </c>
      <c r="J344" t="s">
        <v>382</v>
      </c>
      <c r="K344" t="s">
        <v>74</v>
      </c>
      <c r="L344" t="s">
        <v>74</v>
      </c>
      <c r="M344" t="s">
        <v>78</v>
      </c>
      <c r="N344" t="s">
        <v>79</v>
      </c>
      <c r="O344" t="s">
        <v>74</v>
      </c>
      <c r="P344" t="s">
        <v>74</v>
      </c>
      <c r="Q344" t="s">
        <v>74</v>
      </c>
      <c r="R344" t="s">
        <v>74</v>
      </c>
      <c r="S344" t="s">
        <v>74</v>
      </c>
      <c r="T344" t="s">
        <v>6989</v>
      </c>
      <c r="U344" t="s">
        <v>6990</v>
      </c>
      <c r="V344" t="s">
        <v>6991</v>
      </c>
      <c r="W344" t="s">
        <v>6992</v>
      </c>
      <c r="X344" t="s">
        <v>6993</v>
      </c>
      <c r="Y344" t="s">
        <v>6994</v>
      </c>
      <c r="Z344" t="s">
        <v>6995</v>
      </c>
      <c r="AA344" t="s">
        <v>6996</v>
      </c>
      <c r="AB344" t="s">
        <v>6976</v>
      </c>
      <c r="AC344" t="s">
        <v>6997</v>
      </c>
      <c r="AD344" t="s">
        <v>6998</v>
      </c>
      <c r="AE344" t="s">
        <v>6999</v>
      </c>
      <c r="AF344" t="s">
        <v>74</v>
      </c>
      <c r="AG344">
        <v>67</v>
      </c>
      <c r="AH344">
        <v>1</v>
      </c>
      <c r="AI344">
        <v>1</v>
      </c>
      <c r="AJ344">
        <v>8</v>
      </c>
      <c r="AK344">
        <v>8</v>
      </c>
      <c r="AL344" t="s">
        <v>392</v>
      </c>
      <c r="AM344" t="s">
        <v>393</v>
      </c>
      <c r="AN344" t="s">
        <v>394</v>
      </c>
      <c r="AO344" t="s">
        <v>395</v>
      </c>
      <c r="AP344" t="s">
        <v>74</v>
      </c>
      <c r="AQ344" t="s">
        <v>74</v>
      </c>
      <c r="AR344" t="s">
        <v>396</v>
      </c>
      <c r="AS344" t="s">
        <v>397</v>
      </c>
      <c r="AT344" t="s">
        <v>7000</v>
      </c>
      <c r="AU344">
        <v>2025</v>
      </c>
      <c r="AV344">
        <v>15</v>
      </c>
      <c r="AW344" t="s">
        <v>74</v>
      </c>
      <c r="AX344" t="s">
        <v>74</v>
      </c>
      <c r="AY344" t="s">
        <v>74</v>
      </c>
      <c r="AZ344" t="s">
        <v>74</v>
      </c>
      <c r="BA344" t="s">
        <v>74</v>
      </c>
      <c r="BB344" t="s">
        <v>74</v>
      </c>
      <c r="BC344" t="s">
        <v>74</v>
      </c>
      <c r="BD344">
        <v>1499249</v>
      </c>
      <c r="BE344" t="s">
        <v>7001</v>
      </c>
      <c r="BF344" t="str">
        <f>HYPERLINK("http://dx.doi.org/10.3389/fneur.2024.1499249","http://dx.doi.org/10.3389/fneur.2024.1499249")</f>
        <v>http://dx.doi.org/10.3389/fneur.2024.1499249</v>
      </c>
      <c r="BG344" t="s">
        <v>74</v>
      </c>
      <c r="BH344" t="s">
        <v>74</v>
      </c>
      <c r="BI344">
        <v>16</v>
      </c>
      <c r="BJ344" t="s">
        <v>400</v>
      </c>
      <c r="BK344" t="s">
        <v>182</v>
      </c>
      <c r="BL344" t="s">
        <v>375</v>
      </c>
      <c r="BM344" t="s">
        <v>7002</v>
      </c>
      <c r="BN344">
        <v>39835154</v>
      </c>
      <c r="BO344" t="s">
        <v>185</v>
      </c>
      <c r="BP344" t="s">
        <v>74</v>
      </c>
      <c r="BQ344" t="s">
        <v>74</v>
      </c>
      <c r="BR344" t="s">
        <v>105</v>
      </c>
      <c r="BS344" t="s">
        <v>7003</v>
      </c>
      <c r="BT344" t="str">
        <f>HYPERLINK("https%3A%2F%2Fwww.webofscience.com%2Fwos%2Fwoscc%2Ffull-record%2FWOS:001400275600001","View Full Record in Web of Science")</f>
        <v>View Full Record in Web of Science</v>
      </c>
    </row>
    <row r="345" spans="1:72" x14ac:dyDescent="0.25">
      <c r="A345" t="s">
        <v>72</v>
      </c>
      <c r="B345" t="s">
        <v>7004</v>
      </c>
      <c r="C345" t="s">
        <v>74</v>
      </c>
      <c r="D345" t="s">
        <v>74</v>
      </c>
      <c r="E345" t="s">
        <v>74</v>
      </c>
      <c r="F345" t="s">
        <v>7005</v>
      </c>
      <c r="G345" t="s">
        <v>74</v>
      </c>
      <c r="H345" t="s">
        <v>74</v>
      </c>
      <c r="I345" t="s">
        <v>7006</v>
      </c>
      <c r="J345" t="s">
        <v>7007</v>
      </c>
      <c r="K345" t="s">
        <v>74</v>
      </c>
      <c r="L345" t="s">
        <v>74</v>
      </c>
      <c r="M345" t="s">
        <v>78</v>
      </c>
      <c r="N345" t="s">
        <v>79</v>
      </c>
      <c r="O345" t="s">
        <v>74</v>
      </c>
      <c r="P345" t="s">
        <v>74</v>
      </c>
      <c r="Q345" t="s">
        <v>74</v>
      </c>
      <c r="R345" t="s">
        <v>74</v>
      </c>
      <c r="S345" t="s">
        <v>74</v>
      </c>
      <c r="T345" t="s">
        <v>7008</v>
      </c>
      <c r="U345" t="s">
        <v>7009</v>
      </c>
      <c r="V345" t="s">
        <v>7010</v>
      </c>
      <c r="W345" t="s">
        <v>7011</v>
      </c>
      <c r="X345" t="s">
        <v>7012</v>
      </c>
      <c r="Y345" t="s">
        <v>7013</v>
      </c>
      <c r="Z345" t="s">
        <v>7014</v>
      </c>
      <c r="AA345" t="s">
        <v>74</v>
      </c>
      <c r="AB345" t="s">
        <v>74</v>
      </c>
      <c r="AC345" t="s">
        <v>74</v>
      </c>
      <c r="AD345" t="s">
        <v>74</v>
      </c>
      <c r="AE345" t="s">
        <v>74</v>
      </c>
      <c r="AF345" t="s">
        <v>74</v>
      </c>
      <c r="AG345">
        <v>68</v>
      </c>
      <c r="AH345">
        <v>0</v>
      </c>
      <c r="AI345">
        <v>0</v>
      </c>
      <c r="AJ345">
        <v>0</v>
      </c>
      <c r="AK345">
        <v>0</v>
      </c>
      <c r="AL345" t="s">
        <v>836</v>
      </c>
      <c r="AM345" t="s">
        <v>532</v>
      </c>
      <c r="AN345" t="s">
        <v>837</v>
      </c>
      <c r="AO345" t="s">
        <v>7015</v>
      </c>
      <c r="AP345" t="s">
        <v>7016</v>
      </c>
      <c r="AQ345" t="s">
        <v>74</v>
      </c>
      <c r="AR345" t="s">
        <v>7017</v>
      </c>
      <c r="AS345" t="s">
        <v>7018</v>
      </c>
      <c r="AT345" t="s">
        <v>74</v>
      </c>
      <c r="AU345">
        <v>2025</v>
      </c>
      <c r="AV345">
        <v>60</v>
      </c>
      <c r="AW345" t="s">
        <v>74</v>
      </c>
      <c r="AX345" t="s">
        <v>74</v>
      </c>
      <c r="AY345" t="s">
        <v>74</v>
      </c>
      <c r="AZ345" t="s">
        <v>74</v>
      </c>
      <c r="BA345" t="s">
        <v>74</v>
      </c>
      <c r="BB345" t="s">
        <v>74</v>
      </c>
      <c r="BC345" t="s">
        <v>74</v>
      </c>
      <c r="BD345">
        <v>100991</v>
      </c>
      <c r="BE345" t="s">
        <v>7019</v>
      </c>
      <c r="BF345" t="str">
        <f>HYPERLINK("http://dx.doi.org/10.1016/j.arcontrol.2025.100991","http://dx.doi.org/10.1016/j.arcontrol.2025.100991")</f>
        <v>http://dx.doi.org/10.1016/j.arcontrol.2025.100991</v>
      </c>
      <c r="BG345" t="s">
        <v>74</v>
      </c>
      <c r="BH345" t="s">
        <v>74</v>
      </c>
      <c r="BI345">
        <v>23</v>
      </c>
      <c r="BJ345" t="s">
        <v>7020</v>
      </c>
      <c r="BK345" t="s">
        <v>182</v>
      </c>
      <c r="BL345" t="s">
        <v>7020</v>
      </c>
      <c r="BM345" t="s">
        <v>7021</v>
      </c>
      <c r="BN345" t="s">
        <v>74</v>
      </c>
      <c r="BO345" t="s">
        <v>74</v>
      </c>
      <c r="BP345" t="s">
        <v>74</v>
      </c>
      <c r="BQ345" t="s">
        <v>74</v>
      </c>
      <c r="BR345" t="s">
        <v>105</v>
      </c>
      <c r="BS345" t="s">
        <v>7022</v>
      </c>
      <c r="BT345" t="str">
        <f>HYPERLINK("https%3A%2F%2Fwww.webofscience.com%2Fwos%2Fwoscc%2Ffull-record%2FWOS:001498990100001","View Full Record in Web of Science")</f>
        <v>View Full Record in Web of Science</v>
      </c>
    </row>
    <row r="346" spans="1:72" x14ac:dyDescent="0.25">
      <c r="A346" t="s">
        <v>72</v>
      </c>
      <c r="B346" t="s">
        <v>7023</v>
      </c>
      <c r="C346" t="s">
        <v>74</v>
      </c>
      <c r="D346" t="s">
        <v>74</v>
      </c>
      <c r="E346" t="s">
        <v>74</v>
      </c>
      <c r="F346" t="s">
        <v>7024</v>
      </c>
      <c r="G346" t="s">
        <v>74</v>
      </c>
      <c r="H346" t="s">
        <v>74</v>
      </c>
      <c r="I346" t="s">
        <v>7025</v>
      </c>
      <c r="J346" t="s">
        <v>110</v>
      </c>
      <c r="K346" t="s">
        <v>74</v>
      </c>
      <c r="L346" t="s">
        <v>74</v>
      </c>
      <c r="M346" t="s">
        <v>78</v>
      </c>
      <c r="N346" t="s">
        <v>79</v>
      </c>
      <c r="O346" t="s">
        <v>74</v>
      </c>
      <c r="P346" t="s">
        <v>74</v>
      </c>
      <c r="Q346" t="s">
        <v>74</v>
      </c>
      <c r="R346" t="s">
        <v>74</v>
      </c>
      <c r="S346" t="s">
        <v>74</v>
      </c>
      <c r="T346" t="s">
        <v>7026</v>
      </c>
      <c r="U346" t="s">
        <v>7027</v>
      </c>
      <c r="V346" t="s">
        <v>7028</v>
      </c>
      <c r="W346" t="s">
        <v>7029</v>
      </c>
      <c r="X346" t="s">
        <v>7030</v>
      </c>
      <c r="Y346" t="s">
        <v>7031</v>
      </c>
      <c r="Z346" t="s">
        <v>7032</v>
      </c>
      <c r="AA346" t="s">
        <v>7033</v>
      </c>
      <c r="AB346" t="s">
        <v>7034</v>
      </c>
      <c r="AC346" t="s">
        <v>7035</v>
      </c>
      <c r="AD346" t="s">
        <v>7036</v>
      </c>
      <c r="AE346" t="s">
        <v>7037</v>
      </c>
      <c r="AF346" t="s">
        <v>74</v>
      </c>
      <c r="AG346">
        <v>66</v>
      </c>
      <c r="AH346">
        <v>0</v>
      </c>
      <c r="AI346">
        <v>0</v>
      </c>
      <c r="AJ346">
        <v>3</v>
      </c>
      <c r="AK346">
        <v>3</v>
      </c>
      <c r="AL346" t="s">
        <v>120</v>
      </c>
      <c r="AM346" t="s">
        <v>121</v>
      </c>
      <c r="AN346" t="s">
        <v>1221</v>
      </c>
      <c r="AO346" t="s">
        <v>74</v>
      </c>
      <c r="AP346" t="s">
        <v>123</v>
      </c>
      <c r="AQ346" t="s">
        <v>74</v>
      </c>
      <c r="AR346" t="s">
        <v>124</v>
      </c>
      <c r="AS346" t="s">
        <v>125</v>
      </c>
      <c r="AT346" t="s">
        <v>538</v>
      </c>
      <c r="AU346">
        <v>2025</v>
      </c>
      <c r="AV346">
        <v>14</v>
      </c>
      <c r="AW346">
        <v>1</v>
      </c>
      <c r="AX346" t="s">
        <v>74</v>
      </c>
      <c r="AY346" t="s">
        <v>74</v>
      </c>
      <c r="AZ346" t="s">
        <v>74</v>
      </c>
      <c r="BA346" t="s">
        <v>74</v>
      </c>
      <c r="BB346" t="s">
        <v>74</v>
      </c>
      <c r="BC346" t="s">
        <v>74</v>
      </c>
      <c r="BD346">
        <v>50</v>
      </c>
      <c r="BE346" t="s">
        <v>7038</v>
      </c>
      <c r="BF346" t="str">
        <f>HYPERLINK("http://dx.doi.org/10.3390/jcm14010050","http://dx.doi.org/10.3390/jcm14010050")</f>
        <v>http://dx.doi.org/10.3390/jcm14010050</v>
      </c>
      <c r="BG346" t="s">
        <v>74</v>
      </c>
      <c r="BH346" t="s">
        <v>74</v>
      </c>
      <c r="BI346">
        <v>21</v>
      </c>
      <c r="BJ346" t="s">
        <v>128</v>
      </c>
      <c r="BK346" t="s">
        <v>182</v>
      </c>
      <c r="BL346" t="s">
        <v>129</v>
      </c>
      <c r="BM346" t="s">
        <v>7039</v>
      </c>
      <c r="BN346">
        <v>39797132</v>
      </c>
      <c r="BO346" t="s">
        <v>185</v>
      </c>
      <c r="BP346" t="s">
        <v>74</v>
      </c>
      <c r="BQ346" t="s">
        <v>74</v>
      </c>
      <c r="BR346" t="s">
        <v>105</v>
      </c>
      <c r="BS346" t="s">
        <v>7040</v>
      </c>
      <c r="BT346" t="str">
        <f>HYPERLINK("https%3A%2F%2Fwww.webofscience.com%2Fwos%2Fwoscc%2Ffull-record%2FWOS:001393736700001","View Full Record in Web of Science")</f>
        <v>View Full Record in Web of Science</v>
      </c>
    </row>
    <row r="347" spans="1:72" x14ac:dyDescent="0.25">
      <c r="A347" t="s">
        <v>72</v>
      </c>
      <c r="B347" t="s">
        <v>7041</v>
      </c>
      <c r="C347" t="s">
        <v>74</v>
      </c>
      <c r="D347" t="s">
        <v>74</v>
      </c>
      <c r="E347" t="s">
        <v>74</v>
      </c>
      <c r="F347" t="s">
        <v>7042</v>
      </c>
      <c r="G347" t="s">
        <v>74</v>
      </c>
      <c r="H347" t="s">
        <v>74</v>
      </c>
      <c r="I347" t="s">
        <v>7043</v>
      </c>
      <c r="J347" t="s">
        <v>7044</v>
      </c>
      <c r="K347" t="s">
        <v>74</v>
      </c>
      <c r="L347" t="s">
        <v>74</v>
      </c>
      <c r="M347" t="s">
        <v>78</v>
      </c>
      <c r="N347" t="s">
        <v>79</v>
      </c>
      <c r="O347" t="s">
        <v>74</v>
      </c>
      <c r="P347" t="s">
        <v>74</v>
      </c>
      <c r="Q347" t="s">
        <v>74</v>
      </c>
      <c r="R347" t="s">
        <v>74</v>
      </c>
      <c r="S347" t="s">
        <v>74</v>
      </c>
      <c r="T347" t="s">
        <v>7045</v>
      </c>
      <c r="U347" t="s">
        <v>7046</v>
      </c>
      <c r="V347" t="s">
        <v>7047</v>
      </c>
      <c r="W347" t="s">
        <v>7048</v>
      </c>
      <c r="X347" t="s">
        <v>7049</v>
      </c>
      <c r="Y347" t="s">
        <v>7050</v>
      </c>
      <c r="Z347" t="s">
        <v>7051</v>
      </c>
      <c r="AA347" t="s">
        <v>74</v>
      </c>
      <c r="AB347" t="s">
        <v>7052</v>
      </c>
      <c r="AC347" t="s">
        <v>74</v>
      </c>
      <c r="AD347" t="s">
        <v>74</v>
      </c>
      <c r="AE347" t="s">
        <v>74</v>
      </c>
      <c r="AF347" t="s">
        <v>74</v>
      </c>
      <c r="AG347">
        <v>88</v>
      </c>
      <c r="AH347">
        <v>0</v>
      </c>
      <c r="AI347">
        <v>0</v>
      </c>
      <c r="AJ347">
        <v>4</v>
      </c>
      <c r="AK347">
        <v>4</v>
      </c>
      <c r="AL347" t="s">
        <v>2596</v>
      </c>
      <c r="AM347" t="s">
        <v>2597</v>
      </c>
      <c r="AN347" t="s">
        <v>2598</v>
      </c>
      <c r="AO347" t="s">
        <v>7053</v>
      </c>
      <c r="AP347" t="s">
        <v>7054</v>
      </c>
      <c r="AQ347" t="s">
        <v>74</v>
      </c>
      <c r="AR347" t="s">
        <v>7055</v>
      </c>
      <c r="AS347" t="s">
        <v>7056</v>
      </c>
      <c r="AT347" t="s">
        <v>74</v>
      </c>
      <c r="AU347">
        <v>2025</v>
      </c>
      <c r="AV347">
        <v>12</v>
      </c>
      <c r="AW347" t="s">
        <v>74</v>
      </c>
      <c r="AX347" t="s">
        <v>74</v>
      </c>
      <c r="AY347" t="s">
        <v>74</v>
      </c>
      <c r="AZ347" t="s">
        <v>74</v>
      </c>
      <c r="BA347" t="s">
        <v>74</v>
      </c>
      <c r="BB347" t="s">
        <v>74</v>
      </c>
      <c r="BC347" t="s">
        <v>74</v>
      </c>
      <c r="BD347">
        <v>2530001</v>
      </c>
      <c r="BE347" t="s">
        <v>7057</v>
      </c>
      <c r="BF347" t="str">
        <f>HYPERLINK("http://dx.doi.org/10.1142/S2737599425300016","http://dx.doi.org/10.1142/S2737599425300016")</f>
        <v>http://dx.doi.org/10.1142/S2737599425300016</v>
      </c>
      <c r="BG347" t="s">
        <v>74</v>
      </c>
      <c r="BH347" t="s">
        <v>74</v>
      </c>
      <c r="BI347">
        <v>13</v>
      </c>
      <c r="BJ347" t="s">
        <v>1202</v>
      </c>
      <c r="BK347" t="s">
        <v>155</v>
      </c>
      <c r="BL347" t="s">
        <v>183</v>
      </c>
      <c r="BM347" t="s">
        <v>7058</v>
      </c>
      <c r="BN347" t="s">
        <v>74</v>
      </c>
      <c r="BO347" t="s">
        <v>74</v>
      </c>
      <c r="BP347" t="s">
        <v>74</v>
      </c>
      <c r="BQ347" t="s">
        <v>74</v>
      </c>
      <c r="BR347" t="s">
        <v>105</v>
      </c>
      <c r="BS347" t="s">
        <v>7059</v>
      </c>
      <c r="BT347" t="str">
        <f>HYPERLINK("https%3A%2F%2Fwww.webofscience.com%2Fwos%2Fwoscc%2Ffull-record%2FWOS:001441751800001","View Full Record in Web of Science")</f>
        <v>View Full Record in Web of Science</v>
      </c>
    </row>
    <row r="348" spans="1:72" x14ac:dyDescent="0.25">
      <c r="A348" t="s">
        <v>72</v>
      </c>
      <c r="B348" t="s">
        <v>7060</v>
      </c>
      <c r="C348" t="s">
        <v>74</v>
      </c>
      <c r="D348" t="s">
        <v>74</v>
      </c>
      <c r="E348" t="s">
        <v>74</v>
      </c>
      <c r="F348" t="s">
        <v>7061</v>
      </c>
      <c r="G348" t="s">
        <v>74</v>
      </c>
      <c r="H348" t="s">
        <v>74</v>
      </c>
      <c r="I348" t="s">
        <v>7062</v>
      </c>
      <c r="J348" t="s">
        <v>2040</v>
      </c>
      <c r="K348" t="s">
        <v>74</v>
      </c>
      <c r="L348" t="s">
        <v>74</v>
      </c>
      <c r="M348" t="s">
        <v>78</v>
      </c>
      <c r="N348" t="s">
        <v>79</v>
      </c>
      <c r="O348" t="s">
        <v>74</v>
      </c>
      <c r="P348" t="s">
        <v>74</v>
      </c>
      <c r="Q348" t="s">
        <v>74</v>
      </c>
      <c r="R348" t="s">
        <v>74</v>
      </c>
      <c r="S348" t="s">
        <v>74</v>
      </c>
      <c r="T348" t="s">
        <v>7063</v>
      </c>
      <c r="U348" t="s">
        <v>7064</v>
      </c>
      <c r="V348" t="s">
        <v>7065</v>
      </c>
      <c r="W348" t="s">
        <v>7066</v>
      </c>
      <c r="X348" t="s">
        <v>7067</v>
      </c>
      <c r="Y348" t="s">
        <v>7068</v>
      </c>
      <c r="Z348" t="s">
        <v>7069</v>
      </c>
      <c r="AA348" t="s">
        <v>7070</v>
      </c>
      <c r="AB348" t="s">
        <v>7071</v>
      </c>
      <c r="AC348" t="s">
        <v>74</v>
      </c>
      <c r="AD348" t="s">
        <v>74</v>
      </c>
      <c r="AE348" t="s">
        <v>74</v>
      </c>
      <c r="AF348" t="s">
        <v>74</v>
      </c>
      <c r="AG348">
        <v>78</v>
      </c>
      <c r="AH348">
        <v>0</v>
      </c>
      <c r="AI348">
        <v>0</v>
      </c>
      <c r="AJ348">
        <v>27</v>
      </c>
      <c r="AK348">
        <v>27</v>
      </c>
      <c r="AL348" t="s">
        <v>120</v>
      </c>
      <c r="AM348" t="s">
        <v>121</v>
      </c>
      <c r="AN348" t="s">
        <v>1221</v>
      </c>
      <c r="AO348" t="s">
        <v>74</v>
      </c>
      <c r="AP348" t="s">
        <v>2050</v>
      </c>
      <c r="AQ348" t="s">
        <v>74</v>
      </c>
      <c r="AR348" t="s">
        <v>2051</v>
      </c>
      <c r="AS348" t="s">
        <v>2052</v>
      </c>
      <c r="AT348" t="s">
        <v>538</v>
      </c>
      <c r="AU348">
        <v>2025</v>
      </c>
      <c r="AV348">
        <v>25</v>
      </c>
      <c r="AW348">
        <v>1</v>
      </c>
      <c r="AX348" t="s">
        <v>74</v>
      </c>
      <c r="AY348" t="s">
        <v>74</v>
      </c>
      <c r="AZ348" t="s">
        <v>74</v>
      </c>
      <c r="BA348" t="s">
        <v>74</v>
      </c>
      <c r="BB348" t="s">
        <v>74</v>
      </c>
      <c r="BC348" t="s">
        <v>74</v>
      </c>
      <c r="BD348">
        <v>154</v>
      </c>
      <c r="BE348" t="s">
        <v>7072</v>
      </c>
      <c r="BF348" t="str">
        <f>HYPERLINK("http://dx.doi.org/10.3390/s25010154","http://dx.doi.org/10.3390/s25010154")</f>
        <v>http://dx.doi.org/10.3390/s25010154</v>
      </c>
      <c r="BG348" t="s">
        <v>74</v>
      </c>
      <c r="BH348" t="s">
        <v>74</v>
      </c>
      <c r="BI348">
        <v>35</v>
      </c>
      <c r="BJ348" t="s">
        <v>2054</v>
      </c>
      <c r="BK348" t="s">
        <v>182</v>
      </c>
      <c r="BL348" t="s">
        <v>2055</v>
      </c>
      <c r="BM348" t="s">
        <v>7073</v>
      </c>
      <c r="BN348">
        <v>39796947</v>
      </c>
      <c r="BO348" t="s">
        <v>185</v>
      </c>
      <c r="BP348" t="s">
        <v>74</v>
      </c>
      <c r="BQ348" t="s">
        <v>74</v>
      </c>
      <c r="BR348" t="s">
        <v>105</v>
      </c>
      <c r="BS348" t="s">
        <v>7074</v>
      </c>
      <c r="BT348" t="str">
        <f>HYPERLINK("https%3A%2F%2Fwww.webofscience.com%2Fwos%2Fwoscc%2Ffull-record%2FWOS:001393840800001","View Full Record in Web of Science")</f>
        <v>View Full Record in Web of Science</v>
      </c>
    </row>
    <row r="349" spans="1:72" x14ac:dyDescent="0.25">
      <c r="A349" t="s">
        <v>72</v>
      </c>
      <c r="B349" t="s">
        <v>7075</v>
      </c>
      <c r="C349" t="s">
        <v>74</v>
      </c>
      <c r="D349" t="s">
        <v>74</v>
      </c>
      <c r="E349" t="s">
        <v>74</v>
      </c>
      <c r="F349" t="s">
        <v>7076</v>
      </c>
      <c r="G349" t="s">
        <v>74</v>
      </c>
      <c r="H349" t="s">
        <v>74</v>
      </c>
      <c r="I349" t="s">
        <v>7077</v>
      </c>
      <c r="J349" t="s">
        <v>6946</v>
      </c>
      <c r="K349" t="s">
        <v>74</v>
      </c>
      <c r="L349" t="s">
        <v>74</v>
      </c>
      <c r="M349" t="s">
        <v>78</v>
      </c>
      <c r="N349" t="s">
        <v>79</v>
      </c>
      <c r="O349" t="s">
        <v>74</v>
      </c>
      <c r="P349" t="s">
        <v>74</v>
      </c>
      <c r="Q349" t="s">
        <v>74</v>
      </c>
      <c r="R349" t="s">
        <v>74</v>
      </c>
      <c r="S349" t="s">
        <v>74</v>
      </c>
      <c r="T349" t="s">
        <v>7078</v>
      </c>
      <c r="U349" t="s">
        <v>7079</v>
      </c>
      <c r="V349" t="s">
        <v>7080</v>
      </c>
      <c r="W349" t="s">
        <v>7081</v>
      </c>
      <c r="X349" t="s">
        <v>7082</v>
      </c>
      <c r="Y349" t="s">
        <v>7083</v>
      </c>
      <c r="Z349" t="s">
        <v>7084</v>
      </c>
      <c r="AA349" t="s">
        <v>7085</v>
      </c>
      <c r="AB349" t="s">
        <v>7086</v>
      </c>
      <c r="AC349" t="s">
        <v>7087</v>
      </c>
      <c r="AD349" t="s">
        <v>7088</v>
      </c>
      <c r="AE349" t="s">
        <v>7089</v>
      </c>
      <c r="AF349" t="s">
        <v>74</v>
      </c>
      <c r="AG349">
        <v>438</v>
      </c>
      <c r="AH349">
        <v>1</v>
      </c>
      <c r="AI349">
        <v>1</v>
      </c>
      <c r="AJ349">
        <v>27</v>
      </c>
      <c r="AK349">
        <v>27</v>
      </c>
      <c r="AL349" t="s">
        <v>120</v>
      </c>
      <c r="AM349" t="s">
        <v>121</v>
      </c>
      <c r="AN349" t="s">
        <v>1221</v>
      </c>
      <c r="AO349" t="s">
        <v>74</v>
      </c>
      <c r="AP349" t="s">
        <v>6959</v>
      </c>
      <c r="AQ349" t="s">
        <v>74</v>
      </c>
      <c r="AR349" t="s">
        <v>6946</v>
      </c>
      <c r="AS349" t="s">
        <v>6960</v>
      </c>
      <c r="AT349" t="s">
        <v>538</v>
      </c>
      <c r="AU349">
        <v>2025</v>
      </c>
      <c r="AV349">
        <v>13</v>
      </c>
      <c r="AW349">
        <v>1</v>
      </c>
      <c r="AX349" t="s">
        <v>74</v>
      </c>
      <c r="AY349" t="s">
        <v>74</v>
      </c>
      <c r="AZ349" t="s">
        <v>74</v>
      </c>
      <c r="BA349" t="s">
        <v>74</v>
      </c>
      <c r="BB349" t="s">
        <v>74</v>
      </c>
      <c r="BC349" t="s">
        <v>74</v>
      </c>
      <c r="BD349">
        <v>37</v>
      </c>
      <c r="BE349" t="s">
        <v>7090</v>
      </c>
      <c r="BF349" t="str">
        <f>HYPERLINK("http://dx.doi.org/10.3390/technologies13010037","http://dx.doi.org/10.3390/technologies13010037")</f>
        <v>http://dx.doi.org/10.3390/technologies13010037</v>
      </c>
      <c r="BG349" t="s">
        <v>74</v>
      </c>
      <c r="BH349" t="s">
        <v>74</v>
      </c>
      <c r="BI349">
        <v>51</v>
      </c>
      <c r="BJ349" t="s">
        <v>1202</v>
      </c>
      <c r="BK349" t="s">
        <v>155</v>
      </c>
      <c r="BL349" t="s">
        <v>183</v>
      </c>
      <c r="BM349" t="s">
        <v>7091</v>
      </c>
      <c r="BN349" t="s">
        <v>74</v>
      </c>
      <c r="BO349" t="s">
        <v>185</v>
      </c>
      <c r="BP349" t="s">
        <v>74</v>
      </c>
      <c r="BQ349" t="s">
        <v>74</v>
      </c>
      <c r="BR349" t="s">
        <v>105</v>
      </c>
      <c r="BS349" t="s">
        <v>7092</v>
      </c>
      <c r="BT349" t="str">
        <f>HYPERLINK("https%3A%2F%2Fwww.webofscience.com%2Fwos%2Fwoscc%2Ffull-record%2FWOS:001403678100001","View Full Record in Web of Science")</f>
        <v>View Full Record in Web of Science</v>
      </c>
    </row>
    <row r="350" spans="1:72" x14ac:dyDescent="0.25">
      <c r="A350" t="s">
        <v>72</v>
      </c>
      <c r="B350" t="s">
        <v>7093</v>
      </c>
      <c r="C350" t="s">
        <v>74</v>
      </c>
      <c r="D350" t="s">
        <v>74</v>
      </c>
      <c r="E350" t="s">
        <v>74</v>
      </c>
      <c r="F350" t="s">
        <v>7094</v>
      </c>
      <c r="G350" t="s">
        <v>74</v>
      </c>
      <c r="H350" t="s">
        <v>74</v>
      </c>
      <c r="I350" t="s">
        <v>7095</v>
      </c>
      <c r="J350" t="s">
        <v>1837</v>
      </c>
      <c r="K350" t="s">
        <v>74</v>
      </c>
      <c r="L350" t="s">
        <v>74</v>
      </c>
      <c r="M350" t="s">
        <v>78</v>
      </c>
      <c r="N350" t="s">
        <v>79</v>
      </c>
      <c r="O350" t="s">
        <v>74</v>
      </c>
      <c r="P350" t="s">
        <v>74</v>
      </c>
      <c r="Q350" t="s">
        <v>74</v>
      </c>
      <c r="R350" t="s">
        <v>74</v>
      </c>
      <c r="S350" t="s">
        <v>74</v>
      </c>
      <c r="T350" t="s">
        <v>7096</v>
      </c>
      <c r="U350" t="s">
        <v>7097</v>
      </c>
      <c r="V350" t="s">
        <v>7098</v>
      </c>
      <c r="W350" t="s">
        <v>7099</v>
      </c>
      <c r="X350" t="s">
        <v>7100</v>
      </c>
      <c r="Y350" t="s">
        <v>7101</v>
      </c>
      <c r="Z350" t="s">
        <v>7102</v>
      </c>
      <c r="AA350" t="s">
        <v>7103</v>
      </c>
      <c r="AB350" t="s">
        <v>74</v>
      </c>
      <c r="AC350" t="s">
        <v>74</v>
      </c>
      <c r="AD350" t="s">
        <v>74</v>
      </c>
      <c r="AE350" t="s">
        <v>74</v>
      </c>
      <c r="AF350" t="s">
        <v>74</v>
      </c>
      <c r="AG350">
        <v>92</v>
      </c>
      <c r="AH350">
        <v>0</v>
      </c>
      <c r="AI350">
        <v>0</v>
      </c>
      <c r="AJ350">
        <v>9</v>
      </c>
      <c r="AK350">
        <v>9</v>
      </c>
      <c r="AL350" t="s">
        <v>1114</v>
      </c>
      <c r="AM350" t="s">
        <v>1115</v>
      </c>
      <c r="AN350" t="s">
        <v>1116</v>
      </c>
      <c r="AO350" t="s">
        <v>1850</v>
      </c>
      <c r="AP350" t="s">
        <v>74</v>
      </c>
      <c r="AQ350" t="s">
        <v>74</v>
      </c>
      <c r="AR350" t="s">
        <v>1837</v>
      </c>
      <c r="AS350" t="s">
        <v>1851</v>
      </c>
      <c r="AT350" t="s">
        <v>74</v>
      </c>
      <c r="AU350">
        <v>2025</v>
      </c>
      <c r="AV350">
        <v>13</v>
      </c>
      <c r="AW350" t="s">
        <v>74</v>
      </c>
      <c r="AX350" t="s">
        <v>74</v>
      </c>
      <c r="AY350" t="s">
        <v>74</v>
      </c>
      <c r="AZ350" t="s">
        <v>74</v>
      </c>
      <c r="BA350" t="s">
        <v>74</v>
      </c>
      <c r="BB350">
        <v>50511</v>
      </c>
      <c r="BC350">
        <v>50533</v>
      </c>
      <c r="BD350" t="s">
        <v>74</v>
      </c>
      <c r="BE350" t="s">
        <v>7104</v>
      </c>
      <c r="BF350" t="str">
        <f>HYPERLINK("http://dx.doi.org/10.1109/ACCESS.2025.3552757","http://dx.doi.org/10.1109/ACCESS.2025.3552757")</f>
        <v>http://dx.doi.org/10.1109/ACCESS.2025.3552757</v>
      </c>
      <c r="BG350" t="s">
        <v>74</v>
      </c>
      <c r="BH350" t="s">
        <v>74</v>
      </c>
      <c r="BI350">
        <v>23</v>
      </c>
      <c r="BJ350" t="s">
        <v>1853</v>
      </c>
      <c r="BK350" t="s">
        <v>182</v>
      </c>
      <c r="BL350" t="s">
        <v>1854</v>
      </c>
      <c r="BM350" t="s">
        <v>7105</v>
      </c>
      <c r="BN350" t="s">
        <v>74</v>
      </c>
      <c r="BO350" t="s">
        <v>185</v>
      </c>
      <c r="BP350" t="s">
        <v>74</v>
      </c>
      <c r="BQ350" t="s">
        <v>74</v>
      </c>
      <c r="BR350" t="s">
        <v>105</v>
      </c>
      <c r="BS350" t="s">
        <v>7106</v>
      </c>
      <c r="BT350" t="str">
        <f>HYPERLINK("https%3A%2F%2Fwww.webofscience.com%2Fwos%2Fwoscc%2Ffull-record%2FWOS:001453644600030","View Full Record in Web of Science")</f>
        <v>View Full Record in Web of Science</v>
      </c>
    </row>
    <row r="351" spans="1:72" x14ac:dyDescent="0.25">
      <c r="A351" t="s">
        <v>72</v>
      </c>
      <c r="B351" t="s">
        <v>7107</v>
      </c>
      <c r="C351" t="s">
        <v>74</v>
      </c>
      <c r="D351" t="s">
        <v>74</v>
      </c>
      <c r="E351" t="s">
        <v>74</v>
      </c>
      <c r="F351" t="s">
        <v>7108</v>
      </c>
      <c r="G351" t="s">
        <v>74</v>
      </c>
      <c r="H351" t="s">
        <v>74</v>
      </c>
      <c r="I351" t="s">
        <v>7109</v>
      </c>
      <c r="J351" t="s">
        <v>7110</v>
      </c>
      <c r="K351" t="s">
        <v>74</v>
      </c>
      <c r="L351" t="s">
        <v>74</v>
      </c>
      <c r="M351" t="s">
        <v>78</v>
      </c>
      <c r="N351" t="s">
        <v>79</v>
      </c>
      <c r="O351" t="s">
        <v>74</v>
      </c>
      <c r="P351" t="s">
        <v>74</v>
      </c>
      <c r="Q351" t="s">
        <v>74</v>
      </c>
      <c r="R351" t="s">
        <v>74</v>
      </c>
      <c r="S351" t="s">
        <v>74</v>
      </c>
      <c r="T351" t="s">
        <v>7111</v>
      </c>
      <c r="U351" t="s">
        <v>7112</v>
      </c>
      <c r="V351" t="s">
        <v>7113</v>
      </c>
      <c r="W351" t="s">
        <v>7114</v>
      </c>
      <c r="X351" t="s">
        <v>7115</v>
      </c>
      <c r="Y351" t="s">
        <v>7116</v>
      </c>
      <c r="Z351" t="s">
        <v>7117</v>
      </c>
      <c r="AA351" t="s">
        <v>7118</v>
      </c>
      <c r="AB351" t="s">
        <v>7119</v>
      </c>
      <c r="AC351" t="s">
        <v>74</v>
      </c>
      <c r="AD351" t="s">
        <v>74</v>
      </c>
      <c r="AE351" t="s">
        <v>74</v>
      </c>
      <c r="AF351" t="s">
        <v>74</v>
      </c>
      <c r="AG351">
        <v>83</v>
      </c>
      <c r="AH351">
        <v>0</v>
      </c>
      <c r="AI351">
        <v>0</v>
      </c>
      <c r="AJ351">
        <v>0</v>
      </c>
      <c r="AK351">
        <v>0</v>
      </c>
      <c r="AL351" t="s">
        <v>7120</v>
      </c>
      <c r="AM351" t="s">
        <v>7121</v>
      </c>
      <c r="AN351" t="s">
        <v>7122</v>
      </c>
      <c r="AO351" t="s">
        <v>7123</v>
      </c>
      <c r="AP351" t="s">
        <v>7124</v>
      </c>
      <c r="AQ351" t="s">
        <v>74</v>
      </c>
      <c r="AR351" t="s">
        <v>7125</v>
      </c>
      <c r="AS351" t="s">
        <v>7126</v>
      </c>
      <c r="AT351" t="s">
        <v>7127</v>
      </c>
      <c r="AU351">
        <v>2025</v>
      </c>
      <c r="AV351">
        <v>43</v>
      </c>
      <c r="AW351">
        <v>1</v>
      </c>
      <c r="AX351" t="s">
        <v>74</v>
      </c>
      <c r="AY351" t="s">
        <v>74</v>
      </c>
      <c r="AZ351" t="s">
        <v>74</v>
      </c>
      <c r="BA351" t="s">
        <v>74</v>
      </c>
      <c r="BB351" t="s">
        <v>74</v>
      </c>
      <c r="BC351" t="s">
        <v>74</v>
      </c>
      <c r="BD351" t="s">
        <v>7128</v>
      </c>
      <c r="BE351" t="s">
        <v>7129</v>
      </c>
      <c r="BF351" t="str">
        <f>HYPERLINK("http://dx.doi.org/10.17533/udea.iee.v43n1e11","http://dx.doi.org/10.17533/udea.iee.v43n1e11")</f>
        <v>http://dx.doi.org/10.17533/udea.iee.v43n1e11</v>
      </c>
      <c r="BG351" t="s">
        <v>74</v>
      </c>
      <c r="BH351" t="s">
        <v>74</v>
      </c>
      <c r="BI351">
        <v>20</v>
      </c>
      <c r="BJ351" t="s">
        <v>3094</v>
      </c>
      <c r="BK351" t="s">
        <v>155</v>
      </c>
      <c r="BL351" t="s">
        <v>3094</v>
      </c>
      <c r="BM351" t="s">
        <v>7130</v>
      </c>
      <c r="BN351">
        <v>40382007</v>
      </c>
      <c r="BO351" t="s">
        <v>185</v>
      </c>
      <c r="BP351" t="s">
        <v>74</v>
      </c>
      <c r="BQ351" t="s">
        <v>74</v>
      </c>
      <c r="BR351" t="s">
        <v>105</v>
      </c>
      <c r="BS351" t="s">
        <v>7131</v>
      </c>
      <c r="BT351" t="str">
        <f>HYPERLINK("https%3A%2F%2Fwww.webofscience.com%2Fwos%2Fwoscc%2Ffull-record%2FWOS:001483039800006","View Full Record in Web of Science")</f>
        <v>View Full Record in Web of Science</v>
      </c>
    </row>
    <row r="352" spans="1:72" x14ac:dyDescent="0.25">
      <c r="A352" t="s">
        <v>72</v>
      </c>
      <c r="B352" t="s">
        <v>7132</v>
      </c>
      <c r="C352" t="s">
        <v>74</v>
      </c>
      <c r="D352" t="s">
        <v>74</v>
      </c>
      <c r="E352" t="s">
        <v>74</v>
      </c>
      <c r="F352" t="s">
        <v>7133</v>
      </c>
      <c r="G352" t="s">
        <v>74</v>
      </c>
      <c r="H352" t="s">
        <v>74</v>
      </c>
      <c r="I352" t="s">
        <v>7134</v>
      </c>
      <c r="J352" t="s">
        <v>243</v>
      </c>
      <c r="K352" t="s">
        <v>74</v>
      </c>
      <c r="L352" t="s">
        <v>74</v>
      </c>
      <c r="M352" t="s">
        <v>78</v>
      </c>
      <c r="N352" t="s">
        <v>449</v>
      </c>
      <c r="O352" t="s">
        <v>74</v>
      </c>
      <c r="P352" t="s">
        <v>74</v>
      </c>
      <c r="Q352" t="s">
        <v>74</v>
      </c>
      <c r="R352" t="s">
        <v>74</v>
      </c>
      <c r="S352" t="s">
        <v>74</v>
      </c>
      <c r="T352" t="s">
        <v>7135</v>
      </c>
      <c r="U352" t="s">
        <v>7136</v>
      </c>
      <c r="V352" t="s">
        <v>7137</v>
      </c>
      <c r="W352" t="s">
        <v>7138</v>
      </c>
      <c r="X352" t="s">
        <v>7139</v>
      </c>
      <c r="Y352" t="s">
        <v>7140</v>
      </c>
      <c r="Z352" t="s">
        <v>74</v>
      </c>
      <c r="AA352" t="s">
        <v>7141</v>
      </c>
      <c r="AB352" t="s">
        <v>7142</v>
      </c>
      <c r="AC352" t="s">
        <v>74</v>
      </c>
      <c r="AD352" t="s">
        <v>74</v>
      </c>
      <c r="AE352" t="s">
        <v>74</v>
      </c>
      <c r="AF352" t="s">
        <v>74</v>
      </c>
      <c r="AG352">
        <v>88</v>
      </c>
      <c r="AH352">
        <v>1</v>
      </c>
      <c r="AI352">
        <v>1</v>
      </c>
      <c r="AJ352">
        <v>4</v>
      </c>
      <c r="AK352">
        <v>4</v>
      </c>
      <c r="AL352" t="s">
        <v>253</v>
      </c>
      <c r="AM352" t="s">
        <v>227</v>
      </c>
      <c r="AN352" t="s">
        <v>254</v>
      </c>
      <c r="AO352" t="s">
        <v>255</v>
      </c>
      <c r="AP352" t="s">
        <v>256</v>
      </c>
      <c r="AQ352" t="s">
        <v>74</v>
      </c>
      <c r="AR352" t="s">
        <v>257</v>
      </c>
      <c r="AS352" t="s">
        <v>258</v>
      </c>
      <c r="AT352" t="s">
        <v>7143</v>
      </c>
      <c r="AU352">
        <v>2024</v>
      </c>
      <c r="AV352" t="s">
        <v>74</v>
      </c>
      <c r="AW352" t="s">
        <v>74</v>
      </c>
      <c r="AX352" t="s">
        <v>74</v>
      </c>
      <c r="AY352" t="s">
        <v>74</v>
      </c>
      <c r="AZ352" t="s">
        <v>74</v>
      </c>
      <c r="BA352" t="s">
        <v>74</v>
      </c>
      <c r="BB352" t="s">
        <v>74</v>
      </c>
      <c r="BC352" t="s">
        <v>74</v>
      </c>
      <c r="BD352" t="s">
        <v>74</v>
      </c>
      <c r="BE352" t="s">
        <v>7144</v>
      </c>
      <c r="BF352" t="str">
        <f>HYPERLINK("http://dx.doi.org/10.1080/17483107.2024.2445017","http://dx.doi.org/10.1080/17483107.2024.2445017")</f>
        <v>http://dx.doi.org/10.1080/17483107.2024.2445017</v>
      </c>
      <c r="BG352" t="s">
        <v>74</v>
      </c>
      <c r="BH352" t="s">
        <v>2290</v>
      </c>
      <c r="BI352">
        <v>10</v>
      </c>
      <c r="BJ352" t="s">
        <v>101</v>
      </c>
      <c r="BK352" t="s">
        <v>462</v>
      </c>
      <c r="BL352" t="s">
        <v>101</v>
      </c>
      <c r="BM352" t="s">
        <v>7145</v>
      </c>
      <c r="BN352">
        <v>39727293</v>
      </c>
      <c r="BO352" t="s">
        <v>74</v>
      </c>
      <c r="BP352" t="s">
        <v>74</v>
      </c>
      <c r="BQ352" t="s">
        <v>74</v>
      </c>
      <c r="BR352" t="s">
        <v>105</v>
      </c>
      <c r="BS352" t="s">
        <v>7146</v>
      </c>
      <c r="BT352" t="str">
        <f>HYPERLINK("https%3A%2F%2Fwww.webofscience.com%2Fwos%2Fwoscc%2Ffull-record%2FWOS:001385021200001","View Full Record in Web of Science")</f>
        <v>View Full Record in Web of Science</v>
      </c>
    </row>
    <row r="353" spans="1:72" x14ac:dyDescent="0.25">
      <c r="A353" t="s">
        <v>72</v>
      </c>
      <c r="B353" t="s">
        <v>7147</v>
      </c>
      <c r="C353" t="s">
        <v>74</v>
      </c>
      <c r="D353" t="s">
        <v>74</v>
      </c>
      <c r="E353" t="s">
        <v>74</v>
      </c>
      <c r="F353" t="s">
        <v>7148</v>
      </c>
      <c r="G353" t="s">
        <v>74</v>
      </c>
      <c r="H353" t="s">
        <v>74</v>
      </c>
      <c r="I353" t="s">
        <v>7149</v>
      </c>
      <c r="J353" t="s">
        <v>1379</v>
      </c>
      <c r="K353" t="s">
        <v>74</v>
      </c>
      <c r="L353" t="s">
        <v>74</v>
      </c>
      <c r="M353" t="s">
        <v>78</v>
      </c>
      <c r="N353" t="s">
        <v>79</v>
      </c>
      <c r="O353" t="s">
        <v>74</v>
      </c>
      <c r="P353" t="s">
        <v>74</v>
      </c>
      <c r="Q353" t="s">
        <v>74</v>
      </c>
      <c r="R353" t="s">
        <v>74</v>
      </c>
      <c r="S353" t="s">
        <v>74</v>
      </c>
      <c r="T353" t="s">
        <v>7150</v>
      </c>
      <c r="U353" t="s">
        <v>7151</v>
      </c>
      <c r="V353" t="s">
        <v>7152</v>
      </c>
      <c r="W353" t="s">
        <v>7153</v>
      </c>
      <c r="X353" t="s">
        <v>7154</v>
      </c>
      <c r="Y353" t="s">
        <v>7155</v>
      </c>
      <c r="Z353" t="s">
        <v>7156</v>
      </c>
      <c r="AA353" t="s">
        <v>7157</v>
      </c>
      <c r="AB353" t="s">
        <v>7158</v>
      </c>
      <c r="AC353" t="s">
        <v>7159</v>
      </c>
      <c r="AD353" t="s">
        <v>7160</v>
      </c>
      <c r="AE353" t="s">
        <v>7161</v>
      </c>
      <c r="AF353" t="s">
        <v>74</v>
      </c>
      <c r="AG353">
        <v>56</v>
      </c>
      <c r="AH353">
        <v>0</v>
      </c>
      <c r="AI353">
        <v>0</v>
      </c>
      <c r="AJ353">
        <v>14</v>
      </c>
      <c r="AK353">
        <v>14</v>
      </c>
      <c r="AL353" t="s">
        <v>1391</v>
      </c>
      <c r="AM353" t="s">
        <v>1392</v>
      </c>
      <c r="AN353" t="s">
        <v>1393</v>
      </c>
      <c r="AO353" t="s">
        <v>1394</v>
      </c>
      <c r="AP353" t="s">
        <v>74</v>
      </c>
      <c r="AQ353" t="s">
        <v>74</v>
      </c>
      <c r="AR353" t="s">
        <v>1395</v>
      </c>
      <c r="AS353" t="s">
        <v>1396</v>
      </c>
      <c r="AT353" t="s">
        <v>7162</v>
      </c>
      <c r="AU353">
        <v>2024</v>
      </c>
      <c r="AV353">
        <v>26</v>
      </c>
      <c r="AW353" t="s">
        <v>74</v>
      </c>
      <c r="AX353" t="s">
        <v>74</v>
      </c>
      <c r="AY353" t="s">
        <v>74</v>
      </c>
      <c r="AZ353" t="s">
        <v>74</v>
      </c>
      <c r="BA353" t="s">
        <v>74</v>
      </c>
      <c r="BB353" t="s">
        <v>74</v>
      </c>
      <c r="BC353" t="s">
        <v>74</v>
      </c>
      <c r="BD353" t="s">
        <v>7163</v>
      </c>
      <c r="BE353" t="s">
        <v>7164</v>
      </c>
      <c r="BF353" t="str">
        <f>HYPERLINK("http://dx.doi.org/10.2196/51994","http://dx.doi.org/10.2196/51994")</f>
        <v>http://dx.doi.org/10.2196/51994</v>
      </c>
      <c r="BG353" t="s">
        <v>74</v>
      </c>
      <c r="BH353" t="s">
        <v>74</v>
      </c>
      <c r="BI353">
        <v>18</v>
      </c>
      <c r="BJ353" t="s">
        <v>1400</v>
      </c>
      <c r="BK353" t="s">
        <v>182</v>
      </c>
      <c r="BL353" t="s">
        <v>1400</v>
      </c>
      <c r="BM353" t="s">
        <v>7165</v>
      </c>
      <c r="BN353">
        <v>39714084</v>
      </c>
      <c r="BO353" t="s">
        <v>185</v>
      </c>
      <c r="BP353" t="s">
        <v>74</v>
      </c>
      <c r="BQ353" t="s">
        <v>74</v>
      </c>
      <c r="BR353" t="s">
        <v>105</v>
      </c>
      <c r="BS353" t="s">
        <v>7166</v>
      </c>
      <c r="BT353" t="str">
        <f>HYPERLINK("https%3A%2F%2Fwww.webofscience.com%2Fwos%2Fwoscc%2Ffull-record%2FWOS:001385353600004","View Full Record in Web of Science")</f>
        <v>View Full Record in Web of Science</v>
      </c>
    </row>
    <row r="354" spans="1:72" x14ac:dyDescent="0.25">
      <c r="A354" t="s">
        <v>72</v>
      </c>
      <c r="B354" t="s">
        <v>7167</v>
      </c>
      <c r="C354" t="s">
        <v>74</v>
      </c>
      <c r="D354" t="s">
        <v>74</v>
      </c>
      <c r="E354" t="s">
        <v>74</v>
      </c>
      <c r="F354" t="s">
        <v>7168</v>
      </c>
      <c r="G354" t="s">
        <v>74</v>
      </c>
      <c r="H354" t="s">
        <v>74</v>
      </c>
      <c r="I354" t="s">
        <v>7169</v>
      </c>
      <c r="J354" t="s">
        <v>3100</v>
      </c>
      <c r="K354" t="s">
        <v>74</v>
      </c>
      <c r="L354" t="s">
        <v>74</v>
      </c>
      <c r="M354" t="s">
        <v>78</v>
      </c>
      <c r="N354" t="s">
        <v>79</v>
      </c>
      <c r="O354" t="s">
        <v>74</v>
      </c>
      <c r="P354" t="s">
        <v>74</v>
      </c>
      <c r="Q354" t="s">
        <v>74</v>
      </c>
      <c r="R354" t="s">
        <v>74</v>
      </c>
      <c r="S354" t="s">
        <v>74</v>
      </c>
      <c r="T354" t="s">
        <v>7170</v>
      </c>
      <c r="U354" t="s">
        <v>7171</v>
      </c>
      <c r="V354" t="s">
        <v>7172</v>
      </c>
      <c r="W354" t="s">
        <v>7173</v>
      </c>
      <c r="X354" t="s">
        <v>7174</v>
      </c>
      <c r="Y354" t="s">
        <v>7175</v>
      </c>
      <c r="Z354" t="s">
        <v>7176</v>
      </c>
      <c r="AA354" t="s">
        <v>7177</v>
      </c>
      <c r="AB354" t="s">
        <v>74</v>
      </c>
      <c r="AC354" t="s">
        <v>7178</v>
      </c>
      <c r="AD354" t="s">
        <v>7178</v>
      </c>
      <c r="AE354" t="s">
        <v>7179</v>
      </c>
      <c r="AF354" t="s">
        <v>74</v>
      </c>
      <c r="AG354">
        <v>85</v>
      </c>
      <c r="AH354">
        <v>0</v>
      </c>
      <c r="AI354">
        <v>0</v>
      </c>
      <c r="AJ354">
        <v>1</v>
      </c>
      <c r="AK354">
        <v>1</v>
      </c>
      <c r="AL354" t="s">
        <v>297</v>
      </c>
      <c r="AM354" t="s">
        <v>298</v>
      </c>
      <c r="AN354" t="s">
        <v>299</v>
      </c>
      <c r="AO354" t="s">
        <v>3111</v>
      </c>
      <c r="AP354" t="s">
        <v>3112</v>
      </c>
      <c r="AQ354" t="s">
        <v>74</v>
      </c>
      <c r="AR354" t="s">
        <v>3113</v>
      </c>
      <c r="AS354" t="s">
        <v>3114</v>
      </c>
      <c r="AT354" t="s">
        <v>326</v>
      </c>
      <c r="AU354">
        <v>2025</v>
      </c>
      <c r="AV354">
        <v>49</v>
      </c>
      <c r="AW354">
        <v>5</v>
      </c>
      <c r="AX354" t="s">
        <v>74</v>
      </c>
      <c r="AY354" t="s">
        <v>74</v>
      </c>
      <c r="AZ354" t="s">
        <v>74</v>
      </c>
      <c r="BA354" t="s">
        <v>74</v>
      </c>
      <c r="BB354">
        <v>729</v>
      </c>
      <c r="BC354">
        <v>748</v>
      </c>
      <c r="BD354" t="s">
        <v>74</v>
      </c>
      <c r="BE354" t="s">
        <v>7180</v>
      </c>
      <c r="BF354" t="str">
        <f>HYPERLINK("http://dx.doi.org/10.1111/aor.14925","http://dx.doi.org/10.1111/aor.14925")</f>
        <v>http://dx.doi.org/10.1111/aor.14925</v>
      </c>
      <c r="BG354" t="s">
        <v>74</v>
      </c>
      <c r="BH354" t="s">
        <v>2290</v>
      </c>
      <c r="BI354">
        <v>20</v>
      </c>
      <c r="BJ354" t="s">
        <v>3117</v>
      </c>
      <c r="BK354" t="s">
        <v>182</v>
      </c>
      <c r="BL354" t="s">
        <v>3118</v>
      </c>
      <c r="BM354" t="s">
        <v>7181</v>
      </c>
      <c r="BN354">
        <v>39711332</v>
      </c>
      <c r="BO354" t="s">
        <v>74</v>
      </c>
      <c r="BP354" t="s">
        <v>74</v>
      </c>
      <c r="BQ354" t="s">
        <v>74</v>
      </c>
      <c r="BR354" t="s">
        <v>105</v>
      </c>
      <c r="BS354" t="s">
        <v>7182</v>
      </c>
      <c r="BT354" t="str">
        <f>HYPERLINK("https%3A%2F%2Fwww.webofscience.com%2Fwos%2Fwoscc%2Ffull-record%2FWOS:001382047500001","View Full Record in Web of Science")</f>
        <v>View Full Record in Web of Science</v>
      </c>
    </row>
    <row r="355" spans="1:72" x14ac:dyDescent="0.25">
      <c r="A355" t="s">
        <v>72</v>
      </c>
      <c r="B355" t="s">
        <v>7183</v>
      </c>
      <c r="C355" t="s">
        <v>74</v>
      </c>
      <c r="D355" t="s">
        <v>74</v>
      </c>
      <c r="E355" t="s">
        <v>74</v>
      </c>
      <c r="F355" t="s">
        <v>7184</v>
      </c>
      <c r="G355" t="s">
        <v>74</v>
      </c>
      <c r="H355" t="s">
        <v>74</v>
      </c>
      <c r="I355" t="s">
        <v>7185</v>
      </c>
      <c r="J355" t="s">
        <v>7186</v>
      </c>
      <c r="K355" t="s">
        <v>74</v>
      </c>
      <c r="L355" t="s">
        <v>74</v>
      </c>
      <c r="M355" t="s">
        <v>78</v>
      </c>
      <c r="N355" t="s">
        <v>79</v>
      </c>
      <c r="O355" t="s">
        <v>74</v>
      </c>
      <c r="P355" t="s">
        <v>74</v>
      </c>
      <c r="Q355" t="s">
        <v>74</v>
      </c>
      <c r="R355" t="s">
        <v>74</v>
      </c>
      <c r="S355" t="s">
        <v>74</v>
      </c>
      <c r="T355" t="s">
        <v>7187</v>
      </c>
      <c r="U355" t="s">
        <v>7188</v>
      </c>
      <c r="V355" t="s">
        <v>7189</v>
      </c>
      <c r="W355" t="s">
        <v>7190</v>
      </c>
      <c r="X355" t="s">
        <v>7191</v>
      </c>
      <c r="Y355" t="s">
        <v>7192</v>
      </c>
      <c r="Z355" t="s">
        <v>7193</v>
      </c>
      <c r="AA355" t="s">
        <v>74</v>
      </c>
      <c r="AB355" t="s">
        <v>74</v>
      </c>
      <c r="AC355" t="s">
        <v>74</v>
      </c>
      <c r="AD355" t="s">
        <v>74</v>
      </c>
      <c r="AE355" t="s">
        <v>74</v>
      </c>
      <c r="AF355" t="s">
        <v>74</v>
      </c>
      <c r="AG355">
        <v>56</v>
      </c>
      <c r="AH355">
        <v>1</v>
      </c>
      <c r="AI355">
        <v>1</v>
      </c>
      <c r="AJ355">
        <v>1</v>
      </c>
      <c r="AK355">
        <v>2</v>
      </c>
      <c r="AL355" t="s">
        <v>7194</v>
      </c>
      <c r="AM355" t="s">
        <v>227</v>
      </c>
      <c r="AN355" t="s">
        <v>228</v>
      </c>
      <c r="AO355" t="s">
        <v>7195</v>
      </c>
      <c r="AP355" t="s">
        <v>7196</v>
      </c>
      <c r="AQ355" t="s">
        <v>74</v>
      </c>
      <c r="AR355" t="s">
        <v>7197</v>
      </c>
      <c r="AS355" t="s">
        <v>7198</v>
      </c>
      <c r="AT355" t="s">
        <v>7199</v>
      </c>
      <c r="AU355">
        <v>2024</v>
      </c>
      <c r="AV355">
        <v>37</v>
      </c>
      <c r="AW355">
        <v>4</v>
      </c>
      <c r="AX355" t="s">
        <v>74</v>
      </c>
      <c r="AY355" t="s">
        <v>74</v>
      </c>
      <c r="AZ355" t="s">
        <v>74</v>
      </c>
      <c r="BA355" t="s">
        <v>74</v>
      </c>
      <c r="BB355">
        <v>507</v>
      </c>
      <c r="BC355">
        <v>519</v>
      </c>
      <c r="BD355" t="s">
        <v>74</v>
      </c>
      <c r="BE355" t="s">
        <v>7200</v>
      </c>
      <c r="BF355" t="str">
        <f>HYPERLINK("http://dx.doi.org/10.1016/j.jht.2023.12.014","http://dx.doi.org/10.1016/j.jht.2023.12.014")</f>
        <v>http://dx.doi.org/10.1016/j.jht.2023.12.014</v>
      </c>
      <c r="BG355" t="s">
        <v>74</v>
      </c>
      <c r="BH355" t="s">
        <v>2290</v>
      </c>
      <c r="BI355">
        <v>13</v>
      </c>
      <c r="BJ355" t="s">
        <v>7201</v>
      </c>
      <c r="BK355" t="s">
        <v>182</v>
      </c>
      <c r="BL355" t="s">
        <v>7201</v>
      </c>
      <c r="BM355" t="s">
        <v>7202</v>
      </c>
      <c r="BN355">
        <v>38796397</v>
      </c>
      <c r="BO355" t="s">
        <v>74</v>
      </c>
      <c r="BP355" t="s">
        <v>74</v>
      </c>
      <c r="BQ355" t="s">
        <v>74</v>
      </c>
      <c r="BR355" t="s">
        <v>105</v>
      </c>
      <c r="BS355" t="s">
        <v>7203</v>
      </c>
      <c r="BT355" t="str">
        <f>HYPERLINK("https%3A%2F%2Fwww.webofscience.com%2Fwos%2Fwoscc%2Ffull-record%2FWOS:001375662100001","View Full Record in Web of Science")</f>
        <v>View Full Record in Web of Science</v>
      </c>
    </row>
    <row r="356" spans="1:72" x14ac:dyDescent="0.25">
      <c r="A356" t="s">
        <v>72</v>
      </c>
      <c r="B356" t="s">
        <v>7204</v>
      </c>
      <c r="C356" t="s">
        <v>74</v>
      </c>
      <c r="D356" t="s">
        <v>74</v>
      </c>
      <c r="E356" t="s">
        <v>74</v>
      </c>
      <c r="F356" t="s">
        <v>7205</v>
      </c>
      <c r="G356" t="s">
        <v>74</v>
      </c>
      <c r="H356" t="s">
        <v>74</v>
      </c>
      <c r="I356" t="s">
        <v>7206</v>
      </c>
      <c r="J356" t="s">
        <v>6456</v>
      </c>
      <c r="K356" t="s">
        <v>74</v>
      </c>
      <c r="L356" t="s">
        <v>74</v>
      </c>
      <c r="M356" t="s">
        <v>78</v>
      </c>
      <c r="N356" t="s">
        <v>79</v>
      </c>
      <c r="O356" t="s">
        <v>74</v>
      </c>
      <c r="P356" t="s">
        <v>74</v>
      </c>
      <c r="Q356" t="s">
        <v>74</v>
      </c>
      <c r="R356" t="s">
        <v>74</v>
      </c>
      <c r="S356" t="s">
        <v>74</v>
      </c>
      <c r="T356" t="s">
        <v>7207</v>
      </c>
      <c r="U356" t="s">
        <v>7208</v>
      </c>
      <c r="V356" t="s">
        <v>7209</v>
      </c>
      <c r="W356" t="s">
        <v>7210</v>
      </c>
      <c r="X356" t="s">
        <v>7211</v>
      </c>
      <c r="Y356" t="s">
        <v>7212</v>
      </c>
      <c r="Z356" t="s">
        <v>7213</v>
      </c>
      <c r="AA356" t="s">
        <v>7214</v>
      </c>
      <c r="AB356" t="s">
        <v>7215</v>
      </c>
      <c r="AC356" t="s">
        <v>74</v>
      </c>
      <c r="AD356" t="s">
        <v>74</v>
      </c>
      <c r="AE356" t="s">
        <v>74</v>
      </c>
      <c r="AF356" t="s">
        <v>74</v>
      </c>
      <c r="AG356">
        <v>118</v>
      </c>
      <c r="AH356">
        <v>2</v>
      </c>
      <c r="AI356">
        <v>2</v>
      </c>
      <c r="AJ356">
        <v>7</v>
      </c>
      <c r="AK356">
        <v>7</v>
      </c>
      <c r="AL356" t="s">
        <v>120</v>
      </c>
      <c r="AM356" t="s">
        <v>121</v>
      </c>
      <c r="AN356" t="s">
        <v>122</v>
      </c>
      <c r="AO356" t="s">
        <v>74</v>
      </c>
      <c r="AP356" t="s">
        <v>6469</v>
      </c>
      <c r="AQ356" t="s">
        <v>74</v>
      </c>
      <c r="AR356" t="s">
        <v>6470</v>
      </c>
      <c r="AS356" t="s">
        <v>6471</v>
      </c>
      <c r="AT356" t="s">
        <v>151</v>
      </c>
      <c r="AU356">
        <v>2024</v>
      </c>
      <c r="AV356">
        <v>9</v>
      </c>
      <c r="AW356">
        <v>12</v>
      </c>
      <c r="AX356" t="s">
        <v>74</v>
      </c>
      <c r="AY356" t="s">
        <v>74</v>
      </c>
      <c r="AZ356" t="s">
        <v>74</v>
      </c>
      <c r="BA356" t="s">
        <v>74</v>
      </c>
      <c r="BB356" t="s">
        <v>74</v>
      </c>
      <c r="BC356" t="s">
        <v>74</v>
      </c>
      <c r="BD356">
        <v>723</v>
      </c>
      <c r="BE356" t="s">
        <v>7216</v>
      </c>
      <c r="BF356" t="str">
        <f>HYPERLINK("http://dx.doi.org/10.3390/biomimetics9120723","http://dx.doi.org/10.3390/biomimetics9120723")</f>
        <v>http://dx.doi.org/10.3390/biomimetics9120723</v>
      </c>
      <c r="BG356" t="s">
        <v>74</v>
      </c>
      <c r="BH356" t="s">
        <v>74</v>
      </c>
      <c r="BI356">
        <v>23</v>
      </c>
      <c r="BJ356" t="s">
        <v>6474</v>
      </c>
      <c r="BK356" t="s">
        <v>182</v>
      </c>
      <c r="BL356" t="s">
        <v>4232</v>
      </c>
      <c r="BM356" t="s">
        <v>7217</v>
      </c>
      <c r="BN356">
        <v>39727727</v>
      </c>
      <c r="BO356" t="s">
        <v>185</v>
      </c>
      <c r="BP356" t="s">
        <v>74</v>
      </c>
      <c r="BQ356" t="s">
        <v>74</v>
      </c>
      <c r="BR356" t="s">
        <v>105</v>
      </c>
      <c r="BS356" t="s">
        <v>7218</v>
      </c>
      <c r="BT356" t="str">
        <f>HYPERLINK("https%3A%2F%2Fwww.webofscience.com%2Fwos%2Fwoscc%2Ffull-record%2FWOS:001386790400001","View Full Record in Web of Science")</f>
        <v>View Full Record in Web of Science</v>
      </c>
    </row>
    <row r="357" spans="1:72" x14ac:dyDescent="0.25">
      <c r="A357" t="s">
        <v>72</v>
      </c>
      <c r="B357" t="s">
        <v>7219</v>
      </c>
      <c r="C357" t="s">
        <v>74</v>
      </c>
      <c r="D357" t="s">
        <v>74</v>
      </c>
      <c r="E357" t="s">
        <v>74</v>
      </c>
      <c r="F357" t="s">
        <v>7220</v>
      </c>
      <c r="G357" t="s">
        <v>74</v>
      </c>
      <c r="H357" t="s">
        <v>74</v>
      </c>
      <c r="I357" t="s">
        <v>7221</v>
      </c>
      <c r="J357" t="s">
        <v>110</v>
      </c>
      <c r="K357" t="s">
        <v>74</v>
      </c>
      <c r="L357" t="s">
        <v>74</v>
      </c>
      <c r="M357" t="s">
        <v>78</v>
      </c>
      <c r="N357" t="s">
        <v>79</v>
      </c>
      <c r="O357" t="s">
        <v>74</v>
      </c>
      <c r="P357" t="s">
        <v>74</v>
      </c>
      <c r="Q357" t="s">
        <v>74</v>
      </c>
      <c r="R357" t="s">
        <v>74</v>
      </c>
      <c r="S357" t="s">
        <v>74</v>
      </c>
      <c r="T357" t="s">
        <v>7222</v>
      </c>
      <c r="U357" t="s">
        <v>7223</v>
      </c>
      <c r="V357" t="s">
        <v>7224</v>
      </c>
      <c r="W357" t="s">
        <v>7225</v>
      </c>
      <c r="X357" t="s">
        <v>7226</v>
      </c>
      <c r="Y357" t="s">
        <v>7227</v>
      </c>
      <c r="Z357" t="s">
        <v>7228</v>
      </c>
      <c r="AA357" t="s">
        <v>7229</v>
      </c>
      <c r="AB357" t="s">
        <v>74</v>
      </c>
      <c r="AC357" t="s">
        <v>74</v>
      </c>
      <c r="AD357" t="s">
        <v>74</v>
      </c>
      <c r="AE357" t="s">
        <v>74</v>
      </c>
      <c r="AF357" t="s">
        <v>74</v>
      </c>
      <c r="AG357">
        <v>34</v>
      </c>
      <c r="AH357">
        <v>0</v>
      </c>
      <c r="AI357">
        <v>0</v>
      </c>
      <c r="AJ357">
        <v>0</v>
      </c>
      <c r="AK357">
        <v>0</v>
      </c>
      <c r="AL357" t="s">
        <v>120</v>
      </c>
      <c r="AM357" t="s">
        <v>121</v>
      </c>
      <c r="AN357" t="s">
        <v>1221</v>
      </c>
      <c r="AO357" t="s">
        <v>74</v>
      </c>
      <c r="AP357" t="s">
        <v>123</v>
      </c>
      <c r="AQ357" t="s">
        <v>74</v>
      </c>
      <c r="AR357" t="s">
        <v>124</v>
      </c>
      <c r="AS357" t="s">
        <v>125</v>
      </c>
      <c r="AT357" t="s">
        <v>151</v>
      </c>
      <c r="AU357">
        <v>2024</v>
      </c>
      <c r="AV357">
        <v>13</v>
      </c>
      <c r="AW357">
        <v>23</v>
      </c>
      <c r="AX357" t="s">
        <v>74</v>
      </c>
      <c r="AY357" t="s">
        <v>74</v>
      </c>
      <c r="AZ357" t="s">
        <v>74</v>
      </c>
      <c r="BA357" t="s">
        <v>74</v>
      </c>
      <c r="BB357" t="s">
        <v>74</v>
      </c>
      <c r="BC357" t="s">
        <v>74</v>
      </c>
      <c r="BD357">
        <v>7153</v>
      </c>
      <c r="BE357" t="s">
        <v>7230</v>
      </c>
      <c r="BF357" t="str">
        <f>HYPERLINK("http://dx.doi.org/10.3390/jcm13237153","http://dx.doi.org/10.3390/jcm13237153")</f>
        <v>http://dx.doi.org/10.3390/jcm13237153</v>
      </c>
      <c r="BG357" t="s">
        <v>74</v>
      </c>
      <c r="BH357" t="s">
        <v>74</v>
      </c>
      <c r="BI357">
        <v>12</v>
      </c>
      <c r="BJ357" t="s">
        <v>128</v>
      </c>
      <c r="BK357" t="s">
        <v>182</v>
      </c>
      <c r="BL357" t="s">
        <v>129</v>
      </c>
      <c r="BM357" t="s">
        <v>7231</v>
      </c>
      <c r="BN357" t="s">
        <v>74</v>
      </c>
      <c r="BO357" t="s">
        <v>185</v>
      </c>
      <c r="BP357" t="s">
        <v>74</v>
      </c>
      <c r="BQ357" t="s">
        <v>74</v>
      </c>
      <c r="BR357" t="s">
        <v>105</v>
      </c>
      <c r="BS357" t="s">
        <v>7232</v>
      </c>
      <c r="BT357" t="str">
        <f>HYPERLINK("https%3A%2F%2Fwww.webofscience.com%2Fwos%2Fwoscc%2Ffull-record%2FWOS:001376585600001","View Full Record in Web of Science")</f>
        <v>View Full Record in Web of Science</v>
      </c>
    </row>
    <row r="358" spans="1:72" x14ac:dyDescent="0.25">
      <c r="A358" t="s">
        <v>72</v>
      </c>
      <c r="B358" t="s">
        <v>7233</v>
      </c>
      <c r="C358" t="s">
        <v>74</v>
      </c>
      <c r="D358" t="s">
        <v>74</v>
      </c>
      <c r="E358" t="s">
        <v>74</v>
      </c>
      <c r="F358" t="s">
        <v>7234</v>
      </c>
      <c r="G358" t="s">
        <v>74</v>
      </c>
      <c r="H358" t="s">
        <v>74</v>
      </c>
      <c r="I358" t="s">
        <v>7235</v>
      </c>
      <c r="J358" t="s">
        <v>2690</v>
      </c>
      <c r="K358" t="s">
        <v>74</v>
      </c>
      <c r="L358" t="s">
        <v>74</v>
      </c>
      <c r="M358" t="s">
        <v>78</v>
      </c>
      <c r="N358" t="s">
        <v>79</v>
      </c>
      <c r="O358" t="s">
        <v>74</v>
      </c>
      <c r="P358" t="s">
        <v>74</v>
      </c>
      <c r="Q358" t="s">
        <v>74</v>
      </c>
      <c r="R358" t="s">
        <v>74</v>
      </c>
      <c r="S358" t="s">
        <v>74</v>
      </c>
      <c r="T358" t="s">
        <v>7236</v>
      </c>
      <c r="U358" t="s">
        <v>7237</v>
      </c>
      <c r="V358" t="s">
        <v>7238</v>
      </c>
      <c r="W358" t="s">
        <v>7239</v>
      </c>
      <c r="X358" t="s">
        <v>6137</v>
      </c>
      <c r="Y358" t="s">
        <v>7240</v>
      </c>
      <c r="Z358" t="s">
        <v>7241</v>
      </c>
      <c r="AA358" t="s">
        <v>7242</v>
      </c>
      <c r="AB358" t="s">
        <v>7243</v>
      </c>
      <c r="AC358" t="s">
        <v>7244</v>
      </c>
      <c r="AD358" t="s">
        <v>7245</v>
      </c>
      <c r="AE358" t="s">
        <v>7246</v>
      </c>
      <c r="AF358" t="s">
        <v>74</v>
      </c>
      <c r="AG358">
        <v>218</v>
      </c>
      <c r="AH358">
        <v>1</v>
      </c>
      <c r="AI358">
        <v>2</v>
      </c>
      <c r="AJ358">
        <v>29</v>
      </c>
      <c r="AK358">
        <v>29</v>
      </c>
      <c r="AL358" t="s">
        <v>120</v>
      </c>
      <c r="AM358" t="s">
        <v>121</v>
      </c>
      <c r="AN358" t="s">
        <v>1221</v>
      </c>
      <c r="AO358" t="s">
        <v>74</v>
      </c>
      <c r="AP358" t="s">
        <v>2698</v>
      </c>
      <c r="AQ358" t="s">
        <v>74</v>
      </c>
      <c r="AR358" t="s">
        <v>2690</v>
      </c>
      <c r="AS358" t="s">
        <v>2699</v>
      </c>
      <c r="AT358" t="s">
        <v>151</v>
      </c>
      <c r="AU358">
        <v>2024</v>
      </c>
      <c r="AV358">
        <v>13</v>
      </c>
      <c r="AW358">
        <v>12</v>
      </c>
      <c r="AX358" t="s">
        <v>74</v>
      </c>
      <c r="AY358" t="s">
        <v>74</v>
      </c>
      <c r="AZ358" t="s">
        <v>74</v>
      </c>
      <c r="BA358" t="s">
        <v>74</v>
      </c>
      <c r="BB358" t="s">
        <v>74</v>
      </c>
      <c r="BC358" t="s">
        <v>74</v>
      </c>
      <c r="BD358">
        <v>507</v>
      </c>
      <c r="BE358" t="s">
        <v>7247</v>
      </c>
      <c r="BF358" t="str">
        <f>HYPERLINK("http://dx.doi.org/10.3390/act13120507","http://dx.doi.org/10.3390/act13120507")</f>
        <v>http://dx.doi.org/10.3390/act13120507</v>
      </c>
      <c r="BG358" t="s">
        <v>74</v>
      </c>
      <c r="BH358" t="s">
        <v>74</v>
      </c>
      <c r="BI358">
        <v>33</v>
      </c>
      <c r="BJ358" t="s">
        <v>2701</v>
      </c>
      <c r="BK358" t="s">
        <v>182</v>
      </c>
      <c r="BL358" t="s">
        <v>2702</v>
      </c>
      <c r="BM358" t="s">
        <v>7248</v>
      </c>
      <c r="BN358" t="s">
        <v>74</v>
      </c>
      <c r="BO358" t="s">
        <v>185</v>
      </c>
      <c r="BP358" t="s">
        <v>74</v>
      </c>
      <c r="BQ358" t="s">
        <v>74</v>
      </c>
      <c r="BR358" t="s">
        <v>105</v>
      </c>
      <c r="BS358" t="s">
        <v>7249</v>
      </c>
      <c r="BT358" t="str">
        <f>HYPERLINK("https%3A%2F%2Fwww.webofscience.com%2Fwos%2Fwoscc%2Ffull-record%2FWOS:001384218900001","View Full Record in Web of Science")</f>
        <v>View Full Record in Web of Science</v>
      </c>
    </row>
    <row r="359" spans="1:72" x14ac:dyDescent="0.25">
      <c r="A359" t="s">
        <v>72</v>
      </c>
      <c r="B359" t="s">
        <v>7250</v>
      </c>
      <c r="C359" t="s">
        <v>74</v>
      </c>
      <c r="D359" t="s">
        <v>74</v>
      </c>
      <c r="E359" t="s">
        <v>74</v>
      </c>
      <c r="F359" t="s">
        <v>7251</v>
      </c>
      <c r="G359" t="s">
        <v>74</v>
      </c>
      <c r="H359" t="s">
        <v>74</v>
      </c>
      <c r="I359" t="s">
        <v>7252</v>
      </c>
      <c r="J359" t="s">
        <v>2040</v>
      </c>
      <c r="K359" t="s">
        <v>74</v>
      </c>
      <c r="L359" t="s">
        <v>74</v>
      </c>
      <c r="M359" t="s">
        <v>78</v>
      </c>
      <c r="N359" t="s">
        <v>79</v>
      </c>
      <c r="O359" t="s">
        <v>74</v>
      </c>
      <c r="P359" t="s">
        <v>74</v>
      </c>
      <c r="Q359" t="s">
        <v>74</v>
      </c>
      <c r="R359" t="s">
        <v>74</v>
      </c>
      <c r="S359" t="s">
        <v>74</v>
      </c>
      <c r="T359" t="s">
        <v>7253</v>
      </c>
      <c r="U359" t="s">
        <v>7254</v>
      </c>
      <c r="V359" t="s">
        <v>7255</v>
      </c>
      <c r="W359" t="s">
        <v>7256</v>
      </c>
      <c r="X359" t="s">
        <v>7257</v>
      </c>
      <c r="Y359" t="s">
        <v>7258</v>
      </c>
      <c r="Z359" t="s">
        <v>7259</v>
      </c>
      <c r="AA359" t="s">
        <v>7260</v>
      </c>
      <c r="AB359" t="s">
        <v>7261</v>
      </c>
      <c r="AC359" t="s">
        <v>74</v>
      </c>
      <c r="AD359" t="s">
        <v>74</v>
      </c>
      <c r="AE359" t="s">
        <v>74</v>
      </c>
      <c r="AF359" t="s">
        <v>74</v>
      </c>
      <c r="AG359">
        <v>162</v>
      </c>
      <c r="AH359">
        <v>0</v>
      </c>
      <c r="AI359">
        <v>0</v>
      </c>
      <c r="AJ359">
        <v>35</v>
      </c>
      <c r="AK359">
        <v>35</v>
      </c>
      <c r="AL359" t="s">
        <v>120</v>
      </c>
      <c r="AM359" t="s">
        <v>121</v>
      </c>
      <c r="AN359" t="s">
        <v>1221</v>
      </c>
      <c r="AO359" t="s">
        <v>74</v>
      </c>
      <c r="AP359" t="s">
        <v>2050</v>
      </c>
      <c r="AQ359" t="s">
        <v>74</v>
      </c>
      <c r="AR359" t="s">
        <v>2051</v>
      </c>
      <c r="AS359" t="s">
        <v>2052</v>
      </c>
      <c r="AT359" t="s">
        <v>151</v>
      </c>
      <c r="AU359">
        <v>2024</v>
      </c>
      <c r="AV359">
        <v>24</v>
      </c>
      <c r="AW359">
        <v>24</v>
      </c>
      <c r="AX359" t="s">
        <v>74</v>
      </c>
      <c r="AY359" t="s">
        <v>74</v>
      </c>
      <c r="AZ359" t="s">
        <v>74</v>
      </c>
      <c r="BA359" t="s">
        <v>74</v>
      </c>
      <c r="BB359" t="s">
        <v>74</v>
      </c>
      <c r="BC359" t="s">
        <v>74</v>
      </c>
      <c r="BD359">
        <v>8090</v>
      </c>
      <c r="BE359" t="s">
        <v>7262</v>
      </c>
      <c r="BF359" t="str">
        <f>HYPERLINK("http://dx.doi.org/10.3390/s24248090","http://dx.doi.org/10.3390/s24248090")</f>
        <v>http://dx.doi.org/10.3390/s24248090</v>
      </c>
      <c r="BG359" t="s">
        <v>74</v>
      </c>
      <c r="BH359" t="s">
        <v>74</v>
      </c>
      <c r="BI359">
        <v>31</v>
      </c>
      <c r="BJ359" t="s">
        <v>2054</v>
      </c>
      <c r="BK359" t="s">
        <v>182</v>
      </c>
      <c r="BL359" t="s">
        <v>2055</v>
      </c>
      <c r="BM359" t="s">
        <v>7263</v>
      </c>
      <c r="BN359">
        <v>39771825</v>
      </c>
      <c r="BO359" t="s">
        <v>185</v>
      </c>
      <c r="BP359" t="s">
        <v>74</v>
      </c>
      <c r="BQ359" t="s">
        <v>74</v>
      </c>
      <c r="BR359" t="s">
        <v>105</v>
      </c>
      <c r="BS359" t="s">
        <v>7264</v>
      </c>
      <c r="BT359" t="str">
        <f>HYPERLINK("https%3A%2F%2Fwww.webofscience.com%2Fwos%2Fwoscc%2Ffull-record%2FWOS:001387721300001","View Full Record in Web of Science")</f>
        <v>View Full Record in Web of Science</v>
      </c>
    </row>
    <row r="360" spans="1:72" x14ac:dyDescent="0.25">
      <c r="A360" t="s">
        <v>72</v>
      </c>
      <c r="B360" t="s">
        <v>7265</v>
      </c>
      <c r="C360" t="s">
        <v>74</v>
      </c>
      <c r="D360" t="s">
        <v>74</v>
      </c>
      <c r="E360" t="s">
        <v>74</v>
      </c>
      <c r="F360" t="s">
        <v>7266</v>
      </c>
      <c r="G360" t="s">
        <v>74</v>
      </c>
      <c r="H360" t="s">
        <v>74</v>
      </c>
      <c r="I360" t="s">
        <v>7267</v>
      </c>
      <c r="J360" t="s">
        <v>2117</v>
      </c>
      <c r="K360" t="s">
        <v>74</v>
      </c>
      <c r="L360" t="s">
        <v>74</v>
      </c>
      <c r="M360" t="s">
        <v>78</v>
      </c>
      <c r="N360" t="s">
        <v>79</v>
      </c>
      <c r="O360" t="s">
        <v>74</v>
      </c>
      <c r="P360" t="s">
        <v>74</v>
      </c>
      <c r="Q360" t="s">
        <v>74</v>
      </c>
      <c r="R360" t="s">
        <v>74</v>
      </c>
      <c r="S360" t="s">
        <v>74</v>
      </c>
      <c r="T360" t="s">
        <v>7268</v>
      </c>
      <c r="U360" t="s">
        <v>7269</v>
      </c>
      <c r="V360" t="s">
        <v>7270</v>
      </c>
      <c r="W360" t="s">
        <v>7271</v>
      </c>
      <c r="X360" t="s">
        <v>7272</v>
      </c>
      <c r="Y360" t="s">
        <v>7273</v>
      </c>
      <c r="Z360" t="s">
        <v>7274</v>
      </c>
      <c r="AA360" t="s">
        <v>7275</v>
      </c>
      <c r="AB360" t="s">
        <v>7276</v>
      </c>
      <c r="AC360" t="s">
        <v>7277</v>
      </c>
      <c r="AD360" t="s">
        <v>7278</v>
      </c>
      <c r="AE360" t="s">
        <v>7279</v>
      </c>
      <c r="AF360" t="s">
        <v>74</v>
      </c>
      <c r="AG360">
        <v>127</v>
      </c>
      <c r="AH360">
        <v>2</v>
      </c>
      <c r="AI360">
        <v>2</v>
      </c>
      <c r="AJ360">
        <v>11</v>
      </c>
      <c r="AK360">
        <v>11</v>
      </c>
      <c r="AL360" t="s">
        <v>120</v>
      </c>
      <c r="AM360" t="s">
        <v>121</v>
      </c>
      <c r="AN360" t="s">
        <v>1221</v>
      </c>
      <c r="AO360" t="s">
        <v>74</v>
      </c>
      <c r="AP360" t="s">
        <v>2129</v>
      </c>
      <c r="AQ360" t="s">
        <v>74</v>
      </c>
      <c r="AR360" t="s">
        <v>2117</v>
      </c>
      <c r="AS360" t="s">
        <v>714</v>
      </c>
      <c r="AT360" t="s">
        <v>151</v>
      </c>
      <c r="AU360">
        <v>2024</v>
      </c>
      <c r="AV360">
        <v>13</v>
      </c>
      <c r="AW360">
        <v>12</v>
      </c>
      <c r="AX360" t="s">
        <v>74</v>
      </c>
      <c r="AY360" t="s">
        <v>74</v>
      </c>
      <c r="AZ360" t="s">
        <v>74</v>
      </c>
      <c r="BA360" t="s">
        <v>74</v>
      </c>
      <c r="BB360" t="s">
        <v>74</v>
      </c>
      <c r="BC360" t="s">
        <v>74</v>
      </c>
      <c r="BD360">
        <v>181</v>
      </c>
      <c r="BE360" t="s">
        <v>7280</v>
      </c>
      <c r="BF360" t="str">
        <f>HYPERLINK("http://dx.doi.org/10.3390/robotics13120181","http://dx.doi.org/10.3390/robotics13120181")</f>
        <v>http://dx.doi.org/10.3390/robotics13120181</v>
      </c>
      <c r="BG360" t="s">
        <v>74</v>
      </c>
      <c r="BH360" t="s">
        <v>74</v>
      </c>
      <c r="BI360">
        <v>28</v>
      </c>
      <c r="BJ360" t="s">
        <v>714</v>
      </c>
      <c r="BK360" t="s">
        <v>155</v>
      </c>
      <c r="BL360" t="s">
        <v>714</v>
      </c>
      <c r="BM360" t="s">
        <v>7281</v>
      </c>
      <c r="BN360" t="s">
        <v>74</v>
      </c>
      <c r="BO360" t="s">
        <v>185</v>
      </c>
      <c r="BP360" t="s">
        <v>74</v>
      </c>
      <c r="BQ360" t="s">
        <v>74</v>
      </c>
      <c r="BR360" t="s">
        <v>105</v>
      </c>
      <c r="BS360" t="s">
        <v>7282</v>
      </c>
      <c r="BT360" t="str">
        <f>HYPERLINK("https%3A%2F%2Fwww.webofscience.com%2Fwos%2Fwoscc%2Ffull-record%2FWOS:001384560900001","View Full Record in Web of Science")</f>
        <v>View Full Record in Web of Science</v>
      </c>
    </row>
    <row r="361" spans="1:72" x14ac:dyDescent="0.25">
      <c r="A361" t="s">
        <v>72</v>
      </c>
      <c r="B361" t="s">
        <v>7283</v>
      </c>
      <c r="C361" t="s">
        <v>74</v>
      </c>
      <c r="D361" t="s">
        <v>74</v>
      </c>
      <c r="E361" t="s">
        <v>74</v>
      </c>
      <c r="F361" t="s">
        <v>7284</v>
      </c>
      <c r="G361" t="s">
        <v>74</v>
      </c>
      <c r="H361" t="s">
        <v>74</v>
      </c>
      <c r="I361" t="s">
        <v>7285</v>
      </c>
      <c r="J361" t="s">
        <v>7286</v>
      </c>
      <c r="K361" t="s">
        <v>74</v>
      </c>
      <c r="L361" t="s">
        <v>74</v>
      </c>
      <c r="M361" t="s">
        <v>78</v>
      </c>
      <c r="N361" t="s">
        <v>79</v>
      </c>
      <c r="O361" t="s">
        <v>74</v>
      </c>
      <c r="P361" t="s">
        <v>74</v>
      </c>
      <c r="Q361" t="s">
        <v>74</v>
      </c>
      <c r="R361" t="s">
        <v>74</v>
      </c>
      <c r="S361" t="s">
        <v>74</v>
      </c>
      <c r="T361" t="s">
        <v>7287</v>
      </c>
      <c r="U361" t="s">
        <v>7288</v>
      </c>
      <c r="V361" t="s">
        <v>7289</v>
      </c>
      <c r="W361" t="s">
        <v>7290</v>
      </c>
      <c r="X361" t="s">
        <v>7291</v>
      </c>
      <c r="Y361" t="s">
        <v>7292</v>
      </c>
      <c r="Z361" t="s">
        <v>7293</v>
      </c>
      <c r="AA361" t="s">
        <v>7294</v>
      </c>
      <c r="AB361" t="s">
        <v>7295</v>
      </c>
      <c r="AC361" t="s">
        <v>74</v>
      </c>
      <c r="AD361" t="s">
        <v>74</v>
      </c>
      <c r="AE361" t="s">
        <v>74</v>
      </c>
      <c r="AF361" t="s">
        <v>74</v>
      </c>
      <c r="AG361">
        <v>74</v>
      </c>
      <c r="AH361">
        <v>0</v>
      </c>
      <c r="AI361">
        <v>0</v>
      </c>
      <c r="AJ361">
        <v>11</v>
      </c>
      <c r="AK361">
        <v>11</v>
      </c>
      <c r="AL361" t="s">
        <v>120</v>
      </c>
      <c r="AM361" t="s">
        <v>121</v>
      </c>
      <c r="AN361" t="s">
        <v>1221</v>
      </c>
      <c r="AO361" t="s">
        <v>74</v>
      </c>
      <c r="AP361" t="s">
        <v>7296</v>
      </c>
      <c r="AQ361" t="s">
        <v>74</v>
      </c>
      <c r="AR361" t="s">
        <v>7297</v>
      </c>
      <c r="AS361" t="s">
        <v>7298</v>
      </c>
      <c r="AT361" t="s">
        <v>151</v>
      </c>
      <c r="AU361">
        <v>2024</v>
      </c>
      <c r="AV361">
        <v>5</v>
      </c>
      <c r="AW361">
        <v>4</v>
      </c>
      <c r="AX361" t="s">
        <v>74</v>
      </c>
      <c r="AY361" t="s">
        <v>74</v>
      </c>
      <c r="AZ361" t="s">
        <v>74</v>
      </c>
      <c r="BA361" t="s">
        <v>74</v>
      </c>
      <c r="BB361">
        <v>3174</v>
      </c>
      <c r="BC361">
        <v>3191</v>
      </c>
      <c r="BD361" t="s">
        <v>74</v>
      </c>
      <c r="BE361" t="s">
        <v>7299</v>
      </c>
      <c r="BF361" t="str">
        <f>HYPERLINK("http://dx.doi.org/10.3390/eng5040167","http://dx.doi.org/10.3390/eng5040167")</f>
        <v>http://dx.doi.org/10.3390/eng5040167</v>
      </c>
      <c r="BG361" t="s">
        <v>74</v>
      </c>
      <c r="BH361" t="s">
        <v>74</v>
      </c>
      <c r="BI361">
        <v>18</v>
      </c>
      <c r="BJ361" t="s">
        <v>1202</v>
      </c>
      <c r="BK361" t="s">
        <v>155</v>
      </c>
      <c r="BL361" t="s">
        <v>183</v>
      </c>
      <c r="BM361" t="s">
        <v>7300</v>
      </c>
      <c r="BN361" t="s">
        <v>74</v>
      </c>
      <c r="BO361" t="s">
        <v>185</v>
      </c>
      <c r="BP361" t="s">
        <v>74</v>
      </c>
      <c r="BQ361" t="s">
        <v>74</v>
      </c>
      <c r="BR361" t="s">
        <v>105</v>
      </c>
      <c r="BS361" t="s">
        <v>7301</v>
      </c>
      <c r="BT361" t="str">
        <f>HYPERLINK("https%3A%2F%2Fwww.webofscience.com%2Fwos%2Fwoscc%2Ffull-record%2FWOS:001388753600001","View Full Record in Web of Science")</f>
        <v>View Full Record in Web of Science</v>
      </c>
    </row>
    <row r="362" spans="1:72" x14ac:dyDescent="0.25">
      <c r="A362" t="s">
        <v>72</v>
      </c>
      <c r="B362" t="s">
        <v>7302</v>
      </c>
      <c r="C362" t="s">
        <v>74</v>
      </c>
      <c r="D362" t="s">
        <v>74</v>
      </c>
      <c r="E362" t="s">
        <v>74</v>
      </c>
      <c r="F362" t="s">
        <v>7303</v>
      </c>
      <c r="G362" t="s">
        <v>74</v>
      </c>
      <c r="H362" t="s">
        <v>74</v>
      </c>
      <c r="I362" t="s">
        <v>7304</v>
      </c>
      <c r="J362" t="s">
        <v>4982</v>
      </c>
      <c r="K362" t="s">
        <v>74</v>
      </c>
      <c r="L362" t="s">
        <v>74</v>
      </c>
      <c r="M362" t="s">
        <v>78</v>
      </c>
      <c r="N362" t="s">
        <v>79</v>
      </c>
      <c r="O362" t="s">
        <v>74</v>
      </c>
      <c r="P362" t="s">
        <v>74</v>
      </c>
      <c r="Q362" t="s">
        <v>74</v>
      </c>
      <c r="R362" t="s">
        <v>74</v>
      </c>
      <c r="S362" t="s">
        <v>74</v>
      </c>
      <c r="T362" t="s">
        <v>7305</v>
      </c>
      <c r="U362" t="s">
        <v>7306</v>
      </c>
      <c r="V362" t="s">
        <v>7307</v>
      </c>
      <c r="W362" t="s">
        <v>7308</v>
      </c>
      <c r="X362" t="s">
        <v>7309</v>
      </c>
      <c r="Y362" t="s">
        <v>7310</v>
      </c>
      <c r="Z362" t="s">
        <v>7311</v>
      </c>
      <c r="AA362" t="s">
        <v>7312</v>
      </c>
      <c r="AB362" t="s">
        <v>7313</v>
      </c>
      <c r="AC362" t="s">
        <v>7314</v>
      </c>
      <c r="AD362" t="s">
        <v>7315</v>
      </c>
      <c r="AE362" t="s">
        <v>7316</v>
      </c>
      <c r="AF362" t="s">
        <v>74</v>
      </c>
      <c r="AG362">
        <v>97</v>
      </c>
      <c r="AH362">
        <v>3</v>
      </c>
      <c r="AI362">
        <v>3</v>
      </c>
      <c r="AJ362">
        <v>9</v>
      </c>
      <c r="AK362">
        <v>9</v>
      </c>
      <c r="AL362" t="s">
        <v>120</v>
      </c>
      <c r="AM362" t="s">
        <v>121</v>
      </c>
      <c r="AN362" t="s">
        <v>1221</v>
      </c>
      <c r="AO362" t="s">
        <v>74</v>
      </c>
      <c r="AP362" t="s">
        <v>4995</v>
      </c>
      <c r="AQ362" t="s">
        <v>74</v>
      </c>
      <c r="AR362" t="s">
        <v>4982</v>
      </c>
      <c r="AS362" t="s">
        <v>4996</v>
      </c>
      <c r="AT362" t="s">
        <v>151</v>
      </c>
      <c r="AU362">
        <v>2024</v>
      </c>
      <c r="AV362">
        <v>12</v>
      </c>
      <c r="AW362">
        <v>12</v>
      </c>
      <c r="AX362" t="s">
        <v>74</v>
      </c>
      <c r="AY362" t="s">
        <v>74</v>
      </c>
      <c r="AZ362" t="s">
        <v>74</v>
      </c>
      <c r="BA362" t="s">
        <v>74</v>
      </c>
      <c r="BB362" t="s">
        <v>74</v>
      </c>
      <c r="BC362" t="s">
        <v>74</v>
      </c>
      <c r="BD362">
        <v>2802</v>
      </c>
      <c r="BE362" t="s">
        <v>7317</v>
      </c>
      <c r="BF362" t="str">
        <f>HYPERLINK("http://dx.doi.org/10.3390/biomedicines12122802","http://dx.doi.org/10.3390/biomedicines12122802")</f>
        <v>http://dx.doi.org/10.3390/biomedicines12122802</v>
      </c>
      <c r="BG362" t="s">
        <v>74</v>
      </c>
      <c r="BH362" t="s">
        <v>74</v>
      </c>
      <c r="BI362">
        <v>14</v>
      </c>
      <c r="BJ362" t="s">
        <v>4998</v>
      </c>
      <c r="BK362" t="s">
        <v>182</v>
      </c>
      <c r="BL362" t="s">
        <v>4999</v>
      </c>
      <c r="BM362" t="s">
        <v>7318</v>
      </c>
      <c r="BN362">
        <v>39767709</v>
      </c>
      <c r="BO362" t="s">
        <v>185</v>
      </c>
      <c r="BP362" t="s">
        <v>74</v>
      </c>
      <c r="BQ362" t="s">
        <v>74</v>
      </c>
      <c r="BR362" t="s">
        <v>105</v>
      </c>
      <c r="BS362" t="s">
        <v>7319</v>
      </c>
      <c r="BT362" t="str">
        <f>HYPERLINK("https%3A%2F%2Fwww.webofscience.com%2Fwos%2Fwoscc%2Ffull-record%2FWOS:001386900700001","View Full Record in Web of Science")</f>
        <v>View Full Record in Web of Science</v>
      </c>
    </row>
    <row r="363" spans="1:72" x14ac:dyDescent="0.25">
      <c r="A363" t="s">
        <v>72</v>
      </c>
      <c r="B363" t="s">
        <v>7320</v>
      </c>
      <c r="C363" t="s">
        <v>74</v>
      </c>
      <c r="D363" t="s">
        <v>74</v>
      </c>
      <c r="E363" t="s">
        <v>74</v>
      </c>
      <c r="F363" t="s">
        <v>7321</v>
      </c>
      <c r="G363" t="s">
        <v>74</v>
      </c>
      <c r="H363" t="s">
        <v>74</v>
      </c>
      <c r="I363" t="s">
        <v>7322</v>
      </c>
      <c r="J363" t="s">
        <v>110</v>
      </c>
      <c r="K363" t="s">
        <v>74</v>
      </c>
      <c r="L363" t="s">
        <v>74</v>
      </c>
      <c r="M363" t="s">
        <v>78</v>
      </c>
      <c r="N363" t="s">
        <v>79</v>
      </c>
      <c r="O363" t="s">
        <v>74</v>
      </c>
      <c r="P363" t="s">
        <v>74</v>
      </c>
      <c r="Q363" t="s">
        <v>74</v>
      </c>
      <c r="R363" t="s">
        <v>74</v>
      </c>
      <c r="S363" t="s">
        <v>74</v>
      </c>
      <c r="T363" t="s">
        <v>7323</v>
      </c>
      <c r="U363" t="s">
        <v>7324</v>
      </c>
      <c r="V363" t="s">
        <v>7325</v>
      </c>
      <c r="W363" t="s">
        <v>7326</v>
      </c>
      <c r="X363" t="s">
        <v>7327</v>
      </c>
      <c r="Y363" t="s">
        <v>7328</v>
      </c>
      <c r="Z363" t="s">
        <v>7329</v>
      </c>
      <c r="AA363" t="s">
        <v>7330</v>
      </c>
      <c r="AB363" t="s">
        <v>7331</v>
      </c>
      <c r="AC363" t="s">
        <v>74</v>
      </c>
      <c r="AD363" t="s">
        <v>74</v>
      </c>
      <c r="AE363" t="s">
        <v>74</v>
      </c>
      <c r="AF363" t="s">
        <v>74</v>
      </c>
      <c r="AG363">
        <v>74</v>
      </c>
      <c r="AH363">
        <v>0</v>
      </c>
      <c r="AI363">
        <v>0</v>
      </c>
      <c r="AJ363">
        <v>1</v>
      </c>
      <c r="AK363">
        <v>1</v>
      </c>
      <c r="AL363" t="s">
        <v>120</v>
      </c>
      <c r="AM363" t="s">
        <v>121</v>
      </c>
      <c r="AN363" t="s">
        <v>122</v>
      </c>
      <c r="AO363" t="s">
        <v>74</v>
      </c>
      <c r="AP363" t="s">
        <v>123</v>
      </c>
      <c r="AQ363" t="s">
        <v>74</v>
      </c>
      <c r="AR363" t="s">
        <v>124</v>
      </c>
      <c r="AS363" t="s">
        <v>125</v>
      </c>
      <c r="AT363" t="s">
        <v>151</v>
      </c>
      <c r="AU363">
        <v>2024</v>
      </c>
      <c r="AV363">
        <v>13</v>
      </c>
      <c r="AW363">
        <v>24</v>
      </c>
      <c r="AX363" t="s">
        <v>74</v>
      </c>
      <c r="AY363" t="s">
        <v>74</v>
      </c>
      <c r="AZ363" t="s">
        <v>74</v>
      </c>
      <c r="BA363" t="s">
        <v>74</v>
      </c>
      <c r="BB363" t="s">
        <v>74</v>
      </c>
      <c r="BC363" t="s">
        <v>74</v>
      </c>
      <c r="BD363">
        <v>7611</v>
      </c>
      <c r="BE363" t="s">
        <v>7332</v>
      </c>
      <c r="BF363" t="str">
        <f>HYPERLINK("http://dx.doi.org/10.3390/jcm13247611","http://dx.doi.org/10.3390/jcm13247611")</f>
        <v>http://dx.doi.org/10.3390/jcm13247611</v>
      </c>
      <c r="BG363" t="s">
        <v>74</v>
      </c>
      <c r="BH363" t="s">
        <v>74</v>
      </c>
      <c r="BI363">
        <v>11</v>
      </c>
      <c r="BJ363" t="s">
        <v>128</v>
      </c>
      <c r="BK363" t="s">
        <v>182</v>
      </c>
      <c r="BL363" t="s">
        <v>129</v>
      </c>
      <c r="BM363" t="s">
        <v>7333</v>
      </c>
      <c r="BN363">
        <v>39768533</v>
      </c>
      <c r="BO363" t="s">
        <v>185</v>
      </c>
      <c r="BP363" t="s">
        <v>74</v>
      </c>
      <c r="BQ363" t="s">
        <v>74</v>
      </c>
      <c r="BR363" t="s">
        <v>105</v>
      </c>
      <c r="BS363" t="s">
        <v>7334</v>
      </c>
      <c r="BT363" t="str">
        <f>HYPERLINK("https%3A%2F%2Fwww.webofscience.com%2Fwos%2Fwoscc%2Ffull-record%2FWOS:001387703000001","View Full Record in Web of Science")</f>
        <v>View Full Record in Web of Science</v>
      </c>
    </row>
    <row r="364" spans="1:72" x14ac:dyDescent="0.25">
      <c r="A364" t="s">
        <v>72</v>
      </c>
      <c r="B364" t="s">
        <v>7335</v>
      </c>
      <c r="C364" t="s">
        <v>74</v>
      </c>
      <c r="D364" t="s">
        <v>74</v>
      </c>
      <c r="E364" t="s">
        <v>74</v>
      </c>
      <c r="F364" t="s">
        <v>7336</v>
      </c>
      <c r="G364" t="s">
        <v>74</v>
      </c>
      <c r="H364" t="s">
        <v>74</v>
      </c>
      <c r="I364" t="s">
        <v>7337</v>
      </c>
      <c r="J364" t="s">
        <v>7338</v>
      </c>
      <c r="K364" t="s">
        <v>74</v>
      </c>
      <c r="L364" t="s">
        <v>74</v>
      </c>
      <c r="M364" t="s">
        <v>78</v>
      </c>
      <c r="N364" t="s">
        <v>79</v>
      </c>
      <c r="O364" t="s">
        <v>74</v>
      </c>
      <c r="P364" t="s">
        <v>74</v>
      </c>
      <c r="Q364" t="s">
        <v>74</v>
      </c>
      <c r="R364" t="s">
        <v>74</v>
      </c>
      <c r="S364" t="s">
        <v>74</v>
      </c>
      <c r="T364" t="s">
        <v>7339</v>
      </c>
      <c r="U364" t="s">
        <v>7340</v>
      </c>
      <c r="V364" t="s">
        <v>7341</v>
      </c>
      <c r="W364" t="s">
        <v>7342</v>
      </c>
      <c r="X364" t="s">
        <v>7343</v>
      </c>
      <c r="Y364" t="s">
        <v>7344</v>
      </c>
      <c r="Z364" t="s">
        <v>7345</v>
      </c>
      <c r="AA364" t="s">
        <v>7346</v>
      </c>
      <c r="AB364" t="s">
        <v>7347</v>
      </c>
      <c r="AC364" t="s">
        <v>74</v>
      </c>
      <c r="AD364" t="s">
        <v>74</v>
      </c>
      <c r="AE364" t="s">
        <v>74</v>
      </c>
      <c r="AF364" t="s">
        <v>74</v>
      </c>
      <c r="AG364">
        <v>47</v>
      </c>
      <c r="AH364">
        <v>2</v>
      </c>
      <c r="AI364">
        <v>3</v>
      </c>
      <c r="AJ364">
        <v>0</v>
      </c>
      <c r="AK364">
        <v>0</v>
      </c>
      <c r="AL364" t="s">
        <v>120</v>
      </c>
      <c r="AM364" t="s">
        <v>121</v>
      </c>
      <c r="AN364" t="s">
        <v>1221</v>
      </c>
      <c r="AO364" t="s">
        <v>74</v>
      </c>
      <c r="AP364" t="s">
        <v>7348</v>
      </c>
      <c r="AQ364" t="s">
        <v>74</v>
      </c>
      <c r="AR364" t="s">
        <v>7349</v>
      </c>
      <c r="AS364" t="s">
        <v>7350</v>
      </c>
      <c r="AT364" t="s">
        <v>151</v>
      </c>
      <c r="AU364">
        <v>2024</v>
      </c>
      <c r="AV364">
        <v>4</v>
      </c>
      <c r="AW364">
        <v>4</v>
      </c>
      <c r="AX364" t="s">
        <v>74</v>
      </c>
      <c r="AY364" t="s">
        <v>74</v>
      </c>
      <c r="AZ364" t="s">
        <v>74</v>
      </c>
      <c r="BA364" t="s">
        <v>74</v>
      </c>
      <c r="BB364">
        <v>664</v>
      </c>
      <c r="BC364">
        <v>684</v>
      </c>
      <c r="BD364" t="s">
        <v>74</v>
      </c>
      <c r="BE364" t="s">
        <v>7351</v>
      </c>
      <c r="BF364" t="str">
        <f>HYPERLINK("http://dx.doi.org/10.3390/biomechanics4040048","http://dx.doi.org/10.3390/biomechanics4040048")</f>
        <v>http://dx.doi.org/10.3390/biomechanics4040048</v>
      </c>
      <c r="BG364" t="s">
        <v>74</v>
      </c>
      <c r="BH364" t="s">
        <v>74</v>
      </c>
      <c r="BI364">
        <v>21</v>
      </c>
      <c r="BJ364" t="s">
        <v>7352</v>
      </c>
      <c r="BK364" t="s">
        <v>155</v>
      </c>
      <c r="BL364" t="s">
        <v>7353</v>
      </c>
      <c r="BM364" t="s">
        <v>7354</v>
      </c>
      <c r="BN364" t="s">
        <v>74</v>
      </c>
      <c r="BO364" t="s">
        <v>185</v>
      </c>
      <c r="BP364" t="s">
        <v>74</v>
      </c>
      <c r="BQ364" t="s">
        <v>74</v>
      </c>
      <c r="BR364" t="s">
        <v>105</v>
      </c>
      <c r="BS364" t="s">
        <v>7355</v>
      </c>
      <c r="BT364" t="str">
        <f>HYPERLINK("https%3A%2F%2Fwww.webofscience.com%2Fwos%2Fwoscc%2Ffull-record%2FWOS:001386882200001","View Full Record in Web of Science")</f>
        <v>View Full Record in Web of Science</v>
      </c>
    </row>
    <row r="365" spans="1:72" x14ac:dyDescent="0.25">
      <c r="A365" t="s">
        <v>72</v>
      </c>
      <c r="B365" t="s">
        <v>7356</v>
      </c>
      <c r="C365" t="s">
        <v>74</v>
      </c>
      <c r="D365" t="s">
        <v>74</v>
      </c>
      <c r="E365" t="s">
        <v>74</v>
      </c>
      <c r="F365" t="s">
        <v>7357</v>
      </c>
      <c r="G365" t="s">
        <v>74</v>
      </c>
      <c r="H365" t="s">
        <v>74</v>
      </c>
      <c r="I365" t="s">
        <v>7358</v>
      </c>
      <c r="J365" t="s">
        <v>4263</v>
      </c>
      <c r="K365" t="s">
        <v>74</v>
      </c>
      <c r="L365" t="s">
        <v>74</v>
      </c>
      <c r="M365" t="s">
        <v>78</v>
      </c>
      <c r="N365" t="s">
        <v>79</v>
      </c>
      <c r="O365" t="s">
        <v>74</v>
      </c>
      <c r="P365" t="s">
        <v>74</v>
      </c>
      <c r="Q365" t="s">
        <v>74</v>
      </c>
      <c r="R365" t="s">
        <v>74</v>
      </c>
      <c r="S365" t="s">
        <v>74</v>
      </c>
      <c r="T365" t="s">
        <v>7359</v>
      </c>
      <c r="U365" t="s">
        <v>4101</v>
      </c>
      <c r="V365" t="s">
        <v>7360</v>
      </c>
      <c r="W365" t="s">
        <v>7361</v>
      </c>
      <c r="X365" t="s">
        <v>7362</v>
      </c>
      <c r="Y365" t="s">
        <v>7363</v>
      </c>
      <c r="Z365" t="s">
        <v>7364</v>
      </c>
      <c r="AA365" t="s">
        <v>7365</v>
      </c>
      <c r="AB365" t="s">
        <v>74</v>
      </c>
      <c r="AC365" t="s">
        <v>7366</v>
      </c>
      <c r="AD365" t="s">
        <v>7367</v>
      </c>
      <c r="AE365" t="s">
        <v>7368</v>
      </c>
      <c r="AF365" t="s">
        <v>74</v>
      </c>
      <c r="AG365">
        <v>113</v>
      </c>
      <c r="AH365">
        <v>3</v>
      </c>
      <c r="AI365">
        <v>3</v>
      </c>
      <c r="AJ365">
        <v>38</v>
      </c>
      <c r="AK365">
        <v>38</v>
      </c>
      <c r="AL365" t="s">
        <v>392</v>
      </c>
      <c r="AM365" t="s">
        <v>393</v>
      </c>
      <c r="AN365" t="s">
        <v>394</v>
      </c>
      <c r="AO365" t="s">
        <v>74</v>
      </c>
      <c r="AP365" t="s">
        <v>4274</v>
      </c>
      <c r="AQ365" t="s">
        <v>74</v>
      </c>
      <c r="AR365" t="s">
        <v>4275</v>
      </c>
      <c r="AS365" t="s">
        <v>4276</v>
      </c>
      <c r="AT365" t="s">
        <v>7369</v>
      </c>
      <c r="AU365">
        <v>2024</v>
      </c>
      <c r="AV365">
        <v>12</v>
      </c>
      <c r="AW365" t="s">
        <v>74</v>
      </c>
      <c r="AX365" t="s">
        <v>74</v>
      </c>
      <c r="AY365" t="s">
        <v>74</v>
      </c>
      <c r="AZ365" t="s">
        <v>74</v>
      </c>
      <c r="BA365" t="s">
        <v>74</v>
      </c>
      <c r="BB365" t="s">
        <v>74</v>
      </c>
      <c r="BC365" t="s">
        <v>74</v>
      </c>
      <c r="BD365">
        <v>1368805</v>
      </c>
      <c r="BE365" t="s">
        <v>7370</v>
      </c>
      <c r="BF365" t="str">
        <f>HYPERLINK("http://dx.doi.org/10.3389/fpubh.2024.1368805","http://dx.doi.org/10.3389/fpubh.2024.1368805")</f>
        <v>http://dx.doi.org/10.3389/fpubh.2024.1368805</v>
      </c>
      <c r="BG365" t="s">
        <v>74</v>
      </c>
      <c r="BH365" t="s">
        <v>74</v>
      </c>
      <c r="BI365">
        <v>17</v>
      </c>
      <c r="BJ365" t="s">
        <v>2512</v>
      </c>
      <c r="BK365" t="s">
        <v>102</v>
      </c>
      <c r="BL365" t="s">
        <v>2512</v>
      </c>
      <c r="BM365" t="s">
        <v>7371</v>
      </c>
      <c r="BN365">
        <v>39659720</v>
      </c>
      <c r="BO365" t="s">
        <v>185</v>
      </c>
      <c r="BP365" t="s">
        <v>74</v>
      </c>
      <c r="BQ365" t="s">
        <v>74</v>
      </c>
      <c r="BR365" t="s">
        <v>105</v>
      </c>
      <c r="BS365" t="s">
        <v>7372</v>
      </c>
      <c r="BT365" t="str">
        <f>HYPERLINK("https%3A%2F%2Fwww.webofscience.com%2Fwos%2Fwoscc%2Ffull-record%2FWOS:001372367300001","View Full Record in Web of Science")</f>
        <v>View Full Record in Web of Science</v>
      </c>
    </row>
    <row r="366" spans="1:72" x14ac:dyDescent="0.25">
      <c r="A366" t="s">
        <v>72</v>
      </c>
      <c r="B366" t="s">
        <v>7373</v>
      </c>
      <c r="C366" t="s">
        <v>74</v>
      </c>
      <c r="D366" t="s">
        <v>74</v>
      </c>
      <c r="E366" t="s">
        <v>74</v>
      </c>
      <c r="F366" t="s">
        <v>7374</v>
      </c>
      <c r="G366" t="s">
        <v>74</v>
      </c>
      <c r="H366" t="s">
        <v>74</v>
      </c>
      <c r="I366" t="s">
        <v>7375</v>
      </c>
      <c r="J366" t="s">
        <v>7376</v>
      </c>
      <c r="K366" t="s">
        <v>74</v>
      </c>
      <c r="L366" t="s">
        <v>74</v>
      </c>
      <c r="M366" t="s">
        <v>78</v>
      </c>
      <c r="N366" t="s">
        <v>449</v>
      </c>
      <c r="O366" t="s">
        <v>74</v>
      </c>
      <c r="P366" t="s">
        <v>74</v>
      </c>
      <c r="Q366" t="s">
        <v>74</v>
      </c>
      <c r="R366" t="s">
        <v>74</v>
      </c>
      <c r="S366" t="s">
        <v>74</v>
      </c>
      <c r="T366" t="s">
        <v>7377</v>
      </c>
      <c r="U366" t="s">
        <v>7378</v>
      </c>
      <c r="V366" t="s">
        <v>7379</v>
      </c>
      <c r="W366" t="s">
        <v>7380</v>
      </c>
      <c r="X366" t="s">
        <v>7381</v>
      </c>
      <c r="Y366" t="s">
        <v>7382</v>
      </c>
      <c r="Z366" t="s">
        <v>7383</v>
      </c>
      <c r="AA366" t="s">
        <v>7384</v>
      </c>
      <c r="AB366" t="s">
        <v>7385</v>
      </c>
      <c r="AC366" t="s">
        <v>7386</v>
      </c>
      <c r="AD366" t="s">
        <v>7387</v>
      </c>
      <c r="AE366" t="s">
        <v>7388</v>
      </c>
      <c r="AF366" t="s">
        <v>74</v>
      </c>
      <c r="AG366">
        <v>112</v>
      </c>
      <c r="AH366">
        <v>0</v>
      </c>
      <c r="AI366">
        <v>0</v>
      </c>
      <c r="AJ366">
        <v>10</v>
      </c>
      <c r="AK366">
        <v>12</v>
      </c>
      <c r="AL366" t="s">
        <v>2529</v>
      </c>
      <c r="AM366" t="s">
        <v>2530</v>
      </c>
      <c r="AN366" t="s">
        <v>2531</v>
      </c>
      <c r="AO366" t="s">
        <v>7389</v>
      </c>
      <c r="AP366" t="s">
        <v>7390</v>
      </c>
      <c r="AQ366" t="s">
        <v>74</v>
      </c>
      <c r="AR366" t="s">
        <v>7391</v>
      </c>
      <c r="AS366" t="s">
        <v>7392</v>
      </c>
      <c r="AT366" t="s">
        <v>7393</v>
      </c>
      <c r="AU366">
        <v>2024</v>
      </c>
      <c r="AV366" t="s">
        <v>74</v>
      </c>
      <c r="AW366" t="s">
        <v>74</v>
      </c>
      <c r="AX366" t="s">
        <v>74</v>
      </c>
      <c r="AY366" t="s">
        <v>74</v>
      </c>
      <c r="AZ366" t="s">
        <v>74</v>
      </c>
      <c r="BA366" t="s">
        <v>74</v>
      </c>
      <c r="BB366" t="s">
        <v>74</v>
      </c>
      <c r="BC366" t="s">
        <v>74</v>
      </c>
      <c r="BD366" t="s">
        <v>74</v>
      </c>
      <c r="BE366" t="s">
        <v>7394</v>
      </c>
      <c r="BF366" t="str">
        <f>HYPERLINK("http://dx.doi.org/10.1007/s10209-024-01173-4","http://dx.doi.org/10.1007/s10209-024-01173-4")</f>
        <v>http://dx.doi.org/10.1007/s10209-024-01173-4</v>
      </c>
      <c r="BG366" t="s">
        <v>74</v>
      </c>
      <c r="BH366" t="s">
        <v>7395</v>
      </c>
      <c r="BI366">
        <v>22</v>
      </c>
      <c r="BJ366" t="s">
        <v>7396</v>
      </c>
      <c r="BK366" t="s">
        <v>102</v>
      </c>
      <c r="BL366" t="s">
        <v>6039</v>
      </c>
      <c r="BM366" t="s">
        <v>7397</v>
      </c>
      <c r="BN366" t="s">
        <v>74</v>
      </c>
      <c r="BO366" t="s">
        <v>74</v>
      </c>
      <c r="BP366" t="s">
        <v>74</v>
      </c>
      <c r="BQ366" t="s">
        <v>74</v>
      </c>
      <c r="BR366" t="s">
        <v>105</v>
      </c>
      <c r="BS366" t="s">
        <v>7398</v>
      </c>
      <c r="BT366" t="str">
        <f>HYPERLINK("https%3A%2F%2Fwww.webofscience.com%2Fwos%2Fwoscc%2Ffull-record%2FWOS:001352709000001","View Full Record in Web of Science")</f>
        <v>View Full Record in Web of Science</v>
      </c>
    </row>
    <row r="367" spans="1:72" x14ac:dyDescent="0.25">
      <c r="A367" t="s">
        <v>72</v>
      </c>
      <c r="B367" t="s">
        <v>7399</v>
      </c>
      <c r="C367" t="s">
        <v>74</v>
      </c>
      <c r="D367" t="s">
        <v>74</v>
      </c>
      <c r="E367" t="s">
        <v>74</v>
      </c>
      <c r="F367" t="s">
        <v>7400</v>
      </c>
      <c r="G367" t="s">
        <v>74</v>
      </c>
      <c r="H367" t="s">
        <v>74</v>
      </c>
      <c r="I367" t="s">
        <v>7401</v>
      </c>
      <c r="J367" t="s">
        <v>7402</v>
      </c>
      <c r="K367" t="s">
        <v>74</v>
      </c>
      <c r="L367" t="s">
        <v>74</v>
      </c>
      <c r="M367" t="s">
        <v>78</v>
      </c>
      <c r="N367" t="s">
        <v>79</v>
      </c>
      <c r="O367" t="s">
        <v>74</v>
      </c>
      <c r="P367" t="s">
        <v>74</v>
      </c>
      <c r="Q367" t="s">
        <v>74</v>
      </c>
      <c r="R367" t="s">
        <v>74</v>
      </c>
      <c r="S367" t="s">
        <v>74</v>
      </c>
      <c r="T367" t="s">
        <v>7403</v>
      </c>
      <c r="U367" t="s">
        <v>7404</v>
      </c>
      <c r="V367" t="s">
        <v>7405</v>
      </c>
      <c r="W367" t="s">
        <v>7406</v>
      </c>
      <c r="X367" t="s">
        <v>7407</v>
      </c>
      <c r="Y367" t="s">
        <v>7408</v>
      </c>
      <c r="Z367" t="s">
        <v>7409</v>
      </c>
      <c r="AA367" t="s">
        <v>7410</v>
      </c>
      <c r="AB367" t="s">
        <v>7411</v>
      </c>
      <c r="AC367" t="s">
        <v>7412</v>
      </c>
      <c r="AD367" t="s">
        <v>7413</v>
      </c>
      <c r="AE367" t="s">
        <v>7414</v>
      </c>
      <c r="AF367" t="s">
        <v>74</v>
      </c>
      <c r="AG367">
        <v>259</v>
      </c>
      <c r="AH367">
        <v>5</v>
      </c>
      <c r="AI367">
        <v>5</v>
      </c>
      <c r="AJ367">
        <v>22</v>
      </c>
      <c r="AK367">
        <v>30</v>
      </c>
      <c r="AL367" t="s">
        <v>1907</v>
      </c>
      <c r="AM367" t="s">
        <v>1908</v>
      </c>
      <c r="AN367" t="s">
        <v>1909</v>
      </c>
      <c r="AO367" t="s">
        <v>7415</v>
      </c>
      <c r="AP367" t="s">
        <v>7416</v>
      </c>
      <c r="AQ367" t="s">
        <v>74</v>
      </c>
      <c r="AR367" t="s">
        <v>7417</v>
      </c>
      <c r="AS367" t="s">
        <v>7418</v>
      </c>
      <c r="AT367" t="s">
        <v>538</v>
      </c>
      <c r="AU367">
        <v>2025</v>
      </c>
      <c r="AV367">
        <v>258</v>
      </c>
      <c r="AW367" t="s">
        <v>74</v>
      </c>
      <c r="AX367" t="s">
        <v>74</v>
      </c>
      <c r="AY367" t="s">
        <v>74</v>
      </c>
      <c r="AZ367" t="s">
        <v>74</v>
      </c>
      <c r="BA367" t="s">
        <v>74</v>
      </c>
      <c r="BB367" t="s">
        <v>74</v>
      </c>
      <c r="BC367" t="s">
        <v>74</v>
      </c>
      <c r="BD367">
        <v>108476</v>
      </c>
      <c r="BE367" t="s">
        <v>7419</v>
      </c>
      <c r="BF367" t="str">
        <f>HYPERLINK("http://dx.doi.org/10.1016/j.cmpb.2024.108476","http://dx.doi.org/10.1016/j.cmpb.2024.108476")</f>
        <v>http://dx.doi.org/10.1016/j.cmpb.2024.108476</v>
      </c>
      <c r="BG367" t="s">
        <v>74</v>
      </c>
      <c r="BH367" t="s">
        <v>7395</v>
      </c>
      <c r="BI367">
        <v>36</v>
      </c>
      <c r="BJ367" t="s">
        <v>7420</v>
      </c>
      <c r="BK367" t="s">
        <v>182</v>
      </c>
      <c r="BL367" t="s">
        <v>7421</v>
      </c>
      <c r="BM367" t="s">
        <v>7422</v>
      </c>
      <c r="BN367">
        <v>39520875</v>
      </c>
      <c r="BO367" t="s">
        <v>74</v>
      </c>
      <c r="BP367" t="s">
        <v>74</v>
      </c>
      <c r="BQ367" t="s">
        <v>74</v>
      </c>
      <c r="BR367" t="s">
        <v>105</v>
      </c>
      <c r="BS367" t="s">
        <v>7423</v>
      </c>
      <c r="BT367" t="str">
        <f>HYPERLINK("https%3A%2F%2Fwww.webofscience.com%2Fwos%2Fwoscc%2Ffull-record%2FWOS:001355283300001","View Full Record in Web of Science")</f>
        <v>View Full Record in Web of Science</v>
      </c>
    </row>
    <row r="368" spans="1:72" x14ac:dyDescent="0.25">
      <c r="A368" t="s">
        <v>72</v>
      </c>
      <c r="B368" t="s">
        <v>7424</v>
      </c>
      <c r="C368" t="s">
        <v>74</v>
      </c>
      <c r="D368" t="s">
        <v>74</v>
      </c>
      <c r="E368" t="s">
        <v>74</v>
      </c>
      <c r="F368" t="s">
        <v>7425</v>
      </c>
      <c r="G368" t="s">
        <v>74</v>
      </c>
      <c r="H368" t="s">
        <v>74</v>
      </c>
      <c r="I368" t="s">
        <v>7426</v>
      </c>
      <c r="J368" t="s">
        <v>2543</v>
      </c>
      <c r="K368" t="s">
        <v>74</v>
      </c>
      <c r="L368" t="s">
        <v>74</v>
      </c>
      <c r="M368" t="s">
        <v>78</v>
      </c>
      <c r="N368" t="s">
        <v>79</v>
      </c>
      <c r="O368" t="s">
        <v>74</v>
      </c>
      <c r="P368" t="s">
        <v>74</v>
      </c>
      <c r="Q368" t="s">
        <v>74</v>
      </c>
      <c r="R368" t="s">
        <v>74</v>
      </c>
      <c r="S368" t="s">
        <v>74</v>
      </c>
      <c r="T368" t="s">
        <v>7427</v>
      </c>
      <c r="U368" t="s">
        <v>7428</v>
      </c>
      <c r="V368" t="s">
        <v>7429</v>
      </c>
      <c r="W368" t="s">
        <v>7430</v>
      </c>
      <c r="X368" t="s">
        <v>7431</v>
      </c>
      <c r="Y368" t="s">
        <v>7432</v>
      </c>
      <c r="Z368" t="s">
        <v>7433</v>
      </c>
      <c r="AA368" t="s">
        <v>7434</v>
      </c>
      <c r="AB368" t="s">
        <v>7435</v>
      </c>
      <c r="AC368" t="s">
        <v>74</v>
      </c>
      <c r="AD368" t="s">
        <v>74</v>
      </c>
      <c r="AE368" t="s">
        <v>74</v>
      </c>
      <c r="AF368" t="s">
        <v>74</v>
      </c>
      <c r="AG368">
        <v>50</v>
      </c>
      <c r="AH368">
        <v>0</v>
      </c>
      <c r="AI368">
        <v>0</v>
      </c>
      <c r="AJ368">
        <v>1</v>
      </c>
      <c r="AK368">
        <v>2</v>
      </c>
      <c r="AL368" t="s">
        <v>120</v>
      </c>
      <c r="AM368" t="s">
        <v>121</v>
      </c>
      <c r="AN368" t="s">
        <v>1221</v>
      </c>
      <c r="AO368" t="s">
        <v>74</v>
      </c>
      <c r="AP368" t="s">
        <v>2553</v>
      </c>
      <c r="AQ368" t="s">
        <v>74</v>
      </c>
      <c r="AR368" t="s">
        <v>2554</v>
      </c>
      <c r="AS368" t="s">
        <v>2555</v>
      </c>
      <c r="AT368" t="s">
        <v>126</v>
      </c>
      <c r="AU368">
        <v>2024</v>
      </c>
      <c r="AV368">
        <v>14</v>
      </c>
      <c r="AW368">
        <v>11</v>
      </c>
      <c r="AX368" t="s">
        <v>74</v>
      </c>
      <c r="AY368" t="s">
        <v>74</v>
      </c>
      <c r="AZ368" t="s">
        <v>74</v>
      </c>
      <c r="BA368" t="s">
        <v>74</v>
      </c>
      <c r="BB368" t="s">
        <v>74</v>
      </c>
      <c r="BC368" t="s">
        <v>74</v>
      </c>
      <c r="BD368">
        <v>1060</v>
      </c>
      <c r="BE368" t="s">
        <v>7436</v>
      </c>
      <c r="BF368" t="str">
        <f>HYPERLINK("http://dx.doi.org/10.3390/brainsci14111060","http://dx.doi.org/10.3390/brainsci14111060")</f>
        <v>http://dx.doi.org/10.3390/brainsci14111060</v>
      </c>
      <c r="BG368" t="s">
        <v>74</v>
      </c>
      <c r="BH368" t="s">
        <v>74</v>
      </c>
      <c r="BI368">
        <v>13</v>
      </c>
      <c r="BJ368" t="s">
        <v>374</v>
      </c>
      <c r="BK368" t="s">
        <v>182</v>
      </c>
      <c r="BL368" t="s">
        <v>375</v>
      </c>
      <c r="BM368" t="s">
        <v>7437</v>
      </c>
      <c r="BN368">
        <v>39595823</v>
      </c>
      <c r="BO368" t="s">
        <v>185</v>
      </c>
      <c r="BP368" t="s">
        <v>74</v>
      </c>
      <c r="BQ368" t="s">
        <v>74</v>
      </c>
      <c r="BR368" t="s">
        <v>105</v>
      </c>
      <c r="BS368" t="s">
        <v>7438</v>
      </c>
      <c r="BT368" t="str">
        <f>HYPERLINK("https%3A%2F%2Fwww.webofscience.com%2Fwos%2Fwoscc%2Ffull-record%2FWOS:001363980300001","View Full Record in Web of Science")</f>
        <v>View Full Record in Web of Science</v>
      </c>
    </row>
    <row r="369" spans="1:72" x14ac:dyDescent="0.25">
      <c r="A369" t="s">
        <v>72</v>
      </c>
      <c r="B369" t="s">
        <v>7439</v>
      </c>
      <c r="C369" t="s">
        <v>74</v>
      </c>
      <c r="D369" t="s">
        <v>74</v>
      </c>
      <c r="E369" t="s">
        <v>74</v>
      </c>
      <c r="F369" t="s">
        <v>7440</v>
      </c>
      <c r="G369" t="s">
        <v>74</v>
      </c>
      <c r="H369" t="s">
        <v>74</v>
      </c>
      <c r="I369" t="s">
        <v>7441</v>
      </c>
      <c r="J369" t="s">
        <v>7442</v>
      </c>
      <c r="K369" t="s">
        <v>74</v>
      </c>
      <c r="L369" t="s">
        <v>74</v>
      </c>
      <c r="M369" t="s">
        <v>78</v>
      </c>
      <c r="N369" t="s">
        <v>79</v>
      </c>
      <c r="O369" t="s">
        <v>74</v>
      </c>
      <c r="P369" t="s">
        <v>74</v>
      </c>
      <c r="Q369" t="s">
        <v>74</v>
      </c>
      <c r="R369" t="s">
        <v>74</v>
      </c>
      <c r="S369" t="s">
        <v>74</v>
      </c>
      <c r="T369" t="s">
        <v>7443</v>
      </c>
      <c r="U369" t="s">
        <v>7444</v>
      </c>
      <c r="V369" t="s">
        <v>7445</v>
      </c>
      <c r="W369" t="s">
        <v>7446</v>
      </c>
      <c r="X369" t="s">
        <v>74</v>
      </c>
      <c r="Y369" t="s">
        <v>7447</v>
      </c>
      <c r="Z369" t="s">
        <v>7448</v>
      </c>
      <c r="AA369" t="s">
        <v>7449</v>
      </c>
      <c r="AB369" t="s">
        <v>7450</v>
      </c>
      <c r="AC369" t="s">
        <v>74</v>
      </c>
      <c r="AD369" t="s">
        <v>74</v>
      </c>
      <c r="AE369" t="s">
        <v>74</v>
      </c>
      <c r="AF369" t="s">
        <v>74</v>
      </c>
      <c r="AG369">
        <v>41</v>
      </c>
      <c r="AH369">
        <v>0</v>
      </c>
      <c r="AI369">
        <v>0</v>
      </c>
      <c r="AJ369">
        <v>9</v>
      </c>
      <c r="AK369">
        <v>15</v>
      </c>
      <c r="AL369" t="s">
        <v>297</v>
      </c>
      <c r="AM369" t="s">
        <v>298</v>
      </c>
      <c r="AN369" t="s">
        <v>2285</v>
      </c>
      <c r="AO369" t="s">
        <v>7451</v>
      </c>
      <c r="AP369" t="s">
        <v>74</v>
      </c>
      <c r="AQ369" t="s">
        <v>74</v>
      </c>
      <c r="AR369" t="s">
        <v>7452</v>
      </c>
      <c r="AS369" t="s">
        <v>7453</v>
      </c>
      <c r="AT369" t="s">
        <v>126</v>
      </c>
      <c r="AU369">
        <v>2024</v>
      </c>
      <c r="AV369">
        <v>14</v>
      </c>
      <c r="AW369">
        <v>11</v>
      </c>
      <c r="AX369" t="s">
        <v>74</v>
      </c>
      <c r="AY369" t="s">
        <v>74</v>
      </c>
      <c r="AZ369" t="s">
        <v>74</v>
      </c>
      <c r="BA369" t="s">
        <v>74</v>
      </c>
      <c r="BB369" t="s">
        <v>74</v>
      </c>
      <c r="BC369" t="s">
        <v>74</v>
      </c>
      <c r="BD369" t="s">
        <v>7454</v>
      </c>
      <c r="BE369" t="s">
        <v>7455</v>
      </c>
      <c r="BF369" t="str">
        <f>HYPERLINK("http://dx.doi.org/10.1002/brb3.70117","http://dx.doi.org/10.1002/brb3.70117")</f>
        <v>http://dx.doi.org/10.1002/brb3.70117</v>
      </c>
      <c r="BG369" t="s">
        <v>74</v>
      </c>
      <c r="BH369" t="s">
        <v>74</v>
      </c>
      <c r="BI369">
        <v>9</v>
      </c>
      <c r="BJ369" t="s">
        <v>7456</v>
      </c>
      <c r="BK369" t="s">
        <v>182</v>
      </c>
      <c r="BL369" t="s">
        <v>7457</v>
      </c>
      <c r="BM369" t="s">
        <v>7458</v>
      </c>
      <c r="BN369">
        <v>39482838</v>
      </c>
      <c r="BO369" t="s">
        <v>185</v>
      </c>
      <c r="BP369" t="s">
        <v>74</v>
      </c>
      <c r="BQ369" t="s">
        <v>74</v>
      </c>
      <c r="BR369" t="s">
        <v>105</v>
      </c>
      <c r="BS369" t="s">
        <v>7459</v>
      </c>
      <c r="BT369" t="str">
        <f>HYPERLINK("https%3A%2F%2Fwww.webofscience.com%2Fwos%2Fwoscc%2Ffull-record%2FWOS:001368105500001","View Full Record in Web of Science")</f>
        <v>View Full Record in Web of Science</v>
      </c>
    </row>
    <row r="370" spans="1:72" x14ac:dyDescent="0.25">
      <c r="A370" t="s">
        <v>72</v>
      </c>
      <c r="B370" t="s">
        <v>7460</v>
      </c>
      <c r="C370" t="s">
        <v>74</v>
      </c>
      <c r="D370" t="s">
        <v>74</v>
      </c>
      <c r="E370" t="s">
        <v>74</v>
      </c>
      <c r="F370" t="s">
        <v>7461</v>
      </c>
      <c r="G370" t="s">
        <v>74</v>
      </c>
      <c r="H370" t="s">
        <v>74</v>
      </c>
      <c r="I370" t="s">
        <v>7462</v>
      </c>
      <c r="J370" t="s">
        <v>2641</v>
      </c>
      <c r="K370" t="s">
        <v>74</v>
      </c>
      <c r="L370" t="s">
        <v>74</v>
      </c>
      <c r="M370" t="s">
        <v>78</v>
      </c>
      <c r="N370" t="s">
        <v>79</v>
      </c>
      <c r="O370" t="s">
        <v>74</v>
      </c>
      <c r="P370" t="s">
        <v>74</v>
      </c>
      <c r="Q370" t="s">
        <v>74</v>
      </c>
      <c r="R370" t="s">
        <v>74</v>
      </c>
      <c r="S370" t="s">
        <v>74</v>
      </c>
      <c r="T370" t="s">
        <v>7463</v>
      </c>
      <c r="U370" t="s">
        <v>7464</v>
      </c>
      <c r="V370" t="s">
        <v>7465</v>
      </c>
      <c r="W370" t="s">
        <v>7466</v>
      </c>
      <c r="X370" t="s">
        <v>7467</v>
      </c>
      <c r="Y370" t="s">
        <v>7468</v>
      </c>
      <c r="Z370" t="s">
        <v>7469</v>
      </c>
      <c r="AA370" t="s">
        <v>7470</v>
      </c>
      <c r="AB370" t="s">
        <v>7471</v>
      </c>
      <c r="AC370" t="s">
        <v>7472</v>
      </c>
      <c r="AD370" t="s">
        <v>7473</v>
      </c>
      <c r="AE370" t="s">
        <v>7474</v>
      </c>
      <c r="AF370" t="s">
        <v>74</v>
      </c>
      <c r="AG370">
        <v>87</v>
      </c>
      <c r="AH370">
        <v>0</v>
      </c>
      <c r="AI370">
        <v>0</v>
      </c>
      <c r="AJ370">
        <v>11</v>
      </c>
      <c r="AK370">
        <v>17</v>
      </c>
      <c r="AL370" t="s">
        <v>1605</v>
      </c>
      <c r="AM370" t="s">
        <v>1606</v>
      </c>
      <c r="AN370" t="s">
        <v>1607</v>
      </c>
      <c r="AO370" t="s">
        <v>2651</v>
      </c>
      <c r="AP370" t="s">
        <v>2652</v>
      </c>
      <c r="AQ370" t="s">
        <v>74</v>
      </c>
      <c r="AR370" t="s">
        <v>2653</v>
      </c>
      <c r="AS370" t="s">
        <v>2654</v>
      </c>
      <c r="AT370" t="s">
        <v>538</v>
      </c>
      <c r="AU370">
        <v>2025</v>
      </c>
      <c r="AV370">
        <v>183</v>
      </c>
      <c r="AW370" t="s">
        <v>74</v>
      </c>
      <c r="AX370" t="s">
        <v>74</v>
      </c>
      <c r="AY370" t="s">
        <v>74</v>
      </c>
      <c r="AZ370" t="s">
        <v>74</v>
      </c>
      <c r="BA370" t="s">
        <v>74</v>
      </c>
      <c r="BB370" t="s">
        <v>74</v>
      </c>
      <c r="BC370" t="s">
        <v>74</v>
      </c>
      <c r="BD370">
        <v>104835</v>
      </c>
      <c r="BE370" t="s">
        <v>7475</v>
      </c>
      <c r="BF370" t="str">
        <f>HYPERLINK("http://dx.doi.org/10.1016/j.robot.2024.104835","http://dx.doi.org/10.1016/j.robot.2024.104835")</f>
        <v>http://dx.doi.org/10.1016/j.robot.2024.104835</v>
      </c>
      <c r="BG370" t="s">
        <v>74</v>
      </c>
      <c r="BH370" t="s">
        <v>7476</v>
      </c>
      <c r="BI370">
        <v>18</v>
      </c>
      <c r="BJ370" t="s">
        <v>2657</v>
      </c>
      <c r="BK370" t="s">
        <v>182</v>
      </c>
      <c r="BL370" t="s">
        <v>2658</v>
      </c>
      <c r="BM370" t="s">
        <v>7477</v>
      </c>
      <c r="BN370" t="s">
        <v>74</v>
      </c>
      <c r="BO370" t="s">
        <v>309</v>
      </c>
      <c r="BP370" t="s">
        <v>74</v>
      </c>
      <c r="BQ370" t="s">
        <v>74</v>
      </c>
      <c r="BR370" t="s">
        <v>105</v>
      </c>
      <c r="BS370" t="s">
        <v>7478</v>
      </c>
      <c r="BT370" t="str">
        <f>HYPERLINK("https%3A%2F%2Fwww.webofscience.com%2Fwos%2Fwoscc%2Ffull-record%2FWOS:001344022600001","View Full Record in Web of Science")</f>
        <v>View Full Record in Web of Science</v>
      </c>
    </row>
    <row r="371" spans="1:72" x14ac:dyDescent="0.25">
      <c r="A371" t="s">
        <v>72</v>
      </c>
      <c r="B371" t="s">
        <v>7479</v>
      </c>
      <c r="C371" t="s">
        <v>74</v>
      </c>
      <c r="D371" t="s">
        <v>74</v>
      </c>
      <c r="E371" t="s">
        <v>74</v>
      </c>
      <c r="F371" t="s">
        <v>7480</v>
      </c>
      <c r="G371" t="s">
        <v>74</v>
      </c>
      <c r="H371" t="s">
        <v>74</v>
      </c>
      <c r="I371" t="s">
        <v>7481</v>
      </c>
      <c r="J371" t="s">
        <v>7482</v>
      </c>
      <c r="K371" t="s">
        <v>74</v>
      </c>
      <c r="L371" t="s">
        <v>74</v>
      </c>
      <c r="M371" t="s">
        <v>78</v>
      </c>
      <c r="N371" t="s">
        <v>79</v>
      </c>
      <c r="O371" t="s">
        <v>74</v>
      </c>
      <c r="P371" t="s">
        <v>74</v>
      </c>
      <c r="Q371" t="s">
        <v>74</v>
      </c>
      <c r="R371" t="s">
        <v>74</v>
      </c>
      <c r="S371" t="s">
        <v>74</v>
      </c>
      <c r="T371" t="s">
        <v>7483</v>
      </c>
      <c r="U371" t="s">
        <v>7484</v>
      </c>
      <c r="V371" t="s">
        <v>7485</v>
      </c>
      <c r="W371" t="s">
        <v>7486</v>
      </c>
      <c r="X371" t="s">
        <v>7487</v>
      </c>
      <c r="Y371" t="s">
        <v>7488</v>
      </c>
      <c r="Z371" t="s">
        <v>7489</v>
      </c>
      <c r="AA371" t="s">
        <v>74</v>
      </c>
      <c r="AB371" t="s">
        <v>7490</v>
      </c>
      <c r="AC371" t="s">
        <v>74</v>
      </c>
      <c r="AD371" t="s">
        <v>74</v>
      </c>
      <c r="AE371" t="s">
        <v>74</v>
      </c>
      <c r="AF371" t="s">
        <v>74</v>
      </c>
      <c r="AG371">
        <v>106</v>
      </c>
      <c r="AH371">
        <v>0</v>
      </c>
      <c r="AI371">
        <v>0</v>
      </c>
      <c r="AJ371">
        <v>0</v>
      </c>
      <c r="AK371">
        <v>1</v>
      </c>
      <c r="AL371" t="s">
        <v>2529</v>
      </c>
      <c r="AM371" t="s">
        <v>2530</v>
      </c>
      <c r="AN371" t="s">
        <v>2531</v>
      </c>
      <c r="AO371" t="s">
        <v>7491</v>
      </c>
      <c r="AP371" t="s">
        <v>7492</v>
      </c>
      <c r="AQ371" t="s">
        <v>74</v>
      </c>
      <c r="AR371" t="s">
        <v>7493</v>
      </c>
      <c r="AS371" t="s">
        <v>7494</v>
      </c>
      <c r="AT371" t="s">
        <v>126</v>
      </c>
      <c r="AU371">
        <v>2024</v>
      </c>
      <c r="AV371">
        <v>58</v>
      </c>
      <c r="AW371">
        <v>11</v>
      </c>
      <c r="AX371" t="s">
        <v>74</v>
      </c>
      <c r="AY371" t="s">
        <v>74</v>
      </c>
      <c r="AZ371" t="s">
        <v>152</v>
      </c>
      <c r="BA371" t="s">
        <v>74</v>
      </c>
      <c r="BB371">
        <v>1537</v>
      </c>
      <c r="BC371">
        <v>1547</v>
      </c>
      <c r="BD371" t="s">
        <v>74</v>
      </c>
      <c r="BE371" t="s">
        <v>7495</v>
      </c>
      <c r="BF371" t="str">
        <f>HYPERLINK("http://dx.doi.org/10.1007/s43465-024-01281-6","http://dx.doi.org/10.1007/s43465-024-01281-6")</f>
        <v>http://dx.doi.org/10.1007/s43465-024-01281-6</v>
      </c>
      <c r="BG371" t="s">
        <v>74</v>
      </c>
      <c r="BH371" t="s">
        <v>7476</v>
      </c>
      <c r="BI371">
        <v>11</v>
      </c>
      <c r="BJ371" t="s">
        <v>443</v>
      </c>
      <c r="BK371" t="s">
        <v>182</v>
      </c>
      <c r="BL371" t="s">
        <v>443</v>
      </c>
      <c r="BM371" t="s">
        <v>7496</v>
      </c>
      <c r="BN371">
        <v>39539335</v>
      </c>
      <c r="BO371" t="s">
        <v>74</v>
      </c>
      <c r="BP371" t="s">
        <v>74</v>
      </c>
      <c r="BQ371" t="s">
        <v>74</v>
      </c>
      <c r="BR371" t="s">
        <v>105</v>
      </c>
      <c r="BS371" t="s">
        <v>7497</v>
      </c>
      <c r="BT371" t="str">
        <f>HYPERLINK("https%3A%2F%2Fwww.webofscience.com%2Fwos%2Fwoscc%2Ffull-record%2FWOS:001340279600001","View Full Record in Web of Science")</f>
        <v>View Full Record in Web of Science</v>
      </c>
    </row>
    <row r="372" spans="1:72" x14ac:dyDescent="0.25">
      <c r="A372" t="s">
        <v>72</v>
      </c>
      <c r="B372" t="s">
        <v>7498</v>
      </c>
      <c r="C372" t="s">
        <v>74</v>
      </c>
      <c r="D372" t="s">
        <v>74</v>
      </c>
      <c r="E372" t="s">
        <v>74</v>
      </c>
      <c r="F372" t="s">
        <v>7499</v>
      </c>
      <c r="G372" t="s">
        <v>74</v>
      </c>
      <c r="H372" t="s">
        <v>74</v>
      </c>
      <c r="I372" t="s">
        <v>7500</v>
      </c>
      <c r="J372" t="s">
        <v>6847</v>
      </c>
      <c r="K372" t="s">
        <v>74</v>
      </c>
      <c r="L372" t="s">
        <v>74</v>
      </c>
      <c r="M372" t="s">
        <v>78</v>
      </c>
      <c r="N372" t="s">
        <v>79</v>
      </c>
      <c r="O372" t="s">
        <v>74</v>
      </c>
      <c r="P372" t="s">
        <v>74</v>
      </c>
      <c r="Q372" t="s">
        <v>74</v>
      </c>
      <c r="R372" t="s">
        <v>74</v>
      </c>
      <c r="S372" t="s">
        <v>74</v>
      </c>
      <c r="T372" t="s">
        <v>7501</v>
      </c>
      <c r="U372" t="s">
        <v>7502</v>
      </c>
      <c r="V372" t="s">
        <v>7503</v>
      </c>
      <c r="W372" t="s">
        <v>7504</v>
      </c>
      <c r="X372" t="s">
        <v>7505</v>
      </c>
      <c r="Y372" t="s">
        <v>7506</v>
      </c>
      <c r="Z372" t="s">
        <v>7507</v>
      </c>
      <c r="AA372" t="s">
        <v>7508</v>
      </c>
      <c r="AB372" t="s">
        <v>7509</v>
      </c>
      <c r="AC372" t="s">
        <v>7510</v>
      </c>
      <c r="AD372" t="s">
        <v>7511</v>
      </c>
      <c r="AE372" t="s">
        <v>7512</v>
      </c>
      <c r="AF372" t="s">
        <v>74</v>
      </c>
      <c r="AG372">
        <v>99</v>
      </c>
      <c r="AH372">
        <v>1</v>
      </c>
      <c r="AI372">
        <v>1</v>
      </c>
      <c r="AJ372">
        <v>55</v>
      </c>
      <c r="AK372">
        <v>83</v>
      </c>
      <c r="AL372" t="s">
        <v>297</v>
      </c>
      <c r="AM372" t="s">
        <v>298</v>
      </c>
      <c r="AN372" t="s">
        <v>299</v>
      </c>
      <c r="AO372" t="s">
        <v>6857</v>
      </c>
      <c r="AP372" t="s">
        <v>6858</v>
      </c>
      <c r="AQ372" t="s">
        <v>74</v>
      </c>
      <c r="AR372" t="s">
        <v>6859</v>
      </c>
      <c r="AS372" t="s">
        <v>6860</v>
      </c>
      <c r="AT372" t="s">
        <v>1070</v>
      </c>
      <c r="AU372">
        <v>2025</v>
      </c>
      <c r="AV372">
        <v>42</v>
      </c>
      <c r="AW372">
        <v>4</v>
      </c>
      <c r="AX372" t="s">
        <v>74</v>
      </c>
      <c r="AY372" t="s">
        <v>74</v>
      </c>
      <c r="AZ372" t="s">
        <v>74</v>
      </c>
      <c r="BA372" t="s">
        <v>74</v>
      </c>
      <c r="BB372">
        <v>1373</v>
      </c>
      <c r="BC372">
        <v>1387</v>
      </c>
      <c r="BD372" t="s">
        <v>74</v>
      </c>
      <c r="BE372" t="s">
        <v>7513</v>
      </c>
      <c r="BF372" t="str">
        <f>HYPERLINK("http://dx.doi.org/10.1002/rob.22455","http://dx.doi.org/10.1002/rob.22455")</f>
        <v>http://dx.doi.org/10.1002/rob.22455</v>
      </c>
      <c r="BG372" t="s">
        <v>74</v>
      </c>
      <c r="BH372" t="s">
        <v>7476</v>
      </c>
      <c r="BI372">
        <v>15</v>
      </c>
      <c r="BJ372" t="s">
        <v>714</v>
      </c>
      <c r="BK372" t="s">
        <v>182</v>
      </c>
      <c r="BL372" t="s">
        <v>714</v>
      </c>
      <c r="BM372" t="s">
        <v>7514</v>
      </c>
      <c r="BN372" t="s">
        <v>74</v>
      </c>
      <c r="BO372" t="s">
        <v>1052</v>
      </c>
      <c r="BP372" t="s">
        <v>74</v>
      </c>
      <c r="BQ372" t="s">
        <v>74</v>
      </c>
      <c r="BR372" t="s">
        <v>105</v>
      </c>
      <c r="BS372" t="s">
        <v>7515</v>
      </c>
      <c r="BT372" t="str">
        <f>HYPERLINK("https%3A%2F%2Fwww.webofscience.com%2Fwos%2Fwoscc%2Ffull-record%2FWOS:001339797200001","View Full Record in Web of Science")</f>
        <v>View Full Record in Web of Science</v>
      </c>
    </row>
    <row r="373" spans="1:72" x14ac:dyDescent="0.25">
      <c r="A373" t="s">
        <v>72</v>
      </c>
      <c r="B373" t="s">
        <v>7516</v>
      </c>
      <c r="C373" t="s">
        <v>74</v>
      </c>
      <c r="D373" t="s">
        <v>74</v>
      </c>
      <c r="E373" t="s">
        <v>74</v>
      </c>
      <c r="F373" t="s">
        <v>7517</v>
      </c>
      <c r="G373" t="s">
        <v>74</v>
      </c>
      <c r="H373" t="s">
        <v>74</v>
      </c>
      <c r="I373" t="s">
        <v>7518</v>
      </c>
      <c r="J373" t="s">
        <v>243</v>
      </c>
      <c r="K373" t="s">
        <v>74</v>
      </c>
      <c r="L373" t="s">
        <v>74</v>
      </c>
      <c r="M373" t="s">
        <v>78</v>
      </c>
      <c r="N373" t="s">
        <v>79</v>
      </c>
      <c r="O373" t="s">
        <v>74</v>
      </c>
      <c r="P373" t="s">
        <v>74</v>
      </c>
      <c r="Q373" t="s">
        <v>74</v>
      </c>
      <c r="R373" t="s">
        <v>74</v>
      </c>
      <c r="S373" t="s">
        <v>74</v>
      </c>
      <c r="T373" t="s">
        <v>7519</v>
      </c>
      <c r="U373" t="s">
        <v>7520</v>
      </c>
      <c r="V373" t="s">
        <v>7521</v>
      </c>
      <c r="W373" t="s">
        <v>7522</v>
      </c>
      <c r="X373" t="s">
        <v>7523</v>
      </c>
      <c r="Y373" t="s">
        <v>7524</v>
      </c>
      <c r="Z373" t="s">
        <v>7525</v>
      </c>
      <c r="AA373" t="s">
        <v>7526</v>
      </c>
      <c r="AB373" t="s">
        <v>74</v>
      </c>
      <c r="AC373" t="s">
        <v>7527</v>
      </c>
      <c r="AD373" t="s">
        <v>7527</v>
      </c>
      <c r="AE373" t="s">
        <v>7528</v>
      </c>
      <c r="AF373" t="s">
        <v>74</v>
      </c>
      <c r="AG373">
        <v>106</v>
      </c>
      <c r="AH373">
        <v>0</v>
      </c>
      <c r="AI373">
        <v>0</v>
      </c>
      <c r="AJ373">
        <v>11</v>
      </c>
      <c r="AK373">
        <v>19</v>
      </c>
      <c r="AL373" t="s">
        <v>253</v>
      </c>
      <c r="AM373" t="s">
        <v>227</v>
      </c>
      <c r="AN373" t="s">
        <v>254</v>
      </c>
      <c r="AO373" t="s">
        <v>255</v>
      </c>
      <c r="AP373" t="s">
        <v>256</v>
      </c>
      <c r="AQ373" t="s">
        <v>74</v>
      </c>
      <c r="AR373" t="s">
        <v>257</v>
      </c>
      <c r="AS373" t="s">
        <v>258</v>
      </c>
      <c r="AT373" t="s">
        <v>6075</v>
      </c>
      <c r="AU373">
        <v>2025</v>
      </c>
      <c r="AV373">
        <v>20</v>
      </c>
      <c r="AW373">
        <v>4</v>
      </c>
      <c r="AX373" t="s">
        <v>74</v>
      </c>
      <c r="AY373" t="s">
        <v>74</v>
      </c>
      <c r="AZ373" t="s">
        <v>74</v>
      </c>
      <c r="BA373" t="s">
        <v>74</v>
      </c>
      <c r="BB373">
        <v>767</v>
      </c>
      <c r="BC373">
        <v>788</v>
      </c>
      <c r="BD373" t="s">
        <v>74</v>
      </c>
      <c r="BE373" t="s">
        <v>7529</v>
      </c>
      <c r="BF373" t="str">
        <f>HYPERLINK("http://dx.doi.org/10.1080/17483107.2024.2415433","http://dx.doi.org/10.1080/17483107.2024.2415433")</f>
        <v>http://dx.doi.org/10.1080/17483107.2024.2415433</v>
      </c>
      <c r="BG373" t="s">
        <v>74</v>
      </c>
      <c r="BH373" t="s">
        <v>7476</v>
      </c>
      <c r="BI373">
        <v>22</v>
      </c>
      <c r="BJ373" t="s">
        <v>101</v>
      </c>
      <c r="BK373" t="s">
        <v>462</v>
      </c>
      <c r="BL373" t="s">
        <v>101</v>
      </c>
      <c r="BM373" t="s">
        <v>7530</v>
      </c>
      <c r="BN373">
        <v>39444223</v>
      </c>
      <c r="BO373" t="s">
        <v>74</v>
      </c>
      <c r="BP373" t="s">
        <v>74</v>
      </c>
      <c r="BQ373" t="s">
        <v>74</v>
      </c>
      <c r="BR373" t="s">
        <v>105</v>
      </c>
      <c r="BS373" t="s">
        <v>7531</v>
      </c>
      <c r="BT373" t="str">
        <f>HYPERLINK("https%3A%2F%2Fwww.webofscience.com%2Fwos%2Fwoscc%2Ffull-record%2FWOS:001340775300001","View Full Record in Web of Science")</f>
        <v>View Full Record in Web of Science</v>
      </c>
    </row>
    <row r="374" spans="1:72" x14ac:dyDescent="0.25">
      <c r="A374" t="s">
        <v>72</v>
      </c>
      <c r="B374" t="s">
        <v>7532</v>
      </c>
      <c r="C374" t="s">
        <v>74</v>
      </c>
      <c r="D374" t="s">
        <v>74</v>
      </c>
      <c r="E374" t="s">
        <v>74</v>
      </c>
      <c r="F374" t="s">
        <v>7533</v>
      </c>
      <c r="G374" t="s">
        <v>74</v>
      </c>
      <c r="H374" t="s">
        <v>74</v>
      </c>
      <c r="I374" t="s">
        <v>7534</v>
      </c>
      <c r="J374" t="s">
        <v>701</v>
      </c>
      <c r="K374" t="s">
        <v>74</v>
      </c>
      <c r="L374" t="s">
        <v>74</v>
      </c>
      <c r="M374" t="s">
        <v>78</v>
      </c>
      <c r="N374" t="s">
        <v>79</v>
      </c>
      <c r="O374" t="s">
        <v>74</v>
      </c>
      <c r="P374" t="s">
        <v>74</v>
      </c>
      <c r="Q374" t="s">
        <v>74</v>
      </c>
      <c r="R374" t="s">
        <v>74</v>
      </c>
      <c r="S374" t="s">
        <v>74</v>
      </c>
      <c r="T374" t="s">
        <v>7535</v>
      </c>
      <c r="U374" t="s">
        <v>7536</v>
      </c>
      <c r="V374" t="s">
        <v>7537</v>
      </c>
      <c r="W374" t="s">
        <v>7538</v>
      </c>
      <c r="X374" t="s">
        <v>7539</v>
      </c>
      <c r="Y374" t="s">
        <v>7540</v>
      </c>
      <c r="Z374" t="s">
        <v>7541</v>
      </c>
      <c r="AA374" t="s">
        <v>7542</v>
      </c>
      <c r="AB374" t="s">
        <v>7543</v>
      </c>
      <c r="AC374" t="s">
        <v>7544</v>
      </c>
      <c r="AD374" t="s">
        <v>7545</v>
      </c>
      <c r="AE374" t="s">
        <v>7546</v>
      </c>
      <c r="AF374" t="s">
        <v>74</v>
      </c>
      <c r="AG374">
        <v>51</v>
      </c>
      <c r="AH374">
        <v>1</v>
      </c>
      <c r="AI374">
        <v>1</v>
      </c>
      <c r="AJ374">
        <v>4</v>
      </c>
      <c r="AK374">
        <v>4</v>
      </c>
      <c r="AL374" t="s">
        <v>392</v>
      </c>
      <c r="AM374" t="s">
        <v>393</v>
      </c>
      <c r="AN374" t="s">
        <v>394</v>
      </c>
      <c r="AO374" t="s">
        <v>709</v>
      </c>
      <c r="AP374" t="s">
        <v>74</v>
      </c>
      <c r="AQ374" t="s">
        <v>74</v>
      </c>
      <c r="AR374" t="s">
        <v>710</v>
      </c>
      <c r="AS374" t="s">
        <v>711</v>
      </c>
      <c r="AT374" t="s">
        <v>7547</v>
      </c>
      <c r="AU374">
        <v>2024</v>
      </c>
      <c r="AV374">
        <v>11</v>
      </c>
      <c r="AW374" t="s">
        <v>74</v>
      </c>
      <c r="AX374" t="s">
        <v>74</v>
      </c>
      <c r="AY374" t="s">
        <v>74</v>
      </c>
      <c r="AZ374" t="s">
        <v>74</v>
      </c>
      <c r="BA374" t="s">
        <v>74</v>
      </c>
      <c r="BB374" t="s">
        <v>74</v>
      </c>
      <c r="BC374" t="s">
        <v>74</v>
      </c>
      <c r="BD374">
        <v>1414853</v>
      </c>
      <c r="BE374" t="s">
        <v>7548</v>
      </c>
      <c r="BF374" t="str">
        <f>HYPERLINK("http://dx.doi.org/10.3389/frobt.2024.1414853","http://dx.doi.org/10.3389/frobt.2024.1414853")</f>
        <v>http://dx.doi.org/10.3389/frobt.2024.1414853</v>
      </c>
      <c r="BG374" t="s">
        <v>74</v>
      </c>
      <c r="BH374" t="s">
        <v>74</v>
      </c>
      <c r="BI374">
        <v>8</v>
      </c>
      <c r="BJ374" t="s">
        <v>714</v>
      </c>
      <c r="BK374" t="s">
        <v>155</v>
      </c>
      <c r="BL374" t="s">
        <v>714</v>
      </c>
      <c r="BM374" t="s">
        <v>7549</v>
      </c>
      <c r="BN374">
        <v>39473444</v>
      </c>
      <c r="BO374" t="s">
        <v>185</v>
      </c>
      <c r="BP374" t="s">
        <v>74</v>
      </c>
      <c r="BQ374" t="s">
        <v>74</v>
      </c>
      <c r="BR374" t="s">
        <v>105</v>
      </c>
      <c r="BS374" t="s">
        <v>7550</v>
      </c>
      <c r="BT374" t="str">
        <f>HYPERLINK("https%3A%2F%2Fwww.webofscience.com%2Fwos%2Fwoscc%2Ffull-record%2FWOS:001343937900001","View Full Record in Web of Science")</f>
        <v>View Full Record in Web of Science</v>
      </c>
    </row>
    <row r="375" spans="1:72" x14ac:dyDescent="0.25">
      <c r="A375" t="s">
        <v>72</v>
      </c>
      <c r="B375" t="s">
        <v>7551</v>
      </c>
      <c r="C375" t="s">
        <v>74</v>
      </c>
      <c r="D375" t="s">
        <v>74</v>
      </c>
      <c r="E375" t="s">
        <v>74</v>
      </c>
      <c r="F375" t="s">
        <v>7552</v>
      </c>
      <c r="G375" t="s">
        <v>74</v>
      </c>
      <c r="H375" t="s">
        <v>74</v>
      </c>
      <c r="I375" t="s">
        <v>7553</v>
      </c>
      <c r="J375" t="s">
        <v>7554</v>
      </c>
      <c r="K375" t="s">
        <v>74</v>
      </c>
      <c r="L375" t="s">
        <v>74</v>
      </c>
      <c r="M375" t="s">
        <v>78</v>
      </c>
      <c r="N375" t="s">
        <v>79</v>
      </c>
      <c r="O375" t="s">
        <v>74</v>
      </c>
      <c r="P375" t="s">
        <v>74</v>
      </c>
      <c r="Q375" t="s">
        <v>74</v>
      </c>
      <c r="R375" t="s">
        <v>74</v>
      </c>
      <c r="S375" t="s">
        <v>74</v>
      </c>
      <c r="T375" t="s">
        <v>74</v>
      </c>
      <c r="U375" t="s">
        <v>7555</v>
      </c>
      <c r="V375" t="s">
        <v>7556</v>
      </c>
      <c r="W375" t="s">
        <v>7557</v>
      </c>
      <c r="X375" t="s">
        <v>7558</v>
      </c>
      <c r="Y375" t="s">
        <v>7559</v>
      </c>
      <c r="Z375" t="s">
        <v>7560</v>
      </c>
      <c r="AA375" t="s">
        <v>7561</v>
      </c>
      <c r="AB375" t="s">
        <v>7562</v>
      </c>
      <c r="AC375" t="s">
        <v>7563</v>
      </c>
      <c r="AD375" t="s">
        <v>7564</v>
      </c>
      <c r="AE375" t="s">
        <v>7565</v>
      </c>
      <c r="AF375" t="s">
        <v>74</v>
      </c>
      <c r="AG375">
        <v>445</v>
      </c>
      <c r="AH375">
        <v>27</v>
      </c>
      <c r="AI375">
        <v>28</v>
      </c>
      <c r="AJ375">
        <v>78</v>
      </c>
      <c r="AK375">
        <v>167</v>
      </c>
      <c r="AL375" t="s">
        <v>4622</v>
      </c>
      <c r="AM375" t="s">
        <v>4073</v>
      </c>
      <c r="AN375" t="s">
        <v>4623</v>
      </c>
      <c r="AO375" t="s">
        <v>7566</v>
      </c>
      <c r="AP375" t="s">
        <v>7567</v>
      </c>
      <c r="AQ375" t="s">
        <v>74</v>
      </c>
      <c r="AR375" t="s">
        <v>7568</v>
      </c>
      <c r="AS375" t="s">
        <v>7569</v>
      </c>
      <c r="AT375" t="s">
        <v>7570</v>
      </c>
      <c r="AU375">
        <v>2024</v>
      </c>
      <c r="AV375">
        <v>124</v>
      </c>
      <c r="AW375">
        <v>20</v>
      </c>
      <c r="AX375" t="s">
        <v>74</v>
      </c>
      <c r="AY375" t="s">
        <v>74</v>
      </c>
      <c r="AZ375" t="s">
        <v>74</v>
      </c>
      <c r="BA375" t="s">
        <v>74</v>
      </c>
      <c r="BB375">
        <v>11585</v>
      </c>
      <c r="BC375">
        <v>11636</v>
      </c>
      <c r="BD375" t="s">
        <v>74</v>
      </c>
      <c r="BE375" t="s">
        <v>7571</v>
      </c>
      <c r="BF375" t="str">
        <f>HYPERLINK("http://dx.doi.org/10.1021/acs.chemrev.4c00513","http://dx.doi.org/10.1021/acs.chemrev.4c00513")</f>
        <v>http://dx.doi.org/10.1021/acs.chemrev.4c00513</v>
      </c>
      <c r="BG375" t="s">
        <v>74</v>
      </c>
      <c r="BH375" t="s">
        <v>7476</v>
      </c>
      <c r="BI375">
        <v>52</v>
      </c>
      <c r="BJ375" t="s">
        <v>154</v>
      </c>
      <c r="BK375" t="s">
        <v>182</v>
      </c>
      <c r="BL375" t="s">
        <v>156</v>
      </c>
      <c r="BM375" t="s">
        <v>7572</v>
      </c>
      <c r="BN375">
        <v>39392765</v>
      </c>
      <c r="BO375" t="s">
        <v>74</v>
      </c>
      <c r="BP375" t="s">
        <v>74</v>
      </c>
      <c r="BQ375" t="s">
        <v>74</v>
      </c>
      <c r="BR375" t="s">
        <v>105</v>
      </c>
      <c r="BS375" t="s">
        <v>7573</v>
      </c>
      <c r="BT375" t="str">
        <f>HYPERLINK("https%3A%2F%2Fwww.webofscience.com%2Fwos%2Fwoscc%2Ffull-record%2FWOS:001337327200001","View Full Record in Web of Science")</f>
        <v>View Full Record in Web of Science</v>
      </c>
    </row>
    <row r="376" spans="1:72" x14ac:dyDescent="0.25">
      <c r="A376" t="s">
        <v>72</v>
      </c>
      <c r="B376" t="s">
        <v>7574</v>
      </c>
      <c r="C376" t="s">
        <v>74</v>
      </c>
      <c r="D376" t="s">
        <v>74</v>
      </c>
      <c r="E376" t="s">
        <v>74</v>
      </c>
      <c r="F376" t="s">
        <v>7575</v>
      </c>
      <c r="G376" t="s">
        <v>74</v>
      </c>
      <c r="H376" t="s">
        <v>74</v>
      </c>
      <c r="I376" t="s">
        <v>7576</v>
      </c>
      <c r="J376" t="s">
        <v>2708</v>
      </c>
      <c r="K376" t="s">
        <v>74</v>
      </c>
      <c r="L376" t="s">
        <v>74</v>
      </c>
      <c r="M376" t="s">
        <v>78</v>
      </c>
      <c r="N376" t="s">
        <v>79</v>
      </c>
      <c r="O376" t="s">
        <v>74</v>
      </c>
      <c r="P376" t="s">
        <v>74</v>
      </c>
      <c r="Q376" t="s">
        <v>74</v>
      </c>
      <c r="R376" t="s">
        <v>74</v>
      </c>
      <c r="S376" t="s">
        <v>74</v>
      </c>
      <c r="T376" t="s">
        <v>7577</v>
      </c>
      <c r="U376" t="s">
        <v>7578</v>
      </c>
      <c r="V376" t="s">
        <v>7579</v>
      </c>
      <c r="W376" t="s">
        <v>7580</v>
      </c>
      <c r="X376" t="s">
        <v>7581</v>
      </c>
      <c r="Y376" t="s">
        <v>3129</v>
      </c>
      <c r="Z376" t="s">
        <v>3130</v>
      </c>
      <c r="AA376" t="s">
        <v>7582</v>
      </c>
      <c r="AB376" t="s">
        <v>7583</v>
      </c>
      <c r="AC376" t="s">
        <v>3133</v>
      </c>
      <c r="AD376" t="s">
        <v>3134</v>
      </c>
      <c r="AE376" t="s">
        <v>7584</v>
      </c>
      <c r="AF376" t="s">
        <v>74</v>
      </c>
      <c r="AG376">
        <v>50</v>
      </c>
      <c r="AH376">
        <v>1</v>
      </c>
      <c r="AI376">
        <v>1</v>
      </c>
      <c r="AJ376">
        <v>1</v>
      </c>
      <c r="AK376">
        <v>4</v>
      </c>
      <c r="AL376" t="s">
        <v>2529</v>
      </c>
      <c r="AM376" t="s">
        <v>2530</v>
      </c>
      <c r="AN376" t="s">
        <v>2531</v>
      </c>
      <c r="AO376" t="s">
        <v>2715</v>
      </c>
      <c r="AP376" t="s">
        <v>2716</v>
      </c>
      <c r="AQ376" t="s">
        <v>74</v>
      </c>
      <c r="AR376" t="s">
        <v>2717</v>
      </c>
      <c r="AS376" t="s">
        <v>2718</v>
      </c>
      <c r="AT376" t="s">
        <v>126</v>
      </c>
      <c r="AU376">
        <v>2024</v>
      </c>
      <c r="AV376">
        <v>271</v>
      </c>
      <c r="AW376">
        <v>11</v>
      </c>
      <c r="AX376" t="s">
        <v>74</v>
      </c>
      <c r="AY376" t="s">
        <v>74</v>
      </c>
      <c r="AZ376" t="s">
        <v>74</v>
      </c>
      <c r="BA376" t="s">
        <v>74</v>
      </c>
      <c r="BB376">
        <v>7141</v>
      </c>
      <c r="BC376">
        <v>7155</v>
      </c>
      <c r="BD376" t="s">
        <v>74</v>
      </c>
      <c r="BE376" t="s">
        <v>7585</v>
      </c>
      <c r="BF376" t="str">
        <f>HYPERLINK("http://dx.doi.org/10.1007/s00415-024-12715-4","http://dx.doi.org/10.1007/s00415-024-12715-4")</f>
        <v>http://dx.doi.org/10.1007/s00415-024-12715-4</v>
      </c>
      <c r="BG376" t="s">
        <v>74</v>
      </c>
      <c r="BH376" t="s">
        <v>7476</v>
      </c>
      <c r="BI376">
        <v>15</v>
      </c>
      <c r="BJ376" t="s">
        <v>541</v>
      </c>
      <c r="BK376" t="s">
        <v>182</v>
      </c>
      <c r="BL376" t="s">
        <v>375</v>
      </c>
      <c r="BM376" t="s">
        <v>7586</v>
      </c>
      <c r="BN376">
        <v>39390289</v>
      </c>
      <c r="BO376" t="s">
        <v>74</v>
      </c>
      <c r="BP376" t="s">
        <v>74</v>
      </c>
      <c r="BQ376" t="s">
        <v>74</v>
      </c>
      <c r="BR376" t="s">
        <v>105</v>
      </c>
      <c r="BS376" t="s">
        <v>7587</v>
      </c>
      <c r="BT376" t="str">
        <f>HYPERLINK("https%3A%2F%2Fwww.webofscience.com%2Fwos%2Fwoscc%2Ffull-record%2FWOS:001329804500003","View Full Record in Web of Science")</f>
        <v>View Full Record in Web of Science</v>
      </c>
    </row>
    <row r="377" spans="1:72" x14ac:dyDescent="0.25">
      <c r="A377" t="s">
        <v>72</v>
      </c>
      <c r="B377" t="s">
        <v>7588</v>
      </c>
      <c r="C377" t="s">
        <v>74</v>
      </c>
      <c r="D377" t="s">
        <v>74</v>
      </c>
      <c r="E377" t="s">
        <v>74</v>
      </c>
      <c r="F377" t="s">
        <v>7589</v>
      </c>
      <c r="G377" t="s">
        <v>74</v>
      </c>
      <c r="H377" t="s">
        <v>74</v>
      </c>
      <c r="I377" t="s">
        <v>7590</v>
      </c>
      <c r="J377" t="s">
        <v>162</v>
      </c>
      <c r="K377" t="s">
        <v>74</v>
      </c>
      <c r="L377" t="s">
        <v>74</v>
      </c>
      <c r="M377" t="s">
        <v>78</v>
      </c>
      <c r="N377" t="s">
        <v>79</v>
      </c>
      <c r="O377" t="s">
        <v>74</v>
      </c>
      <c r="P377" t="s">
        <v>74</v>
      </c>
      <c r="Q377" t="s">
        <v>74</v>
      </c>
      <c r="R377" t="s">
        <v>74</v>
      </c>
      <c r="S377" t="s">
        <v>74</v>
      </c>
      <c r="T377" t="s">
        <v>7591</v>
      </c>
      <c r="U377" t="s">
        <v>7592</v>
      </c>
      <c r="V377" t="s">
        <v>7593</v>
      </c>
      <c r="W377" t="s">
        <v>7594</v>
      </c>
      <c r="X377" t="s">
        <v>7595</v>
      </c>
      <c r="Y377" t="s">
        <v>7596</v>
      </c>
      <c r="Z377" t="s">
        <v>7597</v>
      </c>
      <c r="AA377" t="s">
        <v>7598</v>
      </c>
      <c r="AB377" t="s">
        <v>74</v>
      </c>
      <c r="AC377" t="s">
        <v>7599</v>
      </c>
      <c r="AD377" t="s">
        <v>4047</v>
      </c>
      <c r="AE377" t="s">
        <v>7600</v>
      </c>
      <c r="AF377" t="s">
        <v>74</v>
      </c>
      <c r="AG377">
        <v>103</v>
      </c>
      <c r="AH377">
        <v>1</v>
      </c>
      <c r="AI377">
        <v>1</v>
      </c>
      <c r="AJ377">
        <v>14</v>
      </c>
      <c r="AK377">
        <v>21</v>
      </c>
      <c r="AL377" t="s">
        <v>172</v>
      </c>
      <c r="AM377" t="s">
        <v>173</v>
      </c>
      <c r="AN377" t="s">
        <v>174</v>
      </c>
      <c r="AO377" t="s">
        <v>175</v>
      </c>
      <c r="AP377" t="s">
        <v>176</v>
      </c>
      <c r="AQ377" t="s">
        <v>74</v>
      </c>
      <c r="AR377" t="s">
        <v>177</v>
      </c>
      <c r="AS377" t="s">
        <v>178</v>
      </c>
      <c r="AT377" t="s">
        <v>7601</v>
      </c>
      <c r="AU377">
        <v>2024</v>
      </c>
      <c r="AV377">
        <v>37</v>
      </c>
      <c r="AW377">
        <v>1</v>
      </c>
      <c r="AX377" t="s">
        <v>74</v>
      </c>
      <c r="AY377" t="s">
        <v>74</v>
      </c>
      <c r="AZ377" t="s">
        <v>74</v>
      </c>
      <c r="BA377" t="s">
        <v>74</v>
      </c>
      <c r="BB377" t="s">
        <v>74</v>
      </c>
      <c r="BC377" t="s">
        <v>74</v>
      </c>
      <c r="BD377">
        <v>113</v>
      </c>
      <c r="BE377" t="s">
        <v>7602</v>
      </c>
      <c r="BF377" t="str">
        <f>HYPERLINK("http://dx.doi.org/10.1186/s10033-024-01106-5","http://dx.doi.org/10.1186/s10033-024-01106-5")</f>
        <v>http://dx.doi.org/10.1186/s10033-024-01106-5</v>
      </c>
      <c r="BG377" t="s">
        <v>74</v>
      </c>
      <c r="BH377" t="s">
        <v>74</v>
      </c>
      <c r="BI377">
        <v>18</v>
      </c>
      <c r="BJ377" t="s">
        <v>181</v>
      </c>
      <c r="BK377" t="s">
        <v>182</v>
      </c>
      <c r="BL377" t="s">
        <v>183</v>
      </c>
      <c r="BM377" t="s">
        <v>7603</v>
      </c>
      <c r="BN377" t="s">
        <v>74</v>
      </c>
      <c r="BO377" t="s">
        <v>185</v>
      </c>
      <c r="BP377" t="s">
        <v>74</v>
      </c>
      <c r="BQ377" t="s">
        <v>74</v>
      </c>
      <c r="BR377" t="s">
        <v>105</v>
      </c>
      <c r="BS377" t="s">
        <v>7604</v>
      </c>
      <c r="BT377" t="str">
        <f>HYPERLINK("https%3A%2F%2Fwww.webofscience.com%2Fwos%2Fwoscc%2Ffull-record%2FWOS:001329335100001","View Full Record in Web of Science")</f>
        <v>View Full Record in Web of Science</v>
      </c>
    </row>
    <row r="378" spans="1:72" x14ac:dyDescent="0.25">
      <c r="A378" t="s">
        <v>72</v>
      </c>
      <c r="B378" t="s">
        <v>7605</v>
      </c>
      <c r="C378" t="s">
        <v>74</v>
      </c>
      <c r="D378" t="s">
        <v>74</v>
      </c>
      <c r="E378" t="s">
        <v>74</v>
      </c>
      <c r="F378" t="s">
        <v>7606</v>
      </c>
      <c r="G378" t="s">
        <v>74</v>
      </c>
      <c r="H378" t="s">
        <v>74</v>
      </c>
      <c r="I378" t="s">
        <v>7607</v>
      </c>
      <c r="J378" t="s">
        <v>4982</v>
      </c>
      <c r="K378" t="s">
        <v>74</v>
      </c>
      <c r="L378" t="s">
        <v>74</v>
      </c>
      <c r="M378" t="s">
        <v>78</v>
      </c>
      <c r="N378" t="s">
        <v>79</v>
      </c>
      <c r="O378" t="s">
        <v>74</v>
      </c>
      <c r="P378" t="s">
        <v>74</v>
      </c>
      <c r="Q378" t="s">
        <v>74</v>
      </c>
      <c r="R378" t="s">
        <v>74</v>
      </c>
      <c r="S378" t="s">
        <v>74</v>
      </c>
      <c r="T378" t="s">
        <v>7608</v>
      </c>
      <c r="U378" t="s">
        <v>7609</v>
      </c>
      <c r="V378" t="s">
        <v>7610</v>
      </c>
      <c r="W378" t="s">
        <v>7611</v>
      </c>
      <c r="X378" t="s">
        <v>1764</v>
      </c>
      <c r="Y378" t="s">
        <v>7612</v>
      </c>
      <c r="Z378" t="s">
        <v>7613</v>
      </c>
      <c r="AA378" t="s">
        <v>7614</v>
      </c>
      <c r="AB378" t="s">
        <v>7615</v>
      </c>
      <c r="AC378" t="s">
        <v>7616</v>
      </c>
      <c r="AD378" t="s">
        <v>7617</v>
      </c>
      <c r="AE378" t="s">
        <v>7618</v>
      </c>
      <c r="AF378" t="s">
        <v>74</v>
      </c>
      <c r="AG378">
        <v>112</v>
      </c>
      <c r="AH378">
        <v>12</v>
      </c>
      <c r="AI378">
        <v>12</v>
      </c>
      <c r="AJ378">
        <v>10</v>
      </c>
      <c r="AK378">
        <v>11</v>
      </c>
      <c r="AL378" t="s">
        <v>120</v>
      </c>
      <c r="AM378" t="s">
        <v>121</v>
      </c>
      <c r="AN378" t="s">
        <v>1221</v>
      </c>
      <c r="AO378" t="s">
        <v>74</v>
      </c>
      <c r="AP378" t="s">
        <v>4995</v>
      </c>
      <c r="AQ378" t="s">
        <v>74</v>
      </c>
      <c r="AR378" t="s">
        <v>4982</v>
      </c>
      <c r="AS378" t="s">
        <v>4996</v>
      </c>
      <c r="AT378" t="s">
        <v>1888</v>
      </c>
      <c r="AU378">
        <v>2024</v>
      </c>
      <c r="AV378">
        <v>12</v>
      </c>
      <c r="AW378">
        <v>10</v>
      </c>
      <c r="AX378" t="s">
        <v>74</v>
      </c>
      <c r="AY378" t="s">
        <v>74</v>
      </c>
      <c r="AZ378" t="s">
        <v>74</v>
      </c>
      <c r="BA378" t="s">
        <v>74</v>
      </c>
      <c r="BB378" t="s">
        <v>74</v>
      </c>
      <c r="BC378" t="s">
        <v>74</v>
      </c>
      <c r="BD378">
        <v>2415</v>
      </c>
      <c r="BE378" t="s">
        <v>7619</v>
      </c>
      <c r="BF378" t="str">
        <f>HYPERLINK("http://dx.doi.org/10.3390/biomedicines12102415","http://dx.doi.org/10.3390/biomedicines12102415")</f>
        <v>http://dx.doi.org/10.3390/biomedicines12102415</v>
      </c>
      <c r="BG378" t="s">
        <v>74</v>
      </c>
      <c r="BH378" t="s">
        <v>74</v>
      </c>
      <c r="BI378">
        <v>17</v>
      </c>
      <c r="BJ378" t="s">
        <v>4998</v>
      </c>
      <c r="BK378" t="s">
        <v>182</v>
      </c>
      <c r="BL378" t="s">
        <v>4999</v>
      </c>
      <c r="BM378" t="s">
        <v>7620</v>
      </c>
      <c r="BN378">
        <v>39457727</v>
      </c>
      <c r="BO378" t="s">
        <v>185</v>
      </c>
      <c r="BP378" t="s">
        <v>74</v>
      </c>
      <c r="BQ378" t="s">
        <v>74</v>
      </c>
      <c r="BR378" t="s">
        <v>105</v>
      </c>
      <c r="BS378" t="s">
        <v>7621</v>
      </c>
      <c r="BT378" t="str">
        <f>HYPERLINK("https%3A%2F%2Fwww.webofscience.com%2Fwos%2Fwoscc%2Ffull-record%2FWOS:001341830300001","View Full Record in Web of Science")</f>
        <v>View Full Record in Web of Science</v>
      </c>
    </row>
    <row r="379" spans="1:72" x14ac:dyDescent="0.25">
      <c r="A379" t="s">
        <v>72</v>
      </c>
      <c r="B379" t="s">
        <v>7622</v>
      </c>
      <c r="C379" t="s">
        <v>74</v>
      </c>
      <c r="D379" t="s">
        <v>74</v>
      </c>
      <c r="E379" t="s">
        <v>74</v>
      </c>
      <c r="F379" t="s">
        <v>7623</v>
      </c>
      <c r="G379" t="s">
        <v>74</v>
      </c>
      <c r="H379" t="s">
        <v>74</v>
      </c>
      <c r="I379" t="s">
        <v>7624</v>
      </c>
      <c r="J379" t="s">
        <v>2040</v>
      </c>
      <c r="K379" t="s">
        <v>74</v>
      </c>
      <c r="L379" t="s">
        <v>74</v>
      </c>
      <c r="M379" t="s">
        <v>78</v>
      </c>
      <c r="N379" t="s">
        <v>79</v>
      </c>
      <c r="O379" t="s">
        <v>74</v>
      </c>
      <c r="P379" t="s">
        <v>74</v>
      </c>
      <c r="Q379" t="s">
        <v>74</v>
      </c>
      <c r="R379" t="s">
        <v>74</v>
      </c>
      <c r="S379" t="s">
        <v>74</v>
      </c>
      <c r="T379" t="s">
        <v>7625</v>
      </c>
      <c r="U379" t="s">
        <v>7626</v>
      </c>
      <c r="V379" t="s">
        <v>7627</v>
      </c>
      <c r="W379" t="s">
        <v>7628</v>
      </c>
      <c r="X379" t="s">
        <v>7629</v>
      </c>
      <c r="Y379" t="s">
        <v>7630</v>
      </c>
      <c r="Z379" t="s">
        <v>7631</v>
      </c>
      <c r="AA379" t="s">
        <v>7632</v>
      </c>
      <c r="AB379" t="s">
        <v>7633</v>
      </c>
      <c r="AC379" t="s">
        <v>7634</v>
      </c>
      <c r="AD379" t="s">
        <v>7635</v>
      </c>
      <c r="AE379" t="s">
        <v>7636</v>
      </c>
      <c r="AF379" t="s">
        <v>74</v>
      </c>
      <c r="AG379">
        <v>175</v>
      </c>
      <c r="AH379">
        <v>8</v>
      </c>
      <c r="AI379">
        <v>8</v>
      </c>
      <c r="AJ379">
        <v>28</v>
      </c>
      <c r="AK379">
        <v>32</v>
      </c>
      <c r="AL379" t="s">
        <v>120</v>
      </c>
      <c r="AM379" t="s">
        <v>121</v>
      </c>
      <c r="AN379" t="s">
        <v>122</v>
      </c>
      <c r="AO379" t="s">
        <v>74</v>
      </c>
      <c r="AP379" t="s">
        <v>2050</v>
      </c>
      <c r="AQ379" t="s">
        <v>74</v>
      </c>
      <c r="AR379" t="s">
        <v>2051</v>
      </c>
      <c r="AS379" t="s">
        <v>2052</v>
      </c>
      <c r="AT379" t="s">
        <v>1888</v>
      </c>
      <c r="AU379">
        <v>2024</v>
      </c>
      <c r="AV379">
        <v>24</v>
      </c>
      <c r="AW379">
        <v>20</v>
      </c>
      <c r="AX379" t="s">
        <v>74</v>
      </c>
      <c r="AY379" t="s">
        <v>74</v>
      </c>
      <c r="AZ379" t="s">
        <v>74</v>
      </c>
      <c r="BA379" t="s">
        <v>74</v>
      </c>
      <c r="BB379" t="s">
        <v>74</v>
      </c>
      <c r="BC379" t="s">
        <v>74</v>
      </c>
      <c r="BD379">
        <v>6585</v>
      </c>
      <c r="BE379" t="s">
        <v>7637</v>
      </c>
      <c r="BF379" t="str">
        <f>HYPERLINK("http://dx.doi.org/10.3390/s24206585","http://dx.doi.org/10.3390/s24206585")</f>
        <v>http://dx.doi.org/10.3390/s24206585</v>
      </c>
      <c r="BG379" t="s">
        <v>74</v>
      </c>
      <c r="BH379" t="s">
        <v>74</v>
      </c>
      <c r="BI379">
        <v>32</v>
      </c>
      <c r="BJ379" t="s">
        <v>2054</v>
      </c>
      <c r="BK379" t="s">
        <v>182</v>
      </c>
      <c r="BL379" t="s">
        <v>2055</v>
      </c>
      <c r="BM379" t="s">
        <v>7638</v>
      </c>
      <c r="BN379">
        <v>39460066</v>
      </c>
      <c r="BO379" t="s">
        <v>185</v>
      </c>
      <c r="BP379" t="s">
        <v>74</v>
      </c>
      <c r="BQ379" t="s">
        <v>74</v>
      </c>
      <c r="BR379" t="s">
        <v>105</v>
      </c>
      <c r="BS379" t="s">
        <v>7639</v>
      </c>
      <c r="BT379" t="str">
        <f>HYPERLINK("https%3A%2F%2Fwww.webofscience.com%2Fwos%2Fwoscc%2Ffull-record%2FWOS:001341647600001","View Full Record in Web of Science")</f>
        <v>View Full Record in Web of Science</v>
      </c>
    </row>
    <row r="380" spans="1:72" x14ac:dyDescent="0.25">
      <c r="A380" t="s">
        <v>72</v>
      </c>
      <c r="B380" t="s">
        <v>7640</v>
      </c>
      <c r="C380" t="s">
        <v>74</v>
      </c>
      <c r="D380" t="s">
        <v>74</v>
      </c>
      <c r="E380" t="s">
        <v>74</v>
      </c>
      <c r="F380" t="s">
        <v>7641</v>
      </c>
      <c r="G380" t="s">
        <v>74</v>
      </c>
      <c r="H380" t="s">
        <v>74</v>
      </c>
      <c r="I380" t="s">
        <v>7642</v>
      </c>
      <c r="J380" t="s">
        <v>7643</v>
      </c>
      <c r="K380" t="s">
        <v>74</v>
      </c>
      <c r="L380" t="s">
        <v>74</v>
      </c>
      <c r="M380" t="s">
        <v>78</v>
      </c>
      <c r="N380" t="s">
        <v>79</v>
      </c>
      <c r="O380" t="s">
        <v>74</v>
      </c>
      <c r="P380" t="s">
        <v>74</v>
      </c>
      <c r="Q380" t="s">
        <v>74</v>
      </c>
      <c r="R380" t="s">
        <v>74</v>
      </c>
      <c r="S380" t="s">
        <v>74</v>
      </c>
      <c r="T380" t="s">
        <v>74</v>
      </c>
      <c r="U380" t="s">
        <v>7644</v>
      </c>
      <c r="V380" t="s">
        <v>7645</v>
      </c>
      <c r="W380" t="s">
        <v>7646</v>
      </c>
      <c r="X380" t="s">
        <v>7647</v>
      </c>
      <c r="Y380" t="s">
        <v>7648</v>
      </c>
      <c r="Z380" t="s">
        <v>7649</v>
      </c>
      <c r="AA380" t="s">
        <v>74</v>
      </c>
      <c r="AB380" t="s">
        <v>74</v>
      </c>
      <c r="AC380" t="s">
        <v>74</v>
      </c>
      <c r="AD380" t="s">
        <v>74</v>
      </c>
      <c r="AE380" t="s">
        <v>74</v>
      </c>
      <c r="AF380" t="s">
        <v>74</v>
      </c>
      <c r="AG380">
        <v>35</v>
      </c>
      <c r="AH380">
        <v>11</v>
      </c>
      <c r="AI380">
        <v>13</v>
      </c>
      <c r="AJ380">
        <v>8</v>
      </c>
      <c r="AK380">
        <v>23</v>
      </c>
      <c r="AL380" t="s">
        <v>5368</v>
      </c>
      <c r="AM380" t="s">
        <v>173</v>
      </c>
      <c r="AN380" t="s">
        <v>5369</v>
      </c>
      <c r="AO380" t="s">
        <v>7650</v>
      </c>
      <c r="AP380" t="s">
        <v>7651</v>
      </c>
      <c r="AQ380" t="s">
        <v>74</v>
      </c>
      <c r="AR380" t="s">
        <v>7652</v>
      </c>
      <c r="AS380" t="s">
        <v>7653</v>
      </c>
      <c r="AT380" t="s">
        <v>1888</v>
      </c>
      <c r="AU380">
        <v>2024</v>
      </c>
      <c r="AV380">
        <v>132</v>
      </c>
      <c r="AW380">
        <v>4</v>
      </c>
      <c r="AX380" t="s">
        <v>74</v>
      </c>
      <c r="AY380" t="s">
        <v>74</v>
      </c>
      <c r="AZ380" t="s">
        <v>74</v>
      </c>
      <c r="BA380" t="s">
        <v>74</v>
      </c>
      <c r="BB380" t="s">
        <v>74</v>
      </c>
      <c r="BC380" t="s">
        <v>74</v>
      </c>
      <c r="BD380">
        <v>747</v>
      </c>
      <c r="BE380" t="s">
        <v>7654</v>
      </c>
      <c r="BF380" t="str">
        <f>HYPERLINK("http://dx.doi.org/10.1016/j.prosdent.2023.12.003","http://dx.doi.org/10.1016/j.prosdent.2023.12.003")</f>
        <v>http://dx.doi.org/10.1016/j.prosdent.2023.12.003</v>
      </c>
      <c r="BG380" t="s">
        <v>74</v>
      </c>
      <c r="BH380" t="s">
        <v>4304</v>
      </c>
      <c r="BI380">
        <v>15</v>
      </c>
      <c r="BJ380" t="s">
        <v>1831</v>
      </c>
      <c r="BK380" t="s">
        <v>182</v>
      </c>
      <c r="BL380" t="s">
        <v>1831</v>
      </c>
      <c r="BM380" t="s">
        <v>7655</v>
      </c>
      <c r="BN380">
        <v>38195255</v>
      </c>
      <c r="BO380" t="s">
        <v>74</v>
      </c>
      <c r="BP380" t="s">
        <v>74</v>
      </c>
      <c r="BQ380" t="s">
        <v>74</v>
      </c>
      <c r="BR380" t="s">
        <v>105</v>
      </c>
      <c r="BS380" t="s">
        <v>7656</v>
      </c>
      <c r="BT380" t="str">
        <f>HYPERLINK("https%3A%2F%2Fwww.webofscience.com%2Fwos%2Fwoscc%2Ffull-record%2FWOS:001330218400001","View Full Record in Web of Science")</f>
        <v>View Full Record in Web of Science</v>
      </c>
    </row>
    <row r="381" spans="1:72" x14ac:dyDescent="0.25">
      <c r="A381" t="s">
        <v>72</v>
      </c>
      <c r="B381" t="s">
        <v>7657</v>
      </c>
      <c r="C381" t="s">
        <v>74</v>
      </c>
      <c r="D381" t="s">
        <v>74</v>
      </c>
      <c r="E381" t="s">
        <v>74</v>
      </c>
      <c r="F381" t="s">
        <v>7658</v>
      </c>
      <c r="G381" t="s">
        <v>74</v>
      </c>
      <c r="H381" t="s">
        <v>74</v>
      </c>
      <c r="I381" t="s">
        <v>7659</v>
      </c>
      <c r="J381" t="s">
        <v>1759</v>
      </c>
      <c r="K381" t="s">
        <v>74</v>
      </c>
      <c r="L381" t="s">
        <v>74</v>
      </c>
      <c r="M381" t="s">
        <v>78</v>
      </c>
      <c r="N381" t="s">
        <v>79</v>
      </c>
      <c r="O381" t="s">
        <v>74</v>
      </c>
      <c r="P381" t="s">
        <v>74</v>
      </c>
      <c r="Q381" t="s">
        <v>74</v>
      </c>
      <c r="R381" t="s">
        <v>74</v>
      </c>
      <c r="S381" t="s">
        <v>74</v>
      </c>
      <c r="T381" t="s">
        <v>7660</v>
      </c>
      <c r="U381" t="s">
        <v>7661</v>
      </c>
      <c r="V381" t="s">
        <v>7662</v>
      </c>
      <c r="W381" t="s">
        <v>7663</v>
      </c>
      <c r="X381" t="s">
        <v>7664</v>
      </c>
      <c r="Y381" t="s">
        <v>7665</v>
      </c>
      <c r="Z381" t="s">
        <v>7666</v>
      </c>
      <c r="AA381" t="s">
        <v>7667</v>
      </c>
      <c r="AB381" t="s">
        <v>74</v>
      </c>
      <c r="AC381" t="s">
        <v>7668</v>
      </c>
      <c r="AD381" t="s">
        <v>7669</v>
      </c>
      <c r="AE381" t="s">
        <v>7670</v>
      </c>
      <c r="AF381" t="s">
        <v>74</v>
      </c>
      <c r="AG381">
        <v>66</v>
      </c>
      <c r="AH381">
        <v>2</v>
      </c>
      <c r="AI381">
        <v>2</v>
      </c>
      <c r="AJ381">
        <v>4</v>
      </c>
      <c r="AK381">
        <v>7</v>
      </c>
      <c r="AL381" t="s">
        <v>1769</v>
      </c>
      <c r="AM381" t="s">
        <v>1770</v>
      </c>
      <c r="AN381" t="s">
        <v>1771</v>
      </c>
      <c r="AO381" t="s">
        <v>1772</v>
      </c>
      <c r="AP381" t="s">
        <v>1773</v>
      </c>
      <c r="AQ381" t="s">
        <v>74</v>
      </c>
      <c r="AR381" t="s">
        <v>1774</v>
      </c>
      <c r="AS381" t="s">
        <v>1775</v>
      </c>
      <c r="AT381" t="s">
        <v>1471</v>
      </c>
      <c r="AU381">
        <v>2025</v>
      </c>
      <c r="AV381">
        <v>46</v>
      </c>
      <c r="AW381">
        <v>3</v>
      </c>
      <c r="AX381" t="s">
        <v>74</v>
      </c>
      <c r="AY381" t="s">
        <v>74</v>
      </c>
      <c r="AZ381" t="s">
        <v>74</v>
      </c>
      <c r="BA381" t="s">
        <v>74</v>
      </c>
      <c r="BB381">
        <v>1151</v>
      </c>
      <c r="BC381">
        <v>1167</v>
      </c>
      <c r="BD381" t="s">
        <v>74</v>
      </c>
      <c r="BE381" t="s">
        <v>7671</v>
      </c>
      <c r="BF381" t="str">
        <f>HYPERLINK("http://dx.doi.org/10.1007/s10072-024-07780-6","http://dx.doi.org/10.1007/s10072-024-07780-6")</f>
        <v>http://dx.doi.org/10.1007/s10072-024-07780-6</v>
      </c>
      <c r="BG381" t="s">
        <v>74</v>
      </c>
      <c r="BH381" t="s">
        <v>4304</v>
      </c>
      <c r="BI381">
        <v>17</v>
      </c>
      <c r="BJ381" t="s">
        <v>400</v>
      </c>
      <c r="BK381" t="s">
        <v>182</v>
      </c>
      <c r="BL381" t="s">
        <v>375</v>
      </c>
      <c r="BM381" t="s">
        <v>7672</v>
      </c>
      <c r="BN381">
        <v>39312061</v>
      </c>
      <c r="BO381" t="s">
        <v>74</v>
      </c>
      <c r="BP381" t="s">
        <v>74</v>
      </c>
      <c r="BQ381" t="s">
        <v>74</v>
      </c>
      <c r="BR381" t="s">
        <v>105</v>
      </c>
      <c r="BS381" t="s">
        <v>7673</v>
      </c>
      <c r="BT381" t="str">
        <f>HYPERLINK("https%3A%2F%2Fwww.webofscience.com%2Fwos%2Fwoscc%2Ffull-record%2FWOS:001318951100001","View Full Record in Web of Science")</f>
        <v>View Full Record in Web of Science</v>
      </c>
    </row>
    <row r="382" spans="1:72" x14ac:dyDescent="0.25">
      <c r="A382" t="s">
        <v>72</v>
      </c>
      <c r="B382" t="s">
        <v>7674</v>
      </c>
      <c r="C382" t="s">
        <v>74</v>
      </c>
      <c r="D382" t="s">
        <v>74</v>
      </c>
      <c r="E382" t="s">
        <v>74</v>
      </c>
      <c r="F382" t="s">
        <v>7675</v>
      </c>
      <c r="G382" t="s">
        <v>74</v>
      </c>
      <c r="H382" t="s">
        <v>74</v>
      </c>
      <c r="I382" t="s">
        <v>7676</v>
      </c>
      <c r="J382" t="s">
        <v>5312</v>
      </c>
      <c r="K382" t="s">
        <v>74</v>
      </c>
      <c r="L382" t="s">
        <v>74</v>
      </c>
      <c r="M382" t="s">
        <v>78</v>
      </c>
      <c r="N382" t="s">
        <v>79</v>
      </c>
      <c r="O382" t="s">
        <v>74</v>
      </c>
      <c r="P382" t="s">
        <v>74</v>
      </c>
      <c r="Q382" t="s">
        <v>74</v>
      </c>
      <c r="R382" t="s">
        <v>74</v>
      </c>
      <c r="S382" t="s">
        <v>74</v>
      </c>
      <c r="T382" t="s">
        <v>7677</v>
      </c>
      <c r="U382" t="s">
        <v>7678</v>
      </c>
      <c r="V382" t="s">
        <v>7679</v>
      </c>
      <c r="W382" t="s">
        <v>7680</v>
      </c>
      <c r="X382" t="s">
        <v>7681</v>
      </c>
      <c r="Y382" t="s">
        <v>7682</v>
      </c>
      <c r="Z382" t="s">
        <v>7683</v>
      </c>
      <c r="AA382" t="s">
        <v>7684</v>
      </c>
      <c r="AB382" t="s">
        <v>7685</v>
      </c>
      <c r="AC382" t="s">
        <v>74</v>
      </c>
      <c r="AD382" t="s">
        <v>74</v>
      </c>
      <c r="AE382" t="s">
        <v>74</v>
      </c>
      <c r="AF382" t="s">
        <v>74</v>
      </c>
      <c r="AG382">
        <v>37</v>
      </c>
      <c r="AH382">
        <v>1</v>
      </c>
      <c r="AI382">
        <v>1</v>
      </c>
      <c r="AJ382">
        <v>2</v>
      </c>
      <c r="AK382">
        <v>4</v>
      </c>
      <c r="AL382" t="s">
        <v>3675</v>
      </c>
      <c r="AM382" t="s">
        <v>173</v>
      </c>
      <c r="AN382" t="s">
        <v>3676</v>
      </c>
      <c r="AO382" t="s">
        <v>5323</v>
      </c>
      <c r="AP382" t="s">
        <v>5324</v>
      </c>
      <c r="AQ382" t="s">
        <v>74</v>
      </c>
      <c r="AR382" t="s">
        <v>5325</v>
      </c>
      <c r="AS382" t="s">
        <v>5326</v>
      </c>
      <c r="AT382" t="s">
        <v>151</v>
      </c>
      <c r="AU382">
        <v>2024</v>
      </c>
      <c r="AV382">
        <v>192</v>
      </c>
      <c r="AW382" t="s">
        <v>74</v>
      </c>
      <c r="AX382" t="s">
        <v>74</v>
      </c>
      <c r="AY382" t="s">
        <v>74</v>
      </c>
      <c r="AZ382" t="s">
        <v>74</v>
      </c>
      <c r="BA382" t="s">
        <v>74</v>
      </c>
      <c r="BB382">
        <v>15</v>
      </c>
      <c r="BC382">
        <v>20</v>
      </c>
      <c r="BD382" t="s">
        <v>74</v>
      </c>
      <c r="BE382" t="s">
        <v>7686</v>
      </c>
      <c r="BF382" t="str">
        <f>HYPERLINK("http://dx.doi.org/10.1016/j.wneu.2024.08.126","http://dx.doi.org/10.1016/j.wneu.2024.08.126")</f>
        <v>http://dx.doi.org/10.1016/j.wneu.2024.08.126</v>
      </c>
      <c r="BG382" t="s">
        <v>74</v>
      </c>
      <c r="BH382" t="s">
        <v>4304</v>
      </c>
      <c r="BI382">
        <v>6</v>
      </c>
      <c r="BJ382" t="s">
        <v>3256</v>
      </c>
      <c r="BK382" t="s">
        <v>182</v>
      </c>
      <c r="BL382" t="s">
        <v>1508</v>
      </c>
      <c r="BM382" t="s">
        <v>7687</v>
      </c>
      <c r="BN382">
        <v>39216720</v>
      </c>
      <c r="BO382" t="s">
        <v>74</v>
      </c>
      <c r="BP382" t="s">
        <v>74</v>
      </c>
      <c r="BQ382" t="s">
        <v>74</v>
      </c>
      <c r="BR382" t="s">
        <v>105</v>
      </c>
      <c r="BS382" t="s">
        <v>7688</v>
      </c>
      <c r="BT382" t="str">
        <f>HYPERLINK("https%3A%2F%2Fwww.webofscience.com%2Fwos%2Fwoscc%2Ffull-record%2FWOS:001321900500001","View Full Record in Web of Science")</f>
        <v>View Full Record in Web of Science</v>
      </c>
    </row>
    <row r="383" spans="1:72" x14ac:dyDescent="0.25">
      <c r="A383" t="s">
        <v>72</v>
      </c>
      <c r="B383" t="s">
        <v>7689</v>
      </c>
      <c r="C383" t="s">
        <v>74</v>
      </c>
      <c r="D383" t="s">
        <v>74</v>
      </c>
      <c r="E383" t="s">
        <v>74</v>
      </c>
      <c r="F383" t="s">
        <v>7690</v>
      </c>
      <c r="G383" t="s">
        <v>74</v>
      </c>
      <c r="H383" t="s">
        <v>74</v>
      </c>
      <c r="I383" t="s">
        <v>7691</v>
      </c>
      <c r="J383" t="s">
        <v>6536</v>
      </c>
      <c r="K383" t="s">
        <v>74</v>
      </c>
      <c r="L383" t="s">
        <v>74</v>
      </c>
      <c r="M383" t="s">
        <v>78</v>
      </c>
      <c r="N383" t="s">
        <v>79</v>
      </c>
      <c r="O383" t="s">
        <v>74</v>
      </c>
      <c r="P383" t="s">
        <v>74</v>
      </c>
      <c r="Q383" t="s">
        <v>74</v>
      </c>
      <c r="R383" t="s">
        <v>74</v>
      </c>
      <c r="S383" t="s">
        <v>74</v>
      </c>
      <c r="T383" t="s">
        <v>7692</v>
      </c>
      <c r="U383" t="s">
        <v>7693</v>
      </c>
      <c r="V383" t="s">
        <v>7694</v>
      </c>
      <c r="W383" t="s">
        <v>7695</v>
      </c>
      <c r="X383" t="s">
        <v>7696</v>
      </c>
      <c r="Y383" t="s">
        <v>7697</v>
      </c>
      <c r="Z383" t="s">
        <v>7698</v>
      </c>
      <c r="AA383" t="s">
        <v>7699</v>
      </c>
      <c r="AB383" t="s">
        <v>74</v>
      </c>
      <c r="AC383" t="s">
        <v>7700</v>
      </c>
      <c r="AD383" t="s">
        <v>7701</v>
      </c>
      <c r="AE383" t="s">
        <v>7702</v>
      </c>
      <c r="AF383" t="s">
        <v>74</v>
      </c>
      <c r="AG383">
        <v>207</v>
      </c>
      <c r="AH383">
        <v>1</v>
      </c>
      <c r="AI383">
        <v>1</v>
      </c>
      <c r="AJ383">
        <v>17</v>
      </c>
      <c r="AK383">
        <v>26</v>
      </c>
      <c r="AL383" t="s">
        <v>6443</v>
      </c>
      <c r="AM383" t="s">
        <v>4114</v>
      </c>
      <c r="AN383" t="s">
        <v>6444</v>
      </c>
      <c r="AO383" t="s">
        <v>6548</v>
      </c>
      <c r="AP383" t="s">
        <v>6549</v>
      </c>
      <c r="AQ383" t="s">
        <v>74</v>
      </c>
      <c r="AR383" t="s">
        <v>6536</v>
      </c>
      <c r="AS383" t="s">
        <v>6550</v>
      </c>
      <c r="AT383" t="s">
        <v>634</v>
      </c>
      <c r="AU383">
        <v>2024</v>
      </c>
      <c r="AV383">
        <v>42</v>
      </c>
      <c r="AW383">
        <v>8</v>
      </c>
      <c r="AX383" t="s">
        <v>74</v>
      </c>
      <c r="AY383" t="s">
        <v>74</v>
      </c>
      <c r="AZ383" t="s">
        <v>74</v>
      </c>
      <c r="BA383" t="s">
        <v>74</v>
      </c>
      <c r="BB383">
        <v>2848</v>
      </c>
      <c r="BC383">
        <v>2884</v>
      </c>
      <c r="BD383" t="s">
        <v>74</v>
      </c>
      <c r="BE383" t="s">
        <v>7703</v>
      </c>
      <c r="BF383" t="str">
        <f>HYPERLINK("http://dx.doi.org/10.1017/S0263574724001152","http://dx.doi.org/10.1017/S0263574724001152")</f>
        <v>http://dx.doi.org/10.1017/S0263574724001152</v>
      </c>
      <c r="BG383" t="s">
        <v>74</v>
      </c>
      <c r="BH383" t="s">
        <v>4304</v>
      </c>
      <c r="BI383">
        <v>37</v>
      </c>
      <c r="BJ383" t="s">
        <v>714</v>
      </c>
      <c r="BK383" t="s">
        <v>182</v>
      </c>
      <c r="BL383" t="s">
        <v>714</v>
      </c>
      <c r="BM383" t="s">
        <v>7704</v>
      </c>
      <c r="BN383" t="s">
        <v>74</v>
      </c>
      <c r="BO383" t="s">
        <v>74</v>
      </c>
      <c r="BP383" t="s">
        <v>74</v>
      </c>
      <c r="BQ383" t="s">
        <v>74</v>
      </c>
      <c r="BR383" t="s">
        <v>105</v>
      </c>
      <c r="BS383" t="s">
        <v>7705</v>
      </c>
      <c r="BT383" t="str">
        <f>HYPERLINK("https%3A%2F%2Fwww.webofscience.com%2Fwos%2Fwoscc%2Ffull-record%2FWOS:001316233200001","View Full Record in Web of Science")</f>
        <v>View Full Record in Web of Science</v>
      </c>
    </row>
    <row r="384" spans="1:72" x14ac:dyDescent="0.25">
      <c r="A384" t="s">
        <v>72</v>
      </c>
      <c r="B384" t="s">
        <v>7706</v>
      </c>
      <c r="C384" t="s">
        <v>74</v>
      </c>
      <c r="D384" t="s">
        <v>74</v>
      </c>
      <c r="E384" t="s">
        <v>74</v>
      </c>
      <c r="F384" t="s">
        <v>7707</v>
      </c>
      <c r="G384" t="s">
        <v>74</v>
      </c>
      <c r="H384" t="s">
        <v>74</v>
      </c>
      <c r="I384" t="s">
        <v>7708</v>
      </c>
      <c r="J384" t="s">
        <v>7709</v>
      </c>
      <c r="K384" t="s">
        <v>74</v>
      </c>
      <c r="L384" t="s">
        <v>74</v>
      </c>
      <c r="M384" t="s">
        <v>78</v>
      </c>
      <c r="N384" t="s">
        <v>449</v>
      </c>
      <c r="O384" t="s">
        <v>74</v>
      </c>
      <c r="P384" t="s">
        <v>74</v>
      </c>
      <c r="Q384" t="s">
        <v>74</v>
      </c>
      <c r="R384" t="s">
        <v>74</v>
      </c>
      <c r="S384" t="s">
        <v>74</v>
      </c>
      <c r="T384" t="s">
        <v>7710</v>
      </c>
      <c r="U384" t="s">
        <v>7711</v>
      </c>
      <c r="V384" t="s">
        <v>7712</v>
      </c>
      <c r="W384" t="s">
        <v>7713</v>
      </c>
      <c r="X384" t="s">
        <v>7523</v>
      </c>
      <c r="Y384" t="s">
        <v>7714</v>
      </c>
      <c r="Z384" t="s">
        <v>7525</v>
      </c>
      <c r="AA384" t="s">
        <v>7715</v>
      </c>
      <c r="AB384" t="s">
        <v>7716</v>
      </c>
      <c r="AC384" t="s">
        <v>74</v>
      </c>
      <c r="AD384" t="s">
        <v>74</v>
      </c>
      <c r="AE384" t="s">
        <v>7717</v>
      </c>
      <c r="AF384" t="s">
        <v>74</v>
      </c>
      <c r="AG384">
        <v>219</v>
      </c>
      <c r="AH384">
        <v>1</v>
      </c>
      <c r="AI384">
        <v>1</v>
      </c>
      <c r="AJ384">
        <v>13</v>
      </c>
      <c r="AK384">
        <v>24</v>
      </c>
      <c r="AL384" t="s">
        <v>2529</v>
      </c>
      <c r="AM384" t="s">
        <v>2530</v>
      </c>
      <c r="AN384" t="s">
        <v>2531</v>
      </c>
      <c r="AO384" t="s">
        <v>7718</v>
      </c>
      <c r="AP384" t="s">
        <v>7719</v>
      </c>
      <c r="AQ384" t="s">
        <v>74</v>
      </c>
      <c r="AR384" t="s">
        <v>7720</v>
      </c>
      <c r="AS384" t="s">
        <v>7721</v>
      </c>
      <c r="AT384" t="s">
        <v>7722</v>
      </c>
      <c r="AU384">
        <v>2024</v>
      </c>
      <c r="AV384" t="s">
        <v>74</v>
      </c>
      <c r="AW384" t="s">
        <v>74</v>
      </c>
      <c r="AX384" t="s">
        <v>74</v>
      </c>
      <c r="AY384" t="s">
        <v>74</v>
      </c>
      <c r="AZ384" t="s">
        <v>74</v>
      </c>
      <c r="BA384" t="s">
        <v>74</v>
      </c>
      <c r="BB384" t="s">
        <v>74</v>
      </c>
      <c r="BC384" t="s">
        <v>74</v>
      </c>
      <c r="BD384" t="s">
        <v>74</v>
      </c>
      <c r="BE384" t="s">
        <v>7723</v>
      </c>
      <c r="BF384" t="str">
        <f>HYPERLINK("http://dx.doi.org/10.1007/s12008-024-02076-7","http://dx.doi.org/10.1007/s12008-024-02076-7")</f>
        <v>http://dx.doi.org/10.1007/s12008-024-02076-7</v>
      </c>
      <c r="BG384" t="s">
        <v>74</v>
      </c>
      <c r="BH384" t="s">
        <v>4304</v>
      </c>
      <c r="BI384">
        <v>24</v>
      </c>
      <c r="BJ384" t="s">
        <v>7724</v>
      </c>
      <c r="BK384" t="s">
        <v>155</v>
      </c>
      <c r="BL384" t="s">
        <v>183</v>
      </c>
      <c r="BM384" t="s">
        <v>7725</v>
      </c>
      <c r="BN384" t="s">
        <v>74</v>
      </c>
      <c r="BO384" t="s">
        <v>74</v>
      </c>
      <c r="BP384" t="s">
        <v>74</v>
      </c>
      <c r="BQ384" t="s">
        <v>74</v>
      </c>
      <c r="BR384" t="s">
        <v>105</v>
      </c>
      <c r="BS384" t="s">
        <v>7726</v>
      </c>
      <c r="BT384" t="str">
        <f>HYPERLINK("https%3A%2F%2Fwww.webofscience.com%2Fwos%2Fwoscc%2Ffull-record%2FWOS:001315874200001","View Full Record in Web of Science")</f>
        <v>View Full Record in Web of Science</v>
      </c>
    </row>
    <row r="385" spans="1:72" x14ac:dyDescent="0.25">
      <c r="A385" t="s">
        <v>72</v>
      </c>
      <c r="B385" t="s">
        <v>7727</v>
      </c>
      <c r="C385" t="s">
        <v>74</v>
      </c>
      <c r="D385" t="s">
        <v>74</v>
      </c>
      <c r="E385" t="s">
        <v>74</v>
      </c>
      <c r="F385" t="s">
        <v>7728</v>
      </c>
      <c r="G385" t="s">
        <v>74</v>
      </c>
      <c r="H385" t="s">
        <v>74</v>
      </c>
      <c r="I385" t="s">
        <v>7729</v>
      </c>
      <c r="J385" t="s">
        <v>594</v>
      </c>
      <c r="K385" t="s">
        <v>74</v>
      </c>
      <c r="L385" t="s">
        <v>74</v>
      </c>
      <c r="M385" t="s">
        <v>78</v>
      </c>
      <c r="N385" t="s">
        <v>79</v>
      </c>
      <c r="O385" t="s">
        <v>74</v>
      </c>
      <c r="P385" t="s">
        <v>74</v>
      </c>
      <c r="Q385" t="s">
        <v>74</v>
      </c>
      <c r="R385" t="s">
        <v>74</v>
      </c>
      <c r="S385" t="s">
        <v>74</v>
      </c>
      <c r="T385" t="s">
        <v>7730</v>
      </c>
      <c r="U385" t="s">
        <v>7731</v>
      </c>
      <c r="V385" t="s">
        <v>7732</v>
      </c>
      <c r="W385" t="s">
        <v>7733</v>
      </c>
      <c r="X385" t="s">
        <v>7734</v>
      </c>
      <c r="Y385" t="s">
        <v>7735</v>
      </c>
      <c r="Z385" t="s">
        <v>7736</v>
      </c>
      <c r="AA385" t="s">
        <v>7737</v>
      </c>
      <c r="AB385" t="s">
        <v>7738</v>
      </c>
      <c r="AC385" t="s">
        <v>7599</v>
      </c>
      <c r="AD385" t="s">
        <v>4047</v>
      </c>
      <c r="AE385" t="s">
        <v>7739</v>
      </c>
      <c r="AF385" t="s">
        <v>74</v>
      </c>
      <c r="AG385">
        <v>70</v>
      </c>
      <c r="AH385">
        <v>1</v>
      </c>
      <c r="AI385">
        <v>1</v>
      </c>
      <c r="AJ385">
        <v>6</v>
      </c>
      <c r="AK385">
        <v>9</v>
      </c>
      <c r="AL385" t="s">
        <v>274</v>
      </c>
      <c r="AM385" t="s">
        <v>275</v>
      </c>
      <c r="AN385" t="s">
        <v>276</v>
      </c>
      <c r="AO385" t="s">
        <v>74</v>
      </c>
      <c r="AP385" t="s">
        <v>606</v>
      </c>
      <c r="AQ385" t="s">
        <v>74</v>
      </c>
      <c r="AR385" t="s">
        <v>607</v>
      </c>
      <c r="AS385" t="s">
        <v>608</v>
      </c>
      <c r="AT385" t="s">
        <v>7740</v>
      </c>
      <c r="AU385">
        <v>2024</v>
      </c>
      <c r="AV385">
        <v>21</v>
      </c>
      <c r="AW385">
        <v>1</v>
      </c>
      <c r="AX385" t="s">
        <v>74</v>
      </c>
      <c r="AY385" t="s">
        <v>74</v>
      </c>
      <c r="AZ385" t="s">
        <v>74</v>
      </c>
      <c r="BA385" t="s">
        <v>74</v>
      </c>
      <c r="BB385" t="s">
        <v>74</v>
      </c>
      <c r="BC385" t="s">
        <v>74</v>
      </c>
      <c r="BD385">
        <v>165</v>
      </c>
      <c r="BE385" t="s">
        <v>7741</v>
      </c>
      <c r="BF385" t="str">
        <f>HYPERLINK("http://dx.doi.org/10.1186/s12984-024-01463-1","http://dx.doi.org/10.1186/s12984-024-01463-1")</f>
        <v>http://dx.doi.org/10.1186/s12984-024-01463-1</v>
      </c>
      <c r="BG385" t="s">
        <v>74</v>
      </c>
      <c r="BH385" t="s">
        <v>74</v>
      </c>
      <c r="BI385">
        <v>15</v>
      </c>
      <c r="BJ385" t="s">
        <v>611</v>
      </c>
      <c r="BK385" t="s">
        <v>182</v>
      </c>
      <c r="BL385" t="s">
        <v>612</v>
      </c>
      <c r="BM385" t="s">
        <v>7742</v>
      </c>
      <c r="BN385">
        <v>39300491</v>
      </c>
      <c r="BO385" t="s">
        <v>185</v>
      </c>
      <c r="BP385" t="s">
        <v>74</v>
      </c>
      <c r="BQ385" t="s">
        <v>74</v>
      </c>
      <c r="BR385" t="s">
        <v>105</v>
      </c>
      <c r="BS385" t="s">
        <v>7743</v>
      </c>
      <c r="BT385" t="str">
        <f>HYPERLINK("https%3A%2F%2Fwww.webofscience.com%2Fwos%2Fwoscc%2Ffull-record%2FWOS:001317020800003","View Full Record in Web of Science")</f>
        <v>View Full Record in Web of Science</v>
      </c>
    </row>
    <row r="386" spans="1:72" x14ac:dyDescent="0.25">
      <c r="A386" t="s">
        <v>72</v>
      </c>
      <c r="B386" t="s">
        <v>7744</v>
      </c>
      <c r="C386" t="s">
        <v>74</v>
      </c>
      <c r="D386" t="s">
        <v>74</v>
      </c>
      <c r="E386" t="s">
        <v>74</v>
      </c>
      <c r="F386" t="s">
        <v>7745</v>
      </c>
      <c r="G386" t="s">
        <v>74</v>
      </c>
      <c r="H386" t="s">
        <v>74</v>
      </c>
      <c r="I386" t="s">
        <v>7746</v>
      </c>
      <c r="J386" t="s">
        <v>594</v>
      </c>
      <c r="K386" t="s">
        <v>74</v>
      </c>
      <c r="L386" t="s">
        <v>74</v>
      </c>
      <c r="M386" t="s">
        <v>78</v>
      </c>
      <c r="N386" t="s">
        <v>79</v>
      </c>
      <c r="O386" t="s">
        <v>74</v>
      </c>
      <c r="P386" t="s">
        <v>74</v>
      </c>
      <c r="Q386" t="s">
        <v>74</v>
      </c>
      <c r="R386" t="s">
        <v>74</v>
      </c>
      <c r="S386" t="s">
        <v>74</v>
      </c>
      <c r="T386" t="s">
        <v>7747</v>
      </c>
      <c r="U386" t="s">
        <v>7748</v>
      </c>
      <c r="V386" t="s">
        <v>7749</v>
      </c>
      <c r="W386" t="s">
        <v>7750</v>
      </c>
      <c r="X386" t="s">
        <v>7751</v>
      </c>
      <c r="Y386" t="s">
        <v>7752</v>
      </c>
      <c r="Z386" t="s">
        <v>74</v>
      </c>
      <c r="AA386" t="s">
        <v>7753</v>
      </c>
      <c r="AB386" t="s">
        <v>74</v>
      </c>
      <c r="AC386" t="s">
        <v>7754</v>
      </c>
      <c r="AD386" t="s">
        <v>7755</v>
      </c>
      <c r="AE386" t="s">
        <v>7756</v>
      </c>
      <c r="AF386" t="s">
        <v>74</v>
      </c>
      <c r="AG386">
        <v>52</v>
      </c>
      <c r="AH386">
        <v>1</v>
      </c>
      <c r="AI386">
        <v>1</v>
      </c>
      <c r="AJ386">
        <v>6</v>
      </c>
      <c r="AK386">
        <v>10</v>
      </c>
      <c r="AL386" t="s">
        <v>274</v>
      </c>
      <c r="AM386" t="s">
        <v>275</v>
      </c>
      <c r="AN386" t="s">
        <v>276</v>
      </c>
      <c r="AO386" t="s">
        <v>74</v>
      </c>
      <c r="AP386" t="s">
        <v>606</v>
      </c>
      <c r="AQ386" t="s">
        <v>74</v>
      </c>
      <c r="AR386" t="s">
        <v>607</v>
      </c>
      <c r="AS386" t="s">
        <v>608</v>
      </c>
      <c r="AT386" t="s">
        <v>7757</v>
      </c>
      <c r="AU386">
        <v>2024</v>
      </c>
      <c r="AV386">
        <v>21</v>
      </c>
      <c r="AW386">
        <v>1</v>
      </c>
      <c r="AX386" t="s">
        <v>74</v>
      </c>
      <c r="AY386" t="s">
        <v>74</v>
      </c>
      <c r="AZ386" t="s">
        <v>74</v>
      </c>
      <c r="BA386" t="s">
        <v>74</v>
      </c>
      <c r="BB386" t="s">
        <v>74</v>
      </c>
      <c r="BC386" t="s">
        <v>74</v>
      </c>
      <c r="BD386">
        <v>159</v>
      </c>
      <c r="BE386" t="s">
        <v>7758</v>
      </c>
      <c r="BF386" t="str">
        <f>HYPERLINK("http://dx.doi.org/10.1186/s12984-024-01449-z","http://dx.doi.org/10.1186/s12984-024-01449-z")</f>
        <v>http://dx.doi.org/10.1186/s12984-024-01449-z</v>
      </c>
      <c r="BG386" t="s">
        <v>74</v>
      </c>
      <c r="BH386" t="s">
        <v>74</v>
      </c>
      <c r="BI386">
        <v>13</v>
      </c>
      <c r="BJ386" t="s">
        <v>611</v>
      </c>
      <c r="BK386" t="s">
        <v>182</v>
      </c>
      <c r="BL386" t="s">
        <v>612</v>
      </c>
      <c r="BM386" t="s">
        <v>7759</v>
      </c>
      <c r="BN386">
        <v>39272129</v>
      </c>
      <c r="BO386" t="s">
        <v>185</v>
      </c>
      <c r="BP386" t="s">
        <v>74</v>
      </c>
      <c r="BQ386" t="s">
        <v>74</v>
      </c>
      <c r="BR386" t="s">
        <v>105</v>
      </c>
      <c r="BS386" t="s">
        <v>7760</v>
      </c>
      <c r="BT386" t="str">
        <f>HYPERLINK("https%3A%2F%2Fwww.webofscience.com%2Fwos%2Fwoscc%2Ffull-record%2FWOS:001311980100001","View Full Record in Web of Science")</f>
        <v>View Full Record in Web of Science</v>
      </c>
    </row>
    <row r="387" spans="1:72" x14ac:dyDescent="0.25">
      <c r="A387" t="s">
        <v>72</v>
      </c>
      <c r="B387" t="s">
        <v>7761</v>
      </c>
      <c r="C387" t="s">
        <v>74</v>
      </c>
      <c r="D387" t="s">
        <v>74</v>
      </c>
      <c r="E387" t="s">
        <v>74</v>
      </c>
      <c r="F387" t="s">
        <v>7762</v>
      </c>
      <c r="G387" t="s">
        <v>74</v>
      </c>
      <c r="H387" t="s">
        <v>74</v>
      </c>
      <c r="I387" t="s">
        <v>7763</v>
      </c>
      <c r="J387" t="s">
        <v>190</v>
      </c>
      <c r="K387" t="s">
        <v>74</v>
      </c>
      <c r="L387" t="s">
        <v>74</v>
      </c>
      <c r="M387" t="s">
        <v>78</v>
      </c>
      <c r="N387" t="s">
        <v>79</v>
      </c>
      <c r="O387" t="s">
        <v>74</v>
      </c>
      <c r="P387" t="s">
        <v>74</v>
      </c>
      <c r="Q387" t="s">
        <v>74</v>
      </c>
      <c r="R387" t="s">
        <v>74</v>
      </c>
      <c r="S387" t="s">
        <v>74</v>
      </c>
      <c r="T387" t="s">
        <v>7764</v>
      </c>
      <c r="U387" t="s">
        <v>7765</v>
      </c>
      <c r="V387" t="s">
        <v>7766</v>
      </c>
      <c r="W387" t="s">
        <v>7767</v>
      </c>
      <c r="X387" t="s">
        <v>7768</v>
      </c>
      <c r="Y387" t="s">
        <v>7769</v>
      </c>
      <c r="Z387" t="s">
        <v>7770</v>
      </c>
      <c r="AA387" t="s">
        <v>7771</v>
      </c>
      <c r="AB387" t="s">
        <v>7772</v>
      </c>
      <c r="AC387" t="s">
        <v>3310</v>
      </c>
      <c r="AD387" t="s">
        <v>2755</v>
      </c>
      <c r="AE387" t="s">
        <v>7773</v>
      </c>
      <c r="AF387" t="s">
        <v>74</v>
      </c>
      <c r="AG387">
        <v>129</v>
      </c>
      <c r="AH387">
        <v>3</v>
      </c>
      <c r="AI387">
        <v>3</v>
      </c>
      <c r="AJ387">
        <v>7</v>
      </c>
      <c r="AK387">
        <v>12</v>
      </c>
      <c r="AL387" t="s">
        <v>202</v>
      </c>
      <c r="AM387" t="s">
        <v>203</v>
      </c>
      <c r="AN387" t="s">
        <v>204</v>
      </c>
      <c r="AO387" t="s">
        <v>205</v>
      </c>
      <c r="AP387" t="s">
        <v>206</v>
      </c>
      <c r="AQ387" t="s">
        <v>74</v>
      </c>
      <c r="AR387" t="s">
        <v>207</v>
      </c>
      <c r="AS387" t="s">
        <v>208</v>
      </c>
      <c r="AT387" t="s">
        <v>1888</v>
      </c>
      <c r="AU387">
        <v>2024</v>
      </c>
      <c r="AV387">
        <v>60</v>
      </c>
      <c r="AW387">
        <v>5</v>
      </c>
      <c r="AX387" t="s">
        <v>74</v>
      </c>
      <c r="AY387" t="s">
        <v>74</v>
      </c>
      <c r="AZ387" t="s">
        <v>74</v>
      </c>
      <c r="BA387" t="s">
        <v>74</v>
      </c>
      <c r="BB387">
        <v>767</v>
      </c>
      <c r="BC387">
        <v>792</v>
      </c>
      <c r="BD387" t="s">
        <v>74</v>
      </c>
      <c r="BE387" t="s">
        <v>7774</v>
      </c>
      <c r="BF387" t="str">
        <f>HYPERLINK("http://dx.doi.org/10.23736/S1973-9087.24.08438-7","http://dx.doi.org/10.23736/S1973-9087.24.08438-7")</f>
        <v>http://dx.doi.org/10.23736/S1973-9087.24.08438-7</v>
      </c>
      <c r="BG387" t="s">
        <v>74</v>
      </c>
      <c r="BH387" t="s">
        <v>4304</v>
      </c>
      <c r="BI387">
        <v>26</v>
      </c>
      <c r="BJ387" t="s">
        <v>101</v>
      </c>
      <c r="BK387" t="s">
        <v>182</v>
      </c>
      <c r="BL387" t="s">
        <v>101</v>
      </c>
      <c r="BM387" t="s">
        <v>7775</v>
      </c>
      <c r="BN387">
        <v>39248705</v>
      </c>
      <c r="BO387" t="s">
        <v>131</v>
      </c>
      <c r="BP387" t="s">
        <v>74</v>
      </c>
      <c r="BQ387" t="s">
        <v>74</v>
      </c>
      <c r="BR387" t="s">
        <v>105</v>
      </c>
      <c r="BS387" t="s">
        <v>7776</v>
      </c>
      <c r="BT387" t="str">
        <f>HYPERLINK("https%3A%2F%2Fwww.webofscience.com%2Fwos%2Fwoscc%2Ffull-record%2FWOS:001310447500001","View Full Record in Web of Science")</f>
        <v>View Full Record in Web of Science</v>
      </c>
    </row>
    <row r="388" spans="1:72" x14ac:dyDescent="0.25">
      <c r="A388" t="s">
        <v>72</v>
      </c>
      <c r="B388" t="s">
        <v>7777</v>
      </c>
      <c r="C388" t="s">
        <v>74</v>
      </c>
      <c r="D388" t="s">
        <v>74</v>
      </c>
      <c r="E388" t="s">
        <v>74</v>
      </c>
      <c r="F388" t="s">
        <v>7778</v>
      </c>
      <c r="G388" t="s">
        <v>74</v>
      </c>
      <c r="H388" t="s">
        <v>74</v>
      </c>
      <c r="I388" t="s">
        <v>7779</v>
      </c>
      <c r="J388" t="s">
        <v>7709</v>
      </c>
      <c r="K388" t="s">
        <v>74</v>
      </c>
      <c r="L388" t="s">
        <v>74</v>
      </c>
      <c r="M388" t="s">
        <v>78</v>
      </c>
      <c r="N388" t="s">
        <v>449</v>
      </c>
      <c r="O388" t="s">
        <v>74</v>
      </c>
      <c r="P388" t="s">
        <v>74</v>
      </c>
      <c r="Q388" t="s">
        <v>74</v>
      </c>
      <c r="R388" t="s">
        <v>74</v>
      </c>
      <c r="S388" t="s">
        <v>74</v>
      </c>
      <c r="T388" t="s">
        <v>7780</v>
      </c>
      <c r="U388" t="s">
        <v>7781</v>
      </c>
      <c r="V388" t="s">
        <v>7782</v>
      </c>
      <c r="W388" t="s">
        <v>7783</v>
      </c>
      <c r="X388" t="s">
        <v>7784</v>
      </c>
      <c r="Y388" t="s">
        <v>7785</v>
      </c>
      <c r="Z388" t="s">
        <v>7786</v>
      </c>
      <c r="AA388" t="s">
        <v>7787</v>
      </c>
      <c r="AB388" t="s">
        <v>7788</v>
      </c>
      <c r="AC388" t="s">
        <v>7789</v>
      </c>
      <c r="AD388" t="s">
        <v>7789</v>
      </c>
      <c r="AE388" t="s">
        <v>7790</v>
      </c>
      <c r="AF388" t="s">
        <v>74</v>
      </c>
      <c r="AG388">
        <v>109</v>
      </c>
      <c r="AH388">
        <v>4</v>
      </c>
      <c r="AI388">
        <v>4</v>
      </c>
      <c r="AJ388">
        <v>12</v>
      </c>
      <c r="AK388">
        <v>28</v>
      </c>
      <c r="AL388" t="s">
        <v>2529</v>
      </c>
      <c r="AM388" t="s">
        <v>2530</v>
      </c>
      <c r="AN388" t="s">
        <v>2531</v>
      </c>
      <c r="AO388" t="s">
        <v>7718</v>
      </c>
      <c r="AP388" t="s">
        <v>7719</v>
      </c>
      <c r="AQ388" t="s">
        <v>74</v>
      </c>
      <c r="AR388" t="s">
        <v>7720</v>
      </c>
      <c r="AS388" t="s">
        <v>7721</v>
      </c>
      <c r="AT388" t="s">
        <v>7791</v>
      </c>
      <c r="AU388">
        <v>2024</v>
      </c>
      <c r="AV388" t="s">
        <v>74</v>
      </c>
      <c r="AW388" t="s">
        <v>74</v>
      </c>
      <c r="AX388" t="s">
        <v>74</v>
      </c>
      <c r="AY388" t="s">
        <v>74</v>
      </c>
      <c r="AZ388" t="s">
        <v>74</v>
      </c>
      <c r="BA388" t="s">
        <v>74</v>
      </c>
      <c r="BB388" t="s">
        <v>74</v>
      </c>
      <c r="BC388" t="s">
        <v>74</v>
      </c>
      <c r="BD388" t="s">
        <v>74</v>
      </c>
      <c r="BE388" t="s">
        <v>7792</v>
      </c>
      <c r="BF388" t="str">
        <f>HYPERLINK("http://dx.doi.org/10.1007/s12008-024-02090-9","http://dx.doi.org/10.1007/s12008-024-02090-9")</f>
        <v>http://dx.doi.org/10.1007/s12008-024-02090-9</v>
      </c>
      <c r="BG388" t="s">
        <v>74</v>
      </c>
      <c r="BH388" t="s">
        <v>4304</v>
      </c>
      <c r="BI388">
        <v>23</v>
      </c>
      <c r="BJ388" t="s">
        <v>7724</v>
      </c>
      <c r="BK388" t="s">
        <v>155</v>
      </c>
      <c r="BL388" t="s">
        <v>183</v>
      </c>
      <c r="BM388" t="s">
        <v>7793</v>
      </c>
      <c r="BN388" t="s">
        <v>74</v>
      </c>
      <c r="BO388" t="s">
        <v>74</v>
      </c>
      <c r="BP388" t="s">
        <v>74</v>
      </c>
      <c r="BQ388" t="s">
        <v>74</v>
      </c>
      <c r="BR388" t="s">
        <v>105</v>
      </c>
      <c r="BS388" t="s">
        <v>7794</v>
      </c>
      <c r="BT388" t="str">
        <f>HYPERLINK("https%3A%2F%2Fwww.webofscience.com%2Fwos%2Fwoscc%2Ffull-record%2FWOS:001307657500002","View Full Record in Web of Science")</f>
        <v>View Full Record in Web of Science</v>
      </c>
    </row>
    <row r="389" spans="1:72" x14ac:dyDescent="0.25">
      <c r="A389" t="s">
        <v>72</v>
      </c>
      <c r="B389" t="s">
        <v>7795</v>
      </c>
      <c r="C389" t="s">
        <v>74</v>
      </c>
      <c r="D389" t="s">
        <v>74</v>
      </c>
      <c r="E389" t="s">
        <v>74</v>
      </c>
      <c r="F389" t="s">
        <v>7796</v>
      </c>
      <c r="G389" t="s">
        <v>74</v>
      </c>
      <c r="H389" t="s">
        <v>74</v>
      </c>
      <c r="I389" t="s">
        <v>7797</v>
      </c>
      <c r="J389" t="s">
        <v>214</v>
      </c>
      <c r="K389" t="s">
        <v>74</v>
      </c>
      <c r="L389" t="s">
        <v>74</v>
      </c>
      <c r="M389" t="s">
        <v>78</v>
      </c>
      <c r="N389" t="s">
        <v>79</v>
      </c>
      <c r="O389" t="s">
        <v>74</v>
      </c>
      <c r="P389" t="s">
        <v>74</v>
      </c>
      <c r="Q389" t="s">
        <v>74</v>
      </c>
      <c r="R389" t="s">
        <v>74</v>
      </c>
      <c r="S389" t="s">
        <v>74</v>
      </c>
      <c r="T389" t="s">
        <v>7798</v>
      </c>
      <c r="U389" t="s">
        <v>7799</v>
      </c>
      <c r="V389" t="s">
        <v>7800</v>
      </c>
      <c r="W389" t="s">
        <v>7801</v>
      </c>
      <c r="X389" t="s">
        <v>7802</v>
      </c>
      <c r="Y389" t="s">
        <v>7803</v>
      </c>
      <c r="Z389" t="s">
        <v>74</v>
      </c>
      <c r="AA389" t="s">
        <v>7804</v>
      </c>
      <c r="AB389" t="s">
        <v>7805</v>
      </c>
      <c r="AC389" t="s">
        <v>7806</v>
      </c>
      <c r="AD389" t="s">
        <v>7807</v>
      </c>
      <c r="AE389" t="s">
        <v>7808</v>
      </c>
      <c r="AF389" t="s">
        <v>74</v>
      </c>
      <c r="AG389">
        <v>81</v>
      </c>
      <c r="AH389">
        <v>3</v>
      </c>
      <c r="AI389">
        <v>3</v>
      </c>
      <c r="AJ389">
        <v>3</v>
      </c>
      <c r="AK389">
        <v>12</v>
      </c>
      <c r="AL389" t="s">
        <v>226</v>
      </c>
      <c r="AM389" t="s">
        <v>227</v>
      </c>
      <c r="AN389" t="s">
        <v>228</v>
      </c>
      <c r="AO389" t="s">
        <v>229</v>
      </c>
      <c r="AP389" t="s">
        <v>230</v>
      </c>
      <c r="AQ389" t="s">
        <v>74</v>
      </c>
      <c r="AR389" t="s">
        <v>231</v>
      </c>
      <c r="AS389" t="s">
        <v>232</v>
      </c>
      <c r="AT389" t="s">
        <v>420</v>
      </c>
      <c r="AU389">
        <v>2024</v>
      </c>
      <c r="AV389">
        <v>105</v>
      </c>
      <c r="AW389">
        <v>9</v>
      </c>
      <c r="AX389" t="s">
        <v>74</v>
      </c>
      <c r="AY389" t="s">
        <v>74</v>
      </c>
      <c r="AZ389" t="s">
        <v>74</v>
      </c>
      <c r="BA389" t="s">
        <v>74</v>
      </c>
      <c r="BB389">
        <v>1770</v>
      </c>
      <c r="BC389">
        <v>1783</v>
      </c>
      <c r="BD389" t="s">
        <v>74</v>
      </c>
      <c r="BE389" t="s">
        <v>7809</v>
      </c>
      <c r="BF389" t="str">
        <f>HYPERLINK("http://dx.doi.org/10.1016/j.apmr.2023.12.013","http://dx.doi.org/10.1016/j.apmr.2023.12.013")</f>
        <v>http://dx.doi.org/10.1016/j.apmr.2023.12.013</v>
      </c>
      <c r="BG389" t="s">
        <v>74</v>
      </c>
      <c r="BH389" t="s">
        <v>4304</v>
      </c>
      <c r="BI389">
        <v>14</v>
      </c>
      <c r="BJ389" t="s">
        <v>236</v>
      </c>
      <c r="BK389" t="s">
        <v>182</v>
      </c>
      <c r="BL389" t="s">
        <v>236</v>
      </c>
      <c r="BM389" t="s">
        <v>7810</v>
      </c>
      <c r="BN389">
        <v>38211761</v>
      </c>
      <c r="BO389" t="s">
        <v>74</v>
      </c>
      <c r="BP389" t="s">
        <v>74</v>
      </c>
      <c r="BQ389" t="s">
        <v>74</v>
      </c>
      <c r="BR389" t="s">
        <v>105</v>
      </c>
      <c r="BS389" t="s">
        <v>7811</v>
      </c>
      <c r="BT389" t="str">
        <f>HYPERLINK("https%3A%2F%2Fwww.webofscience.com%2Fwos%2Fwoscc%2Ffull-record%2FWOS:001316468200001","View Full Record in Web of Science")</f>
        <v>View Full Record in Web of Science</v>
      </c>
    </row>
    <row r="390" spans="1:72" x14ac:dyDescent="0.25">
      <c r="A390" t="s">
        <v>72</v>
      </c>
      <c r="B390" t="s">
        <v>7812</v>
      </c>
      <c r="C390" t="s">
        <v>74</v>
      </c>
      <c r="D390" t="s">
        <v>74</v>
      </c>
      <c r="E390" t="s">
        <v>74</v>
      </c>
      <c r="F390" t="s">
        <v>7813</v>
      </c>
      <c r="G390" t="s">
        <v>74</v>
      </c>
      <c r="H390" t="s">
        <v>74</v>
      </c>
      <c r="I390" t="s">
        <v>7814</v>
      </c>
      <c r="J390" t="s">
        <v>7815</v>
      </c>
      <c r="K390" t="s">
        <v>74</v>
      </c>
      <c r="L390" t="s">
        <v>74</v>
      </c>
      <c r="M390" t="s">
        <v>78</v>
      </c>
      <c r="N390" t="s">
        <v>79</v>
      </c>
      <c r="O390" t="s">
        <v>74</v>
      </c>
      <c r="P390" t="s">
        <v>74</v>
      </c>
      <c r="Q390" t="s">
        <v>74</v>
      </c>
      <c r="R390" t="s">
        <v>74</v>
      </c>
      <c r="S390" t="s">
        <v>74</v>
      </c>
      <c r="T390" t="s">
        <v>7816</v>
      </c>
      <c r="U390" t="s">
        <v>7817</v>
      </c>
      <c r="V390" t="s">
        <v>7818</v>
      </c>
      <c r="W390" t="s">
        <v>7819</v>
      </c>
      <c r="X390" t="s">
        <v>7820</v>
      </c>
      <c r="Y390" t="s">
        <v>7821</v>
      </c>
      <c r="Z390" t="s">
        <v>7822</v>
      </c>
      <c r="AA390" t="s">
        <v>7823</v>
      </c>
      <c r="AB390" t="s">
        <v>7824</v>
      </c>
      <c r="AC390" t="s">
        <v>7825</v>
      </c>
      <c r="AD390" t="s">
        <v>7826</v>
      </c>
      <c r="AE390" t="s">
        <v>7827</v>
      </c>
      <c r="AF390" t="s">
        <v>74</v>
      </c>
      <c r="AG390">
        <v>49</v>
      </c>
      <c r="AH390">
        <v>2</v>
      </c>
      <c r="AI390">
        <v>2</v>
      </c>
      <c r="AJ390">
        <v>15</v>
      </c>
      <c r="AK390">
        <v>31</v>
      </c>
      <c r="AL390" t="s">
        <v>7828</v>
      </c>
      <c r="AM390" t="s">
        <v>2417</v>
      </c>
      <c r="AN390" t="s">
        <v>7829</v>
      </c>
      <c r="AO390" t="s">
        <v>7830</v>
      </c>
      <c r="AP390" t="s">
        <v>7831</v>
      </c>
      <c r="AQ390" t="s">
        <v>74</v>
      </c>
      <c r="AR390" t="s">
        <v>7815</v>
      </c>
      <c r="AS390" t="s">
        <v>7832</v>
      </c>
      <c r="AT390" t="s">
        <v>420</v>
      </c>
      <c r="AU390">
        <v>2024</v>
      </c>
      <c r="AV390">
        <v>21</v>
      </c>
      <c r="AW390">
        <v>3</v>
      </c>
      <c r="AX390" t="s">
        <v>74</v>
      </c>
      <c r="AY390" t="s">
        <v>74</v>
      </c>
      <c r="AZ390" t="s">
        <v>74</v>
      </c>
      <c r="BA390" t="s">
        <v>74</v>
      </c>
      <c r="BB390">
        <v>868</v>
      </c>
      <c r="BC390">
        <v>877</v>
      </c>
      <c r="BD390" t="s">
        <v>74</v>
      </c>
      <c r="BE390" t="s">
        <v>7833</v>
      </c>
      <c r="BF390" t="str">
        <f>HYPERLINK("http://dx.doi.org/10.14245/ns.2448432.216","http://dx.doi.org/10.14245/ns.2448432.216")</f>
        <v>http://dx.doi.org/10.14245/ns.2448432.216</v>
      </c>
      <c r="BG390" t="s">
        <v>74</v>
      </c>
      <c r="BH390" t="s">
        <v>74</v>
      </c>
      <c r="BI390">
        <v>10</v>
      </c>
      <c r="BJ390" t="s">
        <v>3256</v>
      </c>
      <c r="BK390" t="s">
        <v>182</v>
      </c>
      <c r="BL390" t="s">
        <v>1508</v>
      </c>
      <c r="BM390" t="s">
        <v>7834</v>
      </c>
      <c r="BN390">
        <v>39363467</v>
      </c>
      <c r="BO390" t="s">
        <v>185</v>
      </c>
      <c r="BP390" t="s">
        <v>74</v>
      </c>
      <c r="BQ390" t="s">
        <v>74</v>
      </c>
      <c r="BR390" t="s">
        <v>105</v>
      </c>
      <c r="BS390" t="s">
        <v>7835</v>
      </c>
      <c r="BT390" t="str">
        <f>HYPERLINK("https%3A%2F%2Fwww.webofscience.com%2Fwos%2Fwoscc%2Ffull-record%2FWOS:001330460000015","View Full Record in Web of Science")</f>
        <v>View Full Record in Web of Science</v>
      </c>
    </row>
    <row r="391" spans="1:72" x14ac:dyDescent="0.25">
      <c r="A391" t="s">
        <v>72</v>
      </c>
      <c r="B391" t="s">
        <v>7836</v>
      </c>
      <c r="C391" t="s">
        <v>74</v>
      </c>
      <c r="D391" t="s">
        <v>74</v>
      </c>
      <c r="E391" t="s">
        <v>74</v>
      </c>
      <c r="F391" t="s">
        <v>7837</v>
      </c>
      <c r="G391" t="s">
        <v>74</v>
      </c>
      <c r="H391" t="s">
        <v>74</v>
      </c>
      <c r="I391" t="s">
        <v>7838</v>
      </c>
      <c r="J391" t="s">
        <v>7839</v>
      </c>
      <c r="K391" t="s">
        <v>74</v>
      </c>
      <c r="L391" t="s">
        <v>74</v>
      </c>
      <c r="M391" t="s">
        <v>78</v>
      </c>
      <c r="N391" t="s">
        <v>79</v>
      </c>
      <c r="O391" t="s">
        <v>74</v>
      </c>
      <c r="P391" t="s">
        <v>74</v>
      </c>
      <c r="Q391" t="s">
        <v>74</v>
      </c>
      <c r="R391" t="s">
        <v>74</v>
      </c>
      <c r="S391" t="s">
        <v>74</v>
      </c>
      <c r="T391" t="s">
        <v>7840</v>
      </c>
      <c r="U391" t="s">
        <v>7841</v>
      </c>
      <c r="V391" t="s">
        <v>7842</v>
      </c>
      <c r="W391" t="s">
        <v>7843</v>
      </c>
      <c r="X391" t="s">
        <v>7844</v>
      </c>
      <c r="Y391" t="s">
        <v>7845</v>
      </c>
      <c r="Z391" t="s">
        <v>7846</v>
      </c>
      <c r="AA391" t="s">
        <v>7847</v>
      </c>
      <c r="AB391" t="s">
        <v>74</v>
      </c>
      <c r="AC391" t="s">
        <v>74</v>
      </c>
      <c r="AD391" t="s">
        <v>74</v>
      </c>
      <c r="AE391" t="s">
        <v>74</v>
      </c>
      <c r="AF391" t="s">
        <v>74</v>
      </c>
      <c r="AG391">
        <v>30</v>
      </c>
      <c r="AH391">
        <v>0</v>
      </c>
      <c r="AI391">
        <v>0</v>
      </c>
      <c r="AJ391">
        <v>3</v>
      </c>
      <c r="AK391">
        <v>3</v>
      </c>
      <c r="AL391" t="s">
        <v>7848</v>
      </c>
      <c r="AM391" t="s">
        <v>7849</v>
      </c>
      <c r="AN391" t="s">
        <v>7850</v>
      </c>
      <c r="AO391" t="s">
        <v>7851</v>
      </c>
      <c r="AP391" t="s">
        <v>7852</v>
      </c>
      <c r="AQ391" t="s">
        <v>74</v>
      </c>
      <c r="AR391" t="s">
        <v>7853</v>
      </c>
      <c r="AS391" t="s">
        <v>7854</v>
      </c>
      <c r="AT391" t="s">
        <v>2309</v>
      </c>
      <c r="AU391">
        <v>2024</v>
      </c>
      <c r="AV391">
        <v>15</v>
      </c>
      <c r="AW391">
        <v>4</v>
      </c>
      <c r="AX391" t="s">
        <v>74</v>
      </c>
      <c r="AY391" t="s">
        <v>74</v>
      </c>
      <c r="AZ391" t="s">
        <v>74</v>
      </c>
      <c r="BA391" t="s">
        <v>74</v>
      </c>
      <c r="BB391">
        <v>589</v>
      </c>
      <c r="BC391">
        <v>600</v>
      </c>
      <c r="BD391" t="s">
        <v>74</v>
      </c>
      <c r="BE391" t="s">
        <v>7855</v>
      </c>
      <c r="BF391" t="str">
        <f>HYPERLINK("http://dx.doi.org/10.22088/cjim.15.4.589","http://dx.doi.org/10.22088/cjim.15.4.589")</f>
        <v>http://dx.doi.org/10.22088/cjim.15.4.589</v>
      </c>
      <c r="BG391" t="s">
        <v>74</v>
      </c>
      <c r="BH391" t="s">
        <v>74</v>
      </c>
      <c r="BI391">
        <v>12</v>
      </c>
      <c r="BJ391" t="s">
        <v>128</v>
      </c>
      <c r="BK391" t="s">
        <v>155</v>
      </c>
      <c r="BL391" t="s">
        <v>129</v>
      </c>
      <c r="BM391" t="s">
        <v>7856</v>
      </c>
      <c r="BN391">
        <v>39359438</v>
      </c>
      <c r="BO391" t="s">
        <v>74</v>
      </c>
      <c r="BP391" t="s">
        <v>74</v>
      </c>
      <c r="BQ391" t="s">
        <v>74</v>
      </c>
      <c r="BR391" t="s">
        <v>105</v>
      </c>
      <c r="BS391" t="s">
        <v>7857</v>
      </c>
      <c r="BT391" t="str">
        <f>HYPERLINK("https%3A%2F%2Fwww.webofscience.com%2Fwos%2Fwoscc%2Ffull-record%2FWOS:001352739800004","View Full Record in Web of Science")</f>
        <v>View Full Record in Web of Science</v>
      </c>
    </row>
    <row r="392" spans="1:72" x14ac:dyDescent="0.25">
      <c r="A392" t="s">
        <v>72</v>
      </c>
      <c r="B392" t="s">
        <v>7858</v>
      </c>
      <c r="C392" t="s">
        <v>74</v>
      </c>
      <c r="D392" t="s">
        <v>74</v>
      </c>
      <c r="E392" t="s">
        <v>74</v>
      </c>
      <c r="F392" t="s">
        <v>7859</v>
      </c>
      <c r="G392" t="s">
        <v>74</v>
      </c>
      <c r="H392" t="s">
        <v>74</v>
      </c>
      <c r="I392" t="s">
        <v>7860</v>
      </c>
      <c r="J392" t="s">
        <v>986</v>
      </c>
      <c r="K392" t="s">
        <v>74</v>
      </c>
      <c r="L392" t="s">
        <v>74</v>
      </c>
      <c r="M392" t="s">
        <v>78</v>
      </c>
      <c r="N392" t="s">
        <v>79</v>
      </c>
      <c r="O392" t="s">
        <v>74</v>
      </c>
      <c r="P392" t="s">
        <v>74</v>
      </c>
      <c r="Q392" t="s">
        <v>74</v>
      </c>
      <c r="R392" t="s">
        <v>74</v>
      </c>
      <c r="S392" t="s">
        <v>74</v>
      </c>
      <c r="T392" t="s">
        <v>7861</v>
      </c>
      <c r="U392" t="s">
        <v>7862</v>
      </c>
      <c r="V392" t="s">
        <v>7863</v>
      </c>
      <c r="W392" t="s">
        <v>7864</v>
      </c>
      <c r="X392" t="s">
        <v>7865</v>
      </c>
      <c r="Y392" t="s">
        <v>7866</v>
      </c>
      <c r="Z392" t="s">
        <v>7867</v>
      </c>
      <c r="AA392" t="s">
        <v>7868</v>
      </c>
      <c r="AB392" t="s">
        <v>74</v>
      </c>
      <c r="AC392" t="s">
        <v>7869</v>
      </c>
      <c r="AD392" t="s">
        <v>7870</v>
      </c>
      <c r="AE392" t="s">
        <v>7871</v>
      </c>
      <c r="AF392" t="s">
        <v>74</v>
      </c>
      <c r="AG392">
        <v>46</v>
      </c>
      <c r="AH392">
        <v>1</v>
      </c>
      <c r="AI392">
        <v>1</v>
      </c>
      <c r="AJ392">
        <v>1</v>
      </c>
      <c r="AK392">
        <v>2</v>
      </c>
      <c r="AL392" t="s">
        <v>996</v>
      </c>
      <c r="AM392" t="s">
        <v>275</v>
      </c>
      <c r="AN392" t="s">
        <v>997</v>
      </c>
      <c r="AO392" t="s">
        <v>74</v>
      </c>
      <c r="AP392" t="s">
        <v>998</v>
      </c>
      <c r="AQ392" t="s">
        <v>74</v>
      </c>
      <c r="AR392" t="s">
        <v>999</v>
      </c>
      <c r="AS392" t="s">
        <v>1000</v>
      </c>
      <c r="AT392" t="s">
        <v>7872</v>
      </c>
      <c r="AU392">
        <v>2024</v>
      </c>
      <c r="AV392">
        <v>16</v>
      </c>
      <c r="AW392">
        <v>8</v>
      </c>
      <c r="AX392" t="s">
        <v>74</v>
      </c>
      <c r="AY392" t="s">
        <v>74</v>
      </c>
      <c r="AZ392" t="s">
        <v>74</v>
      </c>
      <c r="BA392" t="s">
        <v>74</v>
      </c>
      <c r="BB392" t="s">
        <v>74</v>
      </c>
      <c r="BC392" t="s">
        <v>74</v>
      </c>
      <c r="BD392" t="s">
        <v>7873</v>
      </c>
      <c r="BE392" t="s">
        <v>7874</v>
      </c>
      <c r="BF392" t="str">
        <f>HYPERLINK("http://dx.doi.org/10.7759/cureus.68332","http://dx.doi.org/10.7759/cureus.68332")</f>
        <v>http://dx.doi.org/10.7759/cureus.68332</v>
      </c>
      <c r="BG392" t="s">
        <v>74</v>
      </c>
      <c r="BH392" t="s">
        <v>74</v>
      </c>
      <c r="BI392">
        <v>11</v>
      </c>
      <c r="BJ392" t="s">
        <v>128</v>
      </c>
      <c r="BK392" t="s">
        <v>155</v>
      </c>
      <c r="BL392" t="s">
        <v>129</v>
      </c>
      <c r="BM392" t="s">
        <v>7875</v>
      </c>
      <c r="BN392">
        <v>39355076</v>
      </c>
      <c r="BO392" t="s">
        <v>131</v>
      </c>
      <c r="BP392" t="s">
        <v>74</v>
      </c>
      <c r="BQ392" t="s">
        <v>74</v>
      </c>
      <c r="BR392" t="s">
        <v>105</v>
      </c>
      <c r="BS392" t="s">
        <v>7876</v>
      </c>
      <c r="BT392" t="str">
        <f>HYPERLINK("https%3A%2F%2Fwww.webofscience.com%2Fwos%2Fwoscc%2Ffull-record%2FWOS:001306188300001","View Full Record in Web of Science")</f>
        <v>View Full Record in Web of Science</v>
      </c>
    </row>
    <row r="393" spans="1:72" x14ac:dyDescent="0.25">
      <c r="A393" t="s">
        <v>72</v>
      </c>
      <c r="B393" t="s">
        <v>7877</v>
      </c>
      <c r="C393" t="s">
        <v>74</v>
      </c>
      <c r="D393" t="s">
        <v>74</v>
      </c>
      <c r="E393" t="s">
        <v>74</v>
      </c>
      <c r="F393" t="s">
        <v>7878</v>
      </c>
      <c r="G393" t="s">
        <v>74</v>
      </c>
      <c r="H393" t="s">
        <v>74</v>
      </c>
      <c r="I393" t="s">
        <v>7879</v>
      </c>
      <c r="J393" t="s">
        <v>5041</v>
      </c>
      <c r="K393" t="s">
        <v>74</v>
      </c>
      <c r="L393" t="s">
        <v>74</v>
      </c>
      <c r="M393" t="s">
        <v>78</v>
      </c>
      <c r="N393" t="s">
        <v>79</v>
      </c>
      <c r="O393" t="s">
        <v>74</v>
      </c>
      <c r="P393" t="s">
        <v>74</v>
      </c>
      <c r="Q393" t="s">
        <v>74</v>
      </c>
      <c r="R393" t="s">
        <v>74</v>
      </c>
      <c r="S393" t="s">
        <v>74</v>
      </c>
      <c r="T393" t="s">
        <v>7880</v>
      </c>
      <c r="U393" t="s">
        <v>7881</v>
      </c>
      <c r="V393" t="s">
        <v>7882</v>
      </c>
      <c r="W393" t="s">
        <v>7883</v>
      </c>
      <c r="X393" t="s">
        <v>7884</v>
      </c>
      <c r="Y393" t="s">
        <v>7885</v>
      </c>
      <c r="Z393" t="s">
        <v>7886</v>
      </c>
      <c r="AA393" t="s">
        <v>7887</v>
      </c>
      <c r="AB393" t="s">
        <v>7888</v>
      </c>
      <c r="AC393" t="s">
        <v>7889</v>
      </c>
      <c r="AD393" t="s">
        <v>7890</v>
      </c>
      <c r="AE393" t="s">
        <v>7891</v>
      </c>
      <c r="AF393" t="s">
        <v>74</v>
      </c>
      <c r="AG393">
        <v>53</v>
      </c>
      <c r="AH393">
        <v>0</v>
      </c>
      <c r="AI393">
        <v>0</v>
      </c>
      <c r="AJ393">
        <v>8</v>
      </c>
      <c r="AK393">
        <v>15</v>
      </c>
      <c r="AL393" t="s">
        <v>172</v>
      </c>
      <c r="AM393" t="s">
        <v>4844</v>
      </c>
      <c r="AN393" t="s">
        <v>4845</v>
      </c>
      <c r="AO393" t="s">
        <v>5053</v>
      </c>
      <c r="AP393" t="s">
        <v>5054</v>
      </c>
      <c r="AQ393" t="s">
        <v>74</v>
      </c>
      <c r="AR393" t="s">
        <v>5055</v>
      </c>
      <c r="AS393" t="s">
        <v>5056</v>
      </c>
      <c r="AT393" t="s">
        <v>7892</v>
      </c>
      <c r="AU393">
        <v>2024</v>
      </c>
      <c r="AV393">
        <v>110</v>
      </c>
      <c r="AW393">
        <v>3</v>
      </c>
      <c r="AX393" t="s">
        <v>74</v>
      </c>
      <c r="AY393" t="s">
        <v>74</v>
      </c>
      <c r="AZ393" t="s">
        <v>74</v>
      </c>
      <c r="BA393" t="s">
        <v>74</v>
      </c>
      <c r="BB393" t="s">
        <v>74</v>
      </c>
      <c r="BC393" t="s">
        <v>74</v>
      </c>
      <c r="BD393">
        <v>127</v>
      </c>
      <c r="BE393" t="s">
        <v>7893</v>
      </c>
      <c r="BF393" t="str">
        <f>HYPERLINK("http://dx.doi.org/10.1007/s10846-024-02158-4","http://dx.doi.org/10.1007/s10846-024-02158-4")</f>
        <v>http://dx.doi.org/10.1007/s10846-024-02158-4</v>
      </c>
      <c r="BG393" t="s">
        <v>74</v>
      </c>
      <c r="BH393" t="s">
        <v>74</v>
      </c>
      <c r="BI393">
        <v>14</v>
      </c>
      <c r="BJ393" t="s">
        <v>5059</v>
      </c>
      <c r="BK393" t="s">
        <v>182</v>
      </c>
      <c r="BL393" t="s">
        <v>5060</v>
      </c>
      <c r="BM393" t="s">
        <v>7894</v>
      </c>
      <c r="BN393" t="s">
        <v>74</v>
      </c>
      <c r="BO393" t="s">
        <v>309</v>
      </c>
      <c r="BP393" t="s">
        <v>74</v>
      </c>
      <c r="BQ393" t="s">
        <v>74</v>
      </c>
      <c r="BR393" t="s">
        <v>105</v>
      </c>
      <c r="BS393" t="s">
        <v>7895</v>
      </c>
      <c r="BT393" t="str">
        <f>HYPERLINK("https%3A%2F%2Fwww.webofscience.com%2Fwos%2Fwoscc%2Ffull-record%2FWOS:001302462500001","View Full Record in Web of Science")</f>
        <v>View Full Record in Web of Science</v>
      </c>
    </row>
    <row r="394" spans="1:72" x14ac:dyDescent="0.25">
      <c r="A394" t="s">
        <v>72</v>
      </c>
      <c r="B394" t="s">
        <v>7896</v>
      </c>
      <c r="C394" t="s">
        <v>74</v>
      </c>
      <c r="D394" t="s">
        <v>74</v>
      </c>
      <c r="E394" t="s">
        <v>74</v>
      </c>
      <c r="F394" t="s">
        <v>7897</v>
      </c>
      <c r="G394" t="s">
        <v>74</v>
      </c>
      <c r="H394" t="s">
        <v>74</v>
      </c>
      <c r="I394" t="s">
        <v>7898</v>
      </c>
      <c r="J394" t="s">
        <v>6771</v>
      </c>
      <c r="K394" t="s">
        <v>74</v>
      </c>
      <c r="L394" t="s">
        <v>74</v>
      </c>
      <c r="M394" t="s">
        <v>1876</v>
      </c>
      <c r="N394" t="s">
        <v>79</v>
      </c>
      <c r="O394" t="s">
        <v>74</v>
      </c>
      <c r="P394" t="s">
        <v>74</v>
      </c>
      <c r="Q394" t="s">
        <v>74</v>
      </c>
      <c r="R394" t="s">
        <v>74</v>
      </c>
      <c r="S394" t="s">
        <v>74</v>
      </c>
      <c r="T394" t="s">
        <v>7899</v>
      </c>
      <c r="U394" t="s">
        <v>7900</v>
      </c>
      <c r="V394" t="s">
        <v>7901</v>
      </c>
      <c r="W394" t="s">
        <v>7902</v>
      </c>
      <c r="X394" t="s">
        <v>7903</v>
      </c>
      <c r="Y394" t="s">
        <v>7904</v>
      </c>
      <c r="Z394" t="s">
        <v>7905</v>
      </c>
      <c r="AA394" t="s">
        <v>74</v>
      </c>
      <c r="AB394" t="s">
        <v>74</v>
      </c>
      <c r="AC394" t="s">
        <v>74</v>
      </c>
      <c r="AD394" t="s">
        <v>74</v>
      </c>
      <c r="AE394" t="s">
        <v>74</v>
      </c>
      <c r="AF394" t="s">
        <v>74</v>
      </c>
      <c r="AG394">
        <v>41</v>
      </c>
      <c r="AH394">
        <v>0</v>
      </c>
      <c r="AI394">
        <v>0</v>
      </c>
      <c r="AJ394">
        <v>2</v>
      </c>
      <c r="AK394">
        <v>6</v>
      </c>
      <c r="AL394" t="s">
        <v>172</v>
      </c>
      <c r="AM394" t="s">
        <v>173</v>
      </c>
      <c r="AN394" t="s">
        <v>174</v>
      </c>
      <c r="AO394" t="s">
        <v>6778</v>
      </c>
      <c r="AP394" t="s">
        <v>6779</v>
      </c>
      <c r="AQ394" t="s">
        <v>74</v>
      </c>
      <c r="AR394" t="s">
        <v>6771</v>
      </c>
      <c r="AS394" t="s">
        <v>6780</v>
      </c>
      <c r="AT394" t="s">
        <v>126</v>
      </c>
      <c r="AU394">
        <v>2024</v>
      </c>
      <c r="AV394">
        <v>53</v>
      </c>
      <c r="AW394">
        <v>11</v>
      </c>
      <c r="AX394" t="s">
        <v>74</v>
      </c>
      <c r="AY394" t="s">
        <v>74</v>
      </c>
      <c r="AZ394" t="s">
        <v>152</v>
      </c>
      <c r="BA394" t="s">
        <v>74</v>
      </c>
      <c r="BB394">
        <v>845</v>
      </c>
      <c r="BC394">
        <v>852</v>
      </c>
      <c r="BD394" t="s">
        <v>74</v>
      </c>
      <c r="BE394" t="s">
        <v>7906</v>
      </c>
      <c r="BF394" t="str">
        <f>HYPERLINK("http://dx.doi.org/10.1007/s00132-024-04554-y","http://dx.doi.org/10.1007/s00132-024-04554-y")</f>
        <v>http://dx.doi.org/10.1007/s00132-024-04554-y</v>
      </c>
      <c r="BG394" t="s">
        <v>74</v>
      </c>
      <c r="BH394" t="s">
        <v>4630</v>
      </c>
      <c r="BI394">
        <v>8</v>
      </c>
      <c r="BJ394" t="s">
        <v>443</v>
      </c>
      <c r="BK394" t="s">
        <v>182</v>
      </c>
      <c r="BL394" t="s">
        <v>443</v>
      </c>
      <c r="BM394" t="s">
        <v>7907</v>
      </c>
      <c r="BN394">
        <v>39210088</v>
      </c>
      <c r="BO394" t="s">
        <v>74</v>
      </c>
      <c r="BP394" t="s">
        <v>74</v>
      </c>
      <c r="BQ394" t="s">
        <v>74</v>
      </c>
      <c r="BR394" t="s">
        <v>105</v>
      </c>
      <c r="BS394" t="s">
        <v>7908</v>
      </c>
      <c r="BT394" t="str">
        <f>HYPERLINK("https%3A%2F%2Fwww.webofscience.com%2Fwos%2Fwoscc%2Ffull-record%2FWOS:001304326600001","View Full Record in Web of Science")</f>
        <v>View Full Record in Web of Science</v>
      </c>
    </row>
    <row r="395" spans="1:72" x14ac:dyDescent="0.25">
      <c r="A395" t="s">
        <v>72</v>
      </c>
      <c r="B395" t="s">
        <v>7909</v>
      </c>
      <c r="C395" t="s">
        <v>74</v>
      </c>
      <c r="D395" t="s">
        <v>74</v>
      </c>
      <c r="E395" t="s">
        <v>74</v>
      </c>
      <c r="F395" t="s">
        <v>7910</v>
      </c>
      <c r="G395" t="s">
        <v>74</v>
      </c>
      <c r="H395" t="s">
        <v>74</v>
      </c>
      <c r="I395" t="s">
        <v>7911</v>
      </c>
      <c r="J395" t="s">
        <v>7912</v>
      </c>
      <c r="K395" t="s">
        <v>74</v>
      </c>
      <c r="L395" t="s">
        <v>74</v>
      </c>
      <c r="M395" t="s">
        <v>78</v>
      </c>
      <c r="N395" t="s">
        <v>79</v>
      </c>
      <c r="O395" t="s">
        <v>74</v>
      </c>
      <c r="P395" t="s">
        <v>74</v>
      </c>
      <c r="Q395" t="s">
        <v>74</v>
      </c>
      <c r="R395" t="s">
        <v>74</v>
      </c>
      <c r="S395" t="s">
        <v>74</v>
      </c>
      <c r="T395" t="s">
        <v>7913</v>
      </c>
      <c r="U395" t="s">
        <v>7914</v>
      </c>
      <c r="V395" t="s">
        <v>7915</v>
      </c>
      <c r="W395" t="s">
        <v>7916</v>
      </c>
      <c r="X395" t="s">
        <v>7917</v>
      </c>
      <c r="Y395" t="s">
        <v>7918</v>
      </c>
      <c r="Z395" t="s">
        <v>7919</v>
      </c>
      <c r="AA395" t="s">
        <v>7920</v>
      </c>
      <c r="AB395" t="s">
        <v>7921</v>
      </c>
      <c r="AC395" t="s">
        <v>74</v>
      </c>
      <c r="AD395" t="s">
        <v>74</v>
      </c>
      <c r="AE395" t="s">
        <v>74</v>
      </c>
      <c r="AF395" t="s">
        <v>74</v>
      </c>
      <c r="AG395">
        <v>34</v>
      </c>
      <c r="AH395">
        <v>4</v>
      </c>
      <c r="AI395">
        <v>4</v>
      </c>
      <c r="AJ395">
        <v>3</v>
      </c>
      <c r="AK395">
        <v>7</v>
      </c>
      <c r="AL395" t="s">
        <v>92</v>
      </c>
      <c r="AM395" t="s">
        <v>93</v>
      </c>
      <c r="AN395" t="s">
        <v>94</v>
      </c>
      <c r="AO395" t="s">
        <v>7922</v>
      </c>
      <c r="AP395" t="s">
        <v>7923</v>
      </c>
      <c r="AQ395" t="s">
        <v>74</v>
      </c>
      <c r="AR395" t="s">
        <v>7924</v>
      </c>
      <c r="AS395" t="s">
        <v>7925</v>
      </c>
      <c r="AT395" t="s">
        <v>2907</v>
      </c>
      <c r="AU395">
        <v>2025</v>
      </c>
      <c r="AV395">
        <v>32</v>
      </c>
      <c r="AW395">
        <v>3</v>
      </c>
      <c r="AX395" t="s">
        <v>74</v>
      </c>
      <c r="AY395" t="s">
        <v>74</v>
      </c>
      <c r="AZ395" t="s">
        <v>74</v>
      </c>
      <c r="BA395" t="s">
        <v>74</v>
      </c>
      <c r="BB395">
        <v>323</v>
      </c>
      <c r="BC395">
        <v>335</v>
      </c>
      <c r="BD395" t="s">
        <v>74</v>
      </c>
      <c r="BE395" t="s">
        <v>7926</v>
      </c>
      <c r="BF395" t="str">
        <f>HYPERLINK("http://dx.doi.org/10.1080/10749357.2024.2392439","http://dx.doi.org/10.1080/10749357.2024.2392439")</f>
        <v>http://dx.doi.org/10.1080/10749357.2024.2392439</v>
      </c>
      <c r="BG395" t="s">
        <v>74</v>
      </c>
      <c r="BH395" t="s">
        <v>4630</v>
      </c>
      <c r="BI395">
        <v>13</v>
      </c>
      <c r="BJ395" t="s">
        <v>101</v>
      </c>
      <c r="BK395" t="s">
        <v>182</v>
      </c>
      <c r="BL395" t="s">
        <v>101</v>
      </c>
      <c r="BM395" t="s">
        <v>7927</v>
      </c>
      <c r="BN395">
        <v>39172060</v>
      </c>
      <c r="BO395" t="s">
        <v>74</v>
      </c>
      <c r="BP395" t="s">
        <v>74</v>
      </c>
      <c r="BQ395" t="s">
        <v>74</v>
      </c>
      <c r="BR395" t="s">
        <v>105</v>
      </c>
      <c r="BS395" t="s">
        <v>7928</v>
      </c>
      <c r="BT395" t="str">
        <f>HYPERLINK("https%3A%2F%2Fwww.webofscience.com%2Fwos%2Fwoscc%2Ffull-record%2FWOS:001296343400001","View Full Record in Web of Science")</f>
        <v>View Full Record in Web of Science</v>
      </c>
    </row>
    <row r="396" spans="1:72" x14ac:dyDescent="0.25">
      <c r="A396" t="s">
        <v>72</v>
      </c>
      <c r="B396" t="s">
        <v>7929</v>
      </c>
      <c r="C396" t="s">
        <v>74</v>
      </c>
      <c r="D396" t="s">
        <v>74</v>
      </c>
      <c r="E396" t="s">
        <v>74</v>
      </c>
      <c r="F396" t="s">
        <v>7930</v>
      </c>
      <c r="G396" t="s">
        <v>74</v>
      </c>
      <c r="H396" t="s">
        <v>74</v>
      </c>
      <c r="I396" t="s">
        <v>7931</v>
      </c>
      <c r="J396" t="s">
        <v>243</v>
      </c>
      <c r="K396" t="s">
        <v>74</v>
      </c>
      <c r="L396" t="s">
        <v>74</v>
      </c>
      <c r="M396" t="s">
        <v>78</v>
      </c>
      <c r="N396" t="s">
        <v>79</v>
      </c>
      <c r="O396" t="s">
        <v>74</v>
      </c>
      <c r="P396" t="s">
        <v>74</v>
      </c>
      <c r="Q396" t="s">
        <v>74</v>
      </c>
      <c r="R396" t="s">
        <v>74</v>
      </c>
      <c r="S396" t="s">
        <v>74</v>
      </c>
      <c r="T396" t="s">
        <v>7932</v>
      </c>
      <c r="U396" t="s">
        <v>7933</v>
      </c>
      <c r="V396" t="s">
        <v>7934</v>
      </c>
      <c r="W396" t="s">
        <v>7935</v>
      </c>
      <c r="X396" t="s">
        <v>7936</v>
      </c>
      <c r="Y396" t="s">
        <v>7937</v>
      </c>
      <c r="Z396" t="s">
        <v>7938</v>
      </c>
      <c r="AA396" t="s">
        <v>7939</v>
      </c>
      <c r="AB396" t="s">
        <v>74</v>
      </c>
      <c r="AC396" t="s">
        <v>74</v>
      </c>
      <c r="AD396" t="s">
        <v>74</v>
      </c>
      <c r="AE396" t="s">
        <v>74</v>
      </c>
      <c r="AF396" t="s">
        <v>74</v>
      </c>
      <c r="AG396">
        <v>47</v>
      </c>
      <c r="AH396">
        <v>2</v>
      </c>
      <c r="AI396">
        <v>2</v>
      </c>
      <c r="AJ396">
        <v>5</v>
      </c>
      <c r="AK396">
        <v>10</v>
      </c>
      <c r="AL396" t="s">
        <v>253</v>
      </c>
      <c r="AM396" t="s">
        <v>227</v>
      </c>
      <c r="AN396" t="s">
        <v>254</v>
      </c>
      <c r="AO396" t="s">
        <v>255</v>
      </c>
      <c r="AP396" t="s">
        <v>256</v>
      </c>
      <c r="AQ396" t="s">
        <v>74</v>
      </c>
      <c r="AR396" t="s">
        <v>257</v>
      </c>
      <c r="AS396" t="s">
        <v>258</v>
      </c>
      <c r="AT396" t="s">
        <v>5683</v>
      </c>
      <c r="AU396">
        <v>2025</v>
      </c>
      <c r="AV396">
        <v>20</v>
      </c>
      <c r="AW396">
        <v>2</v>
      </c>
      <c r="AX396" t="s">
        <v>74</v>
      </c>
      <c r="AY396" t="s">
        <v>74</v>
      </c>
      <c r="AZ396" t="s">
        <v>74</v>
      </c>
      <c r="BA396" t="s">
        <v>74</v>
      </c>
      <c r="BB396">
        <v>321</v>
      </c>
      <c r="BC396">
        <v>330</v>
      </c>
      <c r="BD396" t="s">
        <v>74</v>
      </c>
      <c r="BE396" t="s">
        <v>7940</v>
      </c>
      <c r="BF396" t="str">
        <f>HYPERLINK("http://dx.doi.org/10.1080/17483107.2024.2387101","http://dx.doi.org/10.1080/17483107.2024.2387101")</f>
        <v>http://dx.doi.org/10.1080/17483107.2024.2387101</v>
      </c>
      <c r="BG396" t="s">
        <v>74</v>
      </c>
      <c r="BH396" t="s">
        <v>4630</v>
      </c>
      <c r="BI396">
        <v>10</v>
      </c>
      <c r="BJ396" t="s">
        <v>101</v>
      </c>
      <c r="BK396" t="s">
        <v>462</v>
      </c>
      <c r="BL396" t="s">
        <v>101</v>
      </c>
      <c r="BM396" t="s">
        <v>7941</v>
      </c>
      <c r="BN396">
        <v>39140131</v>
      </c>
      <c r="BO396" t="s">
        <v>74</v>
      </c>
      <c r="BP396" t="s">
        <v>74</v>
      </c>
      <c r="BQ396" t="s">
        <v>74</v>
      </c>
      <c r="BR396" t="s">
        <v>105</v>
      </c>
      <c r="BS396" t="s">
        <v>7942</v>
      </c>
      <c r="BT396" t="str">
        <f>HYPERLINK("https%3A%2F%2Fwww.webofscience.com%2Fwos%2Fwoscc%2Ffull-record%2FWOS:001290748500001","View Full Record in Web of Science")</f>
        <v>View Full Record in Web of Science</v>
      </c>
    </row>
    <row r="397" spans="1:72" x14ac:dyDescent="0.25">
      <c r="A397" t="s">
        <v>72</v>
      </c>
      <c r="B397" t="s">
        <v>7943</v>
      </c>
      <c r="C397" t="s">
        <v>74</v>
      </c>
      <c r="D397" t="s">
        <v>74</v>
      </c>
      <c r="E397" t="s">
        <v>74</v>
      </c>
      <c r="F397" t="s">
        <v>7944</v>
      </c>
      <c r="G397" t="s">
        <v>74</v>
      </c>
      <c r="H397" t="s">
        <v>74</v>
      </c>
      <c r="I397" t="s">
        <v>7945</v>
      </c>
      <c r="J397" t="s">
        <v>382</v>
      </c>
      <c r="K397" t="s">
        <v>74</v>
      </c>
      <c r="L397" t="s">
        <v>74</v>
      </c>
      <c r="M397" t="s">
        <v>78</v>
      </c>
      <c r="N397" t="s">
        <v>79</v>
      </c>
      <c r="O397" t="s">
        <v>74</v>
      </c>
      <c r="P397" t="s">
        <v>74</v>
      </c>
      <c r="Q397" t="s">
        <v>74</v>
      </c>
      <c r="R397" t="s">
        <v>74</v>
      </c>
      <c r="S397" t="s">
        <v>74</v>
      </c>
      <c r="T397" t="s">
        <v>7946</v>
      </c>
      <c r="U397" t="s">
        <v>7947</v>
      </c>
      <c r="V397" t="s">
        <v>7948</v>
      </c>
      <c r="W397" t="s">
        <v>7949</v>
      </c>
      <c r="X397" t="s">
        <v>7950</v>
      </c>
      <c r="Y397" t="s">
        <v>7951</v>
      </c>
      <c r="Z397" t="s">
        <v>7952</v>
      </c>
      <c r="AA397" t="s">
        <v>74</v>
      </c>
      <c r="AB397" t="s">
        <v>74</v>
      </c>
      <c r="AC397" t="s">
        <v>7953</v>
      </c>
      <c r="AD397" t="s">
        <v>7954</v>
      </c>
      <c r="AE397" t="s">
        <v>7955</v>
      </c>
      <c r="AF397" t="s">
        <v>74</v>
      </c>
      <c r="AG397">
        <v>76</v>
      </c>
      <c r="AH397">
        <v>1</v>
      </c>
      <c r="AI397">
        <v>1</v>
      </c>
      <c r="AJ397">
        <v>5</v>
      </c>
      <c r="AK397">
        <v>9</v>
      </c>
      <c r="AL397" t="s">
        <v>392</v>
      </c>
      <c r="AM397" t="s">
        <v>393</v>
      </c>
      <c r="AN397" t="s">
        <v>394</v>
      </c>
      <c r="AO397" t="s">
        <v>395</v>
      </c>
      <c r="AP397" t="s">
        <v>74</v>
      </c>
      <c r="AQ397" t="s">
        <v>74</v>
      </c>
      <c r="AR397" t="s">
        <v>396</v>
      </c>
      <c r="AS397" t="s">
        <v>397</v>
      </c>
      <c r="AT397" t="s">
        <v>1484</v>
      </c>
      <c r="AU397">
        <v>2024</v>
      </c>
      <c r="AV397">
        <v>15</v>
      </c>
      <c r="AW397" t="s">
        <v>74</v>
      </c>
      <c r="AX397" t="s">
        <v>74</v>
      </c>
      <c r="AY397" t="s">
        <v>74</v>
      </c>
      <c r="AZ397" t="s">
        <v>74</v>
      </c>
      <c r="BA397" t="s">
        <v>74</v>
      </c>
      <c r="BB397" t="s">
        <v>74</v>
      </c>
      <c r="BC397" t="s">
        <v>74</v>
      </c>
      <c r="BD397">
        <v>1453781</v>
      </c>
      <c r="BE397" t="s">
        <v>7956</v>
      </c>
      <c r="BF397" t="str">
        <f>HYPERLINK("http://dx.doi.org/10.3389/fneur.2024.1453781","http://dx.doi.org/10.3389/fneur.2024.1453781")</f>
        <v>http://dx.doi.org/10.3389/fneur.2024.1453781</v>
      </c>
      <c r="BG397" t="s">
        <v>74</v>
      </c>
      <c r="BH397" t="s">
        <v>74</v>
      </c>
      <c r="BI397">
        <v>26</v>
      </c>
      <c r="BJ397" t="s">
        <v>400</v>
      </c>
      <c r="BK397" t="s">
        <v>182</v>
      </c>
      <c r="BL397" t="s">
        <v>375</v>
      </c>
      <c r="BM397" t="s">
        <v>7957</v>
      </c>
      <c r="BN397">
        <v>39193147</v>
      </c>
      <c r="BO397" t="s">
        <v>131</v>
      </c>
      <c r="BP397" t="s">
        <v>74</v>
      </c>
      <c r="BQ397" t="s">
        <v>74</v>
      </c>
      <c r="BR397" t="s">
        <v>105</v>
      </c>
      <c r="BS397" t="s">
        <v>7958</v>
      </c>
      <c r="BT397" t="str">
        <f>HYPERLINK("https%3A%2F%2Fwww.webofscience.com%2Fwos%2Fwoscc%2Ffull-record%2FWOS:001298894500001","View Full Record in Web of Science")</f>
        <v>View Full Record in Web of Science</v>
      </c>
    </row>
    <row r="398" spans="1:72" x14ac:dyDescent="0.25">
      <c r="A398" t="s">
        <v>72</v>
      </c>
      <c r="B398" t="s">
        <v>7959</v>
      </c>
      <c r="C398" t="s">
        <v>74</v>
      </c>
      <c r="D398" t="s">
        <v>74</v>
      </c>
      <c r="E398" t="s">
        <v>74</v>
      </c>
      <c r="F398" t="s">
        <v>7960</v>
      </c>
      <c r="G398" t="s">
        <v>74</v>
      </c>
      <c r="H398" t="s">
        <v>74</v>
      </c>
      <c r="I398" t="s">
        <v>7961</v>
      </c>
      <c r="J398" t="s">
        <v>7962</v>
      </c>
      <c r="K398" t="s">
        <v>74</v>
      </c>
      <c r="L398" t="s">
        <v>74</v>
      </c>
      <c r="M398" t="s">
        <v>78</v>
      </c>
      <c r="N398" t="s">
        <v>449</v>
      </c>
      <c r="O398" t="s">
        <v>74</v>
      </c>
      <c r="P398" t="s">
        <v>74</v>
      </c>
      <c r="Q398" t="s">
        <v>74</v>
      </c>
      <c r="R398" t="s">
        <v>74</v>
      </c>
      <c r="S398" t="s">
        <v>74</v>
      </c>
      <c r="T398" t="s">
        <v>74</v>
      </c>
      <c r="U398" t="s">
        <v>7963</v>
      </c>
      <c r="V398" t="s">
        <v>7964</v>
      </c>
      <c r="W398" t="s">
        <v>7965</v>
      </c>
      <c r="X398" t="s">
        <v>7966</v>
      </c>
      <c r="Y398" t="s">
        <v>7967</v>
      </c>
      <c r="Z398" t="s">
        <v>7968</v>
      </c>
      <c r="AA398" t="s">
        <v>7969</v>
      </c>
      <c r="AB398" t="s">
        <v>7970</v>
      </c>
      <c r="AC398" t="s">
        <v>7971</v>
      </c>
      <c r="AD398" t="s">
        <v>7972</v>
      </c>
      <c r="AE398" t="s">
        <v>7973</v>
      </c>
      <c r="AF398" t="s">
        <v>74</v>
      </c>
      <c r="AG398">
        <v>220</v>
      </c>
      <c r="AH398">
        <v>2</v>
      </c>
      <c r="AI398">
        <v>2</v>
      </c>
      <c r="AJ398">
        <v>4</v>
      </c>
      <c r="AK398">
        <v>13</v>
      </c>
      <c r="AL398" t="s">
        <v>2529</v>
      </c>
      <c r="AM398" t="s">
        <v>2530</v>
      </c>
      <c r="AN398" t="s">
        <v>2531</v>
      </c>
      <c r="AO398" t="s">
        <v>7974</v>
      </c>
      <c r="AP398" t="s">
        <v>7975</v>
      </c>
      <c r="AQ398" t="s">
        <v>74</v>
      </c>
      <c r="AR398" t="s">
        <v>7976</v>
      </c>
      <c r="AS398" t="s">
        <v>7977</v>
      </c>
      <c r="AT398" t="s">
        <v>7978</v>
      </c>
      <c r="AU398">
        <v>2024</v>
      </c>
      <c r="AV398" t="s">
        <v>74</v>
      </c>
      <c r="AW398" t="s">
        <v>74</v>
      </c>
      <c r="AX398" t="s">
        <v>74</v>
      </c>
      <c r="AY398" t="s">
        <v>74</v>
      </c>
      <c r="AZ398" t="s">
        <v>74</v>
      </c>
      <c r="BA398" t="s">
        <v>74</v>
      </c>
      <c r="BB398" t="s">
        <v>74</v>
      </c>
      <c r="BC398" t="s">
        <v>74</v>
      </c>
      <c r="BD398" t="s">
        <v>74</v>
      </c>
      <c r="BE398" t="s">
        <v>7979</v>
      </c>
      <c r="BF398" t="str">
        <f>HYPERLINK("http://dx.doi.org/10.1140/epjs/s11734-024-01289-x","http://dx.doi.org/10.1140/epjs/s11734-024-01289-x")</f>
        <v>http://dx.doi.org/10.1140/epjs/s11734-024-01289-x</v>
      </c>
      <c r="BG398" t="s">
        <v>74</v>
      </c>
      <c r="BH398" t="s">
        <v>4630</v>
      </c>
      <c r="BI398">
        <v>20</v>
      </c>
      <c r="BJ398" t="s">
        <v>7980</v>
      </c>
      <c r="BK398" t="s">
        <v>182</v>
      </c>
      <c r="BL398" t="s">
        <v>7981</v>
      </c>
      <c r="BM398" t="s">
        <v>7982</v>
      </c>
      <c r="BN398" t="s">
        <v>74</v>
      </c>
      <c r="BO398" t="s">
        <v>74</v>
      </c>
      <c r="BP398" t="s">
        <v>74</v>
      </c>
      <c r="BQ398" t="s">
        <v>74</v>
      </c>
      <c r="BR398" t="s">
        <v>105</v>
      </c>
      <c r="BS398" t="s">
        <v>7983</v>
      </c>
      <c r="BT398" t="str">
        <f>HYPERLINK("https%3A%2F%2Fwww.webofscience.com%2Fwos%2Fwoscc%2Ffull-record%2FWOS:001289940700005","View Full Record in Web of Science")</f>
        <v>View Full Record in Web of Science</v>
      </c>
    </row>
    <row r="399" spans="1:72" x14ac:dyDescent="0.25">
      <c r="A399" t="s">
        <v>72</v>
      </c>
      <c r="B399" t="s">
        <v>7984</v>
      </c>
      <c r="C399" t="s">
        <v>74</v>
      </c>
      <c r="D399" t="s">
        <v>74</v>
      </c>
      <c r="E399" t="s">
        <v>74</v>
      </c>
      <c r="F399" t="s">
        <v>7985</v>
      </c>
      <c r="G399" t="s">
        <v>74</v>
      </c>
      <c r="H399" t="s">
        <v>74</v>
      </c>
      <c r="I399" t="s">
        <v>7986</v>
      </c>
      <c r="J399" t="s">
        <v>7987</v>
      </c>
      <c r="K399" t="s">
        <v>74</v>
      </c>
      <c r="L399" t="s">
        <v>74</v>
      </c>
      <c r="M399" t="s">
        <v>78</v>
      </c>
      <c r="N399" t="s">
        <v>79</v>
      </c>
      <c r="O399" t="s">
        <v>74</v>
      </c>
      <c r="P399" t="s">
        <v>74</v>
      </c>
      <c r="Q399" t="s">
        <v>74</v>
      </c>
      <c r="R399" t="s">
        <v>74</v>
      </c>
      <c r="S399" t="s">
        <v>74</v>
      </c>
      <c r="T399" t="s">
        <v>7988</v>
      </c>
      <c r="U399" t="s">
        <v>7989</v>
      </c>
      <c r="V399" t="s">
        <v>7990</v>
      </c>
      <c r="W399" t="s">
        <v>7991</v>
      </c>
      <c r="X399" t="s">
        <v>7751</v>
      </c>
      <c r="Y399" t="s">
        <v>7992</v>
      </c>
      <c r="Z399" t="s">
        <v>7993</v>
      </c>
      <c r="AA399" t="s">
        <v>7994</v>
      </c>
      <c r="AB399" t="s">
        <v>74</v>
      </c>
      <c r="AC399" t="s">
        <v>7754</v>
      </c>
      <c r="AD399" t="s">
        <v>7755</v>
      </c>
      <c r="AE399" t="s">
        <v>7995</v>
      </c>
      <c r="AF399" t="s">
        <v>74</v>
      </c>
      <c r="AG399">
        <v>66</v>
      </c>
      <c r="AH399">
        <v>3</v>
      </c>
      <c r="AI399">
        <v>3</v>
      </c>
      <c r="AJ399">
        <v>15</v>
      </c>
      <c r="AK399">
        <v>35</v>
      </c>
      <c r="AL399" t="s">
        <v>392</v>
      </c>
      <c r="AM399" t="s">
        <v>393</v>
      </c>
      <c r="AN399" t="s">
        <v>394</v>
      </c>
      <c r="AO399" t="s">
        <v>7996</v>
      </c>
      <c r="AP399" t="s">
        <v>74</v>
      </c>
      <c r="AQ399" t="s">
        <v>74</v>
      </c>
      <c r="AR399" t="s">
        <v>7997</v>
      </c>
      <c r="AS399" t="s">
        <v>7998</v>
      </c>
      <c r="AT399" t="s">
        <v>7999</v>
      </c>
      <c r="AU399">
        <v>2024</v>
      </c>
      <c r="AV399">
        <v>15</v>
      </c>
      <c r="AW399" t="s">
        <v>74</v>
      </c>
      <c r="AX399" t="s">
        <v>74</v>
      </c>
      <c r="AY399" t="s">
        <v>74</v>
      </c>
      <c r="AZ399" t="s">
        <v>74</v>
      </c>
      <c r="BA399" t="s">
        <v>74</v>
      </c>
      <c r="BB399" t="s">
        <v>74</v>
      </c>
      <c r="BC399" t="s">
        <v>74</v>
      </c>
      <c r="BD399">
        <v>1391832</v>
      </c>
      <c r="BE399" t="s">
        <v>8000</v>
      </c>
      <c r="BF399" t="str">
        <f>HYPERLINK("http://dx.doi.org/10.3389/fpsyg.2024.1391832","http://dx.doi.org/10.3389/fpsyg.2024.1391832")</f>
        <v>http://dx.doi.org/10.3389/fpsyg.2024.1391832</v>
      </c>
      <c r="BG399" t="s">
        <v>74</v>
      </c>
      <c r="BH399" t="s">
        <v>74</v>
      </c>
      <c r="BI399">
        <v>9</v>
      </c>
      <c r="BJ399" t="s">
        <v>8001</v>
      </c>
      <c r="BK399" t="s">
        <v>462</v>
      </c>
      <c r="BL399" t="s">
        <v>565</v>
      </c>
      <c r="BM399" t="s">
        <v>8002</v>
      </c>
      <c r="BN399">
        <v>39188868</v>
      </c>
      <c r="BO399" t="s">
        <v>131</v>
      </c>
      <c r="BP399" t="s">
        <v>74</v>
      </c>
      <c r="BQ399" t="s">
        <v>74</v>
      </c>
      <c r="BR399" t="s">
        <v>105</v>
      </c>
      <c r="BS399" t="s">
        <v>8003</v>
      </c>
      <c r="BT399" t="str">
        <f>HYPERLINK("https%3A%2F%2Fwww.webofscience.com%2Fwos%2Fwoscc%2Ffull-record%2FWOS:001298387200001","View Full Record in Web of Science")</f>
        <v>View Full Record in Web of Science</v>
      </c>
    </row>
    <row r="400" spans="1:72" x14ac:dyDescent="0.25">
      <c r="A400" t="s">
        <v>72</v>
      </c>
      <c r="B400" t="s">
        <v>8004</v>
      </c>
      <c r="C400" t="s">
        <v>74</v>
      </c>
      <c r="D400" t="s">
        <v>74</v>
      </c>
      <c r="E400" t="s">
        <v>74</v>
      </c>
      <c r="F400" t="s">
        <v>8005</v>
      </c>
      <c r="G400" t="s">
        <v>74</v>
      </c>
      <c r="H400" t="s">
        <v>74</v>
      </c>
      <c r="I400" t="s">
        <v>8006</v>
      </c>
      <c r="J400" t="s">
        <v>8007</v>
      </c>
      <c r="K400" t="s">
        <v>74</v>
      </c>
      <c r="L400" t="s">
        <v>74</v>
      </c>
      <c r="M400" t="s">
        <v>78</v>
      </c>
      <c r="N400" t="s">
        <v>79</v>
      </c>
      <c r="O400" t="s">
        <v>74</v>
      </c>
      <c r="P400" t="s">
        <v>74</v>
      </c>
      <c r="Q400" t="s">
        <v>74</v>
      </c>
      <c r="R400" t="s">
        <v>74</v>
      </c>
      <c r="S400" t="s">
        <v>74</v>
      </c>
      <c r="T400" t="s">
        <v>8008</v>
      </c>
      <c r="U400" t="s">
        <v>8009</v>
      </c>
      <c r="V400" t="s">
        <v>8010</v>
      </c>
      <c r="W400" t="s">
        <v>8011</v>
      </c>
      <c r="X400" t="s">
        <v>8012</v>
      </c>
      <c r="Y400" t="s">
        <v>8013</v>
      </c>
      <c r="Z400" t="s">
        <v>8014</v>
      </c>
      <c r="AA400" t="s">
        <v>8015</v>
      </c>
      <c r="AB400" t="s">
        <v>8016</v>
      </c>
      <c r="AC400" t="s">
        <v>8017</v>
      </c>
      <c r="AD400" t="s">
        <v>8017</v>
      </c>
      <c r="AE400" t="s">
        <v>8018</v>
      </c>
      <c r="AF400" t="s">
        <v>74</v>
      </c>
      <c r="AG400">
        <v>52</v>
      </c>
      <c r="AH400">
        <v>2</v>
      </c>
      <c r="AI400">
        <v>2</v>
      </c>
      <c r="AJ400">
        <v>3</v>
      </c>
      <c r="AK400">
        <v>7</v>
      </c>
      <c r="AL400" t="s">
        <v>297</v>
      </c>
      <c r="AM400" t="s">
        <v>298</v>
      </c>
      <c r="AN400" t="s">
        <v>299</v>
      </c>
      <c r="AO400" t="s">
        <v>8019</v>
      </c>
      <c r="AP400" t="s">
        <v>8020</v>
      </c>
      <c r="AQ400" t="s">
        <v>74</v>
      </c>
      <c r="AR400" t="s">
        <v>8021</v>
      </c>
      <c r="AS400" t="s">
        <v>8022</v>
      </c>
      <c r="AT400" t="s">
        <v>634</v>
      </c>
      <c r="AU400">
        <v>2024</v>
      </c>
      <c r="AV400">
        <v>39</v>
      </c>
      <c r="AW400">
        <v>8</v>
      </c>
      <c r="AX400" t="s">
        <v>74</v>
      </c>
      <c r="AY400" t="s">
        <v>74</v>
      </c>
      <c r="AZ400" t="s">
        <v>74</v>
      </c>
      <c r="BA400" t="s">
        <v>74</v>
      </c>
      <c r="BB400" t="s">
        <v>74</v>
      </c>
      <c r="BC400" t="s">
        <v>74</v>
      </c>
      <c r="BD400" t="s">
        <v>8023</v>
      </c>
      <c r="BE400" t="s">
        <v>8024</v>
      </c>
      <c r="BF400" t="str">
        <f>HYPERLINK("http://dx.doi.org/10.1002/gps.6129","http://dx.doi.org/10.1002/gps.6129")</f>
        <v>http://dx.doi.org/10.1002/gps.6129</v>
      </c>
      <c r="BG400" t="s">
        <v>74</v>
      </c>
      <c r="BH400" t="s">
        <v>74</v>
      </c>
      <c r="BI400">
        <v>14</v>
      </c>
      <c r="BJ400" t="s">
        <v>8025</v>
      </c>
      <c r="BK400" t="s">
        <v>102</v>
      </c>
      <c r="BL400" t="s">
        <v>8026</v>
      </c>
      <c r="BM400" t="s">
        <v>8027</v>
      </c>
      <c r="BN400">
        <v>39112442</v>
      </c>
      <c r="BO400" t="s">
        <v>8028</v>
      </c>
      <c r="BP400" t="s">
        <v>74</v>
      </c>
      <c r="BQ400" t="s">
        <v>74</v>
      </c>
      <c r="BR400" t="s">
        <v>105</v>
      </c>
      <c r="BS400" t="s">
        <v>8029</v>
      </c>
      <c r="BT400" t="str">
        <f>HYPERLINK("https%3A%2F%2Fwww.webofscience.com%2Fwos%2Fwoscc%2Ffull-record%2FWOS:001285249800001","View Full Record in Web of Science")</f>
        <v>View Full Record in Web of Science</v>
      </c>
    </row>
    <row r="401" spans="1:72" x14ac:dyDescent="0.25">
      <c r="A401" t="s">
        <v>72</v>
      </c>
      <c r="B401" t="s">
        <v>8030</v>
      </c>
      <c r="C401" t="s">
        <v>74</v>
      </c>
      <c r="D401" t="s">
        <v>74</v>
      </c>
      <c r="E401" t="s">
        <v>74</v>
      </c>
      <c r="F401" t="s">
        <v>8031</v>
      </c>
      <c r="G401" t="s">
        <v>74</v>
      </c>
      <c r="H401" t="s">
        <v>74</v>
      </c>
      <c r="I401" t="s">
        <v>8032</v>
      </c>
      <c r="J401" t="s">
        <v>2543</v>
      </c>
      <c r="K401" t="s">
        <v>74</v>
      </c>
      <c r="L401" t="s">
        <v>74</v>
      </c>
      <c r="M401" t="s">
        <v>78</v>
      </c>
      <c r="N401" t="s">
        <v>79</v>
      </c>
      <c r="O401" t="s">
        <v>74</v>
      </c>
      <c r="P401" t="s">
        <v>74</v>
      </c>
      <c r="Q401" t="s">
        <v>74</v>
      </c>
      <c r="R401" t="s">
        <v>74</v>
      </c>
      <c r="S401" t="s">
        <v>74</v>
      </c>
      <c r="T401" t="s">
        <v>8033</v>
      </c>
      <c r="U401" t="s">
        <v>8034</v>
      </c>
      <c r="V401" t="s">
        <v>8035</v>
      </c>
      <c r="W401" t="s">
        <v>8036</v>
      </c>
      <c r="X401" t="s">
        <v>8037</v>
      </c>
      <c r="Y401" t="s">
        <v>8038</v>
      </c>
      <c r="Z401" t="s">
        <v>8039</v>
      </c>
      <c r="AA401" t="s">
        <v>8040</v>
      </c>
      <c r="AB401" t="s">
        <v>8041</v>
      </c>
      <c r="AC401" t="s">
        <v>8042</v>
      </c>
      <c r="AD401" t="s">
        <v>8043</v>
      </c>
      <c r="AE401" t="s">
        <v>8044</v>
      </c>
      <c r="AF401" t="s">
        <v>74</v>
      </c>
      <c r="AG401">
        <v>89</v>
      </c>
      <c r="AH401">
        <v>0</v>
      </c>
      <c r="AI401">
        <v>0</v>
      </c>
      <c r="AJ401">
        <v>4</v>
      </c>
      <c r="AK401">
        <v>8</v>
      </c>
      <c r="AL401" t="s">
        <v>120</v>
      </c>
      <c r="AM401" t="s">
        <v>121</v>
      </c>
      <c r="AN401" t="s">
        <v>122</v>
      </c>
      <c r="AO401" t="s">
        <v>74</v>
      </c>
      <c r="AP401" t="s">
        <v>2553</v>
      </c>
      <c r="AQ401" t="s">
        <v>74</v>
      </c>
      <c r="AR401" t="s">
        <v>2554</v>
      </c>
      <c r="AS401" t="s">
        <v>2555</v>
      </c>
      <c r="AT401" t="s">
        <v>634</v>
      </c>
      <c r="AU401">
        <v>2024</v>
      </c>
      <c r="AV401">
        <v>14</v>
      </c>
      <c r="AW401">
        <v>8</v>
      </c>
      <c r="AX401" t="s">
        <v>74</v>
      </c>
      <c r="AY401" t="s">
        <v>74</v>
      </c>
      <c r="AZ401" t="s">
        <v>74</v>
      </c>
      <c r="BA401" t="s">
        <v>74</v>
      </c>
      <c r="BB401" t="s">
        <v>74</v>
      </c>
      <c r="BC401" t="s">
        <v>74</v>
      </c>
      <c r="BD401">
        <v>834</v>
      </c>
      <c r="BE401" t="s">
        <v>8045</v>
      </c>
      <c r="BF401" t="str">
        <f>HYPERLINK("http://dx.doi.org/10.3390/brainsci14080834","http://dx.doi.org/10.3390/brainsci14080834")</f>
        <v>http://dx.doi.org/10.3390/brainsci14080834</v>
      </c>
      <c r="BG401" t="s">
        <v>74</v>
      </c>
      <c r="BH401" t="s">
        <v>74</v>
      </c>
      <c r="BI401">
        <v>23</v>
      </c>
      <c r="BJ401" t="s">
        <v>374</v>
      </c>
      <c r="BK401" t="s">
        <v>182</v>
      </c>
      <c r="BL401" t="s">
        <v>375</v>
      </c>
      <c r="BM401" t="s">
        <v>8046</v>
      </c>
      <c r="BN401">
        <v>39199525</v>
      </c>
      <c r="BO401" t="s">
        <v>185</v>
      </c>
      <c r="BP401" t="s">
        <v>74</v>
      </c>
      <c r="BQ401" t="s">
        <v>74</v>
      </c>
      <c r="BR401" t="s">
        <v>105</v>
      </c>
      <c r="BS401" t="s">
        <v>8047</v>
      </c>
      <c r="BT401" t="str">
        <f>HYPERLINK("https%3A%2F%2Fwww.webofscience.com%2Fwos%2Fwoscc%2Ffull-record%2FWOS:001305141700001","View Full Record in Web of Science")</f>
        <v>View Full Record in Web of Science</v>
      </c>
    </row>
    <row r="402" spans="1:72" x14ac:dyDescent="0.25">
      <c r="A402" t="s">
        <v>72</v>
      </c>
      <c r="B402" t="s">
        <v>8048</v>
      </c>
      <c r="C402" t="s">
        <v>74</v>
      </c>
      <c r="D402" t="s">
        <v>74</v>
      </c>
      <c r="E402" t="s">
        <v>74</v>
      </c>
      <c r="F402" t="s">
        <v>8049</v>
      </c>
      <c r="G402" t="s">
        <v>74</v>
      </c>
      <c r="H402" t="s">
        <v>74</v>
      </c>
      <c r="I402" t="s">
        <v>8050</v>
      </c>
      <c r="J402" t="s">
        <v>8051</v>
      </c>
      <c r="K402" t="s">
        <v>74</v>
      </c>
      <c r="L402" t="s">
        <v>74</v>
      </c>
      <c r="M402" t="s">
        <v>78</v>
      </c>
      <c r="N402" t="s">
        <v>79</v>
      </c>
      <c r="O402" t="s">
        <v>74</v>
      </c>
      <c r="P402" t="s">
        <v>74</v>
      </c>
      <c r="Q402" t="s">
        <v>74</v>
      </c>
      <c r="R402" t="s">
        <v>74</v>
      </c>
      <c r="S402" t="s">
        <v>74</v>
      </c>
      <c r="T402" t="s">
        <v>8052</v>
      </c>
      <c r="U402" t="s">
        <v>8053</v>
      </c>
      <c r="V402" t="s">
        <v>8054</v>
      </c>
      <c r="W402" t="s">
        <v>8055</v>
      </c>
      <c r="X402" t="s">
        <v>7467</v>
      </c>
      <c r="Y402" t="s">
        <v>8056</v>
      </c>
      <c r="Z402" t="s">
        <v>8057</v>
      </c>
      <c r="AA402" t="s">
        <v>8058</v>
      </c>
      <c r="AB402" t="s">
        <v>8059</v>
      </c>
      <c r="AC402" t="s">
        <v>8060</v>
      </c>
      <c r="AD402" t="s">
        <v>8061</v>
      </c>
      <c r="AE402" t="s">
        <v>8062</v>
      </c>
      <c r="AF402" t="s">
        <v>74</v>
      </c>
      <c r="AG402">
        <v>121</v>
      </c>
      <c r="AH402">
        <v>1</v>
      </c>
      <c r="AI402">
        <v>2</v>
      </c>
      <c r="AJ402">
        <v>6</v>
      </c>
      <c r="AK402">
        <v>26</v>
      </c>
      <c r="AL402" t="s">
        <v>557</v>
      </c>
      <c r="AM402" t="s">
        <v>275</v>
      </c>
      <c r="AN402" t="s">
        <v>558</v>
      </c>
      <c r="AO402" t="s">
        <v>8063</v>
      </c>
      <c r="AP402" t="s">
        <v>8064</v>
      </c>
      <c r="AQ402" t="s">
        <v>74</v>
      </c>
      <c r="AR402" t="s">
        <v>8065</v>
      </c>
      <c r="AS402" t="s">
        <v>8066</v>
      </c>
      <c r="AT402" t="s">
        <v>420</v>
      </c>
      <c r="AU402">
        <v>2024</v>
      </c>
      <c r="AV402">
        <v>35</v>
      </c>
      <c r="AW402">
        <v>16</v>
      </c>
      <c r="AX402" t="s">
        <v>74</v>
      </c>
      <c r="AY402" t="s">
        <v>74</v>
      </c>
      <c r="AZ402" t="s">
        <v>74</v>
      </c>
      <c r="BA402" t="s">
        <v>74</v>
      </c>
      <c r="BB402">
        <v>1263</v>
      </c>
      <c r="BC402">
        <v>1290</v>
      </c>
      <c r="BD402" t="s">
        <v>74</v>
      </c>
      <c r="BE402" t="s">
        <v>8067</v>
      </c>
      <c r="BF402" t="str">
        <f>HYPERLINK("http://dx.doi.org/10.1177/1045389X241263878","http://dx.doi.org/10.1177/1045389X241263878")</f>
        <v>http://dx.doi.org/10.1177/1045389X241263878</v>
      </c>
      <c r="BG402" t="s">
        <v>74</v>
      </c>
      <c r="BH402" t="s">
        <v>3116</v>
      </c>
      <c r="BI402">
        <v>28</v>
      </c>
      <c r="BJ402" t="s">
        <v>2291</v>
      </c>
      <c r="BK402" t="s">
        <v>182</v>
      </c>
      <c r="BL402" t="s">
        <v>2292</v>
      </c>
      <c r="BM402" t="s">
        <v>8068</v>
      </c>
      <c r="BN402" t="s">
        <v>74</v>
      </c>
      <c r="BO402" t="s">
        <v>74</v>
      </c>
      <c r="BP402" t="s">
        <v>74</v>
      </c>
      <c r="BQ402" t="s">
        <v>74</v>
      </c>
      <c r="BR402" t="s">
        <v>105</v>
      </c>
      <c r="BS402" t="s">
        <v>8069</v>
      </c>
      <c r="BT402" t="str">
        <f>HYPERLINK("https%3A%2F%2Fwww.webofscience.com%2Fwos%2Fwoscc%2Ffull-record%2FWOS:001284864300001","View Full Record in Web of Science")</f>
        <v>View Full Record in Web of Science</v>
      </c>
    </row>
    <row r="403" spans="1:72" x14ac:dyDescent="0.25">
      <c r="A403" t="s">
        <v>72</v>
      </c>
      <c r="B403" t="s">
        <v>8070</v>
      </c>
      <c r="C403" t="s">
        <v>74</v>
      </c>
      <c r="D403" t="s">
        <v>74</v>
      </c>
      <c r="E403" t="s">
        <v>74</v>
      </c>
      <c r="F403" t="s">
        <v>8071</v>
      </c>
      <c r="G403" t="s">
        <v>74</v>
      </c>
      <c r="H403" t="s">
        <v>74</v>
      </c>
      <c r="I403" t="s">
        <v>8072</v>
      </c>
      <c r="J403" t="s">
        <v>8073</v>
      </c>
      <c r="K403" t="s">
        <v>74</v>
      </c>
      <c r="L403" t="s">
        <v>74</v>
      </c>
      <c r="M403" t="s">
        <v>78</v>
      </c>
      <c r="N403" t="s">
        <v>79</v>
      </c>
      <c r="O403" t="s">
        <v>74</v>
      </c>
      <c r="P403" t="s">
        <v>74</v>
      </c>
      <c r="Q403" t="s">
        <v>74</v>
      </c>
      <c r="R403" t="s">
        <v>74</v>
      </c>
      <c r="S403" t="s">
        <v>74</v>
      </c>
      <c r="T403" t="s">
        <v>8074</v>
      </c>
      <c r="U403" t="s">
        <v>8075</v>
      </c>
      <c r="V403" t="s">
        <v>8076</v>
      </c>
      <c r="W403" t="s">
        <v>8077</v>
      </c>
      <c r="X403" t="s">
        <v>8078</v>
      </c>
      <c r="Y403" t="s">
        <v>8079</v>
      </c>
      <c r="Z403" t="s">
        <v>8080</v>
      </c>
      <c r="AA403" t="s">
        <v>8081</v>
      </c>
      <c r="AB403" t="s">
        <v>8082</v>
      </c>
      <c r="AC403" t="s">
        <v>8083</v>
      </c>
      <c r="AD403" t="s">
        <v>8084</v>
      </c>
      <c r="AE403" t="s">
        <v>8085</v>
      </c>
      <c r="AF403" t="s">
        <v>74</v>
      </c>
      <c r="AG403">
        <v>186</v>
      </c>
      <c r="AH403">
        <v>0</v>
      </c>
      <c r="AI403">
        <v>0</v>
      </c>
      <c r="AJ403">
        <v>16</v>
      </c>
      <c r="AK403">
        <v>34</v>
      </c>
      <c r="AL403" t="s">
        <v>172</v>
      </c>
      <c r="AM403" t="s">
        <v>4844</v>
      </c>
      <c r="AN403" t="s">
        <v>4845</v>
      </c>
      <c r="AO403" t="s">
        <v>8086</v>
      </c>
      <c r="AP403" t="s">
        <v>8087</v>
      </c>
      <c r="AQ403" t="s">
        <v>74</v>
      </c>
      <c r="AR403" t="s">
        <v>8088</v>
      </c>
      <c r="AS403" t="s">
        <v>8089</v>
      </c>
      <c r="AT403" t="s">
        <v>634</v>
      </c>
      <c r="AU403">
        <v>2024</v>
      </c>
      <c r="AV403">
        <v>16</v>
      </c>
      <c r="AW403">
        <v>8</v>
      </c>
      <c r="AX403" t="s">
        <v>74</v>
      </c>
      <c r="AY403" t="s">
        <v>74</v>
      </c>
      <c r="AZ403" t="s">
        <v>74</v>
      </c>
      <c r="BA403" t="s">
        <v>74</v>
      </c>
      <c r="BB403">
        <v>1809</v>
      </c>
      <c r="BC403">
        <v>1860</v>
      </c>
      <c r="BD403" t="s">
        <v>74</v>
      </c>
      <c r="BE403" t="s">
        <v>8090</v>
      </c>
      <c r="BF403" t="str">
        <f>HYPERLINK("http://dx.doi.org/10.1007/s12369-024-01160-y","http://dx.doi.org/10.1007/s12369-024-01160-y")</f>
        <v>http://dx.doi.org/10.1007/s12369-024-01160-y</v>
      </c>
      <c r="BG403" t="s">
        <v>74</v>
      </c>
      <c r="BH403" t="s">
        <v>3116</v>
      </c>
      <c r="BI403">
        <v>52</v>
      </c>
      <c r="BJ403" t="s">
        <v>714</v>
      </c>
      <c r="BK403" t="s">
        <v>182</v>
      </c>
      <c r="BL403" t="s">
        <v>714</v>
      </c>
      <c r="BM403" t="s">
        <v>8091</v>
      </c>
      <c r="BN403" t="s">
        <v>74</v>
      </c>
      <c r="BO403" t="s">
        <v>309</v>
      </c>
      <c r="BP403" t="s">
        <v>74</v>
      </c>
      <c r="BQ403" t="s">
        <v>74</v>
      </c>
      <c r="BR403" t="s">
        <v>105</v>
      </c>
      <c r="BS403" t="s">
        <v>8092</v>
      </c>
      <c r="BT403" t="str">
        <f>HYPERLINK("https%3A%2F%2Fwww.webofscience.com%2Fwos%2Fwoscc%2Ffull-record%2FWOS:001275390500001","View Full Record in Web of Science")</f>
        <v>View Full Record in Web of Science</v>
      </c>
    </row>
    <row r="404" spans="1:72" x14ac:dyDescent="0.25">
      <c r="A404" t="s">
        <v>72</v>
      </c>
      <c r="B404" t="s">
        <v>8093</v>
      </c>
      <c r="C404" t="s">
        <v>74</v>
      </c>
      <c r="D404" t="s">
        <v>74</v>
      </c>
      <c r="E404" t="s">
        <v>74</v>
      </c>
      <c r="F404" t="s">
        <v>8094</v>
      </c>
      <c r="G404" t="s">
        <v>74</v>
      </c>
      <c r="H404" t="s">
        <v>74</v>
      </c>
      <c r="I404" t="s">
        <v>8095</v>
      </c>
      <c r="J404" t="s">
        <v>8096</v>
      </c>
      <c r="K404" t="s">
        <v>74</v>
      </c>
      <c r="L404" t="s">
        <v>74</v>
      </c>
      <c r="M404" t="s">
        <v>78</v>
      </c>
      <c r="N404" t="s">
        <v>79</v>
      </c>
      <c r="O404" t="s">
        <v>74</v>
      </c>
      <c r="P404" t="s">
        <v>74</v>
      </c>
      <c r="Q404" t="s">
        <v>74</v>
      </c>
      <c r="R404" t="s">
        <v>74</v>
      </c>
      <c r="S404" t="s">
        <v>74</v>
      </c>
      <c r="T404" t="s">
        <v>8097</v>
      </c>
      <c r="U404" t="s">
        <v>8098</v>
      </c>
      <c r="V404" t="s">
        <v>8099</v>
      </c>
      <c r="W404" t="s">
        <v>8100</v>
      </c>
      <c r="X404" t="s">
        <v>8101</v>
      </c>
      <c r="Y404" t="s">
        <v>8102</v>
      </c>
      <c r="Z404" t="s">
        <v>8103</v>
      </c>
      <c r="AA404" t="s">
        <v>8104</v>
      </c>
      <c r="AB404" t="s">
        <v>74</v>
      </c>
      <c r="AC404" t="s">
        <v>8105</v>
      </c>
      <c r="AD404" t="s">
        <v>8105</v>
      </c>
      <c r="AE404" t="s">
        <v>8106</v>
      </c>
      <c r="AF404" t="s">
        <v>74</v>
      </c>
      <c r="AG404">
        <v>38</v>
      </c>
      <c r="AH404">
        <v>0</v>
      </c>
      <c r="AI404">
        <v>0</v>
      </c>
      <c r="AJ404">
        <v>3</v>
      </c>
      <c r="AK404">
        <v>6</v>
      </c>
      <c r="AL404" t="s">
        <v>274</v>
      </c>
      <c r="AM404" t="s">
        <v>275</v>
      </c>
      <c r="AN404" t="s">
        <v>276</v>
      </c>
      <c r="AO404" t="s">
        <v>8107</v>
      </c>
      <c r="AP404" t="s">
        <v>74</v>
      </c>
      <c r="AQ404" t="s">
        <v>74</v>
      </c>
      <c r="AR404" t="s">
        <v>8108</v>
      </c>
      <c r="AS404" t="s">
        <v>8109</v>
      </c>
      <c r="AT404" t="s">
        <v>8110</v>
      </c>
      <c r="AU404">
        <v>2024</v>
      </c>
      <c r="AV404">
        <v>14</v>
      </c>
      <c r="AW404">
        <v>1</v>
      </c>
      <c r="AX404" t="s">
        <v>74</v>
      </c>
      <c r="AY404" t="s">
        <v>74</v>
      </c>
      <c r="AZ404" t="s">
        <v>74</v>
      </c>
      <c r="BA404" t="s">
        <v>74</v>
      </c>
      <c r="BB404" t="s">
        <v>74</v>
      </c>
      <c r="BC404" t="s">
        <v>74</v>
      </c>
      <c r="BD404">
        <v>52</v>
      </c>
      <c r="BE404" t="s">
        <v>8111</v>
      </c>
      <c r="BF404" t="str">
        <f>HYPERLINK("http://dx.doi.org/10.1186/s13561-024-00523-5","http://dx.doi.org/10.1186/s13561-024-00523-5")</f>
        <v>http://dx.doi.org/10.1186/s13561-024-00523-5</v>
      </c>
      <c r="BG404" t="s">
        <v>74</v>
      </c>
      <c r="BH404" t="s">
        <v>74</v>
      </c>
      <c r="BI404">
        <v>19</v>
      </c>
      <c r="BJ404" t="s">
        <v>8112</v>
      </c>
      <c r="BK404" t="s">
        <v>462</v>
      </c>
      <c r="BL404" t="s">
        <v>8113</v>
      </c>
      <c r="BM404" t="s">
        <v>8114</v>
      </c>
      <c r="BN404">
        <v>39014103</v>
      </c>
      <c r="BO404" t="s">
        <v>355</v>
      </c>
      <c r="BP404" t="s">
        <v>74</v>
      </c>
      <c r="BQ404" t="s">
        <v>74</v>
      </c>
      <c r="BR404" t="s">
        <v>105</v>
      </c>
      <c r="BS404" t="s">
        <v>8115</v>
      </c>
      <c r="BT404" t="str">
        <f>HYPERLINK("https%3A%2F%2Fwww.webofscience.com%2Fwos%2Fwoscc%2Ffull-record%2FWOS:001269892500002","View Full Record in Web of Science")</f>
        <v>View Full Record in Web of Science</v>
      </c>
    </row>
    <row r="405" spans="1:72" x14ac:dyDescent="0.25">
      <c r="A405" t="s">
        <v>72</v>
      </c>
      <c r="B405" t="s">
        <v>8116</v>
      </c>
      <c r="C405" t="s">
        <v>74</v>
      </c>
      <c r="D405" t="s">
        <v>74</v>
      </c>
      <c r="E405" t="s">
        <v>74</v>
      </c>
      <c r="F405" t="s">
        <v>8117</v>
      </c>
      <c r="G405" t="s">
        <v>74</v>
      </c>
      <c r="H405" t="s">
        <v>74</v>
      </c>
      <c r="I405" t="s">
        <v>8118</v>
      </c>
      <c r="J405" t="s">
        <v>7987</v>
      </c>
      <c r="K405" t="s">
        <v>74</v>
      </c>
      <c r="L405" t="s">
        <v>74</v>
      </c>
      <c r="M405" t="s">
        <v>78</v>
      </c>
      <c r="N405" t="s">
        <v>79</v>
      </c>
      <c r="O405" t="s">
        <v>74</v>
      </c>
      <c r="P405" t="s">
        <v>74</v>
      </c>
      <c r="Q405" t="s">
        <v>74</v>
      </c>
      <c r="R405" t="s">
        <v>74</v>
      </c>
      <c r="S405" t="s">
        <v>74</v>
      </c>
      <c r="T405" t="s">
        <v>8119</v>
      </c>
      <c r="U405" t="s">
        <v>8120</v>
      </c>
      <c r="V405" t="s">
        <v>8121</v>
      </c>
      <c r="W405" t="s">
        <v>8122</v>
      </c>
      <c r="X405" t="s">
        <v>7751</v>
      </c>
      <c r="Y405" t="s">
        <v>8123</v>
      </c>
      <c r="Z405" t="s">
        <v>8124</v>
      </c>
      <c r="AA405" t="s">
        <v>8125</v>
      </c>
      <c r="AB405" t="s">
        <v>74</v>
      </c>
      <c r="AC405" t="s">
        <v>7754</v>
      </c>
      <c r="AD405" t="s">
        <v>7755</v>
      </c>
      <c r="AE405" t="s">
        <v>8126</v>
      </c>
      <c r="AF405" t="s">
        <v>74</v>
      </c>
      <c r="AG405">
        <v>78</v>
      </c>
      <c r="AH405">
        <v>0</v>
      </c>
      <c r="AI405">
        <v>0</v>
      </c>
      <c r="AJ405">
        <v>1</v>
      </c>
      <c r="AK405">
        <v>9</v>
      </c>
      <c r="AL405" t="s">
        <v>392</v>
      </c>
      <c r="AM405" t="s">
        <v>393</v>
      </c>
      <c r="AN405" t="s">
        <v>394</v>
      </c>
      <c r="AO405" t="s">
        <v>7996</v>
      </c>
      <c r="AP405" t="s">
        <v>74</v>
      </c>
      <c r="AQ405" t="s">
        <v>74</v>
      </c>
      <c r="AR405" t="s">
        <v>7997</v>
      </c>
      <c r="AS405" t="s">
        <v>7998</v>
      </c>
      <c r="AT405" t="s">
        <v>3826</v>
      </c>
      <c r="AU405">
        <v>2024</v>
      </c>
      <c r="AV405">
        <v>15</v>
      </c>
      <c r="AW405" t="s">
        <v>74</v>
      </c>
      <c r="AX405" t="s">
        <v>74</v>
      </c>
      <c r="AY405" t="s">
        <v>74</v>
      </c>
      <c r="AZ405" t="s">
        <v>74</v>
      </c>
      <c r="BA405" t="s">
        <v>74</v>
      </c>
      <c r="BB405" t="s">
        <v>74</v>
      </c>
      <c r="BC405" t="s">
        <v>74</v>
      </c>
      <c r="BD405">
        <v>1355901</v>
      </c>
      <c r="BE405" t="s">
        <v>8127</v>
      </c>
      <c r="BF405" t="str">
        <f>HYPERLINK("http://dx.doi.org/10.3389/fpsyg.2024.1355901","http://dx.doi.org/10.3389/fpsyg.2024.1355901")</f>
        <v>http://dx.doi.org/10.3389/fpsyg.2024.1355901</v>
      </c>
      <c r="BG405" t="s">
        <v>74</v>
      </c>
      <c r="BH405" t="s">
        <v>74</v>
      </c>
      <c r="BI405">
        <v>13</v>
      </c>
      <c r="BJ405" t="s">
        <v>8001</v>
      </c>
      <c r="BK405" t="s">
        <v>462</v>
      </c>
      <c r="BL405" t="s">
        <v>565</v>
      </c>
      <c r="BM405" t="s">
        <v>8128</v>
      </c>
      <c r="BN405">
        <v>39049952</v>
      </c>
      <c r="BO405" t="s">
        <v>131</v>
      </c>
      <c r="BP405" t="s">
        <v>74</v>
      </c>
      <c r="BQ405" t="s">
        <v>74</v>
      </c>
      <c r="BR405" t="s">
        <v>105</v>
      </c>
      <c r="BS405" t="s">
        <v>8129</v>
      </c>
      <c r="BT405" t="str">
        <f>HYPERLINK("https%3A%2F%2Fwww.webofscience.com%2Fwos%2Fwoscc%2Ffull-record%2FWOS:001275666700001","View Full Record in Web of Science")</f>
        <v>View Full Record in Web of Science</v>
      </c>
    </row>
    <row r="406" spans="1:72" x14ac:dyDescent="0.25">
      <c r="A406" t="s">
        <v>72</v>
      </c>
      <c r="B406" t="s">
        <v>8130</v>
      </c>
      <c r="C406" t="s">
        <v>74</v>
      </c>
      <c r="D406" t="s">
        <v>74</v>
      </c>
      <c r="E406" t="s">
        <v>74</v>
      </c>
      <c r="F406" t="s">
        <v>8131</v>
      </c>
      <c r="G406" t="s">
        <v>74</v>
      </c>
      <c r="H406" t="s">
        <v>74</v>
      </c>
      <c r="I406" t="s">
        <v>8132</v>
      </c>
      <c r="J406" t="s">
        <v>314</v>
      </c>
      <c r="K406" t="s">
        <v>74</v>
      </c>
      <c r="L406" t="s">
        <v>74</v>
      </c>
      <c r="M406" t="s">
        <v>78</v>
      </c>
      <c r="N406" t="s">
        <v>79</v>
      </c>
      <c r="O406" t="s">
        <v>74</v>
      </c>
      <c r="P406" t="s">
        <v>74</v>
      </c>
      <c r="Q406" t="s">
        <v>74</v>
      </c>
      <c r="R406" t="s">
        <v>74</v>
      </c>
      <c r="S406" t="s">
        <v>74</v>
      </c>
      <c r="T406" t="s">
        <v>8133</v>
      </c>
      <c r="U406" t="s">
        <v>8134</v>
      </c>
      <c r="V406" t="s">
        <v>8135</v>
      </c>
      <c r="W406" t="s">
        <v>8136</v>
      </c>
      <c r="X406" t="s">
        <v>8137</v>
      </c>
      <c r="Y406" t="s">
        <v>8138</v>
      </c>
      <c r="Z406" t="s">
        <v>8139</v>
      </c>
      <c r="AA406" t="s">
        <v>8140</v>
      </c>
      <c r="AB406" t="s">
        <v>8141</v>
      </c>
      <c r="AC406" t="s">
        <v>74</v>
      </c>
      <c r="AD406" t="s">
        <v>74</v>
      </c>
      <c r="AE406" t="s">
        <v>74</v>
      </c>
      <c r="AF406" t="s">
        <v>74</v>
      </c>
      <c r="AG406">
        <v>27</v>
      </c>
      <c r="AH406">
        <v>1</v>
      </c>
      <c r="AI406">
        <v>1</v>
      </c>
      <c r="AJ406">
        <v>2</v>
      </c>
      <c r="AK406">
        <v>5</v>
      </c>
      <c r="AL406" t="s">
        <v>120</v>
      </c>
      <c r="AM406" t="s">
        <v>121</v>
      </c>
      <c r="AN406" t="s">
        <v>1221</v>
      </c>
      <c r="AO406" t="s">
        <v>323</v>
      </c>
      <c r="AP406" t="s">
        <v>324</v>
      </c>
      <c r="AQ406" t="s">
        <v>74</v>
      </c>
      <c r="AR406" t="s">
        <v>314</v>
      </c>
      <c r="AS406" t="s">
        <v>325</v>
      </c>
      <c r="AT406" t="s">
        <v>1734</v>
      </c>
      <c r="AU406">
        <v>2024</v>
      </c>
      <c r="AV406">
        <v>60</v>
      </c>
      <c r="AW406">
        <v>7</v>
      </c>
      <c r="AX406" t="s">
        <v>74</v>
      </c>
      <c r="AY406" t="s">
        <v>74</v>
      </c>
      <c r="AZ406" t="s">
        <v>74</v>
      </c>
      <c r="BA406" t="s">
        <v>74</v>
      </c>
      <c r="BB406" t="s">
        <v>74</v>
      </c>
      <c r="BC406" t="s">
        <v>74</v>
      </c>
      <c r="BD406">
        <v>1161</v>
      </c>
      <c r="BE406" t="s">
        <v>8142</v>
      </c>
      <c r="BF406" t="str">
        <f>HYPERLINK("http://dx.doi.org/10.3390/medicina60071161","http://dx.doi.org/10.3390/medicina60071161")</f>
        <v>http://dx.doi.org/10.3390/medicina60071161</v>
      </c>
      <c r="BG406" t="s">
        <v>74</v>
      </c>
      <c r="BH406" t="s">
        <v>74</v>
      </c>
      <c r="BI406">
        <v>12</v>
      </c>
      <c r="BJ406" t="s">
        <v>128</v>
      </c>
      <c r="BK406" t="s">
        <v>182</v>
      </c>
      <c r="BL406" t="s">
        <v>129</v>
      </c>
      <c r="BM406" t="s">
        <v>8143</v>
      </c>
      <c r="BN406">
        <v>39064590</v>
      </c>
      <c r="BO406" t="s">
        <v>8144</v>
      </c>
      <c r="BP406" t="s">
        <v>74</v>
      </c>
      <c r="BQ406" t="s">
        <v>74</v>
      </c>
      <c r="BR406" t="s">
        <v>105</v>
      </c>
      <c r="BS406" t="s">
        <v>8145</v>
      </c>
      <c r="BT406" t="str">
        <f>HYPERLINK("https%3A%2F%2Fwww.webofscience.com%2Fwos%2Fwoscc%2Ffull-record%2FWOS:001277096200001","View Full Record in Web of Science")</f>
        <v>View Full Record in Web of Science</v>
      </c>
    </row>
    <row r="407" spans="1:72" x14ac:dyDescent="0.25">
      <c r="A407" t="s">
        <v>72</v>
      </c>
      <c r="B407" t="s">
        <v>8146</v>
      </c>
      <c r="C407" t="s">
        <v>74</v>
      </c>
      <c r="D407" t="s">
        <v>74</v>
      </c>
      <c r="E407" t="s">
        <v>74</v>
      </c>
      <c r="F407" t="s">
        <v>8147</v>
      </c>
      <c r="G407" t="s">
        <v>74</v>
      </c>
      <c r="H407" t="s">
        <v>74</v>
      </c>
      <c r="I407" t="s">
        <v>8148</v>
      </c>
      <c r="J407" t="s">
        <v>8149</v>
      </c>
      <c r="K407" t="s">
        <v>74</v>
      </c>
      <c r="L407" t="s">
        <v>74</v>
      </c>
      <c r="M407" t="s">
        <v>78</v>
      </c>
      <c r="N407" t="s">
        <v>79</v>
      </c>
      <c r="O407" t="s">
        <v>74</v>
      </c>
      <c r="P407" t="s">
        <v>74</v>
      </c>
      <c r="Q407" t="s">
        <v>74</v>
      </c>
      <c r="R407" t="s">
        <v>74</v>
      </c>
      <c r="S407" t="s">
        <v>74</v>
      </c>
      <c r="T407" t="s">
        <v>8150</v>
      </c>
      <c r="U407" t="s">
        <v>8151</v>
      </c>
      <c r="V407" t="s">
        <v>8152</v>
      </c>
      <c r="W407" t="s">
        <v>8153</v>
      </c>
      <c r="X407" t="s">
        <v>74</v>
      </c>
      <c r="Y407" t="s">
        <v>8154</v>
      </c>
      <c r="Z407" t="s">
        <v>8155</v>
      </c>
      <c r="AA407" t="s">
        <v>74</v>
      </c>
      <c r="AB407" t="s">
        <v>74</v>
      </c>
      <c r="AC407" t="s">
        <v>74</v>
      </c>
      <c r="AD407" t="s">
        <v>74</v>
      </c>
      <c r="AE407" t="s">
        <v>74</v>
      </c>
      <c r="AF407" t="s">
        <v>74</v>
      </c>
      <c r="AG407">
        <v>67</v>
      </c>
      <c r="AH407">
        <v>1</v>
      </c>
      <c r="AI407">
        <v>1</v>
      </c>
      <c r="AJ407">
        <v>8</v>
      </c>
      <c r="AK407">
        <v>8</v>
      </c>
      <c r="AL407" t="s">
        <v>504</v>
      </c>
      <c r="AM407" t="s">
        <v>505</v>
      </c>
      <c r="AN407" t="s">
        <v>506</v>
      </c>
      <c r="AO407" t="s">
        <v>8156</v>
      </c>
      <c r="AP407" t="s">
        <v>8157</v>
      </c>
      <c r="AQ407" t="s">
        <v>74</v>
      </c>
      <c r="AR407" t="s">
        <v>8158</v>
      </c>
      <c r="AS407" t="s">
        <v>8159</v>
      </c>
      <c r="AT407" t="s">
        <v>2033</v>
      </c>
      <c r="AU407">
        <v>2024</v>
      </c>
      <c r="AV407">
        <v>51</v>
      </c>
      <c r="AW407">
        <v>3</v>
      </c>
      <c r="AX407" t="s">
        <v>74</v>
      </c>
      <c r="AY407" t="s">
        <v>74</v>
      </c>
      <c r="AZ407" t="s">
        <v>74</v>
      </c>
      <c r="BA407" t="s">
        <v>74</v>
      </c>
      <c r="BB407">
        <v>340</v>
      </c>
      <c r="BC407">
        <v>346</v>
      </c>
      <c r="BD407" t="s">
        <v>74</v>
      </c>
      <c r="BE407" t="s">
        <v>8160</v>
      </c>
      <c r="BF407" t="str">
        <f>HYPERLINK("http://dx.doi.org/10.4103/jss.jss_392_23","http://dx.doi.org/10.4103/jss.jss_392_23")</f>
        <v>http://dx.doi.org/10.4103/jss.jss_392_23</v>
      </c>
      <c r="BG407" t="s">
        <v>74</v>
      </c>
      <c r="BH407" t="s">
        <v>74</v>
      </c>
      <c r="BI407">
        <v>7</v>
      </c>
      <c r="BJ407" t="s">
        <v>128</v>
      </c>
      <c r="BK407" t="s">
        <v>155</v>
      </c>
      <c r="BL407" t="s">
        <v>129</v>
      </c>
      <c r="BM407" t="s">
        <v>8161</v>
      </c>
      <c r="BN407" t="s">
        <v>74</v>
      </c>
      <c r="BO407" t="s">
        <v>185</v>
      </c>
      <c r="BP407" t="s">
        <v>74</v>
      </c>
      <c r="BQ407" t="s">
        <v>74</v>
      </c>
      <c r="BR407" t="s">
        <v>105</v>
      </c>
      <c r="BS407" t="s">
        <v>8162</v>
      </c>
      <c r="BT407" t="str">
        <f>HYPERLINK("https%3A%2F%2Fwww.webofscience.com%2Fwos%2Fwoscc%2Ffull-record%2FWOS:001375020600011","View Full Record in Web of Science")</f>
        <v>View Full Record in Web of Science</v>
      </c>
    </row>
    <row r="408" spans="1:72" x14ac:dyDescent="0.25">
      <c r="A408" t="s">
        <v>72</v>
      </c>
      <c r="B408" t="s">
        <v>8163</v>
      </c>
      <c r="C408" t="s">
        <v>74</v>
      </c>
      <c r="D408" t="s">
        <v>74</v>
      </c>
      <c r="E408" t="s">
        <v>74</v>
      </c>
      <c r="F408" t="s">
        <v>8164</v>
      </c>
      <c r="G408" t="s">
        <v>74</v>
      </c>
      <c r="H408" t="s">
        <v>74</v>
      </c>
      <c r="I408" t="s">
        <v>8165</v>
      </c>
      <c r="J408" t="s">
        <v>2091</v>
      </c>
      <c r="K408" t="s">
        <v>74</v>
      </c>
      <c r="L408" t="s">
        <v>74</v>
      </c>
      <c r="M408" t="s">
        <v>78</v>
      </c>
      <c r="N408" t="s">
        <v>79</v>
      </c>
      <c r="O408" t="s">
        <v>74</v>
      </c>
      <c r="P408" t="s">
        <v>74</v>
      </c>
      <c r="Q408" t="s">
        <v>74</v>
      </c>
      <c r="R408" t="s">
        <v>74</v>
      </c>
      <c r="S408" t="s">
        <v>74</v>
      </c>
      <c r="T408" t="s">
        <v>8166</v>
      </c>
      <c r="U408" t="s">
        <v>8167</v>
      </c>
      <c r="V408" t="s">
        <v>8168</v>
      </c>
      <c r="W408" t="s">
        <v>8169</v>
      </c>
      <c r="X408" t="s">
        <v>8170</v>
      </c>
      <c r="Y408" t="s">
        <v>8171</v>
      </c>
      <c r="Z408" t="s">
        <v>8172</v>
      </c>
      <c r="AA408" t="s">
        <v>8173</v>
      </c>
      <c r="AB408" t="s">
        <v>8174</v>
      </c>
      <c r="AC408" t="s">
        <v>8175</v>
      </c>
      <c r="AD408" t="s">
        <v>8176</v>
      </c>
      <c r="AE408" t="s">
        <v>8177</v>
      </c>
      <c r="AF408" t="s">
        <v>74</v>
      </c>
      <c r="AG408">
        <v>89</v>
      </c>
      <c r="AH408">
        <v>10</v>
      </c>
      <c r="AI408">
        <v>10</v>
      </c>
      <c r="AJ408">
        <v>32</v>
      </c>
      <c r="AK408">
        <v>64</v>
      </c>
      <c r="AL408" t="s">
        <v>120</v>
      </c>
      <c r="AM408" t="s">
        <v>121</v>
      </c>
      <c r="AN408" t="s">
        <v>122</v>
      </c>
      <c r="AO408" t="s">
        <v>74</v>
      </c>
      <c r="AP408" t="s">
        <v>2104</v>
      </c>
      <c r="AQ408" t="s">
        <v>74</v>
      </c>
      <c r="AR408" t="s">
        <v>2105</v>
      </c>
      <c r="AS408" t="s">
        <v>2106</v>
      </c>
      <c r="AT408" t="s">
        <v>1734</v>
      </c>
      <c r="AU408">
        <v>2024</v>
      </c>
      <c r="AV408">
        <v>14</v>
      </c>
      <c r="AW408">
        <v>14</v>
      </c>
      <c r="AX408" t="s">
        <v>74</v>
      </c>
      <c r="AY408" t="s">
        <v>74</v>
      </c>
      <c r="AZ408" t="s">
        <v>74</v>
      </c>
      <c r="BA408" t="s">
        <v>74</v>
      </c>
      <c r="BB408" t="s">
        <v>74</v>
      </c>
      <c r="BC408" t="s">
        <v>74</v>
      </c>
      <c r="BD408">
        <v>6347</v>
      </c>
      <c r="BE408" t="s">
        <v>8178</v>
      </c>
      <c r="BF408" t="str">
        <f>HYPERLINK("http://dx.doi.org/10.3390/app14146347","http://dx.doi.org/10.3390/app14146347")</f>
        <v>http://dx.doi.org/10.3390/app14146347</v>
      </c>
      <c r="BG408" t="s">
        <v>74</v>
      </c>
      <c r="BH408" t="s">
        <v>74</v>
      </c>
      <c r="BI408">
        <v>19</v>
      </c>
      <c r="BJ408" t="s">
        <v>2109</v>
      </c>
      <c r="BK408" t="s">
        <v>182</v>
      </c>
      <c r="BL408" t="s">
        <v>2110</v>
      </c>
      <c r="BM408" t="s">
        <v>8179</v>
      </c>
      <c r="BN408" t="s">
        <v>74</v>
      </c>
      <c r="BO408" t="s">
        <v>185</v>
      </c>
      <c r="BP408" t="s">
        <v>74</v>
      </c>
      <c r="BQ408" t="s">
        <v>74</v>
      </c>
      <c r="BR408" t="s">
        <v>105</v>
      </c>
      <c r="BS408" t="s">
        <v>8180</v>
      </c>
      <c r="BT408" t="str">
        <f>HYPERLINK("https%3A%2F%2Fwww.webofscience.com%2Fwos%2Fwoscc%2Ffull-record%2FWOS:001276764100001","View Full Record in Web of Science")</f>
        <v>View Full Record in Web of Science</v>
      </c>
    </row>
    <row r="409" spans="1:72" x14ac:dyDescent="0.25">
      <c r="A409" t="s">
        <v>72</v>
      </c>
      <c r="B409" t="s">
        <v>8181</v>
      </c>
      <c r="C409" t="s">
        <v>74</v>
      </c>
      <c r="D409" t="s">
        <v>74</v>
      </c>
      <c r="E409" t="s">
        <v>74</v>
      </c>
      <c r="F409" t="s">
        <v>8182</v>
      </c>
      <c r="G409" t="s">
        <v>74</v>
      </c>
      <c r="H409" t="s">
        <v>74</v>
      </c>
      <c r="I409" t="s">
        <v>8183</v>
      </c>
      <c r="J409" t="s">
        <v>3535</v>
      </c>
      <c r="K409" t="s">
        <v>74</v>
      </c>
      <c r="L409" t="s">
        <v>74</v>
      </c>
      <c r="M409" t="s">
        <v>78</v>
      </c>
      <c r="N409" t="s">
        <v>79</v>
      </c>
      <c r="O409" t="s">
        <v>74</v>
      </c>
      <c r="P409" t="s">
        <v>74</v>
      </c>
      <c r="Q409" t="s">
        <v>74</v>
      </c>
      <c r="R409" t="s">
        <v>74</v>
      </c>
      <c r="S409" t="s">
        <v>74</v>
      </c>
      <c r="T409" t="s">
        <v>8184</v>
      </c>
      <c r="U409" t="s">
        <v>8185</v>
      </c>
      <c r="V409" t="s">
        <v>8186</v>
      </c>
      <c r="W409" t="s">
        <v>8187</v>
      </c>
      <c r="X409" t="s">
        <v>8188</v>
      </c>
      <c r="Y409" t="s">
        <v>8189</v>
      </c>
      <c r="Z409" t="s">
        <v>8190</v>
      </c>
      <c r="AA409" t="s">
        <v>8191</v>
      </c>
      <c r="AB409" t="s">
        <v>74</v>
      </c>
      <c r="AC409" t="s">
        <v>8192</v>
      </c>
      <c r="AD409" t="s">
        <v>8193</v>
      </c>
      <c r="AE409" t="s">
        <v>8194</v>
      </c>
      <c r="AF409" t="s">
        <v>74</v>
      </c>
      <c r="AG409">
        <v>108</v>
      </c>
      <c r="AH409">
        <v>6</v>
      </c>
      <c r="AI409">
        <v>7</v>
      </c>
      <c r="AJ409">
        <v>17</v>
      </c>
      <c r="AK409">
        <v>43</v>
      </c>
      <c r="AL409" t="s">
        <v>3545</v>
      </c>
      <c r="AM409" t="s">
        <v>3546</v>
      </c>
      <c r="AN409" t="s">
        <v>3547</v>
      </c>
      <c r="AO409" t="s">
        <v>74</v>
      </c>
      <c r="AP409" t="s">
        <v>3548</v>
      </c>
      <c r="AQ409" t="s">
        <v>74</v>
      </c>
      <c r="AR409" t="s">
        <v>3549</v>
      </c>
      <c r="AS409" t="s">
        <v>3550</v>
      </c>
      <c r="AT409" t="s">
        <v>8195</v>
      </c>
      <c r="AU409">
        <v>2024</v>
      </c>
      <c r="AV409">
        <v>30</v>
      </c>
      <c r="AW409" t="s">
        <v>74</v>
      </c>
      <c r="AX409" t="s">
        <v>74</v>
      </c>
      <c r="AY409" t="s">
        <v>74</v>
      </c>
      <c r="AZ409" t="s">
        <v>74</v>
      </c>
      <c r="BA409" t="s">
        <v>74</v>
      </c>
      <c r="BB409" t="s">
        <v>74</v>
      </c>
      <c r="BC409" t="s">
        <v>74</v>
      </c>
      <c r="BD409" t="s">
        <v>8196</v>
      </c>
      <c r="BE409" t="s">
        <v>8197</v>
      </c>
      <c r="BF409" t="str">
        <f>HYPERLINK("http://dx.doi.org/10.12659/MSM.943785","http://dx.doi.org/10.12659/MSM.943785")</f>
        <v>http://dx.doi.org/10.12659/MSM.943785</v>
      </c>
      <c r="BG409" t="s">
        <v>74</v>
      </c>
      <c r="BH409" t="s">
        <v>74</v>
      </c>
      <c r="BI409">
        <v>10</v>
      </c>
      <c r="BJ409" t="s">
        <v>738</v>
      </c>
      <c r="BK409" t="s">
        <v>182</v>
      </c>
      <c r="BL409" t="s">
        <v>739</v>
      </c>
      <c r="BM409" t="s">
        <v>8198</v>
      </c>
      <c r="BN409">
        <v>38879751</v>
      </c>
      <c r="BO409" t="s">
        <v>662</v>
      </c>
      <c r="BP409" t="s">
        <v>74</v>
      </c>
      <c r="BQ409" t="s">
        <v>74</v>
      </c>
      <c r="BR409" t="s">
        <v>105</v>
      </c>
      <c r="BS409" t="s">
        <v>8199</v>
      </c>
      <c r="BT409" t="str">
        <f>HYPERLINK("https%3A%2F%2Fwww.webofscience.com%2Fwos%2Fwoscc%2Ffull-record%2FWOS:001248750000001","View Full Record in Web of Science")</f>
        <v>View Full Record in Web of Science</v>
      </c>
    </row>
    <row r="410" spans="1:72" x14ac:dyDescent="0.25">
      <c r="A410" t="s">
        <v>72</v>
      </c>
      <c r="B410" t="s">
        <v>8200</v>
      </c>
      <c r="C410" t="s">
        <v>74</v>
      </c>
      <c r="D410" t="s">
        <v>74</v>
      </c>
      <c r="E410" t="s">
        <v>74</v>
      </c>
      <c r="F410" t="s">
        <v>8201</v>
      </c>
      <c r="G410" t="s">
        <v>74</v>
      </c>
      <c r="H410" t="s">
        <v>74</v>
      </c>
      <c r="I410" t="s">
        <v>8202</v>
      </c>
      <c r="J410" t="s">
        <v>986</v>
      </c>
      <c r="K410" t="s">
        <v>74</v>
      </c>
      <c r="L410" t="s">
        <v>74</v>
      </c>
      <c r="M410" t="s">
        <v>78</v>
      </c>
      <c r="N410" t="s">
        <v>79</v>
      </c>
      <c r="O410" t="s">
        <v>74</v>
      </c>
      <c r="P410" t="s">
        <v>74</v>
      </c>
      <c r="Q410" t="s">
        <v>74</v>
      </c>
      <c r="R410" t="s">
        <v>74</v>
      </c>
      <c r="S410" t="s">
        <v>74</v>
      </c>
      <c r="T410" t="s">
        <v>8203</v>
      </c>
      <c r="U410" t="s">
        <v>8204</v>
      </c>
      <c r="V410" t="s">
        <v>8205</v>
      </c>
      <c r="W410" t="s">
        <v>8206</v>
      </c>
      <c r="X410" t="s">
        <v>8207</v>
      </c>
      <c r="Y410" t="s">
        <v>8208</v>
      </c>
      <c r="Z410" t="s">
        <v>8209</v>
      </c>
      <c r="AA410" t="s">
        <v>74</v>
      </c>
      <c r="AB410" t="s">
        <v>74</v>
      </c>
      <c r="AC410" t="s">
        <v>74</v>
      </c>
      <c r="AD410" t="s">
        <v>74</v>
      </c>
      <c r="AE410" t="s">
        <v>74</v>
      </c>
      <c r="AF410" t="s">
        <v>74</v>
      </c>
      <c r="AG410">
        <v>146</v>
      </c>
      <c r="AH410">
        <v>2</v>
      </c>
      <c r="AI410">
        <v>2</v>
      </c>
      <c r="AJ410">
        <v>0</v>
      </c>
      <c r="AK410">
        <v>4</v>
      </c>
      <c r="AL410" t="s">
        <v>996</v>
      </c>
      <c r="AM410" t="s">
        <v>275</v>
      </c>
      <c r="AN410" t="s">
        <v>997</v>
      </c>
      <c r="AO410" t="s">
        <v>74</v>
      </c>
      <c r="AP410" t="s">
        <v>998</v>
      </c>
      <c r="AQ410" t="s">
        <v>74</v>
      </c>
      <c r="AR410" t="s">
        <v>999</v>
      </c>
      <c r="AS410" t="s">
        <v>1000</v>
      </c>
      <c r="AT410" t="s">
        <v>8210</v>
      </c>
      <c r="AU410">
        <v>2024</v>
      </c>
      <c r="AV410">
        <v>16</v>
      </c>
      <c r="AW410">
        <v>6</v>
      </c>
      <c r="AX410" t="s">
        <v>74</v>
      </c>
      <c r="AY410" t="s">
        <v>74</v>
      </c>
      <c r="AZ410" t="s">
        <v>74</v>
      </c>
      <c r="BA410" t="s">
        <v>74</v>
      </c>
      <c r="BB410" t="s">
        <v>74</v>
      </c>
      <c r="BC410" t="s">
        <v>74</v>
      </c>
      <c r="BD410" t="s">
        <v>8211</v>
      </c>
      <c r="BE410" t="s">
        <v>8212</v>
      </c>
      <c r="BF410" t="str">
        <f>HYPERLINK("http://dx.doi.org/10.7759/cureus.62242","http://dx.doi.org/10.7759/cureus.62242")</f>
        <v>http://dx.doi.org/10.7759/cureus.62242</v>
      </c>
      <c r="BG410" t="s">
        <v>74</v>
      </c>
      <c r="BH410" t="s">
        <v>74</v>
      </c>
      <c r="BI410">
        <v>20</v>
      </c>
      <c r="BJ410" t="s">
        <v>128</v>
      </c>
      <c r="BK410" t="s">
        <v>155</v>
      </c>
      <c r="BL410" t="s">
        <v>129</v>
      </c>
      <c r="BM410" t="s">
        <v>8213</v>
      </c>
      <c r="BN410">
        <v>39006616</v>
      </c>
      <c r="BO410" t="s">
        <v>355</v>
      </c>
      <c r="BP410" t="s">
        <v>74</v>
      </c>
      <c r="BQ410" t="s">
        <v>74</v>
      </c>
      <c r="BR410" t="s">
        <v>105</v>
      </c>
      <c r="BS410" t="s">
        <v>8214</v>
      </c>
      <c r="BT410" t="str">
        <f>HYPERLINK("https%3A%2F%2Fwww.webofscience.com%2Fwos%2Fwoscc%2Ffull-record%2FWOS:001258650100009","View Full Record in Web of Science")</f>
        <v>View Full Record in Web of Science</v>
      </c>
    </row>
    <row r="411" spans="1:72" x14ac:dyDescent="0.25">
      <c r="A411" t="s">
        <v>72</v>
      </c>
      <c r="B411" t="s">
        <v>8215</v>
      </c>
      <c r="C411" t="s">
        <v>74</v>
      </c>
      <c r="D411" t="s">
        <v>74</v>
      </c>
      <c r="E411" t="s">
        <v>74</v>
      </c>
      <c r="F411" t="s">
        <v>8216</v>
      </c>
      <c r="G411" t="s">
        <v>74</v>
      </c>
      <c r="H411" t="s">
        <v>74</v>
      </c>
      <c r="I411" t="s">
        <v>8217</v>
      </c>
      <c r="J411" t="s">
        <v>1759</v>
      </c>
      <c r="K411" t="s">
        <v>74</v>
      </c>
      <c r="L411" t="s">
        <v>74</v>
      </c>
      <c r="M411" t="s">
        <v>78</v>
      </c>
      <c r="N411" t="s">
        <v>79</v>
      </c>
      <c r="O411" t="s">
        <v>74</v>
      </c>
      <c r="P411" t="s">
        <v>74</v>
      </c>
      <c r="Q411" t="s">
        <v>74</v>
      </c>
      <c r="R411" t="s">
        <v>74</v>
      </c>
      <c r="S411" t="s">
        <v>74</v>
      </c>
      <c r="T411" t="s">
        <v>8218</v>
      </c>
      <c r="U411" t="s">
        <v>8219</v>
      </c>
      <c r="V411" t="s">
        <v>8220</v>
      </c>
      <c r="W411" t="s">
        <v>8221</v>
      </c>
      <c r="X411" t="s">
        <v>8222</v>
      </c>
      <c r="Y411" t="s">
        <v>8223</v>
      </c>
      <c r="Z411" t="s">
        <v>8224</v>
      </c>
      <c r="AA411" t="s">
        <v>8225</v>
      </c>
      <c r="AB411" t="s">
        <v>8226</v>
      </c>
      <c r="AC411" t="s">
        <v>74</v>
      </c>
      <c r="AD411" t="s">
        <v>74</v>
      </c>
      <c r="AE411" t="s">
        <v>74</v>
      </c>
      <c r="AF411" t="s">
        <v>74</v>
      </c>
      <c r="AG411">
        <v>63</v>
      </c>
      <c r="AH411">
        <v>3</v>
      </c>
      <c r="AI411">
        <v>3</v>
      </c>
      <c r="AJ411">
        <v>7</v>
      </c>
      <c r="AK411">
        <v>16</v>
      </c>
      <c r="AL411" t="s">
        <v>1769</v>
      </c>
      <c r="AM411" t="s">
        <v>1770</v>
      </c>
      <c r="AN411" t="s">
        <v>1771</v>
      </c>
      <c r="AO411" t="s">
        <v>1772</v>
      </c>
      <c r="AP411" t="s">
        <v>1773</v>
      </c>
      <c r="AQ411" t="s">
        <v>74</v>
      </c>
      <c r="AR411" t="s">
        <v>1774</v>
      </c>
      <c r="AS411" t="s">
        <v>1775</v>
      </c>
      <c r="AT411" t="s">
        <v>126</v>
      </c>
      <c r="AU411">
        <v>2024</v>
      </c>
      <c r="AV411">
        <v>45</v>
      </c>
      <c r="AW411">
        <v>11</v>
      </c>
      <c r="AX411" t="s">
        <v>74</v>
      </c>
      <c r="AY411" t="s">
        <v>74</v>
      </c>
      <c r="AZ411" t="s">
        <v>74</v>
      </c>
      <c r="BA411" t="s">
        <v>74</v>
      </c>
      <c r="BB411">
        <v>5141</v>
      </c>
      <c r="BC411">
        <v>5155</v>
      </c>
      <c r="BD411" t="s">
        <v>74</v>
      </c>
      <c r="BE411" t="s">
        <v>8227</v>
      </c>
      <c r="BF411" t="str">
        <f>HYPERLINK("http://dx.doi.org/10.1007/s10072-024-07628-z","http://dx.doi.org/10.1007/s10072-024-07628-z")</f>
        <v>http://dx.doi.org/10.1007/s10072-024-07628-z</v>
      </c>
      <c r="BG411" t="s">
        <v>74</v>
      </c>
      <c r="BH411" t="s">
        <v>4976</v>
      </c>
      <c r="BI411">
        <v>15</v>
      </c>
      <c r="BJ411" t="s">
        <v>400</v>
      </c>
      <c r="BK411" t="s">
        <v>182</v>
      </c>
      <c r="BL411" t="s">
        <v>375</v>
      </c>
      <c r="BM411" t="s">
        <v>8228</v>
      </c>
      <c r="BN411">
        <v>38837113</v>
      </c>
      <c r="BO411" t="s">
        <v>74</v>
      </c>
      <c r="BP411" t="s">
        <v>74</v>
      </c>
      <c r="BQ411" t="s">
        <v>74</v>
      </c>
      <c r="BR411" t="s">
        <v>105</v>
      </c>
      <c r="BS411" t="s">
        <v>8229</v>
      </c>
      <c r="BT411" t="str">
        <f>HYPERLINK("https%3A%2F%2Fwww.webofscience.com%2Fwos%2Fwoscc%2Ffull-record%2FWOS:001243294800002","View Full Record in Web of Science")</f>
        <v>View Full Record in Web of Science</v>
      </c>
    </row>
    <row r="412" spans="1:72" x14ac:dyDescent="0.25">
      <c r="A412" t="s">
        <v>72</v>
      </c>
      <c r="B412" t="s">
        <v>8230</v>
      </c>
      <c r="C412" t="s">
        <v>74</v>
      </c>
      <c r="D412" t="s">
        <v>74</v>
      </c>
      <c r="E412" t="s">
        <v>74</v>
      </c>
      <c r="F412" t="s">
        <v>8231</v>
      </c>
      <c r="G412" t="s">
        <v>74</v>
      </c>
      <c r="H412" t="s">
        <v>74</v>
      </c>
      <c r="I412" t="s">
        <v>8232</v>
      </c>
      <c r="J412" t="s">
        <v>1759</v>
      </c>
      <c r="K412" t="s">
        <v>74</v>
      </c>
      <c r="L412" t="s">
        <v>74</v>
      </c>
      <c r="M412" t="s">
        <v>78</v>
      </c>
      <c r="N412" t="s">
        <v>79</v>
      </c>
      <c r="O412" t="s">
        <v>74</v>
      </c>
      <c r="P412" t="s">
        <v>74</v>
      </c>
      <c r="Q412" t="s">
        <v>74</v>
      </c>
      <c r="R412" t="s">
        <v>74</v>
      </c>
      <c r="S412" t="s">
        <v>74</v>
      </c>
      <c r="T412" t="s">
        <v>8233</v>
      </c>
      <c r="U412" t="s">
        <v>8234</v>
      </c>
      <c r="V412" t="s">
        <v>8235</v>
      </c>
      <c r="W412" t="s">
        <v>8236</v>
      </c>
      <c r="X412" t="s">
        <v>8222</v>
      </c>
      <c r="Y412" t="s">
        <v>8237</v>
      </c>
      <c r="Z412" t="s">
        <v>8224</v>
      </c>
      <c r="AA412" t="s">
        <v>8225</v>
      </c>
      <c r="AB412" t="s">
        <v>8226</v>
      </c>
      <c r="AC412" t="s">
        <v>74</v>
      </c>
      <c r="AD412" t="s">
        <v>74</v>
      </c>
      <c r="AE412" t="s">
        <v>74</v>
      </c>
      <c r="AF412" t="s">
        <v>74</v>
      </c>
      <c r="AG412">
        <v>55</v>
      </c>
      <c r="AH412">
        <v>3</v>
      </c>
      <c r="AI412">
        <v>3</v>
      </c>
      <c r="AJ412">
        <v>8</v>
      </c>
      <c r="AK412">
        <v>13</v>
      </c>
      <c r="AL412" t="s">
        <v>1769</v>
      </c>
      <c r="AM412" t="s">
        <v>1770</v>
      </c>
      <c r="AN412" t="s">
        <v>1771</v>
      </c>
      <c r="AO412" t="s">
        <v>1772</v>
      </c>
      <c r="AP412" t="s">
        <v>1773</v>
      </c>
      <c r="AQ412" t="s">
        <v>74</v>
      </c>
      <c r="AR412" t="s">
        <v>1774</v>
      </c>
      <c r="AS412" t="s">
        <v>1775</v>
      </c>
      <c r="AT412" t="s">
        <v>1888</v>
      </c>
      <c r="AU412">
        <v>2024</v>
      </c>
      <c r="AV412">
        <v>45</v>
      </c>
      <c r="AW412">
        <v>10</v>
      </c>
      <c r="AX412" t="s">
        <v>74</v>
      </c>
      <c r="AY412" t="s">
        <v>74</v>
      </c>
      <c r="AZ412" t="s">
        <v>74</v>
      </c>
      <c r="BA412" t="s">
        <v>74</v>
      </c>
      <c r="BB412">
        <v>4721</v>
      </c>
      <c r="BC412">
        <v>4739</v>
      </c>
      <c r="BD412" t="s">
        <v>74</v>
      </c>
      <c r="BE412" t="s">
        <v>8238</v>
      </c>
      <c r="BF412" t="str">
        <f>HYPERLINK("http://dx.doi.org/10.1007/s10072-024-07618-1","http://dx.doi.org/10.1007/s10072-024-07618-1")</f>
        <v>http://dx.doi.org/10.1007/s10072-024-07618-1</v>
      </c>
      <c r="BG412" t="s">
        <v>74</v>
      </c>
      <c r="BH412" t="s">
        <v>4976</v>
      </c>
      <c r="BI412">
        <v>19</v>
      </c>
      <c r="BJ412" t="s">
        <v>400</v>
      </c>
      <c r="BK412" t="s">
        <v>182</v>
      </c>
      <c r="BL412" t="s">
        <v>375</v>
      </c>
      <c r="BM412" t="s">
        <v>8239</v>
      </c>
      <c r="BN412">
        <v>38829579</v>
      </c>
      <c r="BO412" t="s">
        <v>74</v>
      </c>
      <c r="BP412" t="s">
        <v>74</v>
      </c>
      <c r="BQ412" t="s">
        <v>74</v>
      </c>
      <c r="BR412" t="s">
        <v>105</v>
      </c>
      <c r="BS412" t="s">
        <v>8240</v>
      </c>
      <c r="BT412" t="str">
        <f>HYPERLINK("https%3A%2F%2Fwww.webofscience.com%2Fwos%2Fwoscc%2Ffull-record%2FWOS:001238160300002","View Full Record in Web of Science")</f>
        <v>View Full Record in Web of Science</v>
      </c>
    </row>
    <row r="413" spans="1:72" x14ac:dyDescent="0.25">
      <c r="A413" t="s">
        <v>72</v>
      </c>
      <c r="B413" t="s">
        <v>8241</v>
      </c>
      <c r="C413" t="s">
        <v>74</v>
      </c>
      <c r="D413" t="s">
        <v>74</v>
      </c>
      <c r="E413" t="s">
        <v>74</v>
      </c>
      <c r="F413" t="s">
        <v>8242</v>
      </c>
      <c r="G413" t="s">
        <v>74</v>
      </c>
      <c r="H413" t="s">
        <v>74</v>
      </c>
      <c r="I413" t="s">
        <v>8243</v>
      </c>
      <c r="J413" t="s">
        <v>8244</v>
      </c>
      <c r="K413" t="s">
        <v>74</v>
      </c>
      <c r="L413" t="s">
        <v>74</v>
      </c>
      <c r="M413" t="s">
        <v>78</v>
      </c>
      <c r="N413" t="s">
        <v>79</v>
      </c>
      <c r="O413" t="s">
        <v>74</v>
      </c>
      <c r="P413" t="s">
        <v>74</v>
      </c>
      <c r="Q413" t="s">
        <v>74</v>
      </c>
      <c r="R413" t="s">
        <v>74</v>
      </c>
      <c r="S413" t="s">
        <v>74</v>
      </c>
      <c r="T413" t="s">
        <v>8245</v>
      </c>
      <c r="U413" t="s">
        <v>8246</v>
      </c>
      <c r="V413" t="s">
        <v>8247</v>
      </c>
      <c r="W413" t="s">
        <v>8248</v>
      </c>
      <c r="X413" t="s">
        <v>8249</v>
      </c>
      <c r="Y413" t="s">
        <v>8250</v>
      </c>
      <c r="Z413" t="s">
        <v>8251</v>
      </c>
      <c r="AA413" t="s">
        <v>8252</v>
      </c>
      <c r="AB413" t="s">
        <v>8253</v>
      </c>
      <c r="AC413" t="s">
        <v>74</v>
      </c>
      <c r="AD413" t="s">
        <v>74</v>
      </c>
      <c r="AE413" t="s">
        <v>74</v>
      </c>
      <c r="AF413" t="s">
        <v>74</v>
      </c>
      <c r="AG413">
        <v>95</v>
      </c>
      <c r="AH413">
        <v>1</v>
      </c>
      <c r="AI413">
        <v>1</v>
      </c>
      <c r="AJ413">
        <v>2</v>
      </c>
      <c r="AK413">
        <v>2</v>
      </c>
      <c r="AL413" t="s">
        <v>202</v>
      </c>
      <c r="AM413" t="s">
        <v>203</v>
      </c>
      <c r="AN413" t="s">
        <v>204</v>
      </c>
      <c r="AO413" t="s">
        <v>8254</v>
      </c>
      <c r="AP413" t="s">
        <v>8255</v>
      </c>
      <c r="AQ413" t="s">
        <v>74</v>
      </c>
      <c r="AR413" t="s">
        <v>8256</v>
      </c>
      <c r="AS413" t="s">
        <v>8257</v>
      </c>
      <c r="AT413" t="s">
        <v>1070</v>
      </c>
      <c r="AU413">
        <v>2024</v>
      </c>
      <c r="AV413">
        <v>75</v>
      </c>
      <c r="AW413">
        <v>3</v>
      </c>
      <c r="AX413" t="s">
        <v>74</v>
      </c>
      <c r="AY413" t="s">
        <v>74</v>
      </c>
      <c r="AZ413" t="s">
        <v>74</v>
      </c>
      <c r="BA413" t="s">
        <v>74</v>
      </c>
      <c r="BB413">
        <v>191</v>
      </c>
      <c r="BC413">
        <v>207</v>
      </c>
      <c r="BD413" t="s">
        <v>74</v>
      </c>
      <c r="BE413" t="s">
        <v>8258</v>
      </c>
      <c r="BF413" t="str">
        <f>HYPERLINK("http://dx.doi.org/10.23736/S2784-8469.24.04429-8","http://dx.doi.org/10.23736/S2784-8469.24.04429-8")</f>
        <v>http://dx.doi.org/10.23736/S2784-8469.24.04429-8</v>
      </c>
      <c r="BG413" t="s">
        <v>74</v>
      </c>
      <c r="BH413" t="s">
        <v>74</v>
      </c>
      <c r="BI413">
        <v>17</v>
      </c>
      <c r="BJ413" t="s">
        <v>443</v>
      </c>
      <c r="BK413" t="s">
        <v>155</v>
      </c>
      <c r="BL413" t="s">
        <v>443</v>
      </c>
      <c r="BM413" t="s">
        <v>8259</v>
      </c>
      <c r="BN413" t="s">
        <v>74</v>
      </c>
      <c r="BO413" t="s">
        <v>74</v>
      </c>
      <c r="BP413" t="s">
        <v>74</v>
      </c>
      <c r="BQ413" t="s">
        <v>74</v>
      </c>
      <c r="BR413" t="s">
        <v>105</v>
      </c>
      <c r="BS413" t="s">
        <v>8260</v>
      </c>
      <c r="BT413" t="str">
        <f>HYPERLINK("https%3A%2F%2Fwww.webofscience.com%2Fwos%2Fwoscc%2Ffull-record%2FWOS:001292083200003","View Full Record in Web of Science")</f>
        <v>View Full Record in Web of Science</v>
      </c>
    </row>
    <row r="414" spans="1:72" x14ac:dyDescent="0.25">
      <c r="A414" t="s">
        <v>72</v>
      </c>
      <c r="B414" t="s">
        <v>8261</v>
      </c>
      <c r="C414" t="s">
        <v>74</v>
      </c>
      <c r="D414" t="s">
        <v>74</v>
      </c>
      <c r="E414" t="s">
        <v>74</v>
      </c>
      <c r="F414" t="s">
        <v>8262</v>
      </c>
      <c r="G414" t="s">
        <v>74</v>
      </c>
      <c r="H414" t="s">
        <v>74</v>
      </c>
      <c r="I414" t="s">
        <v>8263</v>
      </c>
      <c r="J414" t="s">
        <v>2745</v>
      </c>
      <c r="K414" t="s">
        <v>74</v>
      </c>
      <c r="L414" t="s">
        <v>74</v>
      </c>
      <c r="M414" t="s">
        <v>78</v>
      </c>
      <c r="N414" t="s">
        <v>79</v>
      </c>
      <c r="O414" t="s">
        <v>74</v>
      </c>
      <c r="P414" t="s">
        <v>74</v>
      </c>
      <c r="Q414" t="s">
        <v>74</v>
      </c>
      <c r="R414" t="s">
        <v>74</v>
      </c>
      <c r="S414" t="s">
        <v>74</v>
      </c>
      <c r="T414" t="s">
        <v>8264</v>
      </c>
      <c r="U414" t="s">
        <v>74</v>
      </c>
      <c r="V414" t="s">
        <v>8265</v>
      </c>
      <c r="W414" t="s">
        <v>8266</v>
      </c>
      <c r="X414" t="s">
        <v>1764</v>
      </c>
      <c r="Y414" t="s">
        <v>8267</v>
      </c>
      <c r="Z414" t="s">
        <v>8268</v>
      </c>
      <c r="AA414" t="s">
        <v>8269</v>
      </c>
      <c r="AB414" t="s">
        <v>8270</v>
      </c>
      <c r="AC414" t="s">
        <v>8271</v>
      </c>
      <c r="AD414" t="s">
        <v>1565</v>
      </c>
      <c r="AE414" t="s">
        <v>8272</v>
      </c>
      <c r="AF414" t="s">
        <v>74</v>
      </c>
      <c r="AG414">
        <v>94</v>
      </c>
      <c r="AH414">
        <v>4</v>
      </c>
      <c r="AI414">
        <v>4</v>
      </c>
      <c r="AJ414">
        <v>2</v>
      </c>
      <c r="AK414">
        <v>6</v>
      </c>
      <c r="AL414" t="s">
        <v>120</v>
      </c>
      <c r="AM414" t="s">
        <v>121</v>
      </c>
      <c r="AN414" t="s">
        <v>122</v>
      </c>
      <c r="AO414" t="s">
        <v>74</v>
      </c>
      <c r="AP414" t="s">
        <v>2757</v>
      </c>
      <c r="AQ414" t="s">
        <v>74</v>
      </c>
      <c r="AR414" t="s">
        <v>2745</v>
      </c>
      <c r="AS414" t="s">
        <v>2758</v>
      </c>
      <c r="AT414" t="s">
        <v>1070</v>
      </c>
      <c r="AU414">
        <v>2024</v>
      </c>
      <c r="AV414">
        <v>11</v>
      </c>
      <c r="AW414">
        <v>6</v>
      </c>
      <c r="AX414" t="s">
        <v>74</v>
      </c>
      <c r="AY414" t="s">
        <v>74</v>
      </c>
      <c r="AZ414" t="s">
        <v>74</v>
      </c>
      <c r="BA414" t="s">
        <v>74</v>
      </c>
      <c r="BB414" t="s">
        <v>74</v>
      </c>
      <c r="BC414" t="s">
        <v>74</v>
      </c>
      <c r="BD414">
        <v>538</v>
      </c>
      <c r="BE414" t="s">
        <v>8273</v>
      </c>
      <c r="BF414" t="str">
        <f>HYPERLINK("http://dx.doi.org/10.3390/bioengineering11060538","http://dx.doi.org/10.3390/bioengineering11060538")</f>
        <v>http://dx.doi.org/10.3390/bioengineering11060538</v>
      </c>
      <c r="BG414" t="s">
        <v>74</v>
      </c>
      <c r="BH414" t="s">
        <v>74</v>
      </c>
      <c r="BI414">
        <v>23</v>
      </c>
      <c r="BJ414" t="s">
        <v>2760</v>
      </c>
      <c r="BK414" t="s">
        <v>182</v>
      </c>
      <c r="BL414" t="s">
        <v>2761</v>
      </c>
      <c r="BM414" t="s">
        <v>8274</v>
      </c>
      <c r="BN414">
        <v>38927774</v>
      </c>
      <c r="BO414" t="s">
        <v>355</v>
      </c>
      <c r="BP414" t="s">
        <v>74</v>
      </c>
      <c r="BQ414" t="s">
        <v>74</v>
      </c>
      <c r="BR414" t="s">
        <v>105</v>
      </c>
      <c r="BS414" t="s">
        <v>8275</v>
      </c>
      <c r="BT414" t="str">
        <f>HYPERLINK("https%3A%2F%2Fwww.webofscience.com%2Fwos%2Fwoscc%2Ffull-record%2FWOS:001254402900001","View Full Record in Web of Science")</f>
        <v>View Full Record in Web of Science</v>
      </c>
    </row>
    <row r="415" spans="1:72" x14ac:dyDescent="0.25">
      <c r="A415" t="s">
        <v>72</v>
      </c>
      <c r="B415" t="s">
        <v>8276</v>
      </c>
      <c r="C415" t="s">
        <v>74</v>
      </c>
      <c r="D415" t="s">
        <v>74</v>
      </c>
      <c r="E415" t="s">
        <v>74</v>
      </c>
      <c r="F415" t="s">
        <v>8277</v>
      </c>
      <c r="G415" t="s">
        <v>74</v>
      </c>
      <c r="H415" t="s">
        <v>74</v>
      </c>
      <c r="I415" t="s">
        <v>8278</v>
      </c>
      <c r="J415" t="s">
        <v>8279</v>
      </c>
      <c r="K415" t="s">
        <v>74</v>
      </c>
      <c r="L415" t="s">
        <v>74</v>
      </c>
      <c r="M415" t="s">
        <v>78</v>
      </c>
      <c r="N415" t="s">
        <v>79</v>
      </c>
      <c r="O415" t="s">
        <v>74</v>
      </c>
      <c r="P415" t="s">
        <v>74</v>
      </c>
      <c r="Q415" t="s">
        <v>74</v>
      </c>
      <c r="R415" t="s">
        <v>74</v>
      </c>
      <c r="S415" t="s">
        <v>74</v>
      </c>
      <c r="T415" t="s">
        <v>8280</v>
      </c>
      <c r="U415" t="s">
        <v>8281</v>
      </c>
      <c r="V415" t="s">
        <v>8282</v>
      </c>
      <c r="W415" t="s">
        <v>8283</v>
      </c>
      <c r="X415" t="s">
        <v>8284</v>
      </c>
      <c r="Y415" t="s">
        <v>8285</v>
      </c>
      <c r="Z415" t="s">
        <v>8286</v>
      </c>
      <c r="AA415" t="s">
        <v>8287</v>
      </c>
      <c r="AB415" t="s">
        <v>8288</v>
      </c>
      <c r="AC415" t="s">
        <v>74</v>
      </c>
      <c r="AD415" t="s">
        <v>74</v>
      </c>
      <c r="AE415" t="s">
        <v>74</v>
      </c>
      <c r="AF415" t="s">
        <v>74</v>
      </c>
      <c r="AG415">
        <v>39</v>
      </c>
      <c r="AH415">
        <v>1</v>
      </c>
      <c r="AI415">
        <v>1</v>
      </c>
      <c r="AJ415">
        <v>3</v>
      </c>
      <c r="AK415">
        <v>10</v>
      </c>
      <c r="AL415" t="s">
        <v>8289</v>
      </c>
      <c r="AM415" t="s">
        <v>2417</v>
      </c>
      <c r="AN415" t="s">
        <v>8290</v>
      </c>
      <c r="AO415" t="s">
        <v>8291</v>
      </c>
      <c r="AP415" t="s">
        <v>8292</v>
      </c>
      <c r="AQ415" t="s">
        <v>74</v>
      </c>
      <c r="AR415" t="s">
        <v>8293</v>
      </c>
      <c r="AS415" t="s">
        <v>8294</v>
      </c>
      <c r="AT415" t="s">
        <v>1070</v>
      </c>
      <c r="AU415">
        <v>2024</v>
      </c>
      <c r="AV415">
        <v>20</v>
      </c>
      <c r="AW415">
        <v>3</v>
      </c>
      <c r="AX415" t="s">
        <v>74</v>
      </c>
      <c r="AY415" t="s">
        <v>74</v>
      </c>
      <c r="AZ415" t="s">
        <v>74</v>
      </c>
      <c r="BA415" t="s">
        <v>74</v>
      </c>
      <c r="BB415">
        <v>92</v>
      </c>
      <c r="BC415">
        <v>99</v>
      </c>
      <c r="BD415" t="s">
        <v>74</v>
      </c>
      <c r="BE415" t="s">
        <v>8295</v>
      </c>
      <c r="BF415" t="str">
        <f>HYPERLINK("http://dx.doi.org/10.12965/jer.2448186.093","http://dx.doi.org/10.12965/jer.2448186.093")</f>
        <v>http://dx.doi.org/10.12965/jer.2448186.093</v>
      </c>
      <c r="BG415" t="s">
        <v>74</v>
      </c>
      <c r="BH415" t="s">
        <v>74</v>
      </c>
      <c r="BI415">
        <v>8</v>
      </c>
      <c r="BJ415" t="s">
        <v>101</v>
      </c>
      <c r="BK415" t="s">
        <v>155</v>
      </c>
      <c r="BL415" t="s">
        <v>101</v>
      </c>
      <c r="BM415" t="s">
        <v>8296</v>
      </c>
      <c r="BN415">
        <v>38973981</v>
      </c>
      <c r="BO415" t="s">
        <v>185</v>
      </c>
      <c r="BP415" t="s">
        <v>74</v>
      </c>
      <c r="BQ415" t="s">
        <v>74</v>
      </c>
      <c r="BR415" t="s">
        <v>105</v>
      </c>
      <c r="BS415" t="s">
        <v>8297</v>
      </c>
      <c r="BT415" t="str">
        <f>HYPERLINK("https%3A%2F%2Fwww.webofscience.com%2Fwos%2Fwoscc%2Ffull-record%2FWOS:001255350800002","View Full Record in Web of Science")</f>
        <v>View Full Record in Web of Science</v>
      </c>
    </row>
    <row r="416" spans="1:72" x14ac:dyDescent="0.25">
      <c r="A416" t="s">
        <v>72</v>
      </c>
      <c r="B416" t="s">
        <v>8298</v>
      </c>
      <c r="C416" t="s">
        <v>74</v>
      </c>
      <c r="D416" t="s">
        <v>74</v>
      </c>
      <c r="E416" t="s">
        <v>74</v>
      </c>
      <c r="F416" t="s">
        <v>8299</v>
      </c>
      <c r="G416" t="s">
        <v>74</v>
      </c>
      <c r="H416" t="s">
        <v>74</v>
      </c>
      <c r="I416" t="s">
        <v>8300</v>
      </c>
      <c r="J416" t="s">
        <v>2091</v>
      </c>
      <c r="K416" t="s">
        <v>74</v>
      </c>
      <c r="L416" t="s">
        <v>74</v>
      </c>
      <c r="M416" t="s">
        <v>78</v>
      </c>
      <c r="N416" t="s">
        <v>79</v>
      </c>
      <c r="O416" t="s">
        <v>74</v>
      </c>
      <c r="P416" t="s">
        <v>74</v>
      </c>
      <c r="Q416" t="s">
        <v>74</v>
      </c>
      <c r="R416" t="s">
        <v>74</v>
      </c>
      <c r="S416" t="s">
        <v>74</v>
      </c>
      <c r="T416" t="s">
        <v>8301</v>
      </c>
      <c r="U416" t="s">
        <v>8302</v>
      </c>
      <c r="V416" t="s">
        <v>8303</v>
      </c>
      <c r="W416" t="s">
        <v>8304</v>
      </c>
      <c r="X416" t="s">
        <v>8305</v>
      </c>
      <c r="Y416" t="s">
        <v>8306</v>
      </c>
      <c r="Z416" t="s">
        <v>8307</v>
      </c>
      <c r="AA416" t="s">
        <v>8308</v>
      </c>
      <c r="AB416" t="s">
        <v>8309</v>
      </c>
      <c r="AC416" t="s">
        <v>8310</v>
      </c>
      <c r="AD416" t="s">
        <v>8310</v>
      </c>
      <c r="AE416" t="s">
        <v>171</v>
      </c>
      <c r="AF416" t="s">
        <v>74</v>
      </c>
      <c r="AG416">
        <v>138</v>
      </c>
      <c r="AH416">
        <v>2</v>
      </c>
      <c r="AI416">
        <v>2</v>
      </c>
      <c r="AJ416">
        <v>11</v>
      </c>
      <c r="AK416">
        <v>16</v>
      </c>
      <c r="AL416" t="s">
        <v>120</v>
      </c>
      <c r="AM416" t="s">
        <v>121</v>
      </c>
      <c r="AN416" t="s">
        <v>1221</v>
      </c>
      <c r="AO416" t="s">
        <v>74</v>
      </c>
      <c r="AP416" t="s">
        <v>2104</v>
      </c>
      <c r="AQ416" t="s">
        <v>74</v>
      </c>
      <c r="AR416" t="s">
        <v>2105</v>
      </c>
      <c r="AS416" t="s">
        <v>2106</v>
      </c>
      <c r="AT416" t="s">
        <v>1070</v>
      </c>
      <c r="AU416">
        <v>2024</v>
      </c>
      <c r="AV416">
        <v>14</v>
      </c>
      <c r="AW416">
        <v>11</v>
      </c>
      <c r="AX416" t="s">
        <v>74</v>
      </c>
      <c r="AY416" t="s">
        <v>74</v>
      </c>
      <c r="AZ416" t="s">
        <v>74</v>
      </c>
      <c r="BA416" t="s">
        <v>74</v>
      </c>
      <c r="BB416" t="s">
        <v>74</v>
      </c>
      <c r="BC416" t="s">
        <v>74</v>
      </c>
      <c r="BD416">
        <v>4889</v>
      </c>
      <c r="BE416" t="s">
        <v>8311</v>
      </c>
      <c r="BF416" t="str">
        <f>HYPERLINK("http://dx.doi.org/10.3390/app14114889","http://dx.doi.org/10.3390/app14114889")</f>
        <v>http://dx.doi.org/10.3390/app14114889</v>
      </c>
      <c r="BG416" t="s">
        <v>74</v>
      </c>
      <c r="BH416" t="s">
        <v>74</v>
      </c>
      <c r="BI416">
        <v>30</v>
      </c>
      <c r="BJ416" t="s">
        <v>2109</v>
      </c>
      <c r="BK416" t="s">
        <v>182</v>
      </c>
      <c r="BL416" t="s">
        <v>2110</v>
      </c>
      <c r="BM416" t="s">
        <v>8312</v>
      </c>
      <c r="BN416" t="s">
        <v>74</v>
      </c>
      <c r="BO416" t="s">
        <v>185</v>
      </c>
      <c r="BP416" t="s">
        <v>74</v>
      </c>
      <c r="BQ416" t="s">
        <v>74</v>
      </c>
      <c r="BR416" t="s">
        <v>105</v>
      </c>
      <c r="BS416" t="s">
        <v>8313</v>
      </c>
      <c r="BT416" t="str">
        <f>HYPERLINK("https%3A%2F%2Fwww.webofscience.com%2Fwos%2Fwoscc%2Ffull-record%2FWOS:001245605800001","View Full Record in Web of Science")</f>
        <v>View Full Record in Web of Science</v>
      </c>
    </row>
    <row r="417" spans="1:72" x14ac:dyDescent="0.25">
      <c r="A417" t="s">
        <v>72</v>
      </c>
      <c r="B417" t="s">
        <v>8314</v>
      </c>
      <c r="C417" t="s">
        <v>74</v>
      </c>
      <c r="D417" t="s">
        <v>74</v>
      </c>
      <c r="E417" t="s">
        <v>74</v>
      </c>
      <c r="F417" t="s">
        <v>8315</v>
      </c>
      <c r="G417" t="s">
        <v>74</v>
      </c>
      <c r="H417" t="s">
        <v>74</v>
      </c>
      <c r="I417" t="s">
        <v>8316</v>
      </c>
      <c r="J417" t="s">
        <v>8317</v>
      </c>
      <c r="K417" t="s">
        <v>74</v>
      </c>
      <c r="L417" t="s">
        <v>74</v>
      </c>
      <c r="M417" t="s">
        <v>78</v>
      </c>
      <c r="N417" t="s">
        <v>79</v>
      </c>
      <c r="O417" t="s">
        <v>74</v>
      </c>
      <c r="P417" t="s">
        <v>74</v>
      </c>
      <c r="Q417" t="s">
        <v>74</v>
      </c>
      <c r="R417" t="s">
        <v>74</v>
      </c>
      <c r="S417" t="s">
        <v>74</v>
      </c>
      <c r="T417" t="s">
        <v>8318</v>
      </c>
      <c r="U417" t="s">
        <v>8319</v>
      </c>
      <c r="V417" t="s">
        <v>8320</v>
      </c>
      <c r="W417" t="s">
        <v>8321</v>
      </c>
      <c r="X417" t="s">
        <v>8322</v>
      </c>
      <c r="Y417" t="s">
        <v>8323</v>
      </c>
      <c r="Z417" t="s">
        <v>8324</v>
      </c>
      <c r="AA417" t="s">
        <v>8325</v>
      </c>
      <c r="AB417" t="s">
        <v>8326</v>
      </c>
      <c r="AC417" t="s">
        <v>8327</v>
      </c>
      <c r="AD417" t="s">
        <v>8327</v>
      </c>
      <c r="AE417" t="s">
        <v>8328</v>
      </c>
      <c r="AF417" t="s">
        <v>74</v>
      </c>
      <c r="AG417">
        <v>53</v>
      </c>
      <c r="AH417">
        <v>4</v>
      </c>
      <c r="AI417">
        <v>4</v>
      </c>
      <c r="AJ417">
        <v>2</v>
      </c>
      <c r="AK417">
        <v>6</v>
      </c>
      <c r="AL417" t="s">
        <v>8329</v>
      </c>
      <c r="AM417" t="s">
        <v>2417</v>
      </c>
      <c r="AN417" t="s">
        <v>8330</v>
      </c>
      <c r="AO417" t="s">
        <v>74</v>
      </c>
      <c r="AP417" t="s">
        <v>8331</v>
      </c>
      <c r="AQ417" t="s">
        <v>74</v>
      </c>
      <c r="AR417" t="s">
        <v>8332</v>
      </c>
      <c r="AS417" t="s">
        <v>8333</v>
      </c>
      <c r="AT417" t="s">
        <v>1070</v>
      </c>
      <c r="AU417">
        <v>2024</v>
      </c>
      <c r="AV417">
        <v>48</v>
      </c>
      <c r="AW417">
        <v>3</v>
      </c>
      <c r="AX417" t="s">
        <v>74</v>
      </c>
      <c r="AY417" t="s">
        <v>74</v>
      </c>
      <c r="AZ417" t="s">
        <v>74</v>
      </c>
      <c r="BA417" t="s">
        <v>74</v>
      </c>
      <c r="BB417">
        <v>171</v>
      </c>
      <c r="BC417">
        <v>191</v>
      </c>
      <c r="BD417" t="s">
        <v>74</v>
      </c>
      <c r="BE417" t="s">
        <v>8334</v>
      </c>
      <c r="BF417" t="str">
        <f>HYPERLINK("http://dx.doi.org/10.5535/arm.230039","http://dx.doi.org/10.5535/arm.230039")</f>
        <v>http://dx.doi.org/10.5535/arm.230039</v>
      </c>
      <c r="BG417" t="s">
        <v>74</v>
      </c>
      <c r="BH417" t="s">
        <v>74</v>
      </c>
      <c r="BI417">
        <v>21</v>
      </c>
      <c r="BJ417" t="s">
        <v>101</v>
      </c>
      <c r="BK417" t="s">
        <v>155</v>
      </c>
      <c r="BL417" t="s">
        <v>101</v>
      </c>
      <c r="BM417" t="s">
        <v>8335</v>
      </c>
      <c r="BN417">
        <v>38950970</v>
      </c>
      <c r="BO417" t="s">
        <v>131</v>
      </c>
      <c r="BP417" t="s">
        <v>74</v>
      </c>
      <c r="BQ417" t="s">
        <v>74</v>
      </c>
      <c r="BR417" t="s">
        <v>105</v>
      </c>
      <c r="BS417" t="s">
        <v>8336</v>
      </c>
      <c r="BT417" t="str">
        <f>HYPERLINK("https%3A%2F%2Fwww.webofscience.com%2Fwos%2Fwoscc%2Ffull-record%2FWOS:001262712500001","View Full Record in Web of Science")</f>
        <v>View Full Record in Web of Science</v>
      </c>
    </row>
    <row r="418" spans="1:72" x14ac:dyDescent="0.25">
      <c r="A418" t="s">
        <v>72</v>
      </c>
      <c r="B418" t="s">
        <v>8337</v>
      </c>
      <c r="C418" t="s">
        <v>74</v>
      </c>
      <c r="D418" t="s">
        <v>74</v>
      </c>
      <c r="E418" t="s">
        <v>74</v>
      </c>
      <c r="F418" t="s">
        <v>8338</v>
      </c>
      <c r="G418" t="s">
        <v>74</v>
      </c>
      <c r="H418" t="s">
        <v>74</v>
      </c>
      <c r="I418" t="s">
        <v>8339</v>
      </c>
      <c r="J418" t="s">
        <v>594</v>
      </c>
      <c r="K418" t="s">
        <v>74</v>
      </c>
      <c r="L418" t="s">
        <v>74</v>
      </c>
      <c r="M418" t="s">
        <v>78</v>
      </c>
      <c r="N418" t="s">
        <v>79</v>
      </c>
      <c r="O418" t="s">
        <v>74</v>
      </c>
      <c r="P418" t="s">
        <v>74</v>
      </c>
      <c r="Q418" t="s">
        <v>74</v>
      </c>
      <c r="R418" t="s">
        <v>74</v>
      </c>
      <c r="S418" t="s">
        <v>74</v>
      </c>
      <c r="T418" t="s">
        <v>8340</v>
      </c>
      <c r="U418" t="s">
        <v>8341</v>
      </c>
      <c r="V418" t="s">
        <v>8342</v>
      </c>
      <c r="W418" t="s">
        <v>8343</v>
      </c>
      <c r="X418" t="s">
        <v>8344</v>
      </c>
      <c r="Y418" t="s">
        <v>8345</v>
      </c>
      <c r="Z418" t="s">
        <v>8346</v>
      </c>
      <c r="AA418" t="s">
        <v>74</v>
      </c>
      <c r="AB418" t="s">
        <v>74</v>
      </c>
      <c r="AC418" t="s">
        <v>8347</v>
      </c>
      <c r="AD418" t="s">
        <v>8348</v>
      </c>
      <c r="AE418" t="s">
        <v>8349</v>
      </c>
      <c r="AF418" t="s">
        <v>74</v>
      </c>
      <c r="AG418">
        <v>42</v>
      </c>
      <c r="AH418">
        <v>3</v>
      </c>
      <c r="AI418">
        <v>3</v>
      </c>
      <c r="AJ418">
        <v>6</v>
      </c>
      <c r="AK418">
        <v>10</v>
      </c>
      <c r="AL418" t="s">
        <v>274</v>
      </c>
      <c r="AM418" t="s">
        <v>275</v>
      </c>
      <c r="AN418" t="s">
        <v>276</v>
      </c>
      <c r="AO418" t="s">
        <v>74</v>
      </c>
      <c r="AP418" t="s">
        <v>606</v>
      </c>
      <c r="AQ418" t="s">
        <v>74</v>
      </c>
      <c r="AR418" t="s">
        <v>607</v>
      </c>
      <c r="AS418" t="s">
        <v>608</v>
      </c>
      <c r="AT418" t="s">
        <v>8350</v>
      </c>
      <c r="AU418">
        <v>2024</v>
      </c>
      <c r="AV418">
        <v>21</v>
      </c>
      <c r="AW418">
        <v>1</v>
      </c>
      <c r="AX418" t="s">
        <v>74</v>
      </c>
      <c r="AY418" t="s">
        <v>74</v>
      </c>
      <c r="AZ418" t="s">
        <v>74</v>
      </c>
      <c r="BA418" t="s">
        <v>74</v>
      </c>
      <c r="BB418" t="s">
        <v>74</v>
      </c>
      <c r="BC418" t="s">
        <v>74</v>
      </c>
      <c r="BD418">
        <v>92</v>
      </c>
      <c r="BE418" t="s">
        <v>8351</v>
      </c>
      <c r="BF418" t="str">
        <f>HYPERLINK("http://dx.doi.org/10.1186/s12984-024-01388-9","http://dx.doi.org/10.1186/s12984-024-01388-9")</f>
        <v>http://dx.doi.org/10.1186/s12984-024-01388-9</v>
      </c>
      <c r="BG418" t="s">
        <v>74</v>
      </c>
      <c r="BH418" t="s">
        <v>74</v>
      </c>
      <c r="BI418">
        <v>9</v>
      </c>
      <c r="BJ418" t="s">
        <v>611</v>
      </c>
      <c r="BK418" t="s">
        <v>182</v>
      </c>
      <c r="BL418" t="s">
        <v>612</v>
      </c>
      <c r="BM418" t="s">
        <v>8352</v>
      </c>
      <c r="BN418">
        <v>38816728</v>
      </c>
      <c r="BO418" t="s">
        <v>131</v>
      </c>
      <c r="BP418" t="s">
        <v>74</v>
      </c>
      <c r="BQ418" t="s">
        <v>74</v>
      </c>
      <c r="BR418" t="s">
        <v>105</v>
      </c>
      <c r="BS418" t="s">
        <v>8353</v>
      </c>
      <c r="BT418" t="str">
        <f>HYPERLINK("https%3A%2F%2Fwww.webofscience.com%2Fwos%2Fwoscc%2Ffull-record%2FWOS:001256050400001","View Full Record in Web of Science")</f>
        <v>View Full Record in Web of Science</v>
      </c>
    </row>
    <row r="419" spans="1:72" x14ac:dyDescent="0.25">
      <c r="A419" t="s">
        <v>72</v>
      </c>
      <c r="B419" t="s">
        <v>8354</v>
      </c>
      <c r="C419" t="s">
        <v>74</v>
      </c>
      <c r="D419" t="s">
        <v>74</v>
      </c>
      <c r="E419" t="s">
        <v>74</v>
      </c>
      <c r="F419" t="s">
        <v>8355</v>
      </c>
      <c r="G419" t="s">
        <v>74</v>
      </c>
      <c r="H419" t="s">
        <v>74</v>
      </c>
      <c r="I419" t="s">
        <v>8356</v>
      </c>
      <c r="J419" t="s">
        <v>986</v>
      </c>
      <c r="K419" t="s">
        <v>74</v>
      </c>
      <c r="L419" t="s">
        <v>74</v>
      </c>
      <c r="M419" t="s">
        <v>78</v>
      </c>
      <c r="N419" t="s">
        <v>79</v>
      </c>
      <c r="O419" t="s">
        <v>74</v>
      </c>
      <c r="P419" t="s">
        <v>74</v>
      </c>
      <c r="Q419" t="s">
        <v>74</v>
      </c>
      <c r="R419" t="s">
        <v>74</v>
      </c>
      <c r="S419" t="s">
        <v>74</v>
      </c>
      <c r="T419" t="s">
        <v>8357</v>
      </c>
      <c r="U419" t="s">
        <v>8358</v>
      </c>
      <c r="V419" t="s">
        <v>8359</v>
      </c>
      <c r="W419" t="s">
        <v>8360</v>
      </c>
      <c r="X419" t="s">
        <v>74</v>
      </c>
      <c r="Y419" t="s">
        <v>8361</v>
      </c>
      <c r="Z419" t="s">
        <v>8362</v>
      </c>
      <c r="AA419" t="s">
        <v>8363</v>
      </c>
      <c r="AB419" t="s">
        <v>74</v>
      </c>
      <c r="AC419" t="s">
        <v>74</v>
      </c>
      <c r="AD419" t="s">
        <v>74</v>
      </c>
      <c r="AE419" t="s">
        <v>74</v>
      </c>
      <c r="AF419" t="s">
        <v>74</v>
      </c>
      <c r="AG419">
        <v>60</v>
      </c>
      <c r="AH419">
        <v>2</v>
      </c>
      <c r="AI419">
        <v>2</v>
      </c>
      <c r="AJ419">
        <v>3</v>
      </c>
      <c r="AK419">
        <v>5</v>
      </c>
      <c r="AL419" t="s">
        <v>996</v>
      </c>
      <c r="AM419" t="s">
        <v>275</v>
      </c>
      <c r="AN419" t="s">
        <v>997</v>
      </c>
      <c r="AO419" t="s">
        <v>74</v>
      </c>
      <c r="AP419" t="s">
        <v>998</v>
      </c>
      <c r="AQ419" t="s">
        <v>74</v>
      </c>
      <c r="AR419" t="s">
        <v>999</v>
      </c>
      <c r="AS419" t="s">
        <v>1000</v>
      </c>
      <c r="AT419" t="s">
        <v>8350</v>
      </c>
      <c r="AU419">
        <v>2024</v>
      </c>
      <c r="AV419">
        <v>16</v>
      </c>
      <c r="AW419">
        <v>5</v>
      </c>
      <c r="AX419" t="s">
        <v>74</v>
      </c>
      <c r="AY419" t="s">
        <v>74</v>
      </c>
      <c r="AZ419" t="s">
        <v>74</v>
      </c>
      <c r="BA419" t="s">
        <v>74</v>
      </c>
      <c r="BB419" t="s">
        <v>74</v>
      </c>
      <c r="BC419" t="s">
        <v>74</v>
      </c>
      <c r="BD419" t="s">
        <v>8364</v>
      </c>
      <c r="BE419" t="s">
        <v>8365</v>
      </c>
      <c r="BF419" t="str">
        <f>HYPERLINK("http://dx.doi.org/10.7759/cureus.61400","http://dx.doi.org/10.7759/cureus.61400")</f>
        <v>http://dx.doi.org/10.7759/cureus.61400</v>
      </c>
      <c r="BG419" t="s">
        <v>74</v>
      </c>
      <c r="BH419" t="s">
        <v>74</v>
      </c>
      <c r="BI419">
        <v>10</v>
      </c>
      <c r="BJ419" t="s">
        <v>128</v>
      </c>
      <c r="BK419" t="s">
        <v>155</v>
      </c>
      <c r="BL419" t="s">
        <v>129</v>
      </c>
      <c r="BM419" t="s">
        <v>8366</v>
      </c>
      <c r="BN419">
        <v>38953082</v>
      </c>
      <c r="BO419" t="s">
        <v>355</v>
      </c>
      <c r="BP419" t="s">
        <v>74</v>
      </c>
      <c r="BQ419" t="s">
        <v>74</v>
      </c>
      <c r="BR419" t="s">
        <v>105</v>
      </c>
      <c r="BS419" t="s">
        <v>8367</v>
      </c>
      <c r="BT419" t="str">
        <f>HYPERLINK("https%3A%2F%2Fwww.webofscience.com%2Fwos%2Fwoscc%2Ffull-record%2FWOS:001241471500003","View Full Record in Web of Science")</f>
        <v>View Full Record in Web of Science</v>
      </c>
    </row>
    <row r="420" spans="1:72" x14ac:dyDescent="0.25">
      <c r="A420" t="s">
        <v>72</v>
      </c>
      <c r="B420" t="s">
        <v>8368</v>
      </c>
      <c r="C420" t="s">
        <v>74</v>
      </c>
      <c r="D420" t="s">
        <v>74</v>
      </c>
      <c r="E420" t="s">
        <v>74</v>
      </c>
      <c r="F420" t="s">
        <v>8369</v>
      </c>
      <c r="G420" t="s">
        <v>74</v>
      </c>
      <c r="H420" t="s">
        <v>74</v>
      </c>
      <c r="I420" t="s">
        <v>8370</v>
      </c>
      <c r="J420" t="s">
        <v>1379</v>
      </c>
      <c r="K420" t="s">
        <v>74</v>
      </c>
      <c r="L420" t="s">
        <v>74</v>
      </c>
      <c r="M420" t="s">
        <v>78</v>
      </c>
      <c r="N420" t="s">
        <v>79</v>
      </c>
      <c r="O420" t="s">
        <v>74</v>
      </c>
      <c r="P420" t="s">
        <v>74</v>
      </c>
      <c r="Q420" t="s">
        <v>74</v>
      </c>
      <c r="R420" t="s">
        <v>74</v>
      </c>
      <c r="S420" t="s">
        <v>74</v>
      </c>
      <c r="T420" t="s">
        <v>8371</v>
      </c>
      <c r="U420" t="s">
        <v>8372</v>
      </c>
      <c r="V420" t="s">
        <v>8373</v>
      </c>
      <c r="W420" t="s">
        <v>8374</v>
      </c>
      <c r="X420" t="s">
        <v>8375</v>
      </c>
      <c r="Y420" t="s">
        <v>8376</v>
      </c>
      <c r="Z420" t="s">
        <v>8377</v>
      </c>
      <c r="AA420" t="s">
        <v>8378</v>
      </c>
      <c r="AB420" t="s">
        <v>8379</v>
      </c>
      <c r="AC420" t="s">
        <v>74</v>
      </c>
      <c r="AD420" t="s">
        <v>74</v>
      </c>
      <c r="AE420" t="s">
        <v>74</v>
      </c>
      <c r="AF420" t="s">
        <v>74</v>
      </c>
      <c r="AG420">
        <v>153</v>
      </c>
      <c r="AH420">
        <v>5</v>
      </c>
      <c r="AI420">
        <v>5</v>
      </c>
      <c r="AJ420">
        <v>12</v>
      </c>
      <c r="AK420">
        <v>33</v>
      </c>
      <c r="AL420" t="s">
        <v>1391</v>
      </c>
      <c r="AM420" t="s">
        <v>1392</v>
      </c>
      <c r="AN420" t="s">
        <v>1393</v>
      </c>
      <c r="AO420" t="s">
        <v>1394</v>
      </c>
      <c r="AP420" t="s">
        <v>74</v>
      </c>
      <c r="AQ420" t="s">
        <v>74</v>
      </c>
      <c r="AR420" t="s">
        <v>1395</v>
      </c>
      <c r="AS420" t="s">
        <v>1396</v>
      </c>
      <c r="AT420" t="s">
        <v>6014</v>
      </c>
      <c r="AU420">
        <v>2024</v>
      </c>
      <c r="AV420">
        <v>26</v>
      </c>
      <c r="AW420" t="s">
        <v>74</v>
      </c>
      <c r="AX420" t="s">
        <v>74</v>
      </c>
      <c r="AY420" t="s">
        <v>74</v>
      </c>
      <c r="AZ420" t="s">
        <v>74</v>
      </c>
      <c r="BA420" t="s">
        <v>74</v>
      </c>
      <c r="BB420" t="s">
        <v>74</v>
      </c>
      <c r="BC420" t="s">
        <v>74</v>
      </c>
      <c r="BD420" t="s">
        <v>8380</v>
      </c>
      <c r="BE420" t="s">
        <v>8381</v>
      </c>
      <c r="BF420" t="str">
        <f>HYPERLINK("http://dx.doi.org/10.2196/54095","http://dx.doi.org/10.2196/54095")</f>
        <v>http://dx.doi.org/10.2196/54095</v>
      </c>
      <c r="BG420" t="s">
        <v>74</v>
      </c>
      <c r="BH420" t="s">
        <v>74</v>
      </c>
      <c r="BI420">
        <v>24</v>
      </c>
      <c r="BJ420" t="s">
        <v>1400</v>
      </c>
      <c r="BK420" t="s">
        <v>182</v>
      </c>
      <c r="BL420" t="s">
        <v>1400</v>
      </c>
      <c r="BM420" t="s">
        <v>8382</v>
      </c>
      <c r="BN420">
        <v>38801765</v>
      </c>
      <c r="BO420" t="s">
        <v>355</v>
      </c>
      <c r="BP420" t="s">
        <v>74</v>
      </c>
      <c r="BQ420" t="s">
        <v>74</v>
      </c>
      <c r="BR420" t="s">
        <v>105</v>
      </c>
      <c r="BS420" t="s">
        <v>8383</v>
      </c>
      <c r="BT420" t="str">
        <f>HYPERLINK("https%3A%2F%2Fwww.webofscience.com%2Fwos%2Fwoscc%2Ffull-record%2FWOS:001239089600001","View Full Record in Web of Science")</f>
        <v>View Full Record in Web of Science</v>
      </c>
    </row>
    <row r="421" spans="1:72" x14ac:dyDescent="0.25">
      <c r="A421" t="s">
        <v>72</v>
      </c>
      <c r="B421" t="s">
        <v>8384</v>
      </c>
      <c r="C421" t="s">
        <v>74</v>
      </c>
      <c r="D421" t="s">
        <v>74</v>
      </c>
      <c r="E421" t="s">
        <v>74</v>
      </c>
      <c r="F421" t="s">
        <v>8385</v>
      </c>
      <c r="G421" t="s">
        <v>74</v>
      </c>
      <c r="H421" t="s">
        <v>74</v>
      </c>
      <c r="I421" t="s">
        <v>8386</v>
      </c>
      <c r="J421" t="s">
        <v>8387</v>
      </c>
      <c r="K421" t="s">
        <v>74</v>
      </c>
      <c r="L421" t="s">
        <v>74</v>
      </c>
      <c r="M421" t="s">
        <v>78</v>
      </c>
      <c r="N421" t="s">
        <v>79</v>
      </c>
      <c r="O421" t="s">
        <v>74</v>
      </c>
      <c r="P421" t="s">
        <v>74</v>
      </c>
      <c r="Q421" t="s">
        <v>74</v>
      </c>
      <c r="R421" t="s">
        <v>74</v>
      </c>
      <c r="S421" t="s">
        <v>74</v>
      </c>
      <c r="T421" t="s">
        <v>8388</v>
      </c>
      <c r="U421" t="s">
        <v>8389</v>
      </c>
      <c r="V421" t="s">
        <v>8390</v>
      </c>
      <c r="W421" t="s">
        <v>8391</v>
      </c>
      <c r="X421" t="s">
        <v>8392</v>
      </c>
      <c r="Y421" t="s">
        <v>8393</v>
      </c>
      <c r="Z421" t="s">
        <v>8394</v>
      </c>
      <c r="AA421" t="s">
        <v>74</v>
      </c>
      <c r="AB421" t="s">
        <v>74</v>
      </c>
      <c r="AC421" t="s">
        <v>8395</v>
      </c>
      <c r="AD421" t="s">
        <v>4047</v>
      </c>
      <c r="AE421" t="s">
        <v>8396</v>
      </c>
      <c r="AF421" t="s">
        <v>74</v>
      </c>
      <c r="AG421">
        <v>69</v>
      </c>
      <c r="AH421">
        <v>5</v>
      </c>
      <c r="AI421">
        <v>5</v>
      </c>
      <c r="AJ421">
        <v>10</v>
      </c>
      <c r="AK421">
        <v>25</v>
      </c>
      <c r="AL421" t="s">
        <v>392</v>
      </c>
      <c r="AM421" t="s">
        <v>393</v>
      </c>
      <c r="AN421" t="s">
        <v>394</v>
      </c>
      <c r="AO421" t="s">
        <v>8397</v>
      </c>
      <c r="AP421" t="s">
        <v>74</v>
      </c>
      <c r="AQ421" t="s">
        <v>74</v>
      </c>
      <c r="AR421" t="s">
        <v>8398</v>
      </c>
      <c r="AS421" t="s">
        <v>8399</v>
      </c>
      <c r="AT421" t="s">
        <v>8400</v>
      </c>
      <c r="AU421">
        <v>2024</v>
      </c>
      <c r="AV421">
        <v>12</v>
      </c>
      <c r="AW421" t="s">
        <v>74</v>
      </c>
      <c r="AX421" t="s">
        <v>74</v>
      </c>
      <c r="AY421" t="s">
        <v>74</v>
      </c>
      <c r="AZ421" t="s">
        <v>74</v>
      </c>
      <c r="BA421" t="s">
        <v>74</v>
      </c>
      <c r="BB421" t="s">
        <v>74</v>
      </c>
      <c r="BC421" t="s">
        <v>74</v>
      </c>
      <c r="BD421">
        <v>1391322</v>
      </c>
      <c r="BE421" t="s">
        <v>8401</v>
      </c>
      <c r="BF421" t="str">
        <f>HYPERLINK("http://dx.doi.org/10.3389/fbioe.2024.1391322","http://dx.doi.org/10.3389/fbioe.2024.1391322")</f>
        <v>http://dx.doi.org/10.3389/fbioe.2024.1391322</v>
      </c>
      <c r="BG421" t="s">
        <v>74</v>
      </c>
      <c r="BH421" t="s">
        <v>74</v>
      </c>
      <c r="BI421">
        <v>15</v>
      </c>
      <c r="BJ421" t="s">
        <v>2760</v>
      </c>
      <c r="BK421" t="s">
        <v>182</v>
      </c>
      <c r="BL421" t="s">
        <v>2761</v>
      </c>
      <c r="BM421" t="s">
        <v>8402</v>
      </c>
      <c r="BN421">
        <v>38827036</v>
      </c>
      <c r="BO421" t="s">
        <v>355</v>
      </c>
      <c r="BP421" t="s">
        <v>74</v>
      </c>
      <c r="BQ421" t="s">
        <v>74</v>
      </c>
      <c r="BR421" t="s">
        <v>105</v>
      </c>
      <c r="BS421" t="s">
        <v>8403</v>
      </c>
      <c r="BT421" t="str">
        <f>HYPERLINK("https%3A%2F%2Fwww.webofscience.com%2Fwos%2Fwoscc%2Ffull-record%2FWOS:001235256900001","View Full Record in Web of Science")</f>
        <v>View Full Record in Web of Science</v>
      </c>
    </row>
    <row r="422" spans="1:72" x14ac:dyDescent="0.25">
      <c r="A422" t="s">
        <v>72</v>
      </c>
      <c r="B422" t="s">
        <v>8404</v>
      </c>
      <c r="C422" t="s">
        <v>74</v>
      </c>
      <c r="D422" t="s">
        <v>74</v>
      </c>
      <c r="E422" t="s">
        <v>74</v>
      </c>
      <c r="F422" t="s">
        <v>8405</v>
      </c>
      <c r="G422" t="s">
        <v>74</v>
      </c>
      <c r="H422" t="s">
        <v>74</v>
      </c>
      <c r="I422" t="s">
        <v>8406</v>
      </c>
      <c r="J422" t="s">
        <v>594</v>
      </c>
      <c r="K422" t="s">
        <v>74</v>
      </c>
      <c r="L422" t="s">
        <v>74</v>
      </c>
      <c r="M422" t="s">
        <v>78</v>
      </c>
      <c r="N422" t="s">
        <v>79</v>
      </c>
      <c r="O422" t="s">
        <v>74</v>
      </c>
      <c r="P422" t="s">
        <v>74</v>
      </c>
      <c r="Q422" t="s">
        <v>74</v>
      </c>
      <c r="R422" t="s">
        <v>74</v>
      </c>
      <c r="S422" t="s">
        <v>74</v>
      </c>
      <c r="T422" t="s">
        <v>8407</v>
      </c>
      <c r="U422" t="s">
        <v>8408</v>
      </c>
      <c r="V422" t="s">
        <v>8409</v>
      </c>
      <c r="W422" t="s">
        <v>8410</v>
      </c>
      <c r="X422" t="s">
        <v>8411</v>
      </c>
      <c r="Y422" t="s">
        <v>8412</v>
      </c>
      <c r="Z422" t="s">
        <v>8413</v>
      </c>
      <c r="AA422" t="s">
        <v>8414</v>
      </c>
      <c r="AB422" t="s">
        <v>8415</v>
      </c>
      <c r="AC422" t="s">
        <v>8416</v>
      </c>
      <c r="AD422" t="s">
        <v>8417</v>
      </c>
      <c r="AE422" t="s">
        <v>8418</v>
      </c>
      <c r="AF422" t="s">
        <v>74</v>
      </c>
      <c r="AG422">
        <v>82</v>
      </c>
      <c r="AH422">
        <v>7</v>
      </c>
      <c r="AI422">
        <v>7</v>
      </c>
      <c r="AJ422">
        <v>3</v>
      </c>
      <c r="AK422">
        <v>9</v>
      </c>
      <c r="AL422" t="s">
        <v>274</v>
      </c>
      <c r="AM422" t="s">
        <v>275</v>
      </c>
      <c r="AN422" t="s">
        <v>276</v>
      </c>
      <c r="AO422" t="s">
        <v>74</v>
      </c>
      <c r="AP422" t="s">
        <v>606</v>
      </c>
      <c r="AQ422" t="s">
        <v>74</v>
      </c>
      <c r="AR422" t="s">
        <v>607</v>
      </c>
      <c r="AS422" t="s">
        <v>608</v>
      </c>
      <c r="AT422" t="s">
        <v>8419</v>
      </c>
      <c r="AU422">
        <v>2024</v>
      </c>
      <c r="AV422">
        <v>21</v>
      </c>
      <c r="AW422">
        <v>1</v>
      </c>
      <c r="AX422" t="s">
        <v>74</v>
      </c>
      <c r="AY422" t="s">
        <v>74</v>
      </c>
      <c r="AZ422" t="s">
        <v>74</v>
      </c>
      <c r="BA422" t="s">
        <v>74</v>
      </c>
      <c r="BB422" t="s">
        <v>74</v>
      </c>
      <c r="BC422" t="s">
        <v>74</v>
      </c>
      <c r="BD422">
        <v>73</v>
      </c>
      <c r="BE422" t="s">
        <v>8420</v>
      </c>
      <c r="BF422" t="str">
        <f>HYPERLINK("http://dx.doi.org/10.1186/s12984-024-01365-2","http://dx.doi.org/10.1186/s12984-024-01365-2")</f>
        <v>http://dx.doi.org/10.1186/s12984-024-01365-2</v>
      </c>
      <c r="BG422" t="s">
        <v>74</v>
      </c>
      <c r="BH422" t="s">
        <v>74</v>
      </c>
      <c r="BI422">
        <v>21</v>
      </c>
      <c r="BJ422" t="s">
        <v>611</v>
      </c>
      <c r="BK422" t="s">
        <v>182</v>
      </c>
      <c r="BL422" t="s">
        <v>612</v>
      </c>
      <c r="BM422" t="s">
        <v>8421</v>
      </c>
      <c r="BN422">
        <v>38705999</v>
      </c>
      <c r="BO422" t="s">
        <v>185</v>
      </c>
      <c r="BP422" t="s">
        <v>74</v>
      </c>
      <c r="BQ422" t="s">
        <v>74</v>
      </c>
      <c r="BR422" t="s">
        <v>105</v>
      </c>
      <c r="BS422" t="s">
        <v>8422</v>
      </c>
      <c r="BT422" t="str">
        <f>HYPERLINK("https%3A%2F%2Fwww.webofscience.com%2Fwos%2Fwoscc%2Ffull-record%2FWOS:001251028900001","View Full Record in Web of Science")</f>
        <v>View Full Record in Web of Science</v>
      </c>
    </row>
    <row r="423" spans="1:72" x14ac:dyDescent="0.25">
      <c r="A423" t="s">
        <v>72</v>
      </c>
      <c r="B423" t="s">
        <v>8423</v>
      </c>
      <c r="C423" t="s">
        <v>74</v>
      </c>
      <c r="D423" t="s">
        <v>74</v>
      </c>
      <c r="E423" t="s">
        <v>74</v>
      </c>
      <c r="F423" t="s">
        <v>8424</v>
      </c>
      <c r="G423" t="s">
        <v>74</v>
      </c>
      <c r="H423" t="s">
        <v>74</v>
      </c>
      <c r="I423" t="s">
        <v>8425</v>
      </c>
      <c r="J423" t="s">
        <v>2091</v>
      </c>
      <c r="K423" t="s">
        <v>74</v>
      </c>
      <c r="L423" t="s">
        <v>74</v>
      </c>
      <c r="M423" t="s">
        <v>78</v>
      </c>
      <c r="N423" t="s">
        <v>79</v>
      </c>
      <c r="O423" t="s">
        <v>74</v>
      </c>
      <c r="P423" t="s">
        <v>74</v>
      </c>
      <c r="Q423" t="s">
        <v>74</v>
      </c>
      <c r="R423" t="s">
        <v>74</v>
      </c>
      <c r="S423" t="s">
        <v>74</v>
      </c>
      <c r="T423" t="s">
        <v>8426</v>
      </c>
      <c r="U423" t="s">
        <v>8427</v>
      </c>
      <c r="V423" t="s">
        <v>8428</v>
      </c>
      <c r="W423" t="s">
        <v>8429</v>
      </c>
      <c r="X423" t="s">
        <v>3523</v>
      </c>
      <c r="Y423" t="s">
        <v>8430</v>
      </c>
      <c r="Z423" t="s">
        <v>8431</v>
      </c>
      <c r="AA423" t="s">
        <v>3526</v>
      </c>
      <c r="AB423" t="s">
        <v>8432</v>
      </c>
      <c r="AC423" t="s">
        <v>74</v>
      </c>
      <c r="AD423" t="s">
        <v>74</v>
      </c>
      <c r="AE423" t="s">
        <v>74</v>
      </c>
      <c r="AF423" t="s">
        <v>74</v>
      </c>
      <c r="AG423">
        <v>39</v>
      </c>
      <c r="AH423">
        <v>2</v>
      </c>
      <c r="AI423">
        <v>2</v>
      </c>
      <c r="AJ423">
        <v>16</v>
      </c>
      <c r="AK423">
        <v>20</v>
      </c>
      <c r="AL423" t="s">
        <v>120</v>
      </c>
      <c r="AM423" t="s">
        <v>121</v>
      </c>
      <c r="AN423" t="s">
        <v>1221</v>
      </c>
      <c r="AO423" t="s">
        <v>74</v>
      </c>
      <c r="AP423" t="s">
        <v>2104</v>
      </c>
      <c r="AQ423" t="s">
        <v>74</v>
      </c>
      <c r="AR423" t="s">
        <v>2105</v>
      </c>
      <c r="AS423" t="s">
        <v>2106</v>
      </c>
      <c r="AT423" t="s">
        <v>326</v>
      </c>
      <c r="AU423">
        <v>2024</v>
      </c>
      <c r="AV423">
        <v>14</v>
      </c>
      <c r="AW423">
        <v>10</v>
      </c>
      <c r="AX423" t="s">
        <v>74</v>
      </c>
      <c r="AY423" t="s">
        <v>74</v>
      </c>
      <c r="AZ423" t="s">
        <v>74</v>
      </c>
      <c r="BA423" t="s">
        <v>74</v>
      </c>
      <c r="BB423" t="s">
        <v>74</v>
      </c>
      <c r="BC423" t="s">
        <v>74</v>
      </c>
      <c r="BD423">
        <v>4244</v>
      </c>
      <c r="BE423" t="s">
        <v>8433</v>
      </c>
      <c r="BF423" t="str">
        <f>HYPERLINK("http://dx.doi.org/10.3390/app14104244","http://dx.doi.org/10.3390/app14104244")</f>
        <v>http://dx.doi.org/10.3390/app14104244</v>
      </c>
      <c r="BG423" t="s">
        <v>74</v>
      </c>
      <c r="BH423" t="s">
        <v>74</v>
      </c>
      <c r="BI423">
        <v>13</v>
      </c>
      <c r="BJ423" t="s">
        <v>2109</v>
      </c>
      <c r="BK423" t="s">
        <v>182</v>
      </c>
      <c r="BL423" t="s">
        <v>2110</v>
      </c>
      <c r="BM423" t="s">
        <v>8434</v>
      </c>
      <c r="BN423" t="s">
        <v>74</v>
      </c>
      <c r="BO423" t="s">
        <v>185</v>
      </c>
      <c r="BP423" t="s">
        <v>74</v>
      </c>
      <c r="BQ423" t="s">
        <v>74</v>
      </c>
      <c r="BR423" t="s">
        <v>105</v>
      </c>
      <c r="BS423" t="s">
        <v>8435</v>
      </c>
      <c r="BT423" t="str">
        <f>HYPERLINK("https%3A%2F%2Fwww.webofscience.com%2Fwos%2Fwoscc%2Ffull-record%2FWOS:001233081700001","View Full Record in Web of Science")</f>
        <v>View Full Record in Web of Science</v>
      </c>
    </row>
    <row r="424" spans="1:72" x14ac:dyDescent="0.25">
      <c r="A424" t="s">
        <v>72</v>
      </c>
      <c r="B424" t="s">
        <v>8436</v>
      </c>
      <c r="C424" t="s">
        <v>74</v>
      </c>
      <c r="D424" t="s">
        <v>74</v>
      </c>
      <c r="E424" t="s">
        <v>74</v>
      </c>
      <c r="F424" t="s">
        <v>8437</v>
      </c>
      <c r="G424" t="s">
        <v>74</v>
      </c>
      <c r="H424" t="s">
        <v>74</v>
      </c>
      <c r="I424" t="s">
        <v>8438</v>
      </c>
      <c r="J424" t="s">
        <v>2091</v>
      </c>
      <c r="K424" t="s">
        <v>74</v>
      </c>
      <c r="L424" t="s">
        <v>74</v>
      </c>
      <c r="M424" t="s">
        <v>78</v>
      </c>
      <c r="N424" t="s">
        <v>79</v>
      </c>
      <c r="O424" t="s">
        <v>74</v>
      </c>
      <c r="P424" t="s">
        <v>74</v>
      </c>
      <c r="Q424" t="s">
        <v>74</v>
      </c>
      <c r="R424" t="s">
        <v>74</v>
      </c>
      <c r="S424" t="s">
        <v>74</v>
      </c>
      <c r="T424" t="s">
        <v>8439</v>
      </c>
      <c r="U424" t="s">
        <v>8440</v>
      </c>
      <c r="V424" t="s">
        <v>8441</v>
      </c>
      <c r="W424" t="s">
        <v>8442</v>
      </c>
      <c r="X424" t="s">
        <v>8443</v>
      </c>
      <c r="Y424" t="s">
        <v>8444</v>
      </c>
      <c r="Z424" t="s">
        <v>8445</v>
      </c>
      <c r="AA424" t="s">
        <v>8446</v>
      </c>
      <c r="AB424" t="s">
        <v>8447</v>
      </c>
      <c r="AC424" t="s">
        <v>8448</v>
      </c>
      <c r="AD424" t="s">
        <v>8448</v>
      </c>
      <c r="AE424" t="s">
        <v>171</v>
      </c>
      <c r="AF424" t="s">
        <v>74</v>
      </c>
      <c r="AG424">
        <v>168</v>
      </c>
      <c r="AH424">
        <v>4</v>
      </c>
      <c r="AI424">
        <v>4</v>
      </c>
      <c r="AJ424">
        <v>10</v>
      </c>
      <c r="AK424">
        <v>21</v>
      </c>
      <c r="AL424" t="s">
        <v>120</v>
      </c>
      <c r="AM424" t="s">
        <v>121</v>
      </c>
      <c r="AN424" t="s">
        <v>122</v>
      </c>
      <c r="AO424" t="s">
        <v>74</v>
      </c>
      <c r="AP424" t="s">
        <v>2104</v>
      </c>
      <c r="AQ424" t="s">
        <v>74</v>
      </c>
      <c r="AR424" t="s">
        <v>2105</v>
      </c>
      <c r="AS424" t="s">
        <v>2106</v>
      </c>
      <c r="AT424" t="s">
        <v>326</v>
      </c>
      <c r="AU424">
        <v>2024</v>
      </c>
      <c r="AV424">
        <v>14</v>
      </c>
      <c r="AW424">
        <v>10</v>
      </c>
      <c r="AX424" t="s">
        <v>74</v>
      </c>
      <c r="AY424" t="s">
        <v>74</v>
      </c>
      <c r="AZ424" t="s">
        <v>74</v>
      </c>
      <c r="BA424" t="s">
        <v>74</v>
      </c>
      <c r="BB424" t="s">
        <v>74</v>
      </c>
      <c r="BC424" t="s">
        <v>74</v>
      </c>
      <c r="BD424">
        <v>4147</v>
      </c>
      <c r="BE424" t="s">
        <v>8449</v>
      </c>
      <c r="BF424" t="str">
        <f>HYPERLINK("http://dx.doi.org/10.3390/app14104147","http://dx.doi.org/10.3390/app14104147")</f>
        <v>http://dx.doi.org/10.3390/app14104147</v>
      </c>
      <c r="BG424" t="s">
        <v>74</v>
      </c>
      <c r="BH424" t="s">
        <v>74</v>
      </c>
      <c r="BI424">
        <v>22</v>
      </c>
      <c r="BJ424" t="s">
        <v>2109</v>
      </c>
      <c r="BK424" t="s">
        <v>182</v>
      </c>
      <c r="BL424" t="s">
        <v>2110</v>
      </c>
      <c r="BM424" t="s">
        <v>8450</v>
      </c>
      <c r="BN424" t="s">
        <v>74</v>
      </c>
      <c r="BO424" t="s">
        <v>355</v>
      </c>
      <c r="BP424" t="s">
        <v>74</v>
      </c>
      <c r="BQ424" t="s">
        <v>74</v>
      </c>
      <c r="BR424" t="s">
        <v>105</v>
      </c>
      <c r="BS424" t="s">
        <v>8451</v>
      </c>
      <c r="BT424" t="str">
        <f>HYPERLINK("https%3A%2F%2Fwww.webofscience.com%2Fwos%2Fwoscc%2Ffull-record%2FWOS:001233105600001","View Full Record in Web of Science")</f>
        <v>View Full Record in Web of Science</v>
      </c>
    </row>
    <row r="425" spans="1:72" x14ac:dyDescent="0.25">
      <c r="A425" t="s">
        <v>72</v>
      </c>
      <c r="B425" t="s">
        <v>8452</v>
      </c>
      <c r="C425" t="s">
        <v>74</v>
      </c>
      <c r="D425" t="s">
        <v>74</v>
      </c>
      <c r="E425" t="s">
        <v>74</v>
      </c>
      <c r="F425" t="s">
        <v>8453</v>
      </c>
      <c r="G425" t="s">
        <v>74</v>
      </c>
      <c r="H425" t="s">
        <v>74</v>
      </c>
      <c r="I425" t="s">
        <v>8454</v>
      </c>
      <c r="J425" t="s">
        <v>1208</v>
      </c>
      <c r="K425" t="s">
        <v>74</v>
      </c>
      <c r="L425" t="s">
        <v>74</v>
      </c>
      <c r="M425" t="s">
        <v>78</v>
      </c>
      <c r="N425" t="s">
        <v>79</v>
      </c>
      <c r="O425" t="s">
        <v>74</v>
      </c>
      <c r="P425" t="s">
        <v>74</v>
      </c>
      <c r="Q425" t="s">
        <v>74</v>
      </c>
      <c r="R425" t="s">
        <v>74</v>
      </c>
      <c r="S425" t="s">
        <v>74</v>
      </c>
      <c r="T425" t="s">
        <v>8455</v>
      </c>
      <c r="U425" t="s">
        <v>8456</v>
      </c>
      <c r="V425" t="s">
        <v>8457</v>
      </c>
      <c r="W425" t="s">
        <v>8458</v>
      </c>
      <c r="X425" t="s">
        <v>8459</v>
      </c>
      <c r="Y425" t="s">
        <v>8460</v>
      </c>
      <c r="Z425" t="s">
        <v>8461</v>
      </c>
      <c r="AA425" t="s">
        <v>8462</v>
      </c>
      <c r="AB425" t="s">
        <v>8463</v>
      </c>
      <c r="AC425" t="s">
        <v>8464</v>
      </c>
      <c r="AD425" t="s">
        <v>8465</v>
      </c>
      <c r="AE425" t="s">
        <v>171</v>
      </c>
      <c r="AF425" t="s">
        <v>74</v>
      </c>
      <c r="AG425">
        <v>56</v>
      </c>
      <c r="AH425">
        <v>2</v>
      </c>
      <c r="AI425">
        <v>2</v>
      </c>
      <c r="AJ425">
        <v>20</v>
      </c>
      <c r="AK425">
        <v>44</v>
      </c>
      <c r="AL425" t="s">
        <v>120</v>
      </c>
      <c r="AM425" t="s">
        <v>121</v>
      </c>
      <c r="AN425" t="s">
        <v>1221</v>
      </c>
      <c r="AO425" t="s">
        <v>74</v>
      </c>
      <c r="AP425" t="s">
        <v>1222</v>
      </c>
      <c r="AQ425" t="s">
        <v>74</v>
      </c>
      <c r="AR425" t="s">
        <v>1208</v>
      </c>
      <c r="AS425" t="s">
        <v>1223</v>
      </c>
      <c r="AT425" t="s">
        <v>326</v>
      </c>
      <c r="AU425">
        <v>2024</v>
      </c>
      <c r="AV425">
        <v>12</v>
      </c>
      <c r="AW425">
        <v>5</v>
      </c>
      <c r="AX425" t="s">
        <v>74</v>
      </c>
      <c r="AY425" t="s">
        <v>74</v>
      </c>
      <c r="AZ425" t="s">
        <v>74</v>
      </c>
      <c r="BA425" t="s">
        <v>74</v>
      </c>
      <c r="BB425" t="s">
        <v>74</v>
      </c>
      <c r="BC425" t="s">
        <v>74</v>
      </c>
      <c r="BD425">
        <v>315</v>
      </c>
      <c r="BE425" t="s">
        <v>8466</v>
      </c>
      <c r="BF425" t="str">
        <f>HYPERLINK("http://dx.doi.org/10.3390/machines12050315","http://dx.doi.org/10.3390/machines12050315")</f>
        <v>http://dx.doi.org/10.3390/machines12050315</v>
      </c>
      <c r="BG425" t="s">
        <v>74</v>
      </c>
      <c r="BH425" t="s">
        <v>74</v>
      </c>
      <c r="BI425">
        <v>20</v>
      </c>
      <c r="BJ425" t="s">
        <v>1225</v>
      </c>
      <c r="BK425" t="s">
        <v>182</v>
      </c>
      <c r="BL425" t="s">
        <v>183</v>
      </c>
      <c r="BM425" t="s">
        <v>8467</v>
      </c>
      <c r="BN425" t="s">
        <v>74</v>
      </c>
      <c r="BO425" t="s">
        <v>185</v>
      </c>
      <c r="BP425" t="s">
        <v>74</v>
      </c>
      <c r="BQ425" t="s">
        <v>74</v>
      </c>
      <c r="BR425" t="s">
        <v>105</v>
      </c>
      <c r="BS425" t="s">
        <v>8468</v>
      </c>
      <c r="BT425" t="str">
        <f>HYPERLINK("https%3A%2F%2Fwww.webofscience.com%2Fwos%2Fwoscc%2Ffull-record%2FWOS:001232799100001","View Full Record in Web of Science")</f>
        <v>View Full Record in Web of Science</v>
      </c>
    </row>
    <row r="426" spans="1:72" x14ac:dyDescent="0.25">
      <c r="A426" t="s">
        <v>72</v>
      </c>
      <c r="B426" t="s">
        <v>8469</v>
      </c>
      <c r="C426" t="s">
        <v>74</v>
      </c>
      <c r="D426" t="s">
        <v>74</v>
      </c>
      <c r="E426" t="s">
        <v>74</v>
      </c>
      <c r="F426" t="s">
        <v>8470</v>
      </c>
      <c r="G426" t="s">
        <v>74</v>
      </c>
      <c r="H426" t="s">
        <v>74</v>
      </c>
      <c r="I426" t="s">
        <v>8471</v>
      </c>
      <c r="J426" t="s">
        <v>8472</v>
      </c>
      <c r="K426" t="s">
        <v>74</v>
      </c>
      <c r="L426" t="s">
        <v>74</v>
      </c>
      <c r="M426" t="s">
        <v>78</v>
      </c>
      <c r="N426" t="s">
        <v>79</v>
      </c>
      <c r="O426" t="s">
        <v>74</v>
      </c>
      <c r="P426" t="s">
        <v>74</v>
      </c>
      <c r="Q426" t="s">
        <v>74</v>
      </c>
      <c r="R426" t="s">
        <v>74</v>
      </c>
      <c r="S426" t="s">
        <v>74</v>
      </c>
      <c r="T426" t="s">
        <v>8473</v>
      </c>
      <c r="U426" t="s">
        <v>8474</v>
      </c>
      <c r="V426" t="s">
        <v>8475</v>
      </c>
      <c r="W426" t="s">
        <v>8476</v>
      </c>
      <c r="X426" t="s">
        <v>8477</v>
      </c>
      <c r="Y426" t="s">
        <v>8478</v>
      </c>
      <c r="Z426" t="s">
        <v>8479</v>
      </c>
      <c r="AA426" t="s">
        <v>8480</v>
      </c>
      <c r="AB426" t="s">
        <v>8481</v>
      </c>
      <c r="AC426" t="s">
        <v>8482</v>
      </c>
      <c r="AD426" t="s">
        <v>8483</v>
      </c>
      <c r="AE426" t="s">
        <v>8484</v>
      </c>
      <c r="AF426" t="s">
        <v>74</v>
      </c>
      <c r="AG426">
        <v>119</v>
      </c>
      <c r="AH426">
        <v>6</v>
      </c>
      <c r="AI426">
        <v>6</v>
      </c>
      <c r="AJ426">
        <v>76</v>
      </c>
      <c r="AK426">
        <v>183</v>
      </c>
      <c r="AL426" t="s">
        <v>1114</v>
      </c>
      <c r="AM426" t="s">
        <v>1115</v>
      </c>
      <c r="AN426" t="s">
        <v>1116</v>
      </c>
      <c r="AO426" t="s">
        <v>8485</v>
      </c>
      <c r="AP426" t="s">
        <v>8486</v>
      </c>
      <c r="AQ426" t="s">
        <v>74</v>
      </c>
      <c r="AR426" t="s">
        <v>8487</v>
      </c>
      <c r="AS426" t="s">
        <v>8488</v>
      </c>
      <c r="AT426" t="s">
        <v>8489</v>
      </c>
      <c r="AU426">
        <v>2024</v>
      </c>
      <c r="AV426">
        <v>24</v>
      </c>
      <c r="AW426">
        <v>9</v>
      </c>
      <c r="AX426" t="s">
        <v>74</v>
      </c>
      <c r="AY426" t="s">
        <v>74</v>
      </c>
      <c r="AZ426" t="s">
        <v>74</v>
      </c>
      <c r="BA426" t="s">
        <v>74</v>
      </c>
      <c r="BB426">
        <v>13773</v>
      </c>
      <c r="BC426">
        <v>13787</v>
      </c>
      <c r="BD426" t="s">
        <v>74</v>
      </c>
      <c r="BE426" t="s">
        <v>8490</v>
      </c>
      <c r="BF426" t="str">
        <f>HYPERLINK("http://dx.doi.org/10.1109/JSEN.2024.3374344","http://dx.doi.org/10.1109/JSEN.2024.3374344")</f>
        <v>http://dx.doi.org/10.1109/JSEN.2024.3374344</v>
      </c>
      <c r="BG426" t="s">
        <v>74</v>
      </c>
      <c r="BH426" t="s">
        <v>74</v>
      </c>
      <c r="BI426">
        <v>15</v>
      </c>
      <c r="BJ426" t="s">
        <v>8491</v>
      </c>
      <c r="BK426" t="s">
        <v>182</v>
      </c>
      <c r="BL426" t="s">
        <v>8492</v>
      </c>
      <c r="BM426" t="s">
        <v>8493</v>
      </c>
      <c r="BN426" t="s">
        <v>74</v>
      </c>
      <c r="BO426" t="s">
        <v>74</v>
      </c>
      <c r="BP426" t="s">
        <v>74</v>
      </c>
      <c r="BQ426" t="s">
        <v>74</v>
      </c>
      <c r="BR426" t="s">
        <v>105</v>
      </c>
      <c r="BS426" t="s">
        <v>8494</v>
      </c>
      <c r="BT426" t="str">
        <f>HYPERLINK("https%3A%2F%2Fwww.webofscience.com%2Fwos%2Fwoscc%2Ffull-record%2FWOS:001219652600009","View Full Record in Web of Science")</f>
        <v>View Full Record in Web of Science</v>
      </c>
    </row>
    <row r="427" spans="1:72" x14ac:dyDescent="0.25">
      <c r="A427" t="s">
        <v>72</v>
      </c>
      <c r="B427" t="s">
        <v>8495</v>
      </c>
      <c r="C427" t="s">
        <v>74</v>
      </c>
      <c r="D427" t="s">
        <v>74</v>
      </c>
      <c r="E427" t="s">
        <v>74</v>
      </c>
      <c r="F427" t="s">
        <v>8496</v>
      </c>
      <c r="G427" t="s">
        <v>74</v>
      </c>
      <c r="H427" t="s">
        <v>74</v>
      </c>
      <c r="I427" t="s">
        <v>8497</v>
      </c>
      <c r="J427" t="s">
        <v>8498</v>
      </c>
      <c r="K427" t="s">
        <v>74</v>
      </c>
      <c r="L427" t="s">
        <v>74</v>
      </c>
      <c r="M427" t="s">
        <v>78</v>
      </c>
      <c r="N427" t="s">
        <v>79</v>
      </c>
      <c r="O427" t="s">
        <v>74</v>
      </c>
      <c r="P427" t="s">
        <v>74</v>
      </c>
      <c r="Q427" t="s">
        <v>74</v>
      </c>
      <c r="R427" t="s">
        <v>74</v>
      </c>
      <c r="S427" t="s">
        <v>74</v>
      </c>
      <c r="T427" t="s">
        <v>8499</v>
      </c>
      <c r="U427" t="s">
        <v>8500</v>
      </c>
      <c r="V427" t="s">
        <v>8501</v>
      </c>
      <c r="W427" t="s">
        <v>8502</v>
      </c>
      <c r="X427" t="s">
        <v>8503</v>
      </c>
      <c r="Y427" t="s">
        <v>8504</v>
      </c>
      <c r="Z427" t="s">
        <v>8505</v>
      </c>
      <c r="AA427" t="s">
        <v>74</v>
      </c>
      <c r="AB427" t="s">
        <v>74</v>
      </c>
      <c r="AC427" t="s">
        <v>74</v>
      </c>
      <c r="AD427" t="s">
        <v>74</v>
      </c>
      <c r="AE427" t="s">
        <v>74</v>
      </c>
      <c r="AF427" t="s">
        <v>74</v>
      </c>
      <c r="AG427">
        <v>21</v>
      </c>
      <c r="AH427">
        <v>0</v>
      </c>
      <c r="AI427">
        <v>0</v>
      </c>
      <c r="AJ427">
        <v>4</v>
      </c>
      <c r="AK427">
        <v>8</v>
      </c>
      <c r="AL427" t="s">
        <v>504</v>
      </c>
      <c r="AM427" t="s">
        <v>505</v>
      </c>
      <c r="AN427" t="s">
        <v>506</v>
      </c>
      <c r="AO427" t="s">
        <v>8506</v>
      </c>
      <c r="AP427" t="s">
        <v>8507</v>
      </c>
      <c r="AQ427" t="s">
        <v>74</v>
      </c>
      <c r="AR427" t="s">
        <v>8508</v>
      </c>
      <c r="AS427" t="s">
        <v>8509</v>
      </c>
      <c r="AT427" t="s">
        <v>8510</v>
      </c>
      <c r="AU427">
        <v>2024</v>
      </c>
      <c r="AV427">
        <v>26</v>
      </c>
      <c r="AW427">
        <v>2</v>
      </c>
      <c r="AX427" t="s">
        <v>74</v>
      </c>
      <c r="AY427" t="s">
        <v>74</v>
      </c>
      <c r="AZ427" t="s">
        <v>74</v>
      </c>
      <c r="BA427" t="s">
        <v>74</v>
      </c>
      <c r="BB427">
        <v>161</v>
      </c>
      <c r="BC427">
        <v>164</v>
      </c>
      <c r="BD427" t="s">
        <v>74</v>
      </c>
      <c r="BE427" t="s">
        <v>8511</v>
      </c>
      <c r="BF427" t="str">
        <f>HYPERLINK("http://dx.doi.org/10.4103/jmms.jmms_89_23","http://dx.doi.org/10.4103/jmms.jmms_89_23")</f>
        <v>http://dx.doi.org/10.4103/jmms.jmms_89_23</v>
      </c>
      <c r="BG427" t="s">
        <v>74</v>
      </c>
      <c r="BH427" t="s">
        <v>74</v>
      </c>
      <c r="BI427">
        <v>4</v>
      </c>
      <c r="BJ427" t="s">
        <v>2512</v>
      </c>
      <c r="BK427" t="s">
        <v>155</v>
      </c>
      <c r="BL427" t="s">
        <v>2512</v>
      </c>
      <c r="BM427" t="s">
        <v>8512</v>
      </c>
      <c r="BN427" t="s">
        <v>74</v>
      </c>
      <c r="BO427" t="s">
        <v>185</v>
      </c>
      <c r="BP427" t="s">
        <v>74</v>
      </c>
      <c r="BQ427" t="s">
        <v>74</v>
      </c>
      <c r="BR427" t="s">
        <v>105</v>
      </c>
      <c r="BS427" t="s">
        <v>8513</v>
      </c>
      <c r="BT427" t="str">
        <f>HYPERLINK("https%3A%2F%2Fwww.webofscience.com%2Fwos%2Fwoscc%2Ffull-record%2FWOS:001316507300003","View Full Record in Web of Science")</f>
        <v>View Full Record in Web of Science</v>
      </c>
    </row>
    <row r="428" spans="1:72" x14ac:dyDescent="0.25">
      <c r="A428" t="s">
        <v>72</v>
      </c>
      <c r="B428" t="s">
        <v>8514</v>
      </c>
      <c r="C428" t="s">
        <v>74</v>
      </c>
      <c r="D428" t="s">
        <v>74</v>
      </c>
      <c r="E428" t="s">
        <v>74</v>
      </c>
      <c r="F428" t="s">
        <v>8515</v>
      </c>
      <c r="G428" t="s">
        <v>74</v>
      </c>
      <c r="H428" t="s">
        <v>74</v>
      </c>
      <c r="I428" t="s">
        <v>8516</v>
      </c>
      <c r="J428" t="s">
        <v>8517</v>
      </c>
      <c r="K428" t="s">
        <v>74</v>
      </c>
      <c r="L428" t="s">
        <v>74</v>
      </c>
      <c r="M428" t="s">
        <v>78</v>
      </c>
      <c r="N428" t="s">
        <v>79</v>
      </c>
      <c r="O428" t="s">
        <v>74</v>
      </c>
      <c r="P428" t="s">
        <v>74</v>
      </c>
      <c r="Q428" t="s">
        <v>74</v>
      </c>
      <c r="R428" t="s">
        <v>74</v>
      </c>
      <c r="S428" t="s">
        <v>74</v>
      </c>
      <c r="T428" t="s">
        <v>8518</v>
      </c>
      <c r="U428" t="s">
        <v>8519</v>
      </c>
      <c r="V428" t="s">
        <v>8520</v>
      </c>
      <c r="W428" t="s">
        <v>8521</v>
      </c>
      <c r="X428" t="s">
        <v>8522</v>
      </c>
      <c r="Y428" t="s">
        <v>8523</v>
      </c>
      <c r="Z428" t="s">
        <v>8524</v>
      </c>
      <c r="AA428" t="s">
        <v>74</v>
      </c>
      <c r="AB428" t="s">
        <v>8525</v>
      </c>
      <c r="AC428" t="s">
        <v>8526</v>
      </c>
      <c r="AD428" t="s">
        <v>8527</v>
      </c>
      <c r="AE428" t="s">
        <v>8528</v>
      </c>
      <c r="AF428" t="s">
        <v>74</v>
      </c>
      <c r="AG428">
        <v>51</v>
      </c>
      <c r="AH428">
        <v>0</v>
      </c>
      <c r="AI428">
        <v>0</v>
      </c>
      <c r="AJ428">
        <v>0</v>
      </c>
      <c r="AK428">
        <v>4</v>
      </c>
      <c r="AL428" t="s">
        <v>4725</v>
      </c>
      <c r="AM428" t="s">
        <v>2597</v>
      </c>
      <c r="AN428" t="s">
        <v>4726</v>
      </c>
      <c r="AO428" t="s">
        <v>8529</v>
      </c>
      <c r="AP428" t="s">
        <v>8530</v>
      </c>
      <c r="AQ428" t="s">
        <v>74</v>
      </c>
      <c r="AR428" t="s">
        <v>8531</v>
      </c>
      <c r="AS428" t="s">
        <v>8532</v>
      </c>
      <c r="AT428" t="s">
        <v>326</v>
      </c>
      <c r="AU428">
        <v>2024</v>
      </c>
      <c r="AV428">
        <v>47</v>
      </c>
      <c r="AW428">
        <v>5</v>
      </c>
      <c r="AX428" t="s">
        <v>74</v>
      </c>
      <c r="AY428" t="s">
        <v>74</v>
      </c>
      <c r="AZ428" t="s">
        <v>74</v>
      </c>
      <c r="BA428" t="s">
        <v>74</v>
      </c>
      <c r="BB428">
        <v>2132</v>
      </c>
      <c r="BC428">
        <v>2137</v>
      </c>
      <c r="BD428" t="s">
        <v>74</v>
      </c>
      <c r="BE428" t="s">
        <v>8533</v>
      </c>
      <c r="BF428" t="str">
        <f>HYPERLINK("http://dx.doi.org/10.1016/j.asjsur.2024.01.134","http://dx.doi.org/10.1016/j.asjsur.2024.01.134")</f>
        <v>http://dx.doi.org/10.1016/j.asjsur.2024.01.134</v>
      </c>
      <c r="BG428" t="s">
        <v>74</v>
      </c>
      <c r="BH428" t="s">
        <v>8534</v>
      </c>
      <c r="BI428">
        <v>6</v>
      </c>
      <c r="BJ428" t="s">
        <v>4896</v>
      </c>
      <c r="BK428" t="s">
        <v>182</v>
      </c>
      <c r="BL428" t="s">
        <v>4896</v>
      </c>
      <c r="BM428" t="s">
        <v>8535</v>
      </c>
      <c r="BN428">
        <v>38331610</v>
      </c>
      <c r="BO428" t="s">
        <v>185</v>
      </c>
      <c r="BP428" t="s">
        <v>74</v>
      </c>
      <c r="BQ428" t="s">
        <v>74</v>
      </c>
      <c r="BR428" t="s">
        <v>105</v>
      </c>
      <c r="BS428" t="s">
        <v>8536</v>
      </c>
      <c r="BT428" t="str">
        <f>HYPERLINK("https%3A%2F%2Fwww.webofscience.com%2Fwos%2Fwoscc%2Ffull-record%2FWOS:001238546900001","View Full Record in Web of Science")</f>
        <v>View Full Record in Web of Science</v>
      </c>
    </row>
    <row r="429" spans="1:72" x14ac:dyDescent="0.25">
      <c r="A429" t="s">
        <v>72</v>
      </c>
      <c r="B429" t="s">
        <v>8537</v>
      </c>
      <c r="C429" t="s">
        <v>74</v>
      </c>
      <c r="D429" t="s">
        <v>74</v>
      </c>
      <c r="E429" t="s">
        <v>74</v>
      </c>
      <c r="F429" t="s">
        <v>8538</v>
      </c>
      <c r="G429" t="s">
        <v>74</v>
      </c>
      <c r="H429" t="s">
        <v>74</v>
      </c>
      <c r="I429" t="s">
        <v>8539</v>
      </c>
      <c r="J429" t="s">
        <v>8540</v>
      </c>
      <c r="K429" t="s">
        <v>74</v>
      </c>
      <c r="L429" t="s">
        <v>74</v>
      </c>
      <c r="M429" t="s">
        <v>78</v>
      </c>
      <c r="N429" t="s">
        <v>79</v>
      </c>
      <c r="O429" t="s">
        <v>74</v>
      </c>
      <c r="P429" t="s">
        <v>74</v>
      </c>
      <c r="Q429" t="s">
        <v>74</v>
      </c>
      <c r="R429" t="s">
        <v>74</v>
      </c>
      <c r="S429" t="s">
        <v>74</v>
      </c>
      <c r="T429" t="s">
        <v>8541</v>
      </c>
      <c r="U429" t="s">
        <v>8542</v>
      </c>
      <c r="V429" t="s">
        <v>8543</v>
      </c>
      <c r="W429" t="s">
        <v>8544</v>
      </c>
      <c r="X429" t="s">
        <v>8545</v>
      </c>
      <c r="Y429" t="s">
        <v>8546</v>
      </c>
      <c r="Z429" t="s">
        <v>8547</v>
      </c>
      <c r="AA429" t="s">
        <v>8548</v>
      </c>
      <c r="AB429" t="s">
        <v>8549</v>
      </c>
      <c r="AC429" t="s">
        <v>74</v>
      </c>
      <c r="AD429" t="s">
        <v>74</v>
      </c>
      <c r="AE429" t="s">
        <v>74</v>
      </c>
      <c r="AF429" t="s">
        <v>74</v>
      </c>
      <c r="AG429">
        <v>122</v>
      </c>
      <c r="AH429">
        <v>0</v>
      </c>
      <c r="AI429">
        <v>0</v>
      </c>
      <c r="AJ429">
        <v>2</v>
      </c>
      <c r="AK429">
        <v>2</v>
      </c>
      <c r="AL429" t="s">
        <v>120</v>
      </c>
      <c r="AM429" t="s">
        <v>121</v>
      </c>
      <c r="AN429" t="s">
        <v>1221</v>
      </c>
      <c r="AO429" t="s">
        <v>74</v>
      </c>
      <c r="AP429" t="s">
        <v>8550</v>
      </c>
      <c r="AQ429" t="s">
        <v>74</v>
      </c>
      <c r="AR429" t="s">
        <v>8551</v>
      </c>
      <c r="AS429" t="s">
        <v>8552</v>
      </c>
      <c r="AT429" t="s">
        <v>8553</v>
      </c>
      <c r="AU429">
        <v>2024</v>
      </c>
      <c r="AV429">
        <v>4</v>
      </c>
      <c r="AW429">
        <v>2</v>
      </c>
      <c r="AX429" t="s">
        <v>74</v>
      </c>
      <c r="AY429" t="s">
        <v>74</v>
      </c>
      <c r="AZ429" t="s">
        <v>74</v>
      </c>
      <c r="BA429" t="s">
        <v>74</v>
      </c>
      <c r="BB429">
        <v>260</v>
      </c>
      <c r="BC429">
        <v>283</v>
      </c>
      <c r="BD429" t="s">
        <v>74</v>
      </c>
      <c r="BE429" t="s">
        <v>8554</v>
      </c>
      <c r="BF429" t="str">
        <f>HYPERLINK("http://dx.doi.org/10.3390/mining4020016","http://dx.doi.org/10.3390/mining4020016")</f>
        <v>http://dx.doi.org/10.3390/mining4020016</v>
      </c>
      <c r="BG429" t="s">
        <v>74</v>
      </c>
      <c r="BH429" t="s">
        <v>74</v>
      </c>
      <c r="BI429">
        <v>24</v>
      </c>
      <c r="BJ429" t="s">
        <v>8555</v>
      </c>
      <c r="BK429" t="s">
        <v>155</v>
      </c>
      <c r="BL429" t="s">
        <v>8555</v>
      </c>
      <c r="BM429" t="s">
        <v>8556</v>
      </c>
      <c r="BN429" t="s">
        <v>74</v>
      </c>
      <c r="BO429" t="s">
        <v>185</v>
      </c>
      <c r="BP429" t="s">
        <v>74</v>
      </c>
      <c r="BQ429" t="s">
        <v>74</v>
      </c>
      <c r="BR429" t="s">
        <v>105</v>
      </c>
      <c r="BS429" t="s">
        <v>8557</v>
      </c>
      <c r="BT429" t="str">
        <f>HYPERLINK("https%3A%2F%2Fwww.webofscience.com%2Fwos%2Fwoscc%2Ffull-record%2FWOS:001466817600001","View Full Record in Web of Science")</f>
        <v>View Full Record in Web of Science</v>
      </c>
    </row>
    <row r="430" spans="1:72" x14ac:dyDescent="0.25">
      <c r="A430" t="s">
        <v>72</v>
      </c>
      <c r="B430" t="s">
        <v>8558</v>
      </c>
      <c r="C430" t="s">
        <v>74</v>
      </c>
      <c r="D430" t="s">
        <v>74</v>
      </c>
      <c r="E430" t="s">
        <v>74</v>
      </c>
      <c r="F430" t="s">
        <v>8559</v>
      </c>
      <c r="G430" t="s">
        <v>74</v>
      </c>
      <c r="H430" t="s">
        <v>74</v>
      </c>
      <c r="I430" t="s">
        <v>8560</v>
      </c>
      <c r="J430" t="s">
        <v>190</v>
      </c>
      <c r="K430" t="s">
        <v>74</v>
      </c>
      <c r="L430" t="s">
        <v>74</v>
      </c>
      <c r="M430" t="s">
        <v>78</v>
      </c>
      <c r="N430" t="s">
        <v>79</v>
      </c>
      <c r="O430" t="s">
        <v>74</v>
      </c>
      <c r="P430" t="s">
        <v>74</v>
      </c>
      <c r="Q430" t="s">
        <v>74</v>
      </c>
      <c r="R430" t="s">
        <v>74</v>
      </c>
      <c r="S430" t="s">
        <v>74</v>
      </c>
      <c r="T430" t="s">
        <v>8561</v>
      </c>
      <c r="U430" t="s">
        <v>8562</v>
      </c>
      <c r="V430" t="s">
        <v>8563</v>
      </c>
      <c r="W430" t="s">
        <v>8564</v>
      </c>
      <c r="X430" t="s">
        <v>8565</v>
      </c>
      <c r="Y430" t="s">
        <v>8566</v>
      </c>
      <c r="Z430" t="s">
        <v>8567</v>
      </c>
      <c r="AA430" t="s">
        <v>8568</v>
      </c>
      <c r="AB430" t="s">
        <v>74</v>
      </c>
      <c r="AC430" t="s">
        <v>74</v>
      </c>
      <c r="AD430" t="s">
        <v>74</v>
      </c>
      <c r="AE430" t="s">
        <v>74</v>
      </c>
      <c r="AF430" t="s">
        <v>74</v>
      </c>
      <c r="AG430">
        <v>64</v>
      </c>
      <c r="AH430">
        <v>11</v>
      </c>
      <c r="AI430">
        <v>11</v>
      </c>
      <c r="AJ430">
        <v>8</v>
      </c>
      <c r="AK430">
        <v>18</v>
      </c>
      <c r="AL430" t="s">
        <v>202</v>
      </c>
      <c r="AM430" t="s">
        <v>203</v>
      </c>
      <c r="AN430" t="s">
        <v>204</v>
      </c>
      <c r="AO430" t="s">
        <v>205</v>
      </c>
      <c r="AP430" t="s">
        <v>206</v>
      </c>
      <c r="AQ430" t="s">
        <v>74</v>
      </c>
      <c r="AR430" t="s">
        <v>207</v>
      </c>
      <c r="AS430" t="s">
        <v>208</v>
      </c>
      <c r="AT430" t="s">
        <v>1070</v>
      </c>
      <c r="AU430">
        <v>2024</v>
      </c>
      <c r="AV430">
        <v>60</v>
      </c>
      <c r="AW430">
        <v>3</v>
      </c>
      <c r="AX430" t="s">
        <v>74</v>
      </c>
      <c r="AY430" t="s">
        <v>74</v>
      </c>
      <c r="AZ430" t="s">
        <v>74</v>
      </c>
      <c r="BA430" t="s">
        <v>74</v>
      </c>
      <c r="BB430">
        <v>400</v>
      </c>
      <c r="BC430">
        <v>411</v>
      </c>
      <c r="BD430" t="s">
        <v>74</v>
      </c>
      <c r="BE430" t="s">
        <v>8569</v>
      </c>
      <c r="BF430" t="str">
        <f>HYPERLINK("http://dx.doi.org/10.23736/S1973-9087.24.08354-0","http://dx.doi.org/10.23736/S1973-9087.24.08354-0")</f>
        <v>http://dx.doi.org/10.23736/S1973-9087.24.08354-0</v>
      </c>
      <c r="BG430" t="s">
        <v>74</v>
      </c>
      <c r="BH430" t="s">
        <v>8534</v>
      </c>
      <c r="BI430">
        <v>12</v>
      </c>
      <c r="BJ430" t="s">
        <v>101</v>
      </c>
      <c r="BK430" t="s">
        <v>182</v>
      </c>
      <c r="BL430" t="s">
        <v>101</v>
      </c>
      <c r="BM430" t="s">
        <v>8570</v>
      </c>
      <c r="BN430">
        <v>38647534</v>
      </c>
      <c r="BO430" t="s">
        <v>131</v>
      </c>
      <c r="BP430" t="s">
        <v>74</v>
      </c>
      <c r="BQ430" t="s">
        <v>74</v>
      </c>
      <c r="BR430" t="s">
        <v>105</v>
      </c>
      <c r="BS430" t="s">
        <v>8571</v>
      </c>
      <c r="BT430" t="str">
        <f>HYPERLINK("https%3A%2F%2Fwww.webofscience.com%2Fwos%2Fwoscc%2Ffull-record%2FWOS:001216608000001","View Full Record in Web of Science")</f>
        <v>View Full Record in Web of Science</v>
      </c>
    </row>
    <row r="431" spans="1:72" x14ac:dyDescent="0.25">
      <c r="A431" t="s">
        <v>72</v>
      </c>
      <c r="B431" t="s">
        <v>8572</v>
      </c>
      <c r="C431" t="s">
        <v>74</v>
      </c>
      <c r="D431" t="s">
        <v>74</v>
      </c>
      <c r="E431" t="s">
        <v>74</v>
      </c>
      <c r="F431" t="s">
        <v>8573</v>
      </c>
      <c r="G431" t="s">
        <v>74</v>
      </c>
      <c r="H431" t="s">
        <v>74</v>
      </c>
      <c r="I431" t="s">
        <v>8574</v>
      </c>
      <c r="J431" t="s">
        <v>77</v>
      </c>
      <c r="K431" t="s">
        <v>74</v>
      </c>
      <c r="L431" t="s">
        <v>74</v>
      </c>
      <c r="M431" t="s">
        <v>78</v>
      </c>
      <c r="N431" t="s">
        <v>79</v>
      </c>
      <c r="O431" t="s">
        <v>74</v>
      </c>
      <c r="P431" t="s">
        <v>74</v>
      </c>
      <c r="Q431" t="s">
        <v>74</v>
      </c>
      <c r="R431" t="s">
        <v>74</v>
      </c>
      <c r="S431" t="s">
        <v>74</v>
      </c>
      <c r="T431" t="s">
        <v>8575</v>
      </c>
      <c r="U431" t="s">
        <v>8576</v>
      </c>
      <c r="V431" t="s">
        <v>8577</v>
      </c>
      <c r="W431" t="s">
        <v>8578</v>
      </c>
      <c r="X431" t="s">
        <v>8579</v>
      </c>
      <c r="Y431" t="s">
        <v>8580</v>
      </c>
      <c r="Z431" t="s">
        <v>8581</v>
      </c>
      <c r="AA431" t="s">
        <v>8582</v>
      </c>
      <c r="AB431" t="s">
        <v>8583</v>
      </c>
      <c r="AC431" t="s">
        <v>8584</v>
      </c>
      <c r="AD431" t="s">
        <v>8585</v>
      </c>
      <c r="AE431" t="s">
        <v>8586</v>
      </c>
      <c r="AF431" t="s">
        <v>74</v>
      </c>
      <c r="AG431">
        <v>63</v>
      </c>
      <c r="AH431">
        <v>0</v>
      </c>
      <c r="AI431">
        <v>0</v>
      </c>
      <c r="AJ431">
        <v>5</v>
      </c>
      <c r="AK431">
        <v>8</v>
      </c>
      <c r="AL431" t="s">
        <v>92</v>
      </c>
      <c r="AM431" t="s">
        <v>93</v>
      </c>
      <c r="AN431" t="s">
        <v>94</v>
      </c>
      <c r="AO431" t="s">
        <v>95</v>
      </c>
      <c r="AP431" t="s">
        <v>96</v>
      </c>
      <c r="AQ431" t="s">
        <v>74</v>
      </c>
      <c r="AR431" t="s">
        <v>97</v>
      </c>
      <c r="AS431" t="s">
        <v>98</v>
      </c>
      <c r="AT431" t="s">
        <v>8587</v>
      </c>
      <c r="AU431">
        <v>2025</v>
      </c>
      <c r="AV431">
        <v>47</v>
      </c>
      <c r="AW431">
        <v>2</v>
      </c>
      <c r="AX431" t="s">
        <v>74</v>
      </c>
      <c r="AY431" t="s">
        <v>74</v>
      </c>
      <c r="AZ431" t="s">
        <v>74</v>
      </c>
      <c r="BA431" t="s">
        <v>74</v>
      </c>
      <c r="BB431">
        <v>302</v>
      </c>
      <c r="BC431">
        <v>313</v>
      </c>
      <c r="BD431" t="s">
        <v>74</v>
      </c>
      <c r="BE431" t="s">
        <v>8588</v>
      </c>
      <c r="BF431" t="str">
        <f>HYPERLINK("http://dx.doi.org/10.1080/09638288.2024.2338197","http://dx.doi.org/10.1080/09638288.2024.2338197")</f>
        <v>http://dx.doi.org/10.1080/09638288.2024.2338197</v>
      </c>
      <c r="BG431" t="s">
        <v>74</v>
      </c>
      <c r="BH431" t="s">
        <v>8534</v>
      </c>
      <c r="BI431">
        <v>12</v>
      </c>
      <c r="BJ431" t="s">
        <v>101</v>
      </c>
      <c r="BK431" t="s">
        <v>102</v>
      </c>
      <c r="BL431" t="s">
        <v>101</v>
      </c>
      <c r="BM431" t="s">
        <v>8589</v>
      </c>
      <c r="BN431">
        <v>38616570</v>
      </c>
      <c r="BO431" t="s">
        <v>74</v>
      </c>
      <c r="BP431" t="s">
        <v>74</v>
      </c>
      <c r="BQ431" t="s">
        <v>74</v>
      </c>
      <c r="BR431" t="s">
        <v>105</v>
      </c>
      <c r="BS431" t="s">
        <v>8590</v>
      </c>
      <c r="BT431" t="str">
        <f>HYPERLINK("https%3A%2F%2Fwww.webofscience.com%2Fwos%2Fwoscc%2Ffull-record%2FWOS:001203835800001","View Full Record in Web of Science")</f>
        <v>View Full Record in Web of Science</v>
      </c>
    </row>
    <row r="432" spans="1:72" x14ac:dyDescent="0.25">
      <c r="A432" t="s">
        <v>72</v>
      </c>
      <c r="B432" t="s">
        <v>8591</v>
      </c>
      <c r="C432" t="s">
        <v>74</v>
      </c>
      <c r="D432" t="s">
        <v>74</v>
      </c>
      <c r="E432" t="s">
        <v>74</v>
      </c>
      <c r="F432" t="s">
        <v>8592</v>
      </c>
      <c r="G432" t="s">
        <v>74</v>
      </c>
      <c r="H432" t="s">
        <v>74</v>
      </c>
      <c r="I432" t="s">
        <v>8593</v>
      </c>
      <c r="J432" t="s">
        <v>8594</v>
      </c>
      <c r="K432" t="s">
        <v>74</v>
      </c>
      <c r="L432" t="s">
        <v>74</v>
      </c>
      <c r="M432" t="s">
        <v>78</v>
      </c>
      <c r="N432" t="s">
        <v>79</v>
      </c>
      <c r="O432" t="s">
        <v>74</v>
      </c>
      <c r="P432" t="s">
        <v>74</v>
      </c>
      <c r="Q432" t="s">
        <v>74</v>
      </c>
      <c r="R432" t="s">
        <v>74</v>
      </c>
      <c r="S432" t="s">
        <v>74</v>
      </c>
      <c r="T432" t="s">
        <v>8595</v>
      </c>
      <c r="U432" t="s">
        <v>8596</v>
      </c>
      <c r="V432" t="s">
        <v>8597</v>
      </c>
      <c r="W432" t="s">
        <v>8598</v>
      </c>
      <c r="X432" t="s">
        <v>8599</v>
      </c>
      <c r="Y432" t="s">
        <v>8600</v>
      </c>
      <c r="Z432" t="s">
        <v>8601</v>
      </c>
      <c r="AA432" t="s">
        <v>8602</v>
      </c>
      <c r="AB432" t="s">
        <v>8603</v>
      </c>
      <c r="AC432" t="s">
        <v>8604</v>
      </c>
      <c r="AD432" t="s">
        <v>8605</v>
      </c>
      <c r="AE432" t="s">
        <v>8606</v>
      </c>
      <c r="AF432" t="s">
        <v>74</v>
      </c>
      <c r="AG432">
        <v>35</v>
      </c>
      <c r="AH432">
        <v>1</v>
      </c>
      <c r="AI432">
        <v>1</v>
      </c>
      <c r="AJ432">
        <v>9</v>
      </c>
      <c r="AK432">
        <v>24</v>
      </c>
      <c r="AL432" t="s">
        <v>8607</v>
      </c>
      <c r="AM432" t="s">
        <v>8608</v>
      </c>
      <c r="AN432" t="s">
        <v>8609</v>
      </c>
      <c r="AO432" t="s">
        <v>8610</v>
      </c>
      <c r="AP432" t="s">
        <v>8611</v>
      </c>
      <c r="AQ432" t="s">
        <v>74</v>
      </c>
      <c r="AR432" t="s">
        <v>8612</v>
      </c>
      <c r="AS432" t="s">
        <v>8613</v>
      </c>
      <c r="AT432" t="s">
        <v>8614</v>
      </c>
      <c r="AU432">
        <v>2024</v>
      </c>
      <c r="AV432">
        <v>13</v>
      </c>
      <c r="AW432">
        <v>3</v>
      </c>
      <c r="AX432" t="s">
        <v>74</v>
      </c>
      <c r="AY432" t="s">
        <v>74</v>
      </c>
      <c r="AZ432" t="s">
        <v>74</v>
      </c>
      <c r="BA432" t="s">
        <v>74</v>
      </c>
      <c r="BB432">
        <v>149</v>
      </c>
      <c r="BC432">
        <v>163</v>
      </c>
      <c r="BD432" t="s">
        <v>74</v>
      </c>
      <c r="BE432" t="s">
        <v>8615</v>
      </c>
      <c r="BF432" t="str">
        <f>HYPERLINK("http://dx.doi.org/10.1089/g4h.2023.0040","http://dx.doi.org/10.1089/g4h.2023.0040")</f>
        <v>http://dx.doi.org/10.1089/g4h.2023.0040</v>
      </c>
      <c r="BG432" t="s">
        <v>74</v>
      </c>
      <c r="BH432" t="s">
        <v>8534</v>
      </c>
      <c r="BI432">
        <v>15</v>
      </c>
      <c r="BJ432" t="s">
        <v>8616</v>
      </c>
      <c r="BK432" t="s">
        <v>462</v>
      </c>
      <c r="BL432" t="s">
        <v>8617</v>
      </c>
      <c r="BM432" t="s">
        <v>8618</v>
      </c>
      <c r="BN432">
        <v>38563785</v>
      </c>
      <c r="BO432" t="s">
        <v>74</v>
      </c>
      <c r="BP432" t="s">
        <v>74</v>
      </c>
      <c r="BQ432" t="s">
        <v>74</v>
      </c>
      <c r="BR432" t="s">
        <v>105</v>
      </c>
      <c r="BS432" t="s">
        <v>8619</v>
      </c>
      <c r="BT432" t="str">
        <f>HYPERLINK("https%3A%2F%2Fwww.webofscience.com%2Fwos%2Fwoscc%2Ffull-record%2FWOS:001195553100001","View Full Record in Web of Science")</f>
        <v>View Full Record in Web of Science</v>
      </c>
    </row>
    <row r="433" spans="1:72" x14ac:dyDescent="0.25">
      <c r="A433" t="s">
        <v>72</v>
      </c>
      <c r="B433" t="s">
        <v>8620</v>
      </c>
      <c r="C433" t="s">
        <v>74</v>
      </c>
      <c r="D433" t="s">
        <v>74</v>
      </c>
      <c r="E433" t="s">
        <v>74</v>
      </c>
      <c r="F433" t="s">
        <v>8621</v>
      </c>
      <c r="G433" t="s">
        <v>74</v>
      </c>
      <c r="H433" t="s">
        <v>74</v>
      </c>
      <c r="I433" t="s">
        <v>8622</v>
      </c>
      <c r="J433" t="s">
        <v>6771</v>
      </c>
      <c r="K433" t="s">
        <v>74</v>
      </c>
      <c r="L433" t="s">
        <v>74</v>
      </c>
      <c r="M433" t="s">
        <v>1876</v>
      </c>
      <c r="N433" t="s">
        <v>79</v>
      </c>
      <c r="O433" t="s">
        <v>74</v>
      </c>
      <c r="P433" t="s">
        <v>74</v>
      </c>
      <c r="Q433" t="s">
        <v>74</v>
      </c>
      <c r="R433" t="s">
        <v>74</v>
      </c>
      <c r="S433" t="s">
        <v>74</v>
      </c>
      <c r="T433" t="s">
        <v>8623</v>
      </c>
      <c r="U433" t="s">
        <v>8624</v>
      </c>
      <c r="V433" t="s">
        <v>8625</v>
      </c>
      <c r="W433" t="s">
        <v>8626</v>
      </c>
      <c r="X433" t="s">
        <v>74</v>
      </c>
      <c r="Y433" t="s">
        <v>8627</v>
      </c>
      <c r="Z433" t="s">
        <v>8628</v>
      </c>
      <c r="AA433" t="s">
        <v>74</v>
      </c>
      <c r="AB433" t="s">
        <v>74</v>
      </c>
      <c r="AC433" t="s">
        <v>74</v>
      </c>
      <c r="AD433" t="s">
        <v>74</v>
      </c>
      <c r="AE433" t="s">
        <v>74</v>
      </c>
      <c r="AF433" t="s">
        <v>74</v>
      </c>
      <c r="AG433">
        <v>20</v>
      </c>
      <c r="AH433">
        <v>1</v>
      </c>
      <c r="AI433">
        <v>1</v>
      </c>
      <c r="AJ433">
        <v>0</v>
      </c>
      <c r="AK433">
        <v>0</v>
      </c>
      <c r="AL433" t="s">
        <v>172</v>
      </c>
      <c r="AM433" t="s">
        <v>173</v>
      </c>
      <c r="AN433" t="s">
        <v>174</v>
      </c>
      <c r="AO433" t="s">
        <v>6778</v>
      </c>
      <c r="AP433" t="s">
        <v>6779</v>
      </c>
      <c r="AQ433" t="s">
        <v>74</v>
      </c>
      <c r="AR433" t="s">
        <v>6771</v>
      </c>
      <c r="AS433" t="s">
        <v>6780</v>
      </c>
      <c r="AT433" t="s">
        <v>487</v>
      </c>
      <c r="AU433">
        <v>2024</v>
      </c>
      <c r="AV433">
        <v>53</v>
      </c>
      <c r="AW433">
        <v>4</v>
      </c>
      <c r="AX433" t="s">
        <v>74</v>
      </c>
      <c r="AY433" t="s">
        <v>74</v>
      </c>
      <c r="AZ433" t="s">
        <v>152</v>
      </c>
      <c r="BA433" t="s">
        <v>74</v>
      </c>
      <c r="BB433">
        <v>255</v>
      </c>
      <c r="BC433">
        <v>264</v>
      </c>
      <c r="BD433" t="s">
        <v>74</v>
      </c>
      <c r="BE433" t="s">
        <v>8629</v>
      </c>
      <c r="BF433" t="str">
        <f>HYPERLINK("http://dx.doi.org/10.1007/s00132-024-04482-x","http://dx.doi.org/10.1007/s00132-024-04482-x")</f>
        <v>http://dx.doi.org/10.1007/s00132-024-04482-x</v>
      </c>
      <c r="BG433" t="s">
        <v>74</v>
      </c>
      <c r="BH433" t="s">
        <v>74</v>
      </c>
      <c r="BI433">
        <v>10</v>
      </c>
      <c r="BJ433" t="s">
        <v>443</v>
      </c>
      <c r="BK433" t="s">
        <v>182</v>
      </c>
      <c r="BL433" t="s">
        <v>443</v>
      </c>
      <c r="BM433" t="s">
        <v>8630</v>
      </c>
      <c r="BN433">
        <v>38451274</v>
      </c>
      <c r="BO433" t="s">
        <v>74</v>
      </c>
      <c r="BP433" t="s">
        <v>74</v>
      </c>
      <c r="BQ433" t="s">
        <v>74</v>
      </c>
      <c r="BR433" t="s">
        <v>105</v>
      </c>
      <c r="BS433" t="s">
        <v>8631</v>
      </c>
      <c r="BT433" t="str">
        <f>HYPERLINK("https%3A%2F%2Fwww.webofscience.com%2Fwos%2Fwoscc%2Ffull-record%2FWOS:001203841600004","View Full Record in Web of Science")</f>
        <v>View Full Record in Web of Science</v>
      </c>
    </row>
    <row r="434" spans="1:72" x14ac:dyDescent="0.25">
      <c r="A434" t="s">
        <v>72</v>
      </c>
      <c r="B434" t="s">
        <v>8632</v>
      </c>
      <c r="C434" t="s">
        <v>74</v>
      </c>
      <c r="D434" t="s">
        <v>74</v>
      </c>
      <c r="E434" t="s">
        <v>74</v>
      </c>
      <c r="F434" t="s">
        <v>8633</v>
      </c>
      <c r="G434" t="s">
        <v>74</v>
      </c>
      <c r="H434" t="s">
        <v>74</v>
      </c>
      <c r="I434" t="s">
        <v>8634</v>
      </c>
      <c r="J434" t="s">
        <v>2040</v>
      </c>
      <c r="K434" t="s">
        <v>74</v>
      </c>
      <c r="L434" t="s">
        <v>74</v>
      </c>
      <c r="M434" t="s">
        <v>78</v>
      </c>
      <c r="N434" t="s">
        <v>79</v>
      </c>
      <c r="O434" t="s">
        <v>74</v>
      </c>
      <c r="P434" t="s">
        <v>74</v>
      </c>
      <c r="Q434" t="s">
        <v>74</v>
      </c>
      <c r="R434" t="s">
        <v>74</v>
      </c>
      <c r="S434" t="s">
        <v>74</v>
      </c>
      <c r="T434" t="s">
        <v>8635</v>
      </c>
      <c r="U434" t="s">
        <v>8636</v>
      </c>
      <c r="V434" t="s">
        <v>8637</v>
      </c>
      <c r="W434" t="s">
        <v>8638</v>
      </c>
      <c r="X434" t="s">
        <v>8639</v>
      </c>
      <c r="Y434" t="s">
        <v>8640</v>
      </c>
      <c r="Z434" t="s">
        <v>8641</v>
      </c>
      <c r="AA434" t="s">
        <v>8642</v>
      </c>
      <c r="AB434" t="s">
        <v>8643</v>
      </c>
      <c r="AC434" t="s">
        <v>8644</v>
      </c>
      <c r="AD434" t="s">
        <v>8645</v>
      </c>
      <c r="AE434" t="s">
        <v>171</v>
      </c>
      <c r="AF434" t="s">
        <v>74</v>
      </c>
      <c r="AG434">
        <v>76</v>
      </c>
      <c r="AH434">
        <v>5</v>
      </c>
      <c r="AI434">
        <v>5</v>
      </c>
      <c r="AJ434">
        <v>11</v>
      </c>
      <c r="AK434">
        <v>29</v>
      </c>
      <c r="AL434" t="s">
        <v>120</v>
      </c>
      <c r="AM434" t="s">
        <v>121</v>
      </c>
      <c r="AN434" t="s">
        <v>122</v>
      </c>
      <c r="AO434" t="s">
        <v>74</v>
      </c>
      <c r="AP434" t="s">
        <v>2050</v>
      </c>
      <c r="AQ434" t="s">
        <v>74</v>
      </c>
      <c r="AR434" t="s">
        <v>2051</v>
      </c>
      <c r="AS434" t="s">
        <v>2052</v>
      </c>
      <c r="AT434" t="s">
        <v>487</v>
      </c>
      <c r="AU434">
        <v>2024</v>
      </c>
      <c r="AV434">
        <v>24</v>
      </c>
      <c r="AW434">
        <v>7</v>
      </c>
      <c r="AX434" t="s">
        <v>74</v>
      </c>
      <c r="AY434" t="s">
        <v>74</v>
      </c>
      <c r="AZ434" t="s">
        <v>74</v>
      </c>
      <c r="BA434" t="s">
        <v>74</v>
      </c>
      <c r="BB434" t="s">
        <v>74</v>
      </c>
      <c r="BC434" t="s">
        <v>74</v>
      </c>
      <c r="BD434">
        <v>2230</v>
      </c>
      <c r="BE434" t="s">
        <v>8646</v>
      </c>
      <c r="BF434" t="str">
        <f>HYPERLINK("http://dx.doi.org/10.3390/s24072230","http://dx.doi.org/10.3390/s24072230")</f>
        <v>http://dx.doi.org/10.3390/s24072230</v>
      </c>
      <c r="BG434" t="s">
        <v>74</v>
      </c>
      <c r="BH434" t="s">
        <v>74</v>
      </c>
      <c r="BI434">
        <v>26</v>
      </c>
      <c r="BJ434" t="s">
        <v>2054</v>
      </c>
      <c r="BK434" t="s">
        <v>182</v>
      </c>
      <c r="BL434" t="s">
        <v>2055</v>
      </c>
      <c r="BM434" t="s">
        <v>8647</v>
      </c>
      <c r="BN434">
        <v>38610440</v>
      </c>
      <c r="BO434" t="s">
        <v>131</v>
      </c>
      <c r="BP434" t="s">
        <v>74</v>
      </c>
      <c r="BQ434" t="s">
        <v>74</v>
      </c>
      <c r="BR434" t="s">
        <v>105</v>
      </c>
      <c r="BS434" t="s">
        <v>8648</v>
      </c>
      <c r="BT434" t="str">
        <f>HYPERLINK("https%3A%2F%2Fwww.webofscience.com%2Fwos%2Fwoscc%2Ffull-record%2FWOS:001200834900001","View Full Record in Web of Science")</f>
        <v>View Full Record in Web of Science</v>
      </c>
    </row>
    <row r="435" spans="1:72" x14ac:dyDescent="0.25">
      <c r="A435" t="s">
        <v>72</v>
      </c>
      <c r="B435" t="s">
        <v>8649</v>
      </c>
      <c r="C435" t="s">
        <v>74</v>
      </c>
      <c r="D435" t="s">
        <v>74</v>
      </c>
      <c r="E435" t="s">
        <v>74</v>
      </c>
      <c r="F435" t="s">
        <v>8650</v>
      </c>
      <c r="G435" t="s">
        <v>74</v>
      </c>
      <c r="H435" t="s">
        <v>8651</v>
      </c>
      <c r="I435" t="s">
        <v>8652</v>
      </c>
      <c r="J435" t="s">
        <v>8653</v>
      </c>
      <c r="K435" t="s">
        <v>74</v>
      </c>
      <c r="L435" t="s">
        <v>74</v>
      </c>
      <c r="M435" t="s">
        <v>78</v>
      </c>
      <c r="N435" t="s">
        <v>79</v>
      </c>
      <c r="O435" t="s">
        <v>74</v>
      </c>
      <c r="P435" t="s">
        <v>74</v>
      </c>
      <c r="Q435" t="s">
        <v>74</v>
      </c>
      <c r="R435" t="s">
        <v>74</v>
      </c>
      <c r="S435" t="s">
        <v>74</v>
      </c>
      <c r="T435" t="s">
        <v>74</v>
      </c>
      <c r="U435" t="s">
        <v>8654</v>
      </c>
      <c r="V435" t="s">
        <v>8655</v>
      </c>
      <c r="W435" t="s">
        <v>8656</v>
      </c>
      <c r="X435" t="s">
        <v>8657</v>
      </c>
      <c r="Y435" t="s">
        <v>8658</v>
      </c>
      <c r="Z435" t="s">
        <v>8659</v>
      </c>
      <c r="AA435" t="s">
        <v>8660</v>
      </c>
      <c r="AB435" t="s">
        <v>8661</v>
      </c>
      <c r="AC435" t="s">
        <v>8662</v>
      </c>
      <c r="AD435" t="s">
        <v>1649</v>
      </c>
      <c r="AE435" t="s">
        <v>8663</v>
      </c>
      <c r="AF435" t="s">
        <v>74</v>
      </c>
      <c r="AG435">
        <v>333</v>
      </c>
      <c r="AH435">
        <v>1</v>
      </c>
      <c r="AI435">
        <v>1</v>
      </c>
      <c r="AJ435">
        <v>0</v>
      </c>
      <c r="AK435">
        <v>1</v>
      </c>
      <c r="AL435" t="s">
        <v>346</v>
      </c>
      <c r="AM435" t="s">
        <v>227</v>
      </c>
      <c r="AN435" t="s">
        <v>347</v>
      </c>
      <c r="AO435" t="s">
        <v>74</v>
      </c>
      <c r="AP435" t="s">
        <v>8664</v>
      </c>
      <c r="AQ435" t="s">
        <v>74</v>
      </c>
      <c r="AR435" t="s">
        <v>8665</v>
      </c>
      <c r="AS435" t="s">
        <v>8666</v>
      </c>
      <c r="AT435" t="s">
        <v>487</v>
      </c>
      <c r="AU435">
        <v>2024</v>
      </c>
      <c r="AV435">
        <v>10</v>
      </c>
      <c r="AW435" t="s">
        <v>74</v>
      </c>
      <c r="AX435" t="s">
        <v>74</v>
      </c>
      <c r="AY435" t="s">
        <v>74</v>
      </c>
      <c r="AZ435" t="s">
        <v>74</v>
      </c>
      <c r="BA435" t="s">
        <v>74</v>
      </c>
      <c r="BB435" t="s">
        <v>74</v>
      </c>
      <c r="BC435" t="s">
        <v>74</v>
      </c>
      <c r="BD435" t="s">
        <v>8667</v>
      </c>
      <c r="BE435" t="s">
        <v>8668</v>
      </c>
      <c r="BF435" t="str">
        <f>HYPERLINK("http://dx.doi.org/10.1200/GO.23.00343","http://dx.doi.org/10.1200/GO.23.00343")</f>
        <v>http://dx.doi.org/10.1200/GO.23.00343</v>
      </c>
      <c r="BG435" t="s">
        <v>74</v>
      </c>
      <c r="BH435" t="s">
        <v>74</v>
      </c>
      <c r="BI435">
        <v>22</v>
      </c>
      <c r="BJ435" t="s">
        <v>4032</v>
      </c>
      <c r="BK435" t="s">
        <v>155</v>
      </c>
      <c r="BL435" t="s">
        <v>4032</v>
      </c>
      <c r="BM435" t="s">
        <v>8669</v>
      </c>
      <c r="BN435">
        <v>38603656</v>
      </c>
      <c r="BO435" t="s">
        <v>3048</v>
      </c>
      <c r="BP435" t="s">
        <v>74</v>
      </c>
      <c r="BQ435" t="s">
        <v>74</v>
      </c>
      <c r="BR435" t="s">
        <v>105</v>
      </c>
      <c r="BS435" t="s">
        <v>8670</v>
      </c>
      <c r="BT435" t="str">
        <f>HYPERLINK("https%3A%2F%2Fwww.webofscience.com%2Fwos%2Fwoscc%2Ffull-record%2FWOS:001261819200008","View Full Record in Web of Science")</f>
        <v>View Full Record in Web of Science</v>
      </c>
    </row>
    <row r="436" spans="1:72" x14ac:dyDescent="0.25">
      <c r="A436" t="s">
        <v>72</v>
      </c>
      <c r="B436" t="s">
        <v>8671</v>
      </c>
      <c r="C436" t="s">
        <v>74</v>
      </c>
      <c r="D436" t="s">
        <v>74</v>
      </c>
      <c r="E436" t="s">
        <v>74</v>
      </c>
      <c r="F436" t="s">
        <v>8672</v>
      </c>
      <c r="G436" t="s">
        <v>74</v>
      </c>
      <c r="H436" t="s">
        <v>74</v>
      </c>
      <c r="I436" t="s">
        <v>8673</v>
      </c>
      <c r="J436" t="s">
        <v>8674</v>
      </c>
      <c r="K436" t="s">
        <v>74</v>
      </c>
      <c r="L436" t="s">
        <v>74</v>
      </c>
      <c r="M436" t="s">
        <v>78</v>
      </c>
      <c r="N436" t="s">
        <v>79</v>
      </c>
      <c r="O436" t="s">
        <v>74</v>
      </c>
      <c r="P436" t="s">
        <v>74</v>
      </c>
      <c r="Q436" t="s">
        <v>74</v>
      </c>
      <c r="R436" t="s">
        <v>74</v>
      </c>
      <c r="S436" t="s">
        <v>74</v>
      </c>
      <c r="T436" t="s">
        <v>8675</v>
      </c>
      <c r="U436" t="s">
        <v>8676</v>
      </c>
      <c r="V436" t="s">
        <v>8677</v>
      </c>
      <c r="W436" t="s">
        <v>8678</v>
      </c>
      <c r="X436" t="s">
        <v>8679</v>
      </c>
      <c r="Y436" t="s">
        <v>8680</v>
      </c>
      <c r="Z436" t="s">
        <v>8681</v>
      </c>
      <c r="AA436" t="s">
        <v>74</v>
      </c>
      <c r="AB436" t="s">
        <v>8682</v>
      </c>
      <c r="AC436" t="s">
        <v>74</v>
      </c>
      <c r="AD436" t="s">
        <v>74</v>
      </c>
      <c r="AE436" t="s">
        <v>74</v>
      </c>
      <c r="AF436" t="s">
        <v>74</v>
      </c>
      <c r="AG436">
        <v>55</v>
      </c>
      <c r="AH436">
        <v>3</v>
      </c>
      <c r="AI436">
        <v>4</v>
      </c>
      <c r="AJ436">
        <v>6</v>
      </c>
      <c r="AK436">
        <v>8</v>
      </c>
      <c r="AL436" t="s">
        <v>5927</v>
      </c>
      <c r="AM436" t="s">
        <v>5928</v>
      </c>
      <c r="AN436" t="s">
        <v>5929</v>
      </c>
      <c r="AO436" t="s">
        <v>8683</v>
      </c>
      <c r="AP436" t="s">
        <v>8684</v>
      </c>
      <c r="AQ436" t="s">
        <v>74</v>
      </c>
      <c r="AR436" t="s">
        <v>8685</v>
      </c>
      <c r="AS436" t="s">
        <v>8686</v>
      </c>
      <c r="AT436" t="s">
        <v>6472</v>
      </c>
      <c r="AU436">
        <v>2024</v>
      </c>
      <c r="AV436">
        <v>21</v>
      </c>
      <c r="AW436">
        <v>2</v>
      </c>
      <c r="AX436" t="s">
        <v>74</v>
      </c>
      <c r="AY436" t="s">
        <v>74</v>
      </c>
      <c r="AZ436" t="s">
        <v>74</v>
      </c>
      <c r="BA436" t="s">
        <v>74</v>
      </c>
      <c r="BB436" t="s">
        <v>74</v>
      </c>
      <c r="BC436" t="s">
        <v>74</v>
      </c>
      <c r="BD436">
        <v>21001</v>
      </c>
      <c r="BE436" t="s">
        <v>8687</v>
      </c>
      <c r="BF436" t="str">
        <f>HYPERLINK("http://dx.doi.org/10.1088/1741-2552/ad377c","http://dx.doi.org/10.1088/1741-2552/ad377c")</f>
        <v>http://dx.doi.org/10.1088/1741-2552/ad377c</v>
      </c>
      <c r="BG436" t="s">
        <v>74</v>
      </c>
      <c r="BH436" t="s">
        <v>74</v>
      </c>
      <c r="BI436">
        <v>26</v>
      </c>
      <c r="BJ436" t="s">
        <v>8688</v>
      </c>
      <c r="BK436" t="s">
        <v>182</v>
      </c>
      <c r="BL436" t="s">
        <v>8689</v>
      </c>
      <c r="BM436" t="s">
        <v>8690</v>
      </c>
      <c r="BN436">
        <v>38527367</v>
      </c>
      <c r="BO436" t="s">
        <v>309</v>
      </c>
      <c r="BP436" t="s">
        <v>74</v>
      </c>
      <c r="BQ436" t="s">
        <v>74</v>
      </c>
      <c r="BR436" t="s">
        <v>105</v>
      </c>
      <c r="BS436" t="s">
        <v>8691</v>
      </c>
      <c r="BT436" t="str">
        <f>HYPERLINK("https%3A%2F%2Fwww.webofscience.com%2Fwos%2Fwoscc%2Ffull-record%2FWOS:001196318400001","View Full Record in Web of Science")</f>
        <v>View Full Record in Web of Science</v>
      </c>
    </row>
    <row r="437" spans="1:72" x14ac:dyDescent="0.25">
      <c r="A437" t="s">
        <v>72</v>
      </c>
      <c r="B437" t="s">
        <v>8692</v>
      </c>
      <c r="C437" t="s">
        <v>74</v>
      </c>
      <c r="D437" t="s">
        <v>74</v>
      </c>
      <c r="E437" t="s">
        <v>74</v>
      </c>
      <c r="F437" t="s">
        <v>8693</v>
      </c>
      <c r="G437" t="s">
        <v>74</v>
      </c>
      <c r="H437" t="s">
        <v>74</v>
      </c>
      <c r="I437" t="s">
        <v>8694</v>
      </c>
      <c r="J437" t="s">
        <v>8695</v>
      </c>
      <c r="K437" t="s">
        <v>74</v>
      </c>
      <c r="L437" t="s">
        <v>74</v>
      </c>
      <c r="M437" t="s">
        <v>78</v>
      </c>
      <c r="N437" t="s">
        <v>79</v>
      </c>
      <c r="O437" t="s">
        <v>74</v>
      </c>
      <c r="P437" t="s">
        <v>74</v>
      </c>
      <c r="Q437" t="s">
        <v>74</v>
      </c>
      <c r="R437" t="s">
        <v>74</v>
      </c>
      <c r="S437" t="s">
        <v>74</v>
      </c>
      <c r="T437" t="s">
        <v>8696</v>
      </c>
      <c r="U437" t="s">
        <v>8697</v>
      </c>
      <c r="V437" t="s">
        <v>8698</v>
      </c>
      <c r="W437" t="s">
        <v>8699</v>
      </c>
      <c r="X437" t="s">
        <v>8700</v>
      </c>
      <c r="Y437" t="s">
        <v>8701</v>
      </c>
      <c r="Z437" t="s">
        <v>8702</v>
      </c>
      <c r="AA437" t="s">
        <v>8703</v>
      </c>
      <c r="AB437" t="s">
        <v>8704</v>
      </c>
      <c r="AC437" t="s">
        <v>74</v>
      </c>
      <c r="AD437" t="s">
        <v>74</v>
      </c>
      <c r="AE437" t="s">
        <v>74</v>
      </c>
      <c r="AF437" t="s">
        <v>74</v>
      </c>
      <c r="AG437">
        <v>34</v>
      </c>
      <c r="AH437">
        <v>0</v>
      </c>
      <c r="AI437">
        <v>0</v>
      </c>
      <c r="AJ437">
        <v>3</v>
      </c>
      <c r="AK437">
        <v>9</v>
      </c>
      <c r="AL437" t="s">
        <v>346</v>
      </c>
      <c r="AM437" t="s">
        <v>227</v>
      </c>
      <c r="AN437" t="s">
        <v>347</v>
      </c>
      <c r="AO437" t="s">
        <v>8705</v>
      </c>
      <c r="AP437" t="s">
        <v>8706</v>
      </c>
      <c r="AQ437" t="s">
        <v>74</v>
      </c>
      <c r="AR437" t="s">
        <v>8707</v>
      </c>
      <c r="AS437" t="s">
        <v>8708</v>
      </c>
      <c r="AT437" t="s">
        <v>8709</v>
      </c>
      <c r="AU437">
        <v>2024</v>
      </c>
      <c r="AV437">
        <v>40</v>
      </c>
      <c r="AW437">
        <v>2</v>
      </c>
      <c r="AX437" t="s">
        <v>74</v>
      </c>
      <c r="AY437" t="s">
        <v>74</v>
      </c>
      <c r="AZ437" t="s">
        <v>74</v>
      </c>
      <c r="BA437" t="s">
        <v>74</v>
      </c>
      <c r="BB437">
        <v>133</v>
      </c>
      <c r="BC437">
        <v>138</v>
      </c>
      <c r="BD437" t="s">
        <v>74</v>
      </c>
      <c r="BE437" t="s">
        <v>8710</v>
      </c>
      <c r="BF437" t="str">
        <f>HYPERLINK("http://dx.doi.org/10.1097/TGR.0000000000000433","http://dx.doi.org/10.1097/TGR.0000000000000433")</f>
        <v>http://dx.doi.org/10.1097/TGR.0000000000000433</v>
      </c>
      <c r="BG437" t="s">
        <v>74</v>
      </c>
      <c r="BH437" t="s">
        <v>74</v>
      </c>
      <c r="BI437">
        <v>6</v>
      </c>
      <c r="BJ437" t="s">
        <v>8711</v>
      </c>
      <c r="BK437" t="s">
        <v>462</v>
      </c>
      <c r="BL437" t="s">
        <v>8712</v>
      </c>
      <c r="BM437" t="s">
        <v>8713</v>
      </c>
      <c r="BN437" t="s">
        <v>74</v>
      </c>
      <c r="BO437" t="s">
        <v>74</v>
      </c>
      <c r="BP437" t="s">
        <v>74</v>
      </c>
      <c r="BQ437" t="s">
        <v>74</v>
      </c>
      <c r="BR437" t="s">
        <v>105</v>
      </c>
      <c r="BS437" t="s">
        <v>8714</v>
      </c>
      <c r="BT437" t="str">
        <f>HYPERLINK("https%3A%2F%2Fwww.webofscience.com%2Fwos%2Fwoscc%2Ffull-record%2FWOS:001234173800001","View Full Record in Web of Science")</f>
        <v>View Full Record in Web of Science</v>
      </c>
    </row>
    <row r="438" spans="1:72" x14ac:dyDescent="0.25">
      <c r="A438" t="s">
        <v>72</v>
      </c>
      <c r="B438" t="s">
        <v>8715</v>
      </c>
      <c r="C438" t="s">
        <v>74</v>
      </c>
      <c r="D438" t="s">
        <v>74</v>
      </c>
      <c r="E438" t="s">
        <v>74</v>
      </c>
      <c r="F438" t="s">
        <v>8716</v>
      </c>
      <c r="G438" t="s">
        <v>74</v>
      </c>
      <c r="H438" t="s">
        <v>74</v>
      </c>
      <c r="I438" t="s">
        <v>8717</v>
      </c>
      <c r="J438" t="s">
        <v>4311</v>
      </c>
      <c r="K438" t="s">
        <v>74</v>
      </c>
      <c r="L438" t="s">
        <v>74</v>
      </c>
      <c r="M438" t="s">
        <v>78</v>
      </c>
      <c r="N438" t="s">
        <v>79</v>
      </c>
      <c r="O438" t="s">
        <v>74</v>
      </c>
      <c r="P438" t="s">
        <v>74</v>
      </c>
      <c r="Q438" t="s">
        <v>74</v>
      </c>
      <c r="R438" t="s">
        <v>74</v>
      </c>
      <c r="S438" t="s">
        <v>74</v>
      </c>
      <c r="T438" t="s">
        <v>8718</v>
      </c>
      <c r="U438" t="s">
        <v>8719</v>
      </c>
      <c r="V438" t="s">
        <v>8720</v>
      </c>
      <c r="W438" t="s">
        <v>8721</v>
      </c>
      <c r="X438" t="s">
        <v>8722</v>
      </c>
      <c r="Y438" t="s">
        <v>8723</v>
      </c>
      <c r="Z438" t="s">
        <v>8724</v>
      </c>
      <c r="AA438" t="s">
        <v>8725</v>
      </c>
      <c r="AB438" t="s">
        <v>8726</v>
      </c>
      <c r="AC438" t="s">
        <v>7599</v>
      </c>
      <c r="AD438" t="s">
        <v>4047</v>
      </c>
      <c r="AE438" t="s">
        <v>171</v>
      </c>
      <c r="AF438" t="s">
        <v>74</v>
      </c>
      <c r="AG438">
        <v>97</v>
      </c>
      <c r="AH438">
        <v>6</v>
      </c>
      <c r="AI438">
        <v>7</v>
      </c>
      <c r="AJ438">
        <v>49</v>
      </c>
      <c r="AK438">
        <v>145</v>
      </c>
      <c r="AL438" t="s">
        <v>120</v>
      </c>
      <c r="AM438" t="s">
        <v>121</v>
      </c>
      <c r="AN438" t="s">
        <v>122</v>
      </c>
      <c r="AO438" t="s">
        <v>74</v>
      </c>
      <c r="AP438" t="s">
        <v>4324</v>
      </c>
      <c r="AQ438" t="s">
        <v>74</v>
      </c>
      <c r="AR438" t="s">
        <v>4325</v>
      </c>
      <c r="AS438" t="s">
        <v>4326</v>
      </c>
      <c r="AT438" t="s">
        <v>487</v>
      </c>
      <c r="AU438">
        <v>2024</v>
      </c>
      <c r="AV438">
        <v>15</v>
      </c>
      <c r="AW438">
        <v>4</v>
      </c>
      <c r="AX438" t="s">
        <v>74</v>
      </c>
      <c r="AY438" t="s">
        <v>74</v>
      </c>
      <c r="AZ438" t="s">
        <v>74</v>
      </c>
      <c r="BA438" t="s">
        <v>74</v>
      </c>
      <c r="BB438" t="s">
        <v>74</v>
      </c>
      <c r="BC438" t="s">
        <v>74</v>
      </c>
      <c r="BD438">
        <v>489</v>
      </c>
      <c r="BE438" t="s">
        <v>8727</v>
      </c>
      <c r="BF438" t="str">
        <f>HYPERLINK("http://dx.doi.org/10.3390/mi15040489","http://dx.doi.org/10.3390/mi15040489")</f>
        <v>http://dx.doi.org/10.3390/mi15040489</v>
      </c>
      <c r="BG438" t="s">
        <v>74</v>
      </c>
      <c r="BH438" t="s">
        <v>74</v>
      </c>
      <c r="BI438">
        <v>31</v>
      </c>
      <c r="BJ438" t="s">
        <v>4328</v>
      </c>
      <c r="BK438" t="s">
        <v>182</v>
      </c>
      <c r="BL438" t="s">
        <v>4329</v>
      </c>
      <c r="BM438" t="s">
        <v>8728</v>
      </c>
      <c r="BN438">
        <v>38675301</v>
      </c>
      <c r="BO438" t="s">
        <v>355</v>
      </c>
      <c r="BP438" t="s">
        <v>74</v>
      </c>
      <c r="BQ438" t="s">
        <v>74</v>
      </c>
      <c r="BR438" t="s">
        <v>105</v>
      </c>
      <c r="BS438" t="s">
        <v>8729</v>
      </c>
      <c r="BT438" t="str">
        <f>HYPERLINK("https%3A%2F%2Fwww.webofscience.com%2Fwos%2Fwoscc%2Ffull-record%2FWOS:001210548700001","View Full Record in Web of Science")</f>
        <v>View Full Record in Web of Science</v>
      </c>
    </row>
    <row r="439" spans="1:72" x14ac:dyDescent="0.25">
      <c r="A439" t="s">
        <v>72</v>
      </c>
      <c r="B439" t="s">
        <v>8730</v>
      </c>
      <c r="C439" t="s">
        <v>74</v>
      </c>
      <c r="D439" t="s">
        <v>74</v>
      </c>
      <c r="E439" t="s">
        <v>74</v>
      </c>
      <c r="F439" t="s">
        <v>8731</v>
      </c>
      <c r="G439" t="s">
        <v>74</v>
      </c>
      <c r="H439" t="s">
        <v>74</v>
      </c>
      <c r="I439" t="s">
        <v>8732</v>
      </c>
      <c r="J439" t="s">
        <v>8733</v>
      </c>
      <c r="K439" t="s">
        <v>74</v>
      </c>
      <c r="L439" t="s">
        <v>74</v>
      </c>
      <c r="M439" t="s">
        <v>78</v>
      </c>
      <c r="N439" t="s">
        <v>79</v>
      </c>
      <c r="O439" t="s">
        <v>74</v>
      </c>
      <c r="P439" t="s">
        <v>74</v>
      </c>
      <c r="Q439" t="s">
        <v>74</v>
      </c>
      <c r="R439" t="s">
        <v>74</v>
      </c>
      <c r="S439" t="s">
        <v>74</v>
      </c>
      <c r="T439" t="s">
        <v>8734</v>
      </c>
      <c r="U439" t="s">
        <v>8735</v>
      </c>
      <c r="V439" t="s">
        <v>8736</v>
      </c>
      <c r="W439" t="s">
        <v>8737</v>
      </c>
      <c r="X439" t="s">
        <v>8738</v>
      </c>
      <c r="Y439" t="s">
        <v>8739</v>
      </c>
      <c r="Z439" t="s">
        <v>8740</v>
      </c>
      <c r="AA439" t="s">
        <v>74</v>
      </c>
      <c r="AB439" t="s">
        <v>74</v>
      </c>
      <c r="AC439" t="s">
        <v>8741</v>
      </c>
      <c r="AD439" t="s">
        <v>8742</v>
      </c>
      <c r="AE439" t="s">
        <v>8743</v>
      </c>
      <c r="AF439" t="s">
        <v>74</v>
      </c>
      <c r="AG439">
        <v>154</v>
      </c>
      <c r="AH439">
        <v>4</v>
      </c>
      <c r="AI439">
        <v>4</v>
      </c>
      <c r="AJ439">
        <v>24</v>
      </c>
      <c r="AK439">
        <v>52</v>
      </c>
      <c r="AL439" t="s">
        <v>8744</v>
      </c>
      <c r="AM439" t="s">
        <v>8745</v>
      </c>
      <c r="AN439" t="s">
        <v>8746</v>
      </c>
      <c r="AO439" t="s">
        <v>8747</v>
      </c>
      <c r="AP439" t="s">
        <v>8748</v>
      </c>
      <c r="AQ439" t="s">
        <v>74</v>
      </c>
      <c r="AR439" t="s">
        <v>8749</v>
      </c>
      <c r="AS439" t="s">
        <v>8750</v>
      </c>
      <c r="AT439" t="s">
        <v>487</v>
      </c>
      <c r="AU439">
        <v>2024</v>
      </c>
      <c r="AV439">
        <v>19</v>
      </c>
      <c r="AW439">
        <v>2</v>
      </c>
      <c r="AX439" t="s">
        <v>74</v>
      </c>
      <c r="AY439" t="s">
        <v>74</v>
      </c>
      <c r="AZ439" t="s">
        <v>74</v>
      </c>
      <c r="BA439" t="s">
        <v>74</v>
      </c>
      <c r="BB439" t="s">
        <v>74</v>
      </c>
      <c r="BC439" t="s">
        <v>74</v>
      </c>
      <c r="BD439">
        <v>14</v>
      </c>
      <c r="BE439" t="s">
        <v>8751</v>
      </c>
      <c r="BF439" t="str">
        <f>HYPERLINK("http://dx.doi.org/10.1007/s11465-024-0785-3","http://dx.doi.org/10.1007/s11465-024-0785-3")</f>
        <v>http://dx.doi.org/10.1007/s11465-024-0785-3</v>
      </c>
      <c r="BG439" t="s">
        <v>74</v>
      </c>
      <c r="BH439" t="s">
        <v>74</v>
      </c>
      <c r="BI439">
        <v>28</v>
      </c>
      <c r="BJ439" t="s">
        <v>181</v>
      </c>
      <c r="BK439" t="s">
        <v>182</v>
      </c>
      <c r="BL439" t="s">
        <v>183</v>
      </c>
      <c r="BM439" t="s">
        <v>8752</v>
      </c>
      <c r="BN439" t="s">
        <v>74</v>
      </c>
      <c r="BO439" t="s">
        <v>309</v>
      </c>
      <c r="BP439" t="s">
        <v>74</v>
      </c>
      <c r="BQ439" t="s">
        <v>74</v>
      </c>
      <c r="BR439" t="s">
        <v>105</v>
      </c>
      <c r="BS439" t="s">
        <v>8753</v>
      </c>
      <c r="BT439" t="str">
        <f>HYPERLINK("https%3A%2F%2Fwww.webofscience.com%2Fwos%2Fwoscc%2Ffull-record%2FWOS:001236241700005","View Full Record in Web of Science")</f>
        <v>View Full Record in Web of Science</v>
      </c>
    </row>
    <row r="440" spans="1:72" x14ac:dyDescent="0.25">
      <c r="A440" t="s">
        <v>72</v>
      </c>
      <c r="B440" t="s">
        <v>8754</v>
      </c>
      <c r="C440" t="s">
        <v>74</v>
      </c>
      <c r="D440" t="s">
        <v>74</v>
      </c>
      <c r="E440" t="s">
        <v>74</v>
      </c>
      <c r="F440" t="s">
        <v>8755</v>
      </c>
      <c r="G440" t="s">
        <v>74</v>
      </c>
      <c r="H440" t="s">
        <v>74</v>
      </c>
      <c r="I440" t="s">
        <v>8756</v>
      </c>
      <c r="J440" t="s">
        <v>8757</v>
      </c>
      <c r="K440" t="s">
        <v>74</v>
      </c>
      <c r="L440" t="s">
        <v>74</v>
      </c>
      <c r="M440" t="s">
        <v>78</v>
      </c>
      <c r="N440" t="s">
        <v>79</v>
      </c>
      <c r="O440" t="s">
        <v>74</v>
      </c>
      <c r="P440" t="s">
        <v>74</v>
      </c>
      <c r="Q440" t="s">
        <v>74</v>
      </c>
      <c r="R440" t="s">
        <v>74</v>
      </c>
      <c r="S440" t="s">
        <v>74</v>
      </c>
      <c r="T440" t="s">
        <v>8758</v>
      </c>
      <c r="U440" t="s">
        <v>8759</v>
      </c>
      <c r="V440" t="s">
        <v>8760</v>
      </c>
      <c r="W440" t="s">
        <v>8761</v>
      </c>
      <c r="X440" t="s">
        <v>74</v>
      </c>
      <c r="Y440" t="s">
        <v>8762</v>
      </c>
      <c r="Z440" t="s">
        <v>8763</v>
      </c>
      <c r="AA440" t="s">
        <v>8764</v>
      </c>
      <c r="AB440" t="s">
        <v>8765</v>
      </c>
      <c r="AC440" t="s">
        <v>74</v>
      </c>
      <c r="AD440" t="s">
        <v>74</v>
      </c>
      <c r="AE440" t="s">
        <v>74</v>
      </c>
      <c r="AF440" t="s">
        <v>74</v>
      </c>
      <c r="AG440">
        <v>32</v>
      </c>
      <c r="AH440">
        <v>1</v>
      </c>
      <c r="AI440">
        <v>1</v>
      </c>
      <c r="AJ440">
        <v>5</v>
      </c>
      <c r="AK440">
        <v>9</v>
      </c>
      <c r="AL440" t="s">
        <v>557</v>
      </c>
      <c r="AM440" t="s">
        <v>275</v>
      </c>
      <c r="AN440" t="s">
        <v>558</v>
      </c>
      <c r="AO440" t="s">
        <v>8766</v>
      </c>
      <c r="AP440" t="s">
        <v>8767</v>
      </c>
      <c r="AQ440" t="s">
        <v>74</v>
      </c>
      <c r="AR440" t="s">
        <v>8768</v>
      </c>
      <c r="AS440" t="s">
        <v>8769</v>
      </c>
      <c r="AT440" t="s">
        <v>126</v>
      </c>
      <c r="AU440">
        <v>2024</v>
      </c>
      <c r="AV440">
        <v>14</v>
      </c>
      <c r="AW440">
        <v>8</v>
      </c>
      <c r="AX440" t="s">
        <v>74</v>
      </c>
      <c r="AY440" t="s">
        <v>74</v>
      </c>
      <c r="AZ440" t="s">
        <v>74</v>
      </c>
      <c r="BA440" t="s">
        <v>74</v>
      </c>
      <c r="BB440">
        <v>2408</v>
      </c>
      <c r="BC440">
        <v>2419</v>
      </c>
      <c r="BD440" t="s">
        <v>74</v>
      </c>
      <c r="BE440" t="s">
        <v>8770</v>
      </c>
      <c r="BF440" t="str">
        <f>HYPERLINK("http://dx.doi.org/10.1177/21925682241243074","http://dx.doi.org/10.1177/21925682241243074")</f>
        <v>http://dx.doi.org/10.1177/21925682241243074</v>
      </c>
      <c r="BG440" t="s">
        <v>74</v>
      </c>
      <c r="BH440" t="s">
        <v>3387</v>
      </c>
      <c r="BI440">
        <v>12</v>
      </c>
      <c r="BJ440" t="s">
        <v>8771</v>
      </c>
      <c r="BK440" t="s">
        <v>182</v>
      </c>
      <c r="BL440" t="s">
        <v>8772</v>
      </c>
      <c r="BM440" t="s">
        <v>8773</v>
      </c>
      <c r="BN440">
        <v>38548623</v>
      </c>
      <c r="BO440" t="s">
        <v>185</v>
      </c>
      <c r="BP440" t="s">
        <v>74</v>
      </c>
      <c r="BQ440" t="s">
        <v>74</v>
      </c>
      <c r="BR440" t="s">
        <v>105</v>
      </c>
      <c r="BS440" t="s">
        <v>8774</v>
      </c>
      <c r="BT440" t="str">
        <f>HYPERLINK("https%3A%2F%2Fwww.webofscience.com%2Fwos%2Fwoscc%2Ffull-record%2FWOS:001193713800001","View Full Record in Web of Science")</f>
        <v>View Full Record in Web of Science</v>
      </c>
    </row>
    <row r="441" spans="1:72" x14ac:dyDescent="0.25">
      <c r="A441" t="s">
        <v>72</v>
      </c>
      <c r="B441" t="s">
        <v>8775</v>
      </c>
      <c r="C441" t="s">
        <v>74</v>
      </c>
      <c r="D441" t="s">
        <v>74</v>
      </c>
      <c r="E441" t="s">
        <v>74</v>
      </c>
      <c r="F441" t="s">
        <v>8776</v>
      </c>
      <c r="G441" t="s">
        <v>74</v>
      </c>
      <c r="H441" t="s">
        <v>74</v>
      </c>
      <c r="I441" t="s">
        <v>8777</v>
      </c>
      <c r="J441" t="s">
        <v>8778</v>
      </c>
      <c r="K441" t="s">
        <v>74</v>
      </c>
      <c r="L441" t="s">
        <v>74</v>
      </c>
      <c r="M441" t="s">
        <v>78</v>
      </c>
      <c r="N441" t="s">
        <v>79</v>
      </c>
      <c r="O441" t="s">
        <v>74</v>
      </c>
      <c r="P441" t="s">
        <v>74</v>
      </c>
      <c r="Q441" t="s">
        <v>74</v>
      </c>
      <c r="R441" t="s">
        <v>74</v>
      </c>
      <c r="S441" t="s">
        <v>74</v>
      </c>
      <c r="T441" t="s">
        <v>8779</v>
      </c>
      <c r="U441" t="s">
        <v>8780</v>
      </c>
      <c r="V441" t="s">
        <v>8781</v>
      </c>
      <c r="W441" t="s">
        <v>8782</v>
      </c>
      <c r="X441" t="s">
        <v>8783</v>
      </c>
      <c r="Y441" t="s">
        <v>8784</v>
      </c>
      <c r="Z441" t="s">
        <v>8785</v>
      </c>
      <c r="AA441" t="s">
        <v>74</v>
      </c>
      <c r="AB441" t="s">
        <v>8786</v>
      </c>
      <c r="AC441" t="s">
        <v>74</v>
      </c>
      <c r="AD441" t="s">
        <v>74</v>
      </c>
      <c r="AE441" t="s">
        <v>74</v>
      </c>
      <c r="AF441" t="s">
        <v>74</v>
      </c>
      <c r="AG441">
        <v>39</v>
      </c>
      <c r="AH441">
        <v>2</v>
      </c>
      <c r="AI441">
        <v>2</v>
      </c>
      <c r="AJ441">
        <v>10</v>
      </c>
      <c r="AK441">
        <v>22</v>
      </c>
      <c r="AL441" t="s">
        <v>1605</v>
      </c>
      <c r="AM441" t="s">
        <v>1606</v>
      </c>
      <c r="AN441" t="s">
        <v>1607</v>
      </c>
      <c r="AO441" t="s">
        <v>8787</v>
      </c>
      <c r="AP441" t="s">
        <v>8788</v>
      </c>
      <c r="AQ441" t="s">
        <v>74</v>
      </c>
      <c r="AR441" t="s">
        <v>8789</v>
      </c>
      <c r="AS441" t="s">
        <v>8790</v>
      </c>
      <c r="AT441" t="s">
        <v>1734</v>
      </c>
      <c r="AU441">
        <v>2024</v>
      </c>
      <c r="AV441">
        <v>39</v>
      </c>
      <c r="AW441" t="s">
        <v>74</v>
      </c>
      <c r="AX441" t="s">
        <v>74</v>
      </c>
      <c r="AY441" t="s">
        <v>74</v>
      </c>
      <c r="AZ441" t="s">
        <v>74</v>
      </c>
      <c r="BA441" t="s">
        <v>74</v>
      </c>
      <c r="BB441">
        <v>398</v>
      </c>
      <c r="BC441">
        <v>409</v>
      </c>
      <c r="BD441" t="s">
        <v>74</v>
      </c>
      <c r="BE441" t="s">
        <v>8791</v>
      </c>
      <c r="BF441" t="str">
        <f>HYPERLINK("http://dx.doi.org/10.1016/j.jbmt.2024.02.025","http://dx.doi.org/10.1016/j.jbmt.2024.02.025")</f>
        <v>http://dx.doi.org/10.1016/j.jbmt.2024.02.025</v>
      </c>
      <c r="BG441" t="s">
        <v>74</v>
      </c>
      <c r="BH441" t="s">
        <v>3387</v>
      </c>
      <c r="BI441">
        <v>12</v>
      </c>
      <c r="BJ441" t="s">
        <v>101</v>
      </c>
      <c r="BK441" t="s">
        <v>155</v>
      </c>
      <c r="BL441" t="s">
        <v>101</v>
      </c>
      <c r="BM441" t="s">
        <v>8792</v>
      </c>
      <c r="BN441">
        <v>38876658</v>
      </c>
      <c r="BO441" t="s">
        <v>74</v>
      </c>
      <c r="BP441" t="s">
        <v>74</v>
      </c>
      <c r="BQ441" t="s">
        <v>74</v>
      </c>
      <c r="BR441" t="s">
        <v>105</v>
      </c>
      <c r="BS441" t="s">
        <v>8793</v>
      </c>
      <c r="BT441" t="str">
        <f>HYPERLINK("https%3A%2F%2Fwww.webofscience.com%2Fwos%2Fwoscc%2Ffull-record%2FWOS:001218400000001","View Full Record in Web of Science")</f>
        <v>View Full Record in Web of Science</v>
      </c>
    </row>
    <row r="442" spans="1:72" x14ac:dyDescent="0.25">
      <c r="A442" t="s">
        <v>72</v>
      </c>
      <c r="B442" t="s">
        <v>8794</v>
      </c>
      <c r="C442" t="s">
        <v>74</v>
      </c>
      <c r="D442" t="s">
        <v>74</v>
      </c>
      <c r="E442" t="s">
        <v>74</v>
      </c>
      <c r="F442" t="s">
        <v>8795</v>
      </c>
      <c r="G442" t="s">
        <v>74</v>
      </c>
      <c r="H442" t="s">
        <v>74</v>
      </c>
      <c r="I442" t="s">
        <v>8796</v>
      </c>
      <c r="J442" t="s">
        <v>8797</v>
      </c>
      <c r="K442" t="s">
        <v>74</v>
      </c>
      <c r="L442" t="s">
        <v>74</v>
      </c>
      <c r="M442" t="s">
        <v>78</v>
      </c>
      <c r="N442" t="s">
        <v>79</v>
      </c>
      <c r="O442" t="s">
        <v>74</v>
      </c>
      <c r="P442" t="s">
        <v>74</v>
      </c>
      <c r="Q442" t="s">
        <v>74</v>
      </c>
      <c r="R442" t="s">
        <v>74</v>
      </c>
      <c r="S442" t="s">
        <v>74</v>
      </c>
      <c r="T442" t="s">
        <v>8798</v>
      </c>
      <c r="U442" t="s">
        <v>8799</v>
      </c>
      <c r="V442" t="s">
        <v>8800</v>
      </c>
      <c r="W442" t="s">
        <v>8801</v>
      </c>
      <c r="X442" t="s">
        <v>8802</v>
      </c>
      <c r="Y442" t="s">
        <v>8803</v>
      </c>
      <c r="Z442" t="s">
        <v>8804</v>
      </c>
      <c r="AA442" t="s">
        <v>8805</v>
      </c>
      <c r="AB442" t="s">
        <v>8806</v>
      </c>
      <c r="AC442" t="s">
        <v>8807</v>
      </c>
      <c r="AD442" t="s">
        <v>8808</v>
      </c>
      <c r="AE442" t="s">
        <v>8809</v>
      </c>
      <c r="AF442" t="s">
        <v>74</v>
      </c>
      <c r="AG442">
        <v>138</v>
      </c>
      <c r="AH442">
        <v>13</v>
      </c>
      <c r="AI442">
        <v>13</v>
      </c>
      <c r="AJ442">
        <v>37</v>
      </c>
      <c r="AK442">
        <v>87</v>
      </c>
      <c r="AL442" t="s">
        <v>1114</v>
      </c>
      <c r="AM442" t="s">
        <v>1115</v>
      </c>
      <c r="AN442" t="s">
        <v>1116</v>
      </c>
      <c r="AO442" t="s">
        <v>8810</v>
      </c>
      <c r="AP442" t="s">
        <v>8811</v>
      </c>
      <c r="AQ442" t="s">
        <v>74</v>
      </c>
      <c r="AR442" t="s">
        <v>8812</v>
      </c>
      <c r="AS442" t="s">
        <v>8813</v>
      </c>
      <c r="AT442" t="s">
        <v>74</v>
      </c>
      <c r="AU442">
        <v>2025</v>
      </c>
      <c r="AV442">
        <v>22</v>
      </c>
      <c r="AW442" t="s">
        <v>74</v>
      </c>
      <c r="AX442" t="s">
        <v>74</v>
      </c>
      <c r="AY442" t="s">
        <v>74</v>
      </c>
      <c r="AZ442" t="s">
        <v>74</v>
      </c>
      <c r="BA442" t="s">
        <v>74</v>
      </c>
      <c r="BB442">
        <v>2241</v>
      </c>
      <c r="BC442">
        <v>2256</v>
      </c>
      <c r="BD442" t="s">
        <v>74</v>
      </c>
      <c r="BE442" t="s">
        <v>8814</v>
      </c>
      <c r="BF442" t="str">
        <f>HYPERLINK("http://dx.doi.org/10.1109/TASE.2024.3377291","http://dx.doi.org/10.1109/TASE.2024.3377291")</f>
        <v>http://dx.doi.org/10.1109/TASE.2024.3377291</v>
      </c>
      <c r="BG442" t="s">
        <v>74</v>
      </c>
      <c r="BH442" t="s">
        <v>3387</v>
      </c>
      <c r="BI442">
        <v>16</v>
      </c>
      <c r="BJ442" t="s">
        <v>7020</v>
      </c>
      <c r="BK442" t="s">
        <v>182</v>
      </c>
      <c r="BL442" t="s">
        <v>7020</v>
      </c>
      <c r="BM442" t="s">
        <v>8815</v>
      </c>
      <c r="BN442" t="s">
        <v>74</v>
      </c>
      <c r="BO442" t="s">
        <v>8816</v>
      </c>
      <c r="BP442" t="s">
        <v>74</v>
      </c>
      <c r="BQ442" t="s">
        <v>74</v>
      </c>
      <c r="BR442" t="s">
        <v>105</v>
      </c>
      <c r="BS442" t="s">
        <v>8817</v>
      </c>
      <c r="BT442" t="str">
        <f>HYPERLINK("https%3A%2F%2Fwww.webofscience.com%2Fwos%2Fwoscc%2Ffull-record%2FWOS:001189445600001","View Full Record in Web of Science")</f>
        <v>View Full Record in Web of Science</v>
      </c>
    </row>
    <row r="443" spans="1:72" x14ac:dyDescent="0.25">
      <c r="A443" t="s">
        <v>72</v>
      </c>
      <c r="B443" t="s">
        <v>8818</v>
      </c>
      <c r="C443" t="s">
        <v>74</v>
      </c>
      <c r="D443" t="s">
        <v>74</v>
      </c>
      <c r="E443" t="s">
        <v>74</v>
      </c>
      <c r="F443" t="s">
        <v>8819</v>
      </c>
      <c r="G443" t="s">
        <v>74</v>
      </c>
      <c r="H443" t="s">
        <v>74</v>
      </c>
      <c r="I443" t="s">
        <v>8820</v>
      </c>
      <c r="J443" t="s">
        <v>110</v>
      </c>
      <c r="K443" t="s">
        <v>74</v>
      </c>
      <c r="L443" t="s">
        <v>74</v>
      </c>
      <c r="M443" t="s">
        <v>78</v>
      </c>
      <c r="N443" t="s">
        <v>79</v>
      </c>
      <c r="O443" t="s">
        <v>74</v>
      </c>
      <c r="P443" t="s">
        <v>74</v>
      </c>
      <c r="Q443" t="s">
        <v>74</v>
      </c>
      <c r="R443" t="s">
        <v>74</v>
      </c>
      <c r="S443" t="s">
        <v>74</v>
      </c>
      <c r="T443" t="s">
        <v>8821</v>
      </c>
      <c r="U443" t="s">
        <v>8822</v>
      </c>
      <c r="V443" t="s">
        <v>8823</v>
      </c>
      <c r="W443" t="s">
        <v>8824</v>
      </c>
      <c r="X443" t="s">
        <v>8825</v>
      </c>
      <c r="Y443" t="s">
        <v>8826</v>
      </c>
      <c r="Z443" t="s">
        <v>8827</v>
      </c>
      <c r="AA443" t="s">
        <v>8828</v>
      </c>
      <c r="AB443" t="s">
        <v>8829</v>
      </c>
      <c r="AC443" t="s">
        <v>8830</v>
      </c>
      <c r="AD443" t="s">
        <v>8830</v>
      </c>
      <c r="AE443" t="s">
        <v>171</v>
      </c>
      <c r="AF443" t="s">
        <v>74</v>
      </c>
      <c r="AG443">
        <v>45</v>
      </c>
      <c r="AH443">
        <v>12</v>
      </c>
      <c r="AI443">
        <v>12</v>
      </c>
      <c r="AJ443">
        <v>3</v>
      </c>
      <c r="AK443">
        <v>8</v>
      </c>
      <c r="AL443" t="s">
        <v>120</v>
      </c>
      <c r="AM443" t="s">
        <v>121</v>
      </c>
      <c r="AN443" t="s">
        <v>122</v>
      </c>
      <c r="AO443" t="s">
        <v>74</v>
      </c>
      <c r="AP443" t="s">
        <v>123</v>
      </c>
      <c r="AQ443" t="s">
        <v>74</v>
      </c>
      <c r="AR443" t="s">
        <v>124</v>
      </c>
      <c r="AS443" t="s">
        <v>125</v>
      </c>
      <c r="AT443" t="s">
        <v>1471</v>
      </c>
      <c r="AU443">
        <v>2024</v>
      </c>
      <c r="AV443">
        <v>13</v>
      </c>
      <c r="AW443">
        <v>6</v>
      </c>
      <c r="AX443" t="s">
        <v>74</v>
      </c>
      <c r="AY443" t="s">
        <v>74</v>
      </c>
      <c r="AZ443" t="s">
        <v>74</v>
      </c>
      <c r="BA443" t="s">
        <v>74</v>
      </c>
      <c r="BB443" t="s">
        <v>74</v>
      </c>
      <c r="BC443" t="s">
        <v>74</v>
      </c>
      <c r="BD443">
        <v>1531</v>
      </c>
      <c r="BE443" t="s">
        <v>8831</v>
      </c>
      <c r="BF443" t="str">
        <f>HYPERLINK("http://dx.doi.org/10.3390/jcm13061531","http://dx.doi.org/10.3390/jcm13061531")</f>
        <v>http://dx.doi.org/10.3390/jcm13061531</v>
      </c>
      <c r="BG443" t="s">
        <v>74</v>
      </c>
      <c r="BH443" t="s">
        <v>74</v>
      </c>
      <c r="BI443">
        <v>26</v>
      </c>
      <c r="BJ443" t="s">
        <v>128</v>
      </c>
      <c r="BK443" t="s">
        <v>182</v>
      </c>
      <c r="BL443" t="s">
        <v>129</v>
      </c>
      <c r="BM443" t="s">
        <v>8832</v>
      </c>
      <c r="BN443">
        <v>38541755</v>
      </c>
      <c r="BO443" t="s">
        <v>131</v>
      </c>
      <c r="BP443" t="s">
        <v>74</v>
      </c>
      <c r="BQ443" t="s">
        <v>74</v>
      </c>
      <c r="BR443" t="s">
        <v>105</v>
      </c>
      <c r="BS443" t="s">
        <v>8833</v>
      </c>
      <c r="BT443" t="str">
        <f>HYPERLINK("https%3A%2F%2Fwww.webofscience.com%2Fwos%2Fwoscc%2Ffull-record%2FWOS:001238735900001","View Full Record in Web of Science")</f>
        <v>View Full Record in Web of Science</v>
      </c>
    </row>
    <row r="444" spans="1:72" x14ac:dyDescent="0.25">
      <c r="A444" t="s">
        <v>72</v>
      </c>
      <c r="B444" t="s">
        <v>8834</v>
      </c>
      <c r="C444" t="s">
        <v>74</v>
      </c>
      <c r="D444" t="s">
        <v>74</v>
      </c>
      <c r="E444" t="s">
        <v>74</v>
      </c>
      <c r="F444" t="s">
        <v>8835</v>
      </c>
      <c r="G444" t="s">
        <v>74</v>
      </c>
      <c r="H444" t="s">
        <v>74</v>
      </c>
      <c r="I444" t="s">
        <v>8836</v>
      </c>
      <c r="J444" t="s">
        <v>2040</v>
      </c>
      <c r="K444" t="s">
        <v>74</v>
      </c>
      <c r="L444" t="s">
        <v>74</v>
      </c>
      <c r="M444" t="s">
        <v>78</v>
      </c>
      <c r="N444" t="s">
        <v>79</v>
      </c>
      <c r="O444" t="s">
        <v>74</v>
      </c>
      <c r="P444" t="s">
        <v>74</v>
      </c>
      <c r="Q444" t="s">
        <v>74</v>
      </c>
      <c r="R444" t="s">
        <v>74</v>
      </c>
      <c r="S444" t="s">
        <v>74</v>
      </c>
      <c r="T444" t="s">
        <v>8837</v>
      </c>
      <c r="U444" t="s">
        <v>8838</v>
      </c>
      <c r="V444" t="s">
        <v>8839</v>
      </c>
      <c r="W444" t="s">
        <v>8840</v>
      </c>
      <c r="X444" t="s">
        <v>8841</v>
      </c>
      <c r="Y444" t="s">
        <v>8842</v>
      </c>
      <c r="Z444" t="s">
        <v>8843</v>
      </c>
      <c r="AA444" t="s">
        <v>8844</v>
      </c>
      <c r="AB444" t="s">
        <v>8845</v>
      </c>
      <c r="AC444" t="s">
        <v>8846</v>
      </c>
      <c r="AD444" t="s">
        <v>8846</v>
      </c>
      <c r="AE444" t="s">
        <v>171</v>
      </c>
      <c r="AF444" t="s">
        <v>74</v>
      </c>
      <c r="AG444">
        <v>64</v>
      </c>
      <c r="AH444">
        <v>3</v>
      </c>
      <c r="AI444">
        <v>3</v>
      </c>
      <c r="AJ444">
        <v>11</v>
      </c>
      <c r="AK444">
        <v>23</v>
      </c>
      <c r="AL444" t="s">
        <v>120</v>
      </c>
      <c r="AM444" t="s">
        <v>121</v>
      </c>
      <c r="AN444" t="s">
        <v>122</v>
      </c>
      <c r="AO444" t="s">
        <v>74</v>
      </c>
      <c r="AP444" t="s">
        <v>2050</v>
      </c>
      <c r="AQ444" t="s">
        <v>74</v>
      </c>
      <c r="AR444" t="s">
        <v>2051</v>
      </c>
      <c r="AS444" t="s">
        <v>2052</v>
      </c>
      <c r="AT444" t="s">
        <v>1471</v>
      </c>
      <c r="AU444">
        <v>2024</v>
      </c>
      <c r="AV444">
        <v>24</v>
      </c>
      <c r="AW444">
        <v>5</v>
      </c>
      <c r="AX444" t="s">
        <v>74</v>
      </c>
      <c r="AY444" t="s">
        <v>74</v>
      </c>
      <c r="AZ444" t="s">
        <v>74</v>
      </c>
      <c r="BA444" t="s">
        <v>74</v>
      </c>
      <c r="BB444" t="s">
        <v>74</v>
      </c>
      <c r="BC444" t="s">
        <v>74</v>
      </c>
      <c r="BD444">
        <v>1503</v>
      </c>
      <c r="BE444" t="s">
        <v>8847</v>
      </c>
      <c r="BF444" t="str">
        <f>HYPERLINK("http://dx.doi.org/10.3390/s24051503","http://dx.doi.org/10.3390/s24051503")</f>
        <v>http://dx.doi.org/10.3390/s24051503</v>
      </c>
      <c r="BG444" t="s">
        <v>74</v>
      </c>
      <c r="BH444" t="s">
        <v>74</v>
      </c>
      <c r="BI444">
        <v>21</v>
      </c>
      <c r="BJ444" t="s">
        <v>2054</v>
      </c>
      <c r="BK444" t="s">
        <v>182</v>
      </c>
      <c r="BL444" t="s">
        <v>2055</v>
      </c>
      <c r="BM444" t="s">
        <v>8848</v>
      </c>
      <c r="BN444">
        <v>38475039</v>
      </c>
      <c r="BO444" t="s">
        <v>355</v>
      </c>
      <c r="BP444" t="s">
        <v>74</v>
      </c>
      <c r="BQ444" t="s">
        <v>74</v>
      </c>
      <c r="BR444" t="s">
        <v>105</v>
      </c>
      <c r="BS444" t="s">
        <v>8849</v>
      </c>
      <c r="BT444" t="str">
        <f>HYPERLINK("https%3A%2F%2Fwww.webofscience.com%2Fwos%2Fwoscc%2Ffull-record%2FWOS:001182909000001","View Full Record in Web of Science")</f>
        <v>View Full Record in Web of Science</v>
      </c>
    </row>
    <row r="445" spans="1:72" x14ac:dyDescent="0.25">
      <c r="A445" t="s">
        <v>72</v>
      </c>
      <c r="B445" t="s">
        <v>8850</v>
      </c>
      <c r="C445" t="s">
        <v>74</v>
      </c>
      <c r="D445" t="s">
        <v>74</v>
      </c>
      <c r="E445" t="s">
        <v>74</v>
      </c>
      <c r="F445" t="s">
        <v>8851</v>
      </c>
      <c r="G445" t="s">
        <v>74</v>
      </c>
      <c r="H445" t="s">
        <v>74</v>
      </c>
      <c r="I445" t="s">
        <v>8852</v>
      </c>
      <c r="J445" t="s">
        <v>8853</v>
      </c>
      <c r="K445" t="s">
        <v>74</v>
      </c>
      <c r="L445" t="s">
        <v>74</v>
      </c>
      <c r="M445" t="s">
        <v>78</v>
      </c>
      <c r="N445" t="s">
        <v>79</v>
      </c>
      <c r="O445" t="s">
        <v>74</v>
      </c>
      <c r="P445" t="s">
        <v>74</v>
      </c>
      <c r="Q445" t="s">
        <v>74</v>
      </c>
      <c r="R445" t="s">
        <v>74</v>
      </c>
      <c r="S445" t="s">
        <v>74</v>
      </c>
      <c r="T445" t="s">
        <v>74</v>
      </c>
      <c r="U445" t="s">
        <v>8854</v>
      </c>
      <c r="V445" t="s">
        <v>8855</v>
      </c>
      <c r="W445" t="s">
        <v>8856</v>
      </c>
      <c r="X445" t="s">
        <v>8857</v>
      </c>
      <c r="Y445" t="s">
        <v>8858</v>
      </c>
      <c r="Z445" t="s">
        <v>8859</v>
      </c>
      <c r="AA445" t="s">
        <v>8860</v>
      </c>
      <c r="AB445" t="s">
        <v>8861</v>
      </c>
      <c r="AC445" t="s">
        <v>8862</v>
      </c>
      <c r="AD445" t="s">
        <v>8863</v>
      </c>
      <c r="AE445" t="s">
        <v>8864</v>
      </c>
      <c r="AF445" t="s">
        <v>74</v>
      </c>
      <c r="AG445">
        <v>232</v>
      </c>
      <c r="AH445">
        <v>2</v>
      </c>
      <c r="AI445">
        <v>2</v>
      </c>
      <c r="AJ445">
        <v>4</v>
      </c>
      <c r="AK445">
        <v>23</v>
      </c>
      <c r="AL445" t="s">
        <v>8865</v>
      </c>
      <c r="AM445" t="s">
        <v>3546</v>
      </c>
      <c r="AN445" t="s">
        <v>8866</v>
      </c>
      <c r="AO445" t="s">
        <v>8867</v>
      </c>
      <c r="AP445" t="s">
        <v>74</v>
      </c>
      <c r="AQ445" t="s">
        <v>74</v>
      </c>
      <c r="AR445" t="s">
        <v>8868</v>
      </c>
      <c r="AS445" t="s">
        <v>8869</v>
      </c>
      <c r="AT445" t="s">
        <v>1471</v>
      </c>
      <c r="AU445">
        <v>2024</v>
      </c>
      <c r="AV445">
        <v>5</v>
      </c>
      <c r="AW445">
        <v>1</v>
      </c>
      <c r="AX445" t="s">
        <v>74</v>
      </c>
      <c r="AY445" t="s">
        <v>74</v>
      </c>
      <c r="AZ445" t="s">
        <v>74</v>
      </c>
      <c r="BA445" t="s">
        <v>74</v>
      </c>
      <c r="BB445" t="s">
        <v>74</v>
      </c>
      <c r="BC445" t="s">
        <v>74</v>
      </c>
      <c r="BD445">
        <v>11301</v>
      </c>
      <c r="BE445" t="s">
        <v>8870</v>
      </c>
      <c r="BF445" t="str">
        <f>HYPERLINK("http://dx.doi.org/10.1063/5.0185568","http://dx.doi.org/10.1063/5.0185568")</f>
        <v>http://dx.doi.org/10.1063/5.0185568</v>
      </c>
      <c r="BG445" t="s">
        <v>74</v>
      </c>
      <c r="BH445" t="s">
        <v>74</v>
      </c>
      <c r="BI445">
        <v>26</v>
      </c>
      <c r="BJ445" t="s">
        <v>8871</v>
      </c>
      <c r="BK445" t="s">
        <v>155</v>
      </c>
      <c r="BL445" t="s">
        <v>8871</v>
      </c>
      <c r="BM445" t="s">
        <v>8872</v>
      </c>
      <c r="BN445">
        <v>38510371</v>
      </c>
      <c r="BO445" t="s">
        <v>1052</v>
      </c>
      <c r="BP445" t="s">
        <v>74</v>
      </c>
      <c r="BQ445" t="s">
        <v>74</v>
      </c>
      <c r="BR445" t="s">
        <v>105</v>
      </c>
      <c r="BS445" t="s">
        <v>8873</v>
      </c>
      <c r="BT445" t="str">
        <f>HYPERLINK("https%3A%2F%2Fwww.webofscience.com%2Fwos%2Fwoscc%2Ffull-record%2FWOS:001173761800001","View Full Record in Web of Science")</f>
        <v>View Full Record in Web of Science</v>
      </c>
    </row>
    <row r="446" spans="1:72" x14ac:dyDescent="0.25">
      <c r="A446" t="s">
        <v>72</v>
      </c>
      <c r="B446" t="s">
        <v>8874</v>
      </c>
      <c r="C446" t="s">
        <v>74</v>
      </c>
      <c r="D446" t="s">
        <v>74</v>
      </c>
      <c r="E446" t="s">
        <v>74</v>
      </c>
      <c r="F446" t="s">
        <v>8875</v>
      </c>
      <c r="G446" t="s">
        <v>74</v>
      </c>
      <c r="H446" t="s">
        <v>74</v>
      </c>
      <c r="I446" t="s">
        <v>8876</v>
      </c>
      <c r="J446" t="s">
        <v>110</v>
      </c>
      <c r="K446" t="s">
        <v>74</v>
      </c>
      <c r="L446" t="s">
        <v>74</v>
      </c>
      <c r="M446" t="s">
        <v>78</v>
      </c>
      <c r="N446" t="s">
        <v>79</v>
      </c>
      <c r="O446" t="s">
        <v>74</v>
      </c>
      <c r="P446" t="s">
        <v>74</v>
      </c>
      <c r="Q446" t="s">
        <v>74</v>
      </c>
      <c r="R446" t="s">
        <v>74</v>
      </c>
      <c r="S446" t="s">
        <v>74</v>
      </c>
      <c r="T446" t="s">
        <v>8877</v>
      </c>
      <c r="U446" t="s">
        <v>8878</v>
      </c>
      <c r="V446" t="s">
        <v>8879</v>
      </c>
      <c r="W446" t="s">
        <v>8880</v>
      </c>
      <c r="X446" t="s">
        <v>8881</v>
      </c>
      <c r="Y446" t="s">
        <v>8882</v>
      </c>
      <c r="Z446" t="s">
        <v>8883</v>
      </c>
      <c r="AA446" t="s">
        <v>8884</v>
      </c>
      <c r="AB446" t="s">
        <v>8885</v>
      </c>
      <c r="AC446" t="s">
        <v>8886</v>
      </c>
      <c r="AD446" t="s">
        <v>8886</v>
      </c>
      <c r="AE446" t="s">
        <v>8887</v>
      </c>
      <c r="AF446" t="s">
        <v>74</v>
      </c>
      <c r="AG446">
        <v>69</v>
      </c>
      <c r="AH446">
        <v>16</v>
      </c>
      <c r="AI446">
        <v>16</v>
      </c>
      <c r="AJ446">
        <v>18</v>
      </c>
      <c r="AK446">
        <v>30</v>
      </c>
      <c r="AL446" t="s">
        <v>120</v>
      </c>
      <c r="AM446" t="s">
        <v>121</v>
      </c>
      <c r="AN446" t="s">
        <v>122</v>
      </c>
      <c r="AO446" t="s">
        <v>74</v>
      </c>
      <c r="AP446" t="s">
        <v>123</v>
      </c>
      <c r="AQ446" t="s">
        <v>74</v>
      </c>
      <c r="AR446" t="s">
        <v>124</v>
      </c>
      <c r="AS446" t="s">
        <v>125</v>
      </c>
      <c r="AT446" t="s">
        <v>1471</v>
      </c>
      <c r="AU446">
        <v>2024</v>
      </c>
      <c r="AV446">
        <v>13</v>
      </c>
      <c r="AW446">
        <v>5</v>
      </c>
      <c r="AX446" t="s">
        <v>74</v>
      </c>
      <c r="AY446" t="s">
        <v>74</v>
      </c>
      <c r="AZ446" t="s">
        <v>74</v>
      </c>
      <c r="BA446" t="s">
        <v>74</v>
      </c>
      <c r="BB446" t="s">
        <v>74</v>
      </c>
      <c r="BC446" t="s">
        <v>74</v>
      </c>
      <c r="BD446">
        <v>1252</v>
      </c>
      <c r="BE446" t="s">
        <v>8888</v>
      </c>
      <c r="BF446" t="str">
        <f>HYPERLINK("http://dx.doi.org/10.3390/jcm13051252","http://dx.doi.org/10.3390/jcm13051252")</f>
        <v>http://dx.doi.org/10.3390/jcm13051252</v>
      </c>
      <c r="BG446" t="s">
        <v>74</v>
      </c>
      <c r="BH446" t="s">
        <v>74</v>
      </c>
      <c r="BI446">
        <v>21</v>
      </c>
      <c r="BJ446" t="s">
        <v>128</v>
      </c>
      <c r="BK446" t="s">
        <v>182</v>
      </c>
      <c r="BL446" t="s">
        <v>129</v>
      </c>
      <c r="BM446" t="s">
        <v>8889</v>
      </c>
      <c r="BN446">
        <v>38592067</v>
      </c>
      <c r="BO446" t="s">
        <v>185</v>
      </c>
      <c r="BP446" t="s">
        <v>869</v>
      </c>
      <c r="BQ446" t="s">
        <v>870</v>
      </c>
      <c r="BR446" t="s">
        <v>105</v>
      </c>
      <c r="BS446" t="s">
        <v>8890</v>
      </c>
      <c r="BT446" t="str">
        <f>HYPERLINK("https%3A%2F%2Fwww.webofscience.com%2Fwos%2Fwoscc%2Ffull-record%2FWOS:001182884700001","View Full Record in Web of Science")</f>
        <v>View Full Record in Web of Science</v>
      </c>
    </row>
    <row r="447" spans="1:72" x14ac:dyDescent="0.25">
      <c r="A447" t="s">
        <v>72</v>
      </c>
      <c r="B447" t="s">
        <v>8891</v>
      </c>
      <c r="C447" t="s">
        <v>74</v>
      </c>
      <c r="D447" t="s">
        <v>74</v>
      </c>
      <c r="E447" t="s">
        <v>74</v>
      </c>
      <c r="F447" t="s">
        <v>8892</v>
      </c>
      <c r="G447" t="s">
        <v>74</v>
      </c>
      <c r="H447" t="s">
        <v>74</v>
      </c>
      <c r="I447" t="s">
        <v>8893</v>
      </c>
      <c r="J447" t="s">
        <v>5041</v>
      </c>
      <c r="K447" t="s">
        <v>74</v>
      </c>
      <c r="L447" t="s">
        <v>74</v>
      </c>
      <c r="M447" t="s">
        <v>78</v>
      </c>
      <c r="N447" t="s">
        <v>79</v>
      </c>
      <c r="O447" t="s">
        <v>74</v>
      </c>
      <c r="P447" t="s">
        <v>74</v>
      </c>
      <c r="Q447" t="s">
        <v>74</v>
      </c>
      <c r="R447" t="s">
        <v>74</v>
      </c>
      <c r="S447" t="s">
        <v>74</v>
      </c>
      <c r="T447" t="s">
        <v>8894</v>
      </c>
      <c r="U447" t="s">
        <v>8895</v>
      </c>
      <c r="V447" t="s">
        <v>8896</v>
      </c>
      <c r="W447" t="s">
        <v>8897</v>
      </c>
      <c r="X447" t="s">
        <v>8898</v>
      </c>
      <c r="Y447" t="s">
        <v>8899</v>
      </c>
      <c r="Z447" t="s">
        <v>8900</v>
      </c>
      <c r="AA447" t="s">
        <v>8901</v>
      </c>
      <c r="AB447" t="s">
        <v>8902</v>
      </c>
      <c r="AC447" t="s">
        <v>8903</v>
      </c>
      <c r="AD447" t="s">
        <v>8904</v>
      </c>
      <c r="AE447" t="s">
        <v>171</v>
      </c>
      <c r="AF447" t="s">
        <v>74</v>
      </c>
      <c r="AG447">
        <v>193</v>
      </c>
      <c r="AH447">
        <v>8</v>
      </c>
      <c r="AI447">
        <v>8</v>
      </c>
      <c r="AJ447">
        <v>40</v>
      </c>
      <c r="AK447">
        <v>121</v>
      </c>
      <c r="AL447" t="s">
        <v>172</v>
      </c>
      <c r="AM447" t="s">
        <v>4844</v>
      </c>
      <c r="AN447" t="s">
        <v>4845</v>
      </c>
      <c r="AO447" t="s">
        <v>5053</v>
      </c>
      <c r="AP447" t="s">
        <v>5054</v>
      </c>
      <c r="AQ447" t="s">
        <v>74</v>
      </c>
      <c r="AR447" t="s">
        <v>5055</v>
      </c>
      <c r="AS447" t="s">
        <v>5056</v>
      </c>
      <c r="AT447" t="s">
        <v>1471</v>
      </c>
      <c r="AU447">
        <v>2024</v>
      </c>
      <c r="AV447">
        <v>110</v>
      </c>
      <c r="AW447">
        <v>2</v>
      </c>
      <c r="AX447" t="s">
        <v>74</v>
      </c>
      <c r="AY447" t="s">
        <v>74</v>
      </c>
      <c r="AZ447" t="s">
        <v>74</v>
      </c>
      <c r="BA447" t="s">
        <v>74</v>
      </c>
      <c r="BB447" t="s">
        <v>74</v>
      </c>
      <c r="BC447" t="s">
        <v>74</v>
      </c>
      <c r="BD447">
        <v>45</v>
      </c>
      <c r="BE447" t="s">
        <v>8905</v>
      </c>
      <c r="BF447" t="str">
        <f>HYPERLINK("http://dx.doi.org/10.1007/s10846-024-02074-7","http://dx.doi.org/10.1007/s10846-024-02074-7")</f>
        <v>http://dx.doi.org/10.1007/s10846-024-02074-7</v>
      </c>
      <c r="BG447" t="s">
        <v>74</v>
      </c>
      <c r="BH447" t="s">
        <v>74</v>
      </c>
      <c r="BI447">
        <v>26</v>
      </c>
      <c r="BJ447" t="s">
        <v>5059</v>
      </c>
      <c r="BK447" t="s">
        <v>182</v>
      </c>
      <c r="BL447" t="s">
        <v>5060</v>
      </c>
      <c r="BM447" t="s">
        <v>8906</v>
      </c>
      <c r="BN447" t="s">
        <v>74</v>
      </c>
      <c r="BO447" t="s">
        <v>309</v>
      </c>
      <c r="BP447" t="s">
        <v>74</v>
      </c>
      <c r="BQ447" t="s">
        <v>74</v>
      </c>
      <c r="BR447" t="s">
        <v>105</v>
      </c>
      <c r="BS447" t="s">
        <v>8907</v>
      </c>
      <c r="BT447" t="str">
        <f>HYPERLINK("https%3A%2F%2Fwww.webofscience.com%2Fwos%2Fwoscc%2Ffull-record%2FWOS:001188761900001","View Full Record in Web of Science")</f>
        <v>View Full Record in Web of Science</v>
      </c>
    </row>
    <row r="448" spans="1:72" x14ac:dyDescent="0.25">
      <c r="A448" t="s">
        <v>72</v>
      </c>
      <c r="B448" t="s">
        <v>8908</v>
      </c>
      <c r="C448" t="s">
        <v>74</v>
      </c>
      <c r="D448" t="s">
        <v>74</v>
      </c>
      <c r="E448" t="s">
        <v>74</v>
      </c>
      <c r="F448" t="s">
        <v>8909</v>
      </c>
      <c r="G448" t="s">
        <v>74</v>
      </c>
      <c r="H448" t="s">
        <v>74</v>
      </c>
      <c r="I448" t="s">
        <v>8910</v>
      </c>
      <c r="J448" t="s">
        <v>2117</v>
      </c>
      <c r="K448" t="s">
        <v>74</v>
      </c>
      <c r="L448" t="s">
        <v>74</v>
      </c>
      <c r="M448" t="s">
        <v>78</v>
      </c>
      <c r="N448" t="s">
        <v>79</v>
      </c>
      <c r="O448" t="s">
        <v>74</v>
      </c>
      <c r="P448" t="s">
        <v>74</v>
      </c>
      <c r="Q448" t="s">
        <v>74</v>
      </c>
      <c r="R448" t="s">
        <v>74</v>
      </c>
      <c r="S448" t="s">
        <v>74</v>
      </c>
      <c r="T448" t="s">
        <v>8911</v>
      </c>
      <c r="U448" t="s">
        <v>8912</v>
      </c>
      <c r="V448" t="s">
        <v>8913</v>
      </c>
      <c r="W448" t="s">
        <v>8914</v>
      </c>
      <c r="X448" t="s">
        <v>8915</v>
      </c>
      <c r="Y448" t="s">
        <v>8916</v>
      </c>
      <c r="Z448" t="s">
        <v>8917</v>
      </c>
      <c r="AA448" t="s">
        <v>8918</v>
      </c>
      <c r="AB448" t="s">
        <v>8919</v>
      </c>
      <c r="AC448" t="s">
        <v>74</v>
      </c>
      <c r="AD448" t="s">
        <v>74</v>
      </c>
      <c r="AE448" t="s">
        <v>74</v>
      </c>
      <c r="AF448" t="s">
        <v>74</v>
      </c>
      <c r="AG448">
        <v>119</v>
      </c>
      <c r="AH448">
        <v>5</v>
      </c>
      <c r="AI448">
        <v>5</v>
      </c>
      <c r="AJ448">
        <v>16</v>
      </c>
      <c r="AK448">
        <v>50</v>
      </c>
      <c r="AL448" t="s">
        <v>120</v>
      </c>
      <c r="AM448" t="s">
        <v>121</v>
      </c>
      <c r="AN448" t="s">
        <v>122</v>
      </c>
      <c r="AO448" t="s">
        <v>74</v>
      </c>
      <c r="AP448" t="s">
        <v>2129</v>
      </c>
      <c r="AQ448" t="s">
        <v>74</v>
      </c>
      <c r="AR448" t="s">
        <v>2117</v>
      </c>
      <c r="AS448" t="s">
        <v>714</v>
      </c>
      <c r="AT448" t="s">
        <v>1471</v>
      </c>
      <c r="AU448">
        <v>2024</v>
      </c>
      <c r="AV448">
        <v>13</v>
      </c>
      <c r="AW448">
        <v>3</v>
      </c>
      <c r="AX448" t="s">
        <v>74</v>
      </c>
      <c r="AY448" t="s">
        <v>74</v>
      </c>
      <c r="AZ448" t="s">
        <v>74</v>
      </c>
      <c r="BA448" t="s">
        <v>74</v>
      </c>
      <c r="BB448" t="s">
        <v>74</v>
      </c>
      <c r="BC448" t="s">
        <v>74</v>
      </c>
      <c r="BD448">
        <v>50</v>
      </c>
      <c r="BE448" t="s">
        <v>8920</v>
      </c>
      <c r="BF448" t="str">
        <f>HYPERLINK("http://dx.doi.org/10.3390/robotics13030050","http://dx.doi.org/10.3390/robotics13030050")</f>
        <v>http://dx.doi.org/10.3390/robotics13030050</v>
      </c>
      <c r="BG448" t="s">
        <v>74</v>
      </c>
      <c r="BH448" t="s">
        <v>74</v>
      </c>
      <c r="BI448">
        <v>17</v>
      </c>
      <c r="BJ448" t="s">
        <v>714</v>
      </c>
      <c r="BK448" t="s">
        <v>155</v>
      </c>
      <c r="BL448" t="s">
        <v>714</v>
      </c>
      <c r="BM448" t="s">
        <v>8921</v>
      </c>
      <c r="BN448" t="s">
        <v>74</v>
      </c>
      <c r="BO448" t="s">
        <v>185</v>
      </c>
      <c r="BP448" t="s">
        <v>74</v>
      </c>
      <c r="BQ448" t="s">
        <v>74</v>
      </c>
      <c r="BR448" t="s">
        <v>105</v>
      </c>
      <c r="BS448" t="s">
        <v>8922</v>
      </c>
      <c r="BT448" t="str">
        <f>HYPERLINK("https%3A%2F%2Fwww.webofscience.com%2Fwos%2Fwoscc%2Ffull-record%2FWOS:001192717600001","View Full Record in Web of Science")</f>
        <v>View Full Record in Web of Science</v>
      </c>
    </row>
    <row r="449" spans="1:72" x14ac:dyDescent="0.25">
      <c r="A449" t="s">
        <v>72</v>
      </c>
      <c r="B449" t="s">
        <v>8923</v>
      </c>
      <c r="C449" t="s">
        <v>74</v>
      </c>
      <c r="D449" t="s">
        <v>74</v>
      </c>
      <c r="E449" t="s">
        <v>74</v>
      </c>
      <c r="F449" t="s">
        <v>8924</v>
      </c>
      <c r="G449" t="s">
        <v>74</v>
      </c>
      <c r="H449" t="s">
        <v>74</v>
      </c>
      <c r="I449" t="s">
        <v>8925</v>
      </c>
      <c r="J449" t="s">
        <v>8926</v>
      </c>
      <c r="K449" t="s">
        <v>74</v>
      </c>
      <c r="L449" t="s">
        <v>74</v>
      </c>
      <c r="M449" t="s">
        <v>78</v>
      </c>
      <c r="N449" t="s">
        <v>79</v>
      </c>
      <c r="O449" t="s">
        <v>74</v>
      </c>
      <c r="P449" t="s">
        <v>74</v>
      </c>
      <c r="Q449" t="s">
        <v>74</v>
      </c>
      <c r="R449" t="s">
        <v>74</v>
      </c>
      <c r="S449" t="s">
        <v>74</v>
      </c>
      <c r="T449" t="s">
        <v>8927</v>
      </c>
      <c r="U449" t="s">
        <v>8928</v>
      </c>
      <c r="V449" t="s">
        <v>8929</v>
      </c>
      <c r="W449" t="s">
        <v>8930</v>
      </c>
      <c r="X449" t="s">
        <v>8931</v>
      </c>
      <c r="Y449" t="s">
        <v>8932</v>
      </c>
      <c r="Z449" t="s">
        <v>8933</v>
      </c>
      <c r="AA449" t="s">
        <v>8934</v>
      </c>
      <c r="AB449" t="s">
        <v>74</v>
      </c>
      <c r="AC449" t="s">
        <v>74</v>
      </c>
      <c r="AD449" t="s">
        <v>74</v>
      </c>
      <c r="AE449" t="s">
        <v>74</v>
      </c>
      <c r="AF449" t="s">
        <v>74</v>
      </c>
      <c r="AG449">
        <v>94</v>
      </c>
      <c r="AH449">
        <v>0</v>
      </c>
      <c r="AI449">
        <v>0</v>
      </c>
      <c r="AJ449">
        <v>1</v>
      </c>
      <c r="AK449">
        <v>2</v>
      </c>
      <c r="AL449" t="s">
        <v>8935</v>
      </c>
      <c r="AM449" t="s">
        <v>8936</v>
      </c>
      <c r="AN449" t="s">
        <v>8937</v>
      </c>
      <c r="AO449" t="s">
        <v>8938</v>
      </c>
      <c r="AP449" t="s">
        <v>74</v>
      </c>
      <c r="AQ449" t="s">
        <v>74</v>
      </c>
      <c r="AR449" t="s">
        <v>8939</v>
      </c>
      <c r="AS449" t="s">
        <v>8940</v>
      </c>
      <c r="AT449" t="s">
        <v>8941</v>
      </c>
      <c r="AU449">
        <v>2024</v>
      </c>
      <c r="AV449">
        <v>16</v>
      </c>
      <c r="AW449">
        <v>1</v>
      </c>
      <c r="AX449" t="s">
        <v>74</v>
      </c>
      <c r="AY449" t="s">
        <v>74</v>
      </c>
      <c r="AZ449" t="s">
        <v>74</v>
      </c>
      <c r="BA449" t="s">
        <v>74</v>
      </c>
      <c r="BB449" t="s">
        <v>74</v>
      </c>
      <c r="BC449" t="s">
        <v>74</v>
      </c>
      <c r="BD449">
        <v>6611</v>
      </c>
      <c r="BE449" t="s">
        <v>8942</v>
      </c>
      <c r="BF449" t="str">
        <f>HYPERLINK("http://dx.doi.org/10.5195/ijt.2024.6611","http://dx.doi.org/10.5195/ijt.2024.6611")</f>
        <v>http://dx.doi.org/10.5195/ijt.2024.6611</v>
      </c>
      <c r="BG449" t="s">
        <v>74</v>
      </c>
      <c r="BH449" t="s">
        <v>74</v>
      </c>
      <c r="BI449">
        <v>16</v>
      </c>
      <c r="BJ449" t="s">
        <v>101</v>
      </c>
      <c r="BK449" t="s">
        <v>155</v>
      </c>
      <c r="BL449" t="s">
        <v>101</v>
      </c>
      <c r="BM449" t="s">
        <v>8943</v>
      </c>
      <c r="BN449">
        <v>39022438</v>
      </c>
      <c r="BO449" t="s">
        <v>355</v>
      </c>
      <c r="BP449" t="s">
        <v>74</v>
      </c>
      <c r="BQ449" t="s">
        <v>74</v>
      </c>
      <c r="BR449" t="s">
        <v>105</v>
      </c>
      <c r="BS449" t="s">
        <v>8944</v>
      </c>
      <c r="BT449" t="str">
        <f>HYPERLINK("https%3A%2F%2Fwww.webofscience.com%2Fwos%2Fwoscc%2Ffull-record%2FWOS:001277945900011","View Full Record in Web of Science")</f>
        <v>View Full Record in Web of Science</v>
      </c>
    </row>
    <row r="450" spans="1:72" x14ac:dyDescent="0.25">
      <c r="A450" t="s">
        <v>72</v>
      </c>
      <c r="B450" t="s">
        <v>8945</v>
      </c>
      <c r="C450" t="s">
        <v>74</v>
      </c>
      <c r="D450" t="s">
        <v>74</v>
      </c>
      <c r="E450" t="s">
        <v>74</v>
      </c>
      <c r="F450" t="s">
        <v>8946</v>
      </c>
      <c r="G450" t="s">
        <v>74</v>
      </c>
      <c r="H450" t="s">
        <v>74</v>
      </c>
      <c r="I450" t="s">
        <v>8947</v>
      </c>
      <c r="J450" t="s">
        <v>2690</v>
      </c>
      <c r="K450" t="s">
        <v>74</v>
      </c>
      <c r="L450" t="s">
        <v>74</v>
      </c>
      <c r="M450" t="s">
        <v>78</v>
      </c>
      <c r="N450" t="s">
        <v>79</v>
      </c>
      <c r="O450" t="s">
        <v>74</v>
      </c>
      <c r="P450" t="s">
        <v>74</v>
      </c>
      <c r="Q450" t="s">
        <v>74</v>
      </c>
      <c r="R450" t="s">
        <v>74</v>
      </c>
      <c r="S450" t="s">
        <v>74</v>
      </c>
      <c r="T450" t="s">
        <v>8948</v>
      </c>
      <c r="U450" t="s">
        <v>8949</v>
      </c>
      <c r="V450" t="s">
        <v>8950</v>
      </c>
      <c r="W450" t="s">
        <v>8951</v>
      </c>
      <c r="X450" t="s">
        <v>8952</v>
      </c>
      <c r="Y450" t="s">
        <v>8953</v>
      </c>
      <c r="Z450" t="s">
        <v>8954</v>
      </c>
      <c r="AA450" t="s">
        <v>8955</v>
      </c>
      <c r="AB450" t="s">
        <v>8956</v>
      </c>
      <c r="AC450" t="s">
        <v>8957</v>
      </c>
      <c r="AD450" t="s">
        <v>8958</v>
      </c>
      <c r="AE450" t="s">
        <v>171</v>
      </c>
      <c r="AF450" t="s">
        <v>74</v>
      </c>
      <c r="AG450">
        <v>186</v>
      </c>
      <c r="AH450">
        <v>2</v>
      </c>
      <c r="AI450">
        <v>2</v>
      </c>
      <c r="AJ450">
        <v>46</v>
      </c>
      <c r="AK450">
        <v>124</v>
      </c>
      <c r="AL450" t="s">
        <v>120</v>
      </c>
      <c r="AM450" t="s">
        <v>121</v>
      </c>
      <c r="AN450" t="s">
        <v>122</v>
      </c>
      <c r="AO450" t="s">
        <v>74</v>
      </c>
      <c r="AP450" t="s">
        <v>2698</v>
      </c>
      <c r="AQ450" t="s">
        <v>74</v>
      </c>
      <c r="AR450" t="s">
        <v>2690</v>
      </c>
      <c r="AS450" t="s">
        <v>2699</v>
      </c>
      <c r="AT450" t="s">
        <v>1471</v>
      </c>
      <c r="AU450">
        <v>2024</v>
      </c>
      <c r="AV450">
        <v>13</v>
      </c>
      <c r="AW450">
        <v>3</v>
      </c>
      <c r="AX450" t="s">
        <v>74</v>
      </c>
      <c r="AY450" t="s">
        <v>74</v>
      </c>
      <c r="AZ450" t="s">
        <v>74</v>
      </c>
      <c r="BA450" t="s">
        <v>74</v>
      </c>
      <c r="BB450" t="s">
        <v>74</v>
      </c>
      <c r="BC450" t="s">
        <v>74</v>
      </c>
      <c r="BD450">
        <v>84</v>
      </c>
      <c r="BE450" t="s">
        <v>8959</v>
      </c>
      <c r="BF450" t="str">
        <f>HYPERLINK("http://dx.doi.org/10.3390/act13030084","http://dx.doi.org/10.3390/act13030084")</f>
        <v>http://dx.doi.org/10.3390/act13030084</v>
      </c>
      <c r="BG450" t="s">
        <v>74</v>
      </c>
      <c r="BH450" t="s">
        <v>74</v>
      </c>
      <c r="BI450">
        <v>24</v>
      </c>
      <c r="BJ450" t="s">
        <v>2701</v>
      </c>
      <c r="BK450" t="s">
        <v>182</v>
      </c>
      <c r="BL450" t="s">
        <v>2702</v>
      </c>
      <c r="BM450" t="s">
        <v>8960</v>
      </c>
      <c r="BN450" t="s">
        <v>74</v>
      </c>
      <c r="BO450" t="s">
        <v>185</v>
      </c>
      <c r="BP450" t="s">
        <v>74</v>
      </c>
      <c r="BQ450" t="s">
        <v>74</v>
      </c>
      <c r="BR450" t="s">
        <v>105</v>
      </c>
      <c r="BS450" t="s">
        <v>8961</v>
      </c>
      <c r="BT450" t="str">
        <f>HYPERLINK("https%3A%2F%2Fwww.webofscience.com%2Fwos%2Fwoscc%2Ffull-record%2FWOS:001191796800001","View Full Record in Web of Science")</f>
        <v>View Full Record in Web of Science</v>
      </c>
    </row>
    <row r="451" spans="1:72" x14ac:dyDescent="0.25">
      <c r="A451" t="s">
        <v>72</v>
      </c>
      <c r="B451" t="s">
        <v>8962</v>
      </c>
      <c r="C451" t="s">
        <v>74</v>
      </c>
      <c r="D451" t="s">
        <v>74</v>
      </c>
      <c r="E451" t="s">
        <v>74</v>
      </c>
      <c r="F451" t="s">
        <v>8963</v>
      </c>
      <c r="G451" t="s">
        <v>74</v>
      </c>
      <c r="H451" t="s">
        <v>74</v>
      </c>
      <c r="I451" t="s">
        <v>8964</v>
      </c>
      <c r="J451" t="s">
        <v>5312</v>
      </c>
      <c r="K451" t="s">
        <v>74</v>
      </c>
      <c r="L451" t="s">
        <v>74</v>
      </c>
      <c r="M451" t="s">
        <v>78</v>
      </c>
      <c r="N451" t="s">
        <v>79</v>
      </c>
      <c r="O451" t="s">
        <v>74</v>
      </c>
      <c r="P451" t="s">
        <v>74</v>
      </c>
      <c r="Q451" t="s">
        <v>74</v>
      </c>
      <c r="R451" t="s">
        <v>74</v>
      </c>
      <c r="S451" t="s">
        <v>74</v>
      </c>
      <c r="T451" t="s">
        <v>8965</v>
      </c>
      <c r="U451" t="s">
        <v>8966</v>
      </c>
      <c r="V451" t="s">
        <v>8967</v>
      </c>
      <c r="W451" t="s">
        <v>8968</v>
      </c>
      <c r="X451" t="s">
        <v>8969</v>
      </c>
      <c r="Y451" t="s">
        <v>8970</v>
      </c>
      <c r="Z451" t="s">
        <v>8971</v>
      </c>
      <c r="AA451" t="s">
        <v>8972</v>
      </c>
      <c r="AB451" t="s">
        <v>8973</v>
      </c>
      <c r="AC451" t="s">
        <v>8974</v>
      </c>
      <c r="AD451" t="s">
        <v>8975</v>
      </c>
      <c r="AE451" t="s">
        <v>8976</v>
      </c>
      <c r="AF451" t="s">
        <v>74</v>
      </c>
      <c r="AG451">
        <v>91</v>
      </c>
      <c r="AH451">
        <v>12</v>
      </c>
      <c r="AI451">
        <v>12</v>
      </c>
      <c r="AJ451">
        <v>9</v>
      </c>
      <c r="AK451">
        <v>19</v>
      </c>
      <c r="AL451" t="s">
        <v>3675</v>
      </c>
      <c r="AM451" t="s">
        <v>173</v>
      </c>
      <c r="AN451" t="s">
        <v>3676</v>
      </c>
      <c r="AO451" t="s">
        <v>5323</v>
      </c>
      <c r="AP451" t="s">
        <v>5324</v>
      </c>
      <c r="AQ451" t="s">
        <v>74</v>
      </c>
      <c r="AR451" t="s">
        <v>5325</v>
      </c>
      <c r="AS451" t="s">
        <v>5326</v>
      </c>
      <c r="AT451" t="s">
        <v>326</v>
      </c>
      <c r="AU451">
        <v>2024</v>
      </c>
      <c r="AV451">
        <v>185</v>
      </c>
      <c r="AW451" t="s">
        <v>74</v>
      </c>
      <c r="AX451" t="s">
        <v>74</v>
      </c>
      <c r="AY451" t="s">
        <v>74</v>
      </c>
      <c r="AZ451" t="s">
        <v>74</v>
      </c>
      <c r="BA451" t="s">
        <v>74</v>
      </c>
      <c r="BB451">
        <v>45</v>
      </c>
      <c r="BC451">
        <v>54</v>
      </c>
      <c r="BD451" t="s">
        <v>74</v>
      </c>
      <c r="BE451" t="s">
        <v>8977</v>
      </c>
      <c r="BF451" t="str">
        <f>HYPERLINK("http://dx.doi.org/10.1016/J.WnEU.2024.01.167","http://dx.doi.org/10.1016/J.WnEU.2024.01.167")</f>
        <v>http://dx.doi.org/10.1016/J.WnEU.2024.01.167</v>
      </c>
      <c r="BG451" t="s">
        <v>74</v>
      </c>
      <c r="BH451" t="s">
        <v>2656</v>
      </c>
      <c r="BI451">
        <v>10</v>
      </c>
      <c r="BJ451" t="s">
        <v>3256</v>
      </c>
      <c r="BK451" t="s">
        <v>182</v>
      </c>
      <c r="BL451" t="s">
        <v>1508</v>
      </c>
      <c r="BM451" t="s">
        <v>8978</v>
      </c>
      <c r="BN451">
        <v>38320651</v>
      </c>
      <c r="BO451" t="s">
        <v>74</v>
      </c>
      <c r="BP451" t="s">
        <v>74</v>
      </c>
      <c r="BQ451" t="s">
        <v>74</v>
      </c>
      <c r="BR451" t="s">
        <v>105</v>
      </c>
      <c r="BS451" t="s">
        <v>8979</v>
      </c>
      <c r="BT451" t="str">
        <f>HYPERLINK("https%3A%2F%2Fwww.webofscience.com%2Fwos%2Fwoscc%2Ffull-record%2FWOS:001221793000001","View Full Record in Web of Science")</f>
        <v>View Full Record in Web of Science</v>
      </c>
    </row>
    <row r="452" spans="1:72" x14ac:dyDescent="0.25">
      <c r="A452" t="s">
        <v>72</v>
      </c>
      <c r="B452" t="s">
        <v>8980</v>
      </c>
      <c r="C452" t="s">
        <v>74</v>
      </c>
      <c r="D452" t="s">
        <v>74</v>
      </c>
      <c r="E452" t="s">
        <v>74</v>
      </c>
      <c r="F452" t="s">
        <v>8981</v>
      </c>
      <c r="G452" t="s">
        <v>74</v>
      </c>
      <c r="H452" t="s">
        <v>74</v>
      </c>
      <c r="I452" t="s">
        <v>8982</v>
      </c>
      <c r="J452" t="s">
        <v>701</v>
      </c>
      <c r="K452" t="s">
        <v>74</v>
      </c>
      <c r="L452" t="s">
        <v>74</v>
      </c>
      <c r="M452" t="s">
        <v>78</v>
      </c>
      <c r="N452" t="s">
        <v>79</v>
      </c>
      <c r="O452" t="s">
        <v>74</v>
      </c>
      <c r="P452" t="s">
        <v>74</v>
      </c>
      <c r="Q452" t="s">
        <v>74</v>
      </c>
      <c r="R452" t="s">
        <v>74</v>
      </c>
      <c r="S452" t="s">
        <v>74</v>
      </c>
      <c r="T452" t="s">
        <v>8983</v>
      </c>
      <c r="U452" t="s">
        <v>8984</v>
      </c>
      <c r="V452" t="s">
        <v>8985</v>
      </c>
      <c r="W452" t="s">
        <v>8986</v>
      </c>
      <c r="X452" t="s">
        <v>8987</v>
      </c>
      <c r="Y452" t="s">
        <v>8988</v>
      </c>
      <c r="Z452" t="s">
        <v>8989</v>
      </c>
      <c r="AA452" t="s">
        <v>8990</v>
      </c>
      <c r="AB452" t="s">
        <v>8991</v>
      </c>
      <c r="AC452" t="s">
        <v>8992</v>
      </c>
      <c r="AD452" t="s">
        <v>8993</v>
      </c>
      <c r="AE452" t="s">
        <v>8994</v>
      </c>
      <c r="AF452" t="s">
        <v>74</v>
      </c>
      <c r="AG452">
        <v>191</v>
      </c>
      <c r="AH452">
        <v>2</v>
      </c>
      <c r="AI452">
        <v>2</v>
      </c>
      <c r="AJ452">
        <v>2</v>
      </c>
      <c r="AK452">
        <v>16</v>
      </c>
      <c r="AL452" t="s">
        <v>392</v>
      </c>
      <c r="AM452" t="s">
        <v>393</v>
      </c>
      <c r="AN452" t="s">
        <v>394</v>
      </c>
      <c r="AO452" t="s">
        <v>709</v>
      </c>
      <c r="AP452" t="s">
        <v>74</v>
      </c>
      <c r="AQ452" t="s">
        <v>74</v>
      </c>
      <c r="AR452" t="s">
        <v>710</v>
      </c>
      <c r="AS452" t="s">
        <v>711</v>
      </c>
      <c r="AT452" t="s">
        <v>8995</v>
      </c>
      <c r="AU452">
        <v>2024</v>
      </c>
      <c r="AV452">
        <v>11</v>
      </c>
      <c r="AW452" t="s">
        <v>74</v>
      </c>
      <c r="AX452" t="s">
        <v>74</v>
      </c>
      <c r="AY452" t="s">
        <v>74</v>
      </c>
      <c r="AZ452" t="s">
        <v>74</v>
      </c>
      <c r="BA452" t="s">
        <v>74</v>
      </c>
      <c r="BB452" t="s">
        <v>74</v>
      </c>
      <c r="BC452" t="s">
        <v>74</v>
      </c>
      <c r="BD452">
        <v>1335147</v>
      </c>
      <c r="BE452" t="s">
        <v>8996</v>
      </c>
      <c r="BF452" t="str">
        <f>HYPERLINK("http://dx.doi.org/10.3389/frobt.2024.1335147","http://dx.doi.org/10.3389/frobt.2024.1335147")</f>
        <v>http://dx.doi.org/10.3389/frobt.2024.1335147</v>
      </c>
      <c r="BG452" t="s">
        <v>74</v>
      </c>
      <c r="BH452" t="s">
        <v>74</v>
      </c>
      <c r="BI452">
        <v>17</v>
      </c>
      <c r="BJ452" t="s">
        <v>714</v>
      </c>
      <c r="BK452" t="s">
        <v>155</v>
      </c>
      <c r="BL452" t="s">
        <v>714</v>
      </c>
      <c r="BM452" t="s">
        <v>8997</v>
      </c>
      <c r="BN452">
        <v>38638271</v>
      </c>
      <c r="BO452" t="s">
        <v>355</v>
      </c>
      <c r="BP452" t="s">
        <v>74</v>
      </c>
      <c r="BQ452" t="s">
        <v>74</v>
      </c>
      <c r="BR452" t="s">
        <v>105</v>
      </c>
      <c r="BS452" t="s">
        <v>8998</v>
      </c>
      <c r="BT452" t="str">
        <f>HYPERLINK("https%3A%2F%2Fwww.webofscience.com%2Fwos%2Fwoscc%2Ffull-record%2FWOS:001181743800001","View Full Record in Web of Science")</f>
        <v>View Full Record in Web of Science</v>
      </c>
    </row>
    <row r="453" spans="1:72" x14ac:dyDescent="0.25">
      <c r="A453" t="s">
        <v>72</v>
      </c>
      <c r="B453" t="s">
        <v>8999</v>
      </c>
      <c r="C453" t="s">
        <v>74</v>
      </c>
      <c r="D453" t="s">
        <v>74</v>
      </c>
      <c r="E453" t="s">
        <v>74</v>
      </c>
      <c r="F453" t="s">
        <v>9000</v>
      </c>
      <c r="G453" t="s">
        <v>74</v>
      </c>
      <c r="H453" t="s">
        <v>74</v>
      </c>
      <c r="I453" t="s">
        <v>9001</v>
      </c>
      <c r="J453" t="s">
        <v>243</v>
      </c>
      <c r="K453" t="s">
        <v>74</v>
      </c>
      <c r="L453" t="s">
        <v>74</v>
      </c>
      <c r="M453" t="s">
        <v>78</v>
      </c>
      <c r="N453" t="s">
        <v>79</v>
      </c>
      <c r="O453" t="s">
        <v>74</v>
      </c>
      <c r="P453" t="s">
        <v>74</v>
      </c>
      <c r="Q453" t="s">
        <v>74</v>
      </c>
      <c r="R453" t="s">
        <v>74</v>
      </c>
      <c r="S453" t="s">
        <v>74</v>
      </c>
      <c r="T453" t="s">
        <v>9002</v>
      </c>
      <c r="U453" t="s">
        <v>9003</v>
      </c>
      <c r="V453" t="s">
        <v>9004</v>
      </c>
      <c r="W453" t="s">
        <v>9005</v>
      </c>
      <c r="X453" t="s">
        <v>9006</v>
      </c>
      <c r="Y453" t="s">
        <v>9007</v>
      </c>
      <c r="Z453" t="s">
        <v>9008</v>
      </c>
      <c r="AA453" t="s">
        <v>9009</v>
      </c>
      <c r="AB453" t="s">
        <v>9010</v>
      </c>
      <c r="AC453" t="s">
        <v>9011</v>
      </c>
      <c r="AD453" t="s">
        <v>9011</v>
      </c>
      <c r="AE453" t="s">
        <v>9012</v>
      </c>
      <c r="AF453" t="s">
        <v>74</v>
      </c>
      <c r="AG453">
        <v>62</v>
      </c>
      <c r="AH453">
        <v>7</v>
      </c>
      <c r="AI453">
        <v>7</v>
      </c>
      <c r="AJ453">
        <v>15</v>
      </c>
      <c r="AK453">
        <v>46</v>
      </c>
      <c r="AL453" t="s">
        <v>253</v>
      </c>
      <c r="AM453" t="s">
        <v>227</v>
      </c>
      <c r="AN453" t="s">
        <v>254</v>
      </c>
      <c r="AO453" t="s">
        <v>255</v>
      </c>
      <c r="AP453" t="s">
        <v>256</v>
      </c>
      <c r="AQ453" t="s">
        <v>74</v>
      </c>
      <c r="AR453" t="s">
        <v>257</v>
      </c>
      <c r="AS453" t="s">
        <v>258</v>
      </c>
      <c r="AT453" t="s">
        <v>9013</v>
      </c>
      <c r="AU453">
        <v>2024</v>
      </c>
      <c r="AV453">
        <v>19</v>
      </c>
      <c r="AW453">
        <v>8</v>
      </c>
      <c r="AX453" t="s">
        <v>74</v>
      </c>
      <c r="AY453" t="s">
        <v>74</v>
      </c>
      <c r="AZ453" t="s">
        <v>74</v>
      </c>
      <c r="BA453" t="s">
        <v>74</v>
      </c>
      <c r="BB453">
        <v>3183</v>
      </c>
      <c r="BC453">
        <v>3193</v>
      </c>
      <c r="BD453" t="s">
        <v>74</v>
      </c>
      <c r="BE453" t="s">
        <v>9014</v>
      </c>
      <c r="BF453" t="str">
        <f>HYPERLINK("http://dx.doi.org/10.1080/17483107.2024.2316312","http://dx.doi.org/10.1080/17483107.2024.2316312")</f>
        <v>http://dx.doi.org/10.1080/17483107.2024.2316312</v>
      </c>
      <c r="BG453" t="s">
        <v>74</v>
      </c>
      <c r="BH453" t="s">
        <v>2656</v>
      </c>
      <c r="BI453">
        <v>11</v>
      </c>
      <c r="BJ453" t="s">
        <v>101</v>
      </c>
      <c r="BK453" t="s">
        <v>462</v>
      </c>
      <c r="BL453" t="s">
        <v>101</v>
      </c>
      <c r="BM453" t="s">
        <v>9015</v>
      </c>
      <c r="BN453">
        <v>38400897</v>
      </c>
      <c r="BO453" t="s">
        <v>74</v>
      </c>
      <c r="BP453" t="s">
        <v>74</v>
      </c>
      <c r="BQ453" t="s">
        <v>74</v>
      </c>
      <c r="BR453" t="s">
        <v>105</v>
      </c>
      <c r="BS453" t="s">
        <v>9016</v>
      </c>
      <c r="BT453" t="str">
        <f>HYPERLINK("https%3A%2F%2Fwww.webofscience.com%2Fwos%2Fwoscc%2Ffull-record%2FWOS:001175768700001","View Full Record in Web of Science")</f>
        <v>View Full Record in Web of Science</v>
      </c>
    </row>
    <row r="454" spans="1:72" x14ac:dyDescent="0.25">
      <c r="A454" t="s">
        <v>72</v>
      </c>
      <c r="B454" t="s">
        <v>9017</v>
      </c>
      <c r="C454" t="s">
        <v>74</v>
      </c>
      <c r="D454" t="s">
        <v>74</v>
      </c>
      <c r="E454" t="s">
        <v>74</v>
      </c>
      <c r="F454" t="s">
        <v>9018</v>
      </c>
      <c r="G454" t="s">
        <v>74</v>
      </c>
      <c r="H454" t="s">
        <v>74</v>
      </c>
      <c r="I454" t="s">
        <v>9019</v>
      </c>
      <c r="J454" t="s">
        <v>9020</v>
      </c>
      <c r="K454" t="s">
        <v>74</v>
      </c>
      <c r="L454" t="s">
        <v>74</v>
      </c>
      <c r="M454" t="s">
        <v>78</v>
      </c>
      <c r="N454" t="s">
        <v>79</v>
      </c>
      <c r="O454" t="s">
        <v>74</v>
      </c>
      <c r="P454" t="s">
        <v>74</v>
      </c>
      <c r="Q454" t="s">
        <v>74</v>
      </c>
      <c r="R454" t="s">
        <v>74</v>
      </c>
      <c r="S454" t="s">
        <v>74</v>
      </c>
      <c r="T454" t="s">
        <v>9021</v>
      </c>
      <c r="U454" t="s">
        <v>9022</v>
      </c>
      <c r="V454" t="s">
        <v>9023</v>
      </c>
      <c r="W454" t="s">
        <v>9024</v>
      </c>
      <c r="X454" t="s">
        <v>9025</v>
      </c>
      <c r="Y454" t="s">
        <v>9026</v>
      </c>
      <c r="Z454" t="s">
        <v>9027</v>
      </c>
      <c r="AA454" t="s">
        <v>9028</v>
      </c>
      <c r="AB454" t="s">
        <v>9029</v>
      </c>
      <c r="AC454" t="s">
        <v>9030</v>
      </c>
      <c r="AD454" t="s">
        <v>9031</v>
      </c>
      <c r="AE454" t="s">
        <v>9032</v>
      </c>
      <c r="AF454" t="s">
        <v>74</v>
      </c>
      <c r="AG454">
        <v>96</v>
      </c>
      <c r="AH454">
        <v>13</v>
      </c>
      <c r="AI454">
        <v>14</v>
      </c>
      <c r="AJ454">
        <v>15</v>
      </c>
      <c r="AK454">
        <v>47</v>
      </c>
      <c r="AL454" t="s">
        <v>297</v>
      </c>
      <c r="AM454" t="s">
        <v>298</v>
      </c>
      <c r="AN454" t="s">
        <v>299</v>
      </c>
      <c r="AO454" t="s">
        <v>9033</v>
      </c>
      <c r="AP454" t="s">
        <v>74</v>
      </c>
      <c r="AQ454" t="s">
        <v>74</v>
      </c>
      <c r="AR454" t="s">
        <v>9034</v>
      </c>
      <c r="AS454" t="s">
        <v>9035</v>
      </c>
      <c r="AT454" t="s">
        <v>351</v>
      </c>
      <c r="AU454">
        <v>2024</v>
      </c>
      <c r="AV454">
        <v>3</v>
      </c>
      <c r="AW454">
        <v>1</v>
      </c>
      <c r="AX454" t="s">
        <v>74</v>
      </c>
      <c r="AY454" t="s">
        <v>74</v>
      </c>
      <c r="AZ454" t="s">
        <v>74</v>
      </c>
      <c r="BA454" t="s">
        <v>74</v>
      </c>
      <c r="BB454" t="s">
        <v>74</v>
      </c>
      <c r="BC454" t="s">
        <v>74</v>
      </c>
      <c r="BD454" t="s">
        <v>9036</v>
      </c>
      <c r="BE454" t="s">
        <v>9037</v>
      </c>
      <c r="BF454" t="str">
        <f>HYPERLINK("http://dx.doi.org/10.1002/SMMD.20230045","http://dx.doi.org/10.1002/SMMD.20230045")</f>
        <v>http://dx.doi.org/10.1002/SMMD.20230045</v>
      </c>
      <c r="BG454" t="s">
        <v>74</v>
      </c>
      <c r="BH454" t="s">
        <v>2656</v>
      </c>
      <c r="BI454">
        <v>15</v>
      </c>
      <c r="BJ454" t="s">
        <v>9038</v>
      </c>
      <c r="BK454" t="s">
        <v>155</v>
      </c>
      <c r="BL454" t="s">
        <v>4232</v>
      </c>
      <c r="BM454" t="s">
        <v>9039</v>
      </c>
      <c r="BN454">
        <v>39188514</v>
      </c>
      <c r="BO454" t="s">
        <v>355</v>
      </c>
      <c r="BP454" t="s">
        <v>74</v>
      </c>
      <c r="BQ454" t="s">
        <v>74</v>
      </c>
      <c r="BR454" t="s">
        <v>105</v>
      </c>
      <c r="BS454" t="s">
        <v>9040</v>
      </c>
      <c r="BT454" t="str">
        <f>HYPERLINK("https%3A%2F%2Fwww.webofscience.com%2Fwos%2Fwoscc%2Ffull-record%2FWOS:001207625400001","View Full Record in Web of Science")</f>
        <v>View Full Record in Web of Science</v>
      </c>
    </row>
    <row r="455" spans="1:72" x14ac:dyDescent="0.25">
      <c r="A455" t="s">
        <v>72</v>
      </c>
      <c r="B455" t="s">
        <v>9041</v>
      </c>
      <c r="C455" t="s">
        <v>74</v>
      </c>
      <c r="D455" t="s">
        <v>74</v>
      </c>
      <c r="E455" t="s">
        <v>74</v>
      </c>
      <c r="F455" t="s">
        <v>9042</v>
      </c>
      <c r="G455" t="s">
        <v>74</v>
      </c>
      <c r="H455" t="s">
        <v>74</v>
      </c>
      <c r="I455" t="s">
        <v>9043</v>
      </c>
      <c r="J455" t="s">
        <v>9044</v>
      </c>
      <c r="K455" t="s">
        <v>74</v>
      </c>
      <c r="L455" t="s">
        <v>74</v>
      </c>
      <c r="M455" t="s">
        <v>78</v>
      </c>
      <c r="N455" t="s">
        <v>79</v>
      </c>
      <c r="O455" t="s">
        <v>74</v>
      </c>
      <c r="P455" t="s">
        <v>74</v>
      </c>
      <c r="Q455" t="s">
        <v>74</v>
      </c>
      <c r="R455" t="s">
        <v>74</v>
      </c>
      <c r="S455" t="s">
        <v>74</v>
      </c>
      <c r="T455" t="s">
        <v>9045</v>
      </c>
      <c r="U455" t="s">
        <v>9046</v>
      </c>
      <c r="V455" t="s">
        <v>9047</v>
      </c>
      <c r="W455" t="s">
        <v>9048</v>
      </c>
      <c r="X455" t="s">
        <v>9049</v>
      </c>
      <c r="Y455" t="s">
        <v>9050</v>
      </c>
      <c r="Z455" t="s">
        <v>9051</v>
      </c>
      <c r="AA455" t="s">
        <v>9052</v>
      </c>
      <c r="AB455" t="s">
        <v>9053</v>
      </c>
      <c r="AC455" t="s">
        <v>74</v>
      </c>
      <c r="AD455" t="s">
        <v>74</v>
      </c>
      <c r="AE455" t="s">
        <v>9054</v>
      </c>
      <c r="AF455" t="s">
        <v>74</v>
      </c>
      <c r="AG455">
        <v>38</v>
      </c>
      <c r="AH455">
        <v>4</v>
      </c>
      <c r="AI455">
        <v>4</v>
      </c>
      <c r="AJ455">
        <v>4</v>
      </c>
      <c r="AK455">
        <v>31</v>
      </c>
      <c r="AL455" t="s">
        <v>583</v>
      </c>
      <c r="AM455" t="s">
        <v>275</v>
      </c>
      <c r="AN455" t="s">
        <v>584</v>
      </c>
      <c r="AO455" t="s">
        <v>9055</v>
      </c>
      <c r="AP455" t="s">
        <v>9056</v>
      </c>
      <c r="AQ455" t="s">
        <v>74</v>
      </c>
      <c r="AR455" t="s">
        <v>9057</v>
      </c>
      <c r="AS455" t="s">
        <v>9058</v>
      </c>
      <c r="AT455" t="s">
        <v>151</v>
      </c>
      <c r="AU455">
        <v>2024</v>
      </c>
      <c r="AV455">
        <v>16</v>
      </c>
      <c r="AW455">
        <v>12</v>
      </c>
      <c r="AX455" t="s">
        <v>74</v>
      </c>
      <c r="AY455" t="s">
        <v>74</v>
      </c>
      <c r="AZ455" t="s">
        <v>74</v>
      </c>
      <c r="BA455" t="s">
        <v>74</v>
      </c>
      <c r="BB455">
        <v>1237</v>
      </c>
      <c r="BC455">
        <v>1243</v>
      </c>
      <c r="BD455" t="s">
        <v>74</v>
      </c>
      <c r="BE455" t="s">
        <v>9059</v>
      </c>
      <c r="BF455" t="str">
        <f>HYPERLINK("http://dx.doi.org/10.1136/jnis-2023-021296","http://dx.doi.org/10.1136/jnis-2023-021296")</f>
        <v>http://dx.doi.org/10.1136/jnis-2023-021296</v>
      </c>
      <c r="BG455" t="s">
        <v>74</v>
      </c>
      <c r="BH455" t="s">
        <v>2656</v>
      </c>
      <c r="BI455">
        <v>7</v>
      </c>
      <c r="BJ455" t="s">
        <v>9060</v>
      </c>
      <c r="BK455" t="s">
        <v>182</v>
      </c>
      <c r="BL455" t="s">
        <v>1508</v>
      </c>
      <c r="BM455" t="s">
        <v>9061</v>
      </c>
      <c r="BN455">
        <v>38388478</v>
      </c>
      <c r="BO455" t="s">
        <v>309</v>
      </c>
      <c r="BP455" t="s">
        <v>74</v>
      </c>
      <c r="BQ455" t="s">
        <v>74</v>
      </c>
      <c r="BR455" t="s">
        <v>105</v>
      </c>
      <c r="BS455" t="s">
        <v>9062</v>
      </c>
      <c r="BT455" t="str">
        <f>HYPERLINK("https%3A%2F%2Fwww.webofscience.com%2Fwos%2Fwoscc%2Ffull-record%2FWOS:001172948300001","View Full Record in Web of Science")</f>
        <v>View Full Record in Web of Science</v>
      </c>
    </row>
    <row r="456" spans="1:72" x14ac:dyDescent="0.25">
      <c r="A456" t="s">
        <v>72</v>
      </c>
      <c r="B456" t="s">
        <v>9063</v>
      </c>
      <c r="C456" t="s">
        <v>74</v>
      </c>
      <c r="D456" t="s">
        <v>74</v>
      </c>
      <c r="E456" t="s">
        <v>74</v>
      </c>
      <c r="F456" t="s">
        <v>9064</v>
      </c>
      <c r="G456" t="s">
        <v>74</v>
      </c>
      <c r="H456" t="s">
        <v>74</v>
      </c>
      <c r="I456" t="s">
        <v>9065</v>
      </c>
      <c r="J456" t="s">
        <v>9066</v>
      </c>
      <c r="K456" t="s">
        <v>74</v>
      </c>
      <c r="L456" t="s">
        <v>74</v>
      </c>
      <c r="M456" t="s">
        <v>78</v>
      </c>
      <c r="N456" t="s">
        <v>79</v>
      </c>
      <c r="O456" t="s">
        <v>74</v>
      </c>
      <c r="P456" t="s">
        <v>74</v>
      </c>
      <c r="Q456" t="s">
        <v>74</v>
      </c>
      <c r="R456" t="s">
        <v>74</v>
      </c>
      <c r="S456" t="s">
        <v>74</v>
      </c>
      <c r="T456" t="s">
        <v>9067</v>
      </c>
      <c r="U456" t="s">
        <v>9068</v>
      </c>
      <c r="V456" t="s">
        <v>9069</v>
      </c>
      <c r="W456" t="s">
        <v>9070</v>
      </c>
      <c r="X456" t="s">
        <v>9071</v>
      </c>
      <c r="Y456" t="s">
        <v>9072</v>
      </c>
      <c r="Z456" t="s">
        <v>9073</v>
      </c>
      <c r="AA456" t="s">
        <v>74</v>
      </c>
      <c r="AB456" t="s">
        <v>74</v>
      </c>
      <c r="AC456" t="s">
        <v>9074</v>
      </c>
      <c r="AD456" t="s">
        <v>4047</v>
      </c>
      <c r="AE456" t="s">
        <v>9075</v>
      </c>
      <c r="AF456" t="s">
        <v>74</v>
      </c>
      <c r="AG456">
        <v>128</v>
      </c>
      <c r="AH456">
        <v>2</v>
      </c>
      <c r="AI456">
        <v>2</v>
      </c>
      <c r="AJ456">
        <v>43</v>
      </c>
      <c r="AK456">
        <v>112</v>
      </c>
      <c r="AL456" t="s">
        <v>557</v>
      </c>
      <c r="AM456" t="s">
        <v>275</v>
      </c>
      <c r="AN456" t="s">
        <v>558</v>
      </c>
      <c r="AO456" t="s">
        <v>9076</v>
      </c>
      <c r="AP456" t="s">
        <v>9077</v>
      </c>
      <c r="AQ456" t="s">
        <v>74</v>
      </c>
      <c r="AR456" t="s">
        <v>9078</v>
      </c>
      <c r="AS456" t="s">
        <v>9079</v>
      </c>
      <c r="AT456" t="s">
        <v>1734</v>
      </c>
      <c r="AU456">
        <v>2024</v>
      </c>
      <c r="AV456">
        <v>238</v>
      </c>
      <c r="AW456">
        <v>14</v>
      </c>
      <c r="AX456" t="s">
        <v>74</v>
      </c>
      <c r="AY456" t="s">
        <v>74</v>
      </c>
      <c r="AZ456" t="s">
        <v>74</v>
      </c>
      <c r="BA456" t="s">
        <v>74</v>
      </c>
      <c r="BB456">
        <v>7155</v>
      </c>
      <c r="BC456">
        <v>7171</v>
      </c>
      <c r="BD456" t="s">
        <v>74</v>
      </c>
      <c r="BE456" t="s">
        <v>9080</v>
      </c>
      <c r="BF456" t="str">
        <f>HYPERLINK("http://dx.doi.org/10.1177/09544062241230223","http://dx.doi.org/10.1177/09544062241230223")</f>
        <v>http://dx.doi.org/10.1177/09544062241230223</v>
      </c>
      <c r="BG456" t="s">
        <v>74</v>
      </c>
      <c r="BH456" t="s">
        <v>2656</v>
      </c>
      <c r="BI456">
        <v>17</v>
      </c>
      <c r="BJ456" t="s">
        <v>181</v>
      </c>
      <c r="BK456" t="s">
        <v>182</v>
      </c>
      <c r="BL456" t="s">
        <v>183</v>
      </c>
      <c r="BM456" t="s">
        <v>9081</v>
      </c>
      <c r="BN456" t="s">
        <v>74</v>
      </c>
      <c r="BO456" t="s">
        <v>74</v>
      </c>
      <c r="BP456" t="s">
        <v>74</v>
      </c>
      <c r="BQ456" t="s">
        <v>74</v>
      </c>
      <c r="BR456" t="s">
        <v>105</v>
      </c>
      <c r="BS456" t="s">
        <v>9082</v>
      </c>
      <c r="BT456" t="str">
        <f>HYPERLINK("https%3A%2F%2Fwww.webofscience.com%2Fwos%2Fwoscc%2Ffull-record%2FWOS:001163844200001","View Full Record in Web of Science")</f>
        <v>View Full Record in Web of Science</v>
      </c>
    </row>
    <row r="457" spans="1:72" x14ac:dyDescent="0.25">
      <c r="A457" t="s">
        <v>72</v>
      </c>
      <c r="B457" t="s">
        <v>9083</v>
      </c>
      <c r="C457" t="s">
        <v>74</v>
      </c>
      <c r="D457" t="s">
        <v>74</v>
      </c>
      <c r="E457" t="s">
        <v>74</v>
      </c>
      <c r="F457" t="s">
        <v>9084</v>
      </c>
      <c r="G457" t="s">
        <v>74</v>
      </c>
      <c r="H457" t="s">
        <v>74</v>
      </c>
      <c r="I457" t="s">
        <v>9085</v>
      </c>
      <c r="J457" t="s">
        <v>701</v>
      </c>
      <c r="K457" t="s">
        <v>74</v>
      </c>
      <c r="L457" t="s">
        <v>74</v>
      </c>
      <c r="M457" t="s">
        <v>78</v>
      </c>
      <c r="N457" t="s">
        <v>79</v>
      </c>
      <c r="O457" t="s">
        <v>74</v>
      </c>
      <c r="P457" t="s">
        <v>74</v>
      </c>
      <c r="Q457" t="s">
        <v>74</v>
      </c>
      <c r="R457" t="s">
        <v>74</v>
      </c>
      <c r="S457" t="s">
        <v>74</v>
      </c>
      <c r="T457" t="s">
        <v>9086</v>
      </c>
      <c r="U457" t="s">
        <v>9087</v>
      </c>
      <c r="V457" t="s">
        <v>9088</v>
      </c>
      <c r="W457" t="s">
        <v>9089</v>
      </c>
      <c r="X457" t="s">
        <v>9090</v>
      </c>
      <c r="Y457" t="s">
        <v>9091</v>
      </c>
      <c r="Z457" t="s">
        <v>9092</v>
      </c>
      <c r="AA457" t="s">
        <v>9093</v>
      </c>
      <c r="AB457" t="s">
        <v>9094</v>
      </c>
      <c r="AC457" t="s">
        <v>9095</v>
      </c>
      <c r="AD457" t="s">
        <v>9095</v>
      </c>
      <c r="AE457" t="s">
        <v>171</v>
      </c>
      <c r="AF457" t="s">
        <v>74</v>
      </c>
      <c r="AG457">
        <v>92</v>
      </c>
      <c r="AH457">
        <v>17</v>
      </c>
      <c r="AI457">
        <v>17</v>
      </c>
      <c r="AJ457">
        <v>18</v>
      </c>
      <c r="AK457">
        <v>70</v>
      </c>
      <c r="AL457" t="s">
        <v>392</v>
      </c>
      <c r="AM457" t="s">
        <v>393</v>
      </c>
      <c r="AN457" t="s">
        <v>394</v>
      </c>
      <c r="AO457" t="s">
        <v>709</v>
      </c>
      <c r="AP457" t="s">
        <v>74</v>
      </c>
      <c r="AQ457" t="s">
        <v>74</v>
      </c>
      <c r="AR457" t="s">
        <v>710</v>
      </c>
      <c r="AS457" t="s">
        <v>711</v>
      </c>
      <c r="AT457" t="s">
        <v>9096</v>
      </c>
      <c r="AU457">
        <v>2024</v>
      </c>
      <c r="AV457">
        <v>11</v>
      </c>
      <c r="AW457" t="s">
        <v>74</v>
      </c>
      <c r="AX457" t="s">
        <v>74</v>
      </c>
      <c r="AY457" t="s">
        <v>74</v>
      </c>
      <c r="AZ457" t="s">
        <v>74</v>
      </c>
      <c r="BA457" t="s">
        <v>74</v>
      </c>
      <c r="BB457" t="s">
        <v>74</v>
      </c>
      <c r="BC457" t="s">
        <v>74</v>
      </c>
      <c r="BD457">
        <v>1341580</v>
      </c>
      <c r="BE457" t="s">
        <v>9097</v>
      </c>
      <c r="BF457" t="str">
        <f>HYPERLINK("http://dx.doi.org/10.3389/frobt.2024.1341580","http://dx.doi.org/10.3389/frobt.2024.1341580")</f>
        <v>http://dx.doi.org/10.3389/frobt.2024.1341580</v>
      </c>
      <c r="BG457" t="s">
        <v>74</v>
      </c>
      <c r="BH457" t="s">
        <v>74</v>
      </c>
      <c r="BI457">
        <v>19</v>
      </c>
      <c r="BJ457" t="s">
        <v>714</v>
      </c>
      <c r="BK457" t="s">
        <v>155</v>
      </c>
      <c r="BL457" t="s">
        <v>714</v>
      </c>
      <c r="BM457" t="s">
        <v>9098</v>
      </c>
      <c r="BN457">
        <v>38405325</v>
      </c>
      <c r="BO457" t="s">
        <v>355</v>
      </c>
      <c r="BP457" t="s">
        <v>74</v>
      </c>
      <c r="BQ457" t="s">
        <v>74</v>
      </c>
      <c r="BR457" t="s">
        <v>105</v>
      </c>
      <c r="BS457" t="s">
        <v>9099</v>
      </c>
      <c r="BT457" t="str">
        <f>HYPERLINK("https%3A%2F%2Fwww.webofscience.com%2Fwos%2Fwoscc%2Ffull-record%2FWOS:001169350300001","View Full Record in Web of Science")</f>
        <v>View Full Record in Web of Science</v>
      </c>
    </row>
    <row r="458" spans="1:72" x14ac:dyDescent="0.25">
      <c r="A458" t="s">
        <v>72</v>
      </c>
      <c r="B458" t="s">
        <v>9100</v>
      </c>
      <c r="C458" t="s">
        <v>74</v>
      </c>
      <c r="D458" t="s">
        <v>74</v>
      </c>
      <c r="E458" t="s">
        <v>74</v>
      </c>
      <c r="F458" t="s">
        <v>9101</v>
      </c>
      <c r="G458" t="s">
        <v>74</v>
      </c>
      <c r="H458" t="s">
        <v>74</v>
      </c>
      <c r="I458" t="s">
        <v>9102</v>
      </c>
      <c r="J458" t="s">
        <v>382</v>
      </c>
      <c r="K458" t="s">
        <v>74</v>
      </c>
      <c r="L458" t="s">
        <v>74</v>
      </c>
      <c r="M458" t="s">
        <v>78</v>
      </c>
      <c r="N458" t="s">
        <v>79</v>
      </c>
      <c r="O458" t="s">
        <v>74</v>
      </c>
      <c r="P458" t="s">
        <v>74</v>
      </c>
      <c r="Q458" t="s">
        <v>74</v>
      </c>
      <c r="R458" t="s">
        <v>74</v>
      </c>
      <c r="S458" t="s">
        <v>74</v>
      </c>
      <c r="T458" t="s">
        <v>9103</v>
      </c>
      <c r="U458" t="s">
        <v>9104</v>
      </c>
      <c r="V458" t="s">
        <v>9105</v>
      </c>
      <c r="W458" t="s">
        <v>9106</v>
      </c>
      <c r="X458" t="s">
        <v>9107</v>
      </c>
      <c r="Y458" t="s">
        <v>9108</v>
      </c>
      <c r="Z458" t="s">
        <v>9109</v>
      </c>
      <c r="AA458" t="s">
        <v>9110</v>
      </c>
      <c r="AB458" t="s">
        <v>74</v>
      </c>
      <c r="AC458" t="s">
        <v>9111</v>
      </c>
      <c r="AD458" t="s">
        <v>9112</v>
      </c>
      <c r="AE458" t="s">
        <v>9113</v>
      </c>
      <c r="AF458" t="s">
        <v>74</v>
      </c>
      <c r="AG458">
        <v>50</v>
      </c>
      <c r="AH458">
        <v>4</v>
      </c>
      <c r="AI458">
        <v>4</v>
      </c>
      <c r="AJ458">
        <v>4</v>
      </c>
      <c r="AK458">
        <v>13</v>
      </c>
      <c r="AL458" t="s">
        <v>392</v>
      </c>
      <c r="AM458" t="s">
        <v>393</v>
      </c>
      <c r="AN458" t="s">
        <v>394</v>
      </c>
      <c r="AO458" t="s">
        <v>395</v>
      </c>
      <c r="AP458" t="s">
        <v>74</v>
      </c>
      <c r="AQ458" t="s">
        <v>74</v>
      </c>
      <c r="AR458" t="s">
        <v>396</v>
      </c>
      <c r="AS458" t="s">
        <v>397</v>
      </c>
      <c r="AT458" t="s">
        <v>9114</v>
      </c>
      <c r="AU458">
        <v>2024</v>
      </c>
      <c r="AV458">
        <v>15</v>
      </c>
      <c r="AW458" t="s">
        <v>74</v>
      </c>
      <c r="AX458" t="s">
        <v>74</v>
      </c>
      <c r="AY458" t="s">
        <v>74</v>
      </c>
      <c r="AZ458" t="s">
        <v>74</v>
      </c>
      <c r="BA458" t="s">
        <v>74</v>
      </c>
      <c r="BB458" t="s">
        <v>74</v>
      </c>
      <c r="BC458" t="s">
        <v>74</v>
      </c>
      <c r="BD458">
        <v>1167954</v>
      </c>
      <c r="BE458" t="s">
        <v>9115</v>
      </c>
      <c r="BF458" t="str">
        <f>HYPERLINK("http://dx.doi.org/10.3389/fneur.2024.1167954","http://dx.doi.org/10.3389/fneur.2024.1167954")</f>
        <v>http://dx.doi.org/10.3389/fneur.2024.1167954</v>
      </c>
      <c r="BG458" t="s">
        <v>74</v>
      </c>
      <c r="BH458" t="s">
        <v>74</v>
      </c>
      <c r="BI458">
        <v>11</v>
      </c>
      <c r="BJ458" t="s">
        <v>400</v>
      </c>
      <c r="BK458" t="s">
        <v>182</v>
      </c>
      <c r="BL458" t="s">
        <v>375</v>
      </c>
      <c r="BM458" t="s">
        <v>9116</v>
      </c>
      <c r="BN458">
        <v>38375467</v>
      </c>
      <c r="BO458" t="s">
        <v>355</v>
      </c>
      <c r="BP458" t="s">
        <v>74</v>
      </c>
      <c r="BQ458" t="s">
        <v>74</v>
      </c>
      <c r="BR458" t="s">
        <v>105</v>
      </c>
      <c r="BS458" t="s">
        <v>9117</v>
      </c>
      <c r="BT458" t="str">
        <f>HYPERLINK("https%3A%2F%2Fwww.webofscience.com%2Fwos%2Fwoscc%2Ffull-record%2FWOS:001170806600001","View Full Record in Web of Science")</f>
        <v>View Full Record in Web of Science</v>
      </c>
    </row>
    <row r="459" spans="1:72" x14ac:dyDescent="0.25">
      <c r="A459" t="s">
        <v>72</v>
      </c>
      <c r="B459" t="s">
        <v>9118</v>
      </c>
      <c r="C459" t="s">
        <v>74</v>
      </c>
      <c r="D459" t="s">
        <v>74</v>
      </c>
      <c r="E459" t="s">
        <v>74</v>
      </c>
      <c r="F459" t="s">
        <v>9119</v>
      </c>
      <c r="G459" t="s">
        <v>74</v>
      </c>
      <c r="H459" t="s">
        <v>74</v>
      </c>
      <c r="I459" t="s">
        <v>9120</v>
      </c>
      <c r="J459" t="s">
        <v>7554</v>
      </c>
      <c r="K459" t="s">
        <v>74</v>
      </c>
      <c r="L459" t="s">
        <v>74</v>
      </c>
      <c r="M459" t="s">
        <v>78</v>
      </c>
      <c r="N459" t="s">
        <v>79</v>
      </c>
      <c r="O459" t="s">
        <v>74</v>
      </c>
      <c r="P459" t="s">
        <v>74</v>
      </c>
      <c r="Q459" t="s">
        <v>74</v>
      </c>
      <c r="R459" t="s">
        <v>74</v>
      </c>
      <c r="S459" t="s">
        <v>74</v>
      </c>
      <c r="T459" t="s">
        <v>74</v>
      </c>
      <c r="U459" t="s">
        <v>9121</v>
      </c>
      <c r="V459" t="s">
        <v>9122</v>
      </c>
      <c r="W459" t="s">
        <v>9123</v>
      </c>
      <c r="X459" t="s">
        <v>9124</v>
      </c>
      <c r="Y459" t="s">
        <v>9125</v>
      </c>
      <c r="Z459" t="s">
        <v>9126</v>
      </c>
      <c r="AA459" t="s">
        <v>74</v>
      </c>
      <c r="AB459" t="s">
        <v>9127</v>
      </c>
      <c r="AC459" t="s">
        <v>9128</v>
      </c>
      <c r="AD459" t="s">
        <v>9129</v>
      </c>
      <c r="AE459" t="s">
        <v>9130</v>
      </c>
      <c r="AF459" t="s">
        <v>74</v>
      </c>
      <c r="AG459">
        <v>559</v>
      </c>
      <c r="AH459">
        <v>67</v>
      </c>
      <c r="AI459">
        <v>68</v>
      </c>
      <c r="AJ459">
        <v>198</v>
      </c>
      <c r="AK459">
        <v>428</v>
      </c>
      <c r="AL459" t="s">
        <v>4622</v>
      </c>
      <c r="AM459" t="s">
        <v>4073</v>
      </c>
      <c r="AN459" t="s">
        <v>4623</v>
      </c>
      <c r="AO459" t="s">
        <v>7566</v>
      </c>
      <c r="AP459" t="s">
        <v>7567</v>
      </c>
      <c r="AQ459" t="s">
        <v>74</v>
      </c>
      <c r="AR459" t="s">
        <v>7568</v>
      </c>
      <c r="AS459" t="s">
        <v>7569</v>
      </c>
      <c r="AT459" t="s">
        <v>9114</v>
      </c>
      <c r="AU459">
        <v>2024</v>
      </c>
      <c r="AV459">
        <v>124</v>
      </c>
      <c r="AW459">
        <v>4</v>
      </c>
      <c r="AX459" t="s">
        <v>74</v>
      </c>
      <c r="AY459" t="s">
        <v>74</v>
      </c>
      <c r="AZ459" t="s">
        <v>74</v>
      </c>
      <c r="BA459" t="s">
        <v>74</v>
      </c>
      <c r="BB459">
        <v>1464</v>
      </c>
      <c r="BC459">
        <v>1534</v>
      </c>
      <c r="BD459" t="s">
        <v>74</v>
      </c>
      <c r="BE459" t="s">
        <v>9131</v>
      </c>
      <c r="BF459" t="str">
        <f>HYPERLINK("http://dx.doi.org/10.1021/acs.chemrev.3c00356","http://dx.doi.org/10.1021/acs.chemrev.3c00356")</f>
        <v>http://dx.doi.org/10.1021/acs.chemrev.3c00356</v>
      </c>
      <c r="BG459" t="s">
        <v>74</v>
      </c>
      <c r="BH459" t="s">
        <v>2656</v>
      </c>
      <c r="BI459">
        <v>71</v>
      </c>
      <c r="BJ459" t="s">
        <v>154</v>
      </c>
      <c r="BK459" t="s">
        <v>182</v>
      </c>
      <c r="BL459" t="s">
        <v>156</v>
      </c>
      <c r="BM459" t="s">
        <v>9132</v>
      </c>
      <c r="BN459">
        <v>38314694</v>
      </c>
      <c r="BO459" t="s">
        <v>74</v>
      </c>
      <c r="BP459" t="s">
        <v>869</v>
      </c>
      <c r="BQ459" t="s">
        <v>870</v>
      </c>
      <c r="BR459" t="s">
        <v>105</v>
      </c>
      <c r="BS459" t="s">
        <v>9133</v>
      </c>
      <c r="BT459" t="str">
        <f>HYPERLINK("https%3A%2F%2Fwww.webofscience.com%2Fwos%2Fwoscc%2Ffull-record%2FWOS:001163356600001","View Full Record in Web of Science")</f>
        <v>View Full Record in Web of Science</v>
      </c>
    </row>
    <row r="460" spans="1:72" x14ac:dyDescent="0.25">
      <c r="A460" t="s">
        <v>72</v>
      </c>
      <c r="B460" t="s">
        <v>9134</v>
      </c>
      <c r="C460" t="s">
        <v>74</v>
      </c>
      <c r="D460" t="s">
        <v>74</v>
      </c>
      <c r="E460" t="s">
        <v>74</v>
      </c>
      <c r="F460" t="s">
        <v>9135</v>
      </c>
      <c r="G460" t="s">
        <v>74</v>
      </c>
      <c r="H460" t="s">
        <v>74</v>
      </c>
      <c r="I460" t="s">
        <v>9136</v>
      </c>
      <c r="J460" t="s">
        <v>9066</v>
      </c>
      <c r="K460" t="s">
        <v>74</v>
      </c>
      <c r="L460" t="s">
        <v>74</v>
      </c>
      <c r="M460" t="s">
        <v>78</v>
      </c>
      <c r="N460" t="s">
        <v>79</v>
      </c>
      <c r="O460" t="s">
        <v>74</v>
      </c>
      <c r="P460" t="s">
        <v>74</v>
      </c>
      <c r="Q460" t="s">
        <v>74</v>
      </c>
      <c r="R460" t="s">
        <v>74</v>
      </c>
      <c r="S460" t="s">
        <v>74</v>
      </c>
      <c r="T460" t="s">
        <v>9137</v>
      </c>
      <c r="U460" t="s">
        <v>9138</v>
      </c>
      <c r="V460" t="s">
        <v>9139</v>
      </c>
      <c r="W460" t="s">
        <v>9140</v>
      </c>
      <c r="X460" t="s">
        <v>74</v>
      </c>
      <c r="Y460" t="s">
        <v>9141</v>
      </c>
      <c r="Z460" t="s">
        <v>9142</v>
      </c>
      <c r="AA460" t="s">
        <v>9143</v>
      </c>
      <c r="AB460" t="s">
        <v>9144</v>
      </c>
      <c r="AC460" t="s">
        <v>74</v>
      </c>
      <c r="AD460" t="s">
        <v>74</v>
      </c>
      <c r="AE460" t="s">
        <v>74</v>
      </c>
      <c r="AF460" t="s">
        <v>74</v>
      </c>
      <c r="AG460">
        <v>299</v>
      </c>
      <c r="AH460">
        <v>3</v>
      </c>
      <c r="AI460">
        <v>3</v>
      </c>
      <c r="AJ460">
        <v>20</v>
      </c>
      <c r="AK460">
        <v>101</v>
      </c>
      <c r="AL460" t="s">
        <v>557</v>
      </c>
      <c r="AM460" t="s">
        <v>275</v>
      </c>
      <c r="AN460" t="s">
        <v>558</v>
      </c>
      <c r="AO460" t="s">
        <v>9076</v>
      </c>
      <c r="AP460" t="s">
        <v>9077</v>
      </c>
      <c r="AQ460" t="s">
        <v>74</v>
      </c>
      <c r="AR460" t="s">
        <v>9078</v>
      </c>
      <c r="AS460" t="s">
        <v>9079</v>
      </c>
      <c r="AT460" t="s">
        <v>1734</v>
      </c>
      <c r="AU460">
        <v>2024</v>
      </c>
      <c r="AV460">
        <v>238</v>
      </c>
      <c r="AW460">
        <v>14</v>
      </c>
      <c r="AX460" t="s">
        <v>74</v>
      </c>
      <c r="AY460" t="s">
        <v>74</v>
      </c>
      <c r="AZ460" t="s">
        <v>74</v>
      </c>
      <c r="BA460" t="s">
        <v>74</v>
      </c>
      <c r="BB460">
        <v>6751</v>
      </c>
      <c r="BC460">
        <v>6782</v>
      </c>
      <c r="BD460" t="s">
        <v>74</v>
      </c>
      <c r="BE460" t="s">
        <v>9145</v>
      </c>
      <c r="BF460" t="str">
        <f>HYPERLINK("http://dx.doi.org/10.1177/09544062241226842","http://dx.doi.org/10.1177/09544062241226842")</f>
        <v>http://dx.doi.org/10.1177/09544062241226842</v>
      </c>
      <c r="BG460" t="s">
        <v>74</v>
      </c>
      <c r="BH460" t="s">
        <v>2656</v>
      </c>
      <c r="BI460">
        <v>32</v>
      </c>
      <c r="BJ460" t="s">
        <v>181</v>
      </c>
      <c r="BK460" t="s">
        <v>182</v>
      </c>
      <c r="BL460" t="s">
        <v>183</v>
      </c>
      <c r="BM460" t="s">
        <v>9081</v>
      </c>
      <c r="BN460" t="s">
        <v>74</v>
      </c>
      <c r="BO460" t="s">
        <v>74</v>
      </c>
      <c r="BP460" t="s">
        <v>74</v>
      </c>
      <c r="BQ460" t="s">
        <v>74</v>
      </c>
      <c r="BR460" t="s">
        <v>105</v>
      </c>
      <c r="BS460" t="s">
        <v>9146</v>
      </c>
      <c r="BT460" t="str">
        <f>HYPERLINK("https%3A%2F%2Fwww.webofscience.com%2Fwos%2Fwoscc%2Ffull-record%2FWOS:001156703700001","View Full Record in Web of Science")</f>
        <v>View Full Record in Web of Science</v>
      </c>
    </row>
    <row r="461" spans="1:72" x14ac:dyDescent="0.25">
      <c r="A461" t="s">
        <v>72</v>
      </c>
      <c r="B461" t="s">
        <v>9147</v>
      </c>
      <c r="C461" t="s">
        <v>74</v>
      </c>
      <c r="D461" t="s">
        <v>74</v>
      </c>
      <c r="E461" t="s">
        <v>74</v>
      </c>
      <c r="F461" t="s">
        <v>9148</v>
      </c>
      <c r="G461" t="s">
        <v>74</v>
      </c>
      <c r="H461" t="s">
        <v>74</v>
      </c>
      <c r="I461" t="s">
        <v>9149</v>
      </c>
      <c r="J461" t="s">
        <v>1008</v>
      </c>
      <c r="K461" t="s">
        <v>74</v>
      </c>
      <c r="L461" t="s">
        <v>74</v>
      </c>
      <c r="M461" t="s">
        <v>78</v>
      </c>
      <c r="N461" t="s">
        <v>79</v>
      </c>
      <c r="O461" t="s">
        <v>74</v>
      </c>
      <c r="P461" t="s">
        <v>74</v>
      </c>
      <c r="Q461" t="s">
        <v>74</v>
      </c>
      <c r="R461" t="s">
        <v>74</v>
      </c>
      <c r="S461" t="s">
        <v>74</v>
      </c>
      <c r="T461" t="s">
        <v>9150</v>
      </c>
      <c r="U461" t="s">
        <v>9151</v>
      </c>
      <c r="V461" t="s">
        <v>9152</v>
      </c>
      <c r="W461" t="s">
        <v>9153</v>
      </c>
      <c r="X461" t="s">
        <v>9154</v>
      </c>
      <c r="Y461" t="s">
        <v>9155</v>
      </c>
      <c r="Z461" t="s">
        <v>9156</v>
      </c>
      <c r="AA461" t="s">
        <v>9157</v>
      </c>
      <c r="AB461" t="s">
        <v>9158</v>
      </c>
      <c r="AC461" t="s">
        <v>9159</v>
      </c>
      <c r="AD461" t="s">
        <v>9160</v>
      </c>
      <c r="AE461" t="s">
        <v>171</v>
      </c>
      <c r="AF461" t="s">
        <v>74</v>
      </c>
      <c r="AG461">
        <v>123</v>
      </c>
      <c r="AH461">
        <v>7</v>
      </c>
      <c r="AI461">
        <v>7</v>
      </c>
      <c r="AJ461">
        <v>3</v>
      </c>
      <c r="AK461">
        <v>19</v>
      </c>
      <c r="AL461" t="s">
        <v>2529</v>
      </c>
      <c r="AM461" t="s">
        <v>2530</v>
      </c>
      <c r="AN461" t="s">
        <v>2531</v>
      </c>
      <c r="AO461" t="s">
        <v>1021</v>
      </c>
      <c r="AP461" t="s">
        <v>6602</v>
      </c>
      <c r="AQ461" t="s">
        <v>74</v>
      </c>
      <c r="AR461" t="s">
        <v>1022</v>
      </c>
      <c r="AS461" t="s">
        <v>1023</v>
      </c>
      <c r="AT461" t="s">
        <v>326</v>
      </c>
      <c r="AU461">
        <v>2024</v>
      </c>
      <c r="AV461">
        <v>62</v>
      </c>
      <c r="AW461">
        <v>5</v>
      </c>
      <c r="AX461" t="s">
        <v>74</v>
      </c>
      <c r="AY461" t="s">
        <v>74</v>
      </c>
      <c r="AZ461" t="s">
        <v>74</v>
      </c>
      <c r="BA461" t="s">
        <v>74</v>
      </c>
      <c r="BB461">
        <v>1313</v>
      </c>
      <c r="BC461">
        <v>1332</v>
      </c>
      <c r="BD461" t="s">
        <v>74</v>
      </c>
      <c r="BE461" t="s">
        <v>9161</v>
      </c>
      <c r="BF461" t="str">
        <f>HYPERLINK("http://dx.doi.org/10.1007/s11517-024-03019-w","http://dx.doi.org/10.1007/s11517-024-03019-w")</f>
        <v>http://dx.doi.org/10.1007/s11517-024-03019-w</v>
      </c>
      <c r="BG461" t="s">
        <v>74</v>
      </c>
      <c r="BH461" t="s">
        <v>2656</v>
      </c>
      <c r="BI461">
        <v>20</v>
      </c>
      <c r="BJ461" t="s">
        <v>1025</v>
      </c>
      <c r="BK461" t="s">
        <v>182</v>
      </c>
      <c r="BL461" t="s">
        <v>1026</v>
      </c>
      <c r="BM461" t="s">
        <v>9162</v>
      </c>
      <c r="BN461">
        <v>38305814</v>
      </c>
      <c r="BO461" t="s">
        <v>309</v>
      </c>
      <c r="BP461" t="s">
        <v>74</v>
      </c>
      <c r="BQ461" t="s">
        <v>74</v>
      </c>
      <c r="BR461" t="s">
        <v>105</v>
      </c>
      <c r="BS461" t="s">
        <v>9163</v>
      </c>
      <c r="BT461" t="str">
        <f>HYPERLINK("https%3A%2F%2Fwww.webofscience.com%2Fwos%2Fwoscc%2Ffull-record%2FWOS:001154262400001","View Full Record in Web of Science")</f>
        <v>View Full Record in Web of Science</v>
      </c>
    </row>
    <row r="462" spans="1:72" x14ac:dyDescent="0.25">
      <c r="A462" t="s">
        <v>72</v>
      </c>
      <c r="B462" t="s">
        <v>9164</v>
      </c>
      <c r="C462" t="s">
        <v>74</v>
      </c>
      <c r="D462" t="s">
        <v>74</v>
      </c>
      <c r="E462" t="s">
        <v>74</v>
      </c>
      <c r="F462" t="s">
        <v>9165</v>
      </c>
      <c r="G462" t="s">
        <v>74</v>
      </c>
      <c r="H462" t="s">
        <v>74</v>
      </c>
      <c r="I462" t="s">
        <v>9166</v>
      </c>
      <c r="J462" t="s">
        <v>9167</v>
      </c>
      <c r="K462" t="s">
        <v>74</v>
      </c>
      <c r="L462" t="s">
        <v>74</v>
      </c>
      <c r="M462" t="s">
        <v>78</v>
      </c>
      <c r="N462" t="s">
        <v>79</v>
      </c>
      <c r="O462" t="s">
        <v>74</v>
      </c>
      <c r="P462" t="s">
        <v>74</v>
      </c>
      <c r="Q462" t="s">
        <v>74</v>
      </c>
      <c r="R462" t="s">
        <v>74</v>
      </c>
      <c r="S462" t="s">
        <v>74</v>
      </c>
      <c r="T462" t="s">
        <v>9168</v>
      </c>
      <c r="U462" t="s">
        <v>9169</v>
      </c>
      <c r="V462" t="s">
        <v>9170</v>
      </c>
      <c r="W462" t="s">
        <v>9171</v>
      </c>
      <c r="X462" t="s">
        <v>9172</v>
      </c>
      <c r="Y462" t="s">
        <v>9173</v>
      </c>
      <c r="Z462" t="s">
        <v>9174</v>
      </c>
      <c r="AA462" t="s">
        <v>9175</v>
      </c>
      <c r="AB462" t="s">
        <v>9176</v>
      </c>
      <c r="AC462" t="s">
        <v>9177</v>
      </c>
      <c r="AD462" t="s">
        <v>9177</v>
      </c>
      <c r="AE462" t="s">
        <v>9178</v>
      </c>
      <c r="AF462" t="s">
        <v>74</v>
      </c>
      <c r="AG462">
        <v>36</v>
      </c>
      <c r="AH462">
        <v>12</v>
      </c>
      <c r="AI462">
        <v>12</v>
      </c>
      <c r="AJ462">
        <v>5</v>
      </c>
      <c r="AK462">
        <v>10</v>
      </c>
      <c r="AL462" t="s">
        <v>9179</v>
      </c>
      <c r="AM462" t="s">
        <v>9180</v>
      </c>
      <c r="AN462" t="s">
        <v>9181</v>
      </c>
      <c r="AO462" t="s">
        <v>9182</v>
      </c>
      <c r="AP462" t="s">
        <v>9183</v>
      </c>
      <c r="AQ462" t="s">
        <v>74</v>
      </c>
      <c r="AR462" t="s">
        <v>9184</v>
      </c>
      <c r="AS462" t="s">
        <v>9185</v>
      </c>
      <c r="AT462" t="s">
        <v>9186</v>
      </c>
      <c r="AU462">
        <v>2024</v>
      </c>
      <c r="AV462">
        <v>104</v>
      </c>
      <c r="AW462">
        <v>2</v>
      </c>
      <c r="AX462" t="s">
        <v>74</v>
      </c>
      <c r="AY462" t="s">
        <v>74</v>
      </c>
      <c r="AZ462" t="s">
        <v>74</v>
      </c>
      <c r="BA462" t="s">
        <v>74</v>
      </c>
      <c r="BB462" t="s">
        <v>74</v>
      </c>
      <c r="BC462" t="s">
        <v>74</v>
      </c>
      <c r="BD462" t="s">
        <v>9187</v>
      </c>
      <c r="BE462" t="s">
        <v>9188</v>
      </c>
      <c r="BF462" t="str">
        <f>HYPERLINK("http://dx.doi.org/10.1093/ptj/pzad140","http://dx.doi.org/10.1093/ptj/pzad140")</f>
        <v>http://dx.doi.org/10.1093/ptj/pzad140</v>
      </c>
      <c r="BG462" t="s">
        <v>74</v>
      </c>
      <c r="BH462" t="s">
        <v>74</v>
      </c>
      <c r="BI462">
        <v>12</v>
      </c>
      <c r="BJ462" t="s">
        <v>3977</v>
      </c>
      <c r="BK462" t="s">
        <v>182</v>
      </c>
      <c r="BL462" t="s">
        <v>3977</v>
      </c>
      <c r="BM462" t="s">
        <v>9189</v>
      </c>
      <c r="BN462">
        <v>37856528</v>
      </c>
      <c r="BO462" t="s">
        <v>8028</v>
      </c>
      <c r="BP462" t="s">
        <v>74</v>
      </c>
      <c r="BQ462" t="s">
        <v>74</v>
      </c>
      <c r="BR462" t="s">
        <v>105</v>
      </c>
      <c r="BS462" t="s">
        <v>9190</v>
      </c>
      <c r="BT462" t="str">
        <f>HYPERLINK("https%3A%2F%2Fwww.webofscience.com%2Fwos%2Fwoscc%2Ffull-record%2FWOS:001167119500006","View Full Record in Web of Science")</f>
        <v>View Full Record in Web of Science</v>
      </c>
    </row>
    <row r="463" spans="1:72" x14ac:dyDescent="0.25">
      <c r="A463" t="s">
        <v>72</v>
      </c>
      <c r="B463" t="s">
        <v>9191</v>
      </c>
      <c r="C463" t="s">
        <v>74</v>
      </c>
      <c r="D463" t="s">
        <v>74</v>
      </c>
      <c r="E463" t="s">
        <v>74</v>
      </c>
      <c r="F463" t="s">
        <v>9192</v>
      </c>
      <c r="G463" t="s">
        <v>74</v>
      </c>
      <c r="H463" t="s">
        <v>74</v>
      </c>
      <c r="I463" t="s">
        <v>9193</v>
      </c>
      <c r="J463" t="s">
        <v>406</v>
      </c>
      <c r="K463" t="s">
        <v>74</v>
      </c>
      <c r="L463" t="s">
        <v>74</v>
      </c>
      <c r="M463" t="s">
        <v>78</v>
      </c>
      <c r="N463" t="s">
        <v>79</v>
      </c>
      <c r="O463" t="s">
        <v>74</v>
      </c>
      <c r="P463" t="s">
        <v>74</v>
      </c>
      <c r="Q463" t="s">
        <v>74</v>
      </c>
      <c r="R463" t="s">
        <v>74</v>
      </c>
      <c r="S463" t="s">
        <v>74</v>
      </c>
      <c r="T463" t="s">
        <v>9194</v>
      </c>
      <c r="U463" t="s">
        <v>9195</v>
      </c>
      <c r="V463" t="s">
        <v>9196</v>
      </c>
      <c r="W463" t="s">
        <v>9197</v>
      </c>
      <c r="X463" t="s">
        <v>9198</v>
      </c>
      <c r="Y463" t="s">
        <v>9199</v>
      </c>
      <c r="Z463" t="s">
        <v>9200</v>
      </c>
      <c r="AA463" t="s">
        <v>9201</v>
      </c>
      <c r="AB463" t="s">
        <v>9202</v>
      </c>
      <c r="AC463" t="s">
        <v>9203</v>
      </c>
      <c r="AD463" t="s">
        <v>9203</v>
      </c>
      <c r="AE463" t="s">
        <v>171</v>
      </c>
      <c r="AF463" t="s">
        <v>74</v>
      </c>
      <c r="AG463">
        <v>71</v>
      </c>
      <c r="AH463">
        <v>0</v>
      </c>
      <c r="AI463">
        <v>0</v>
      </c>
      <c r="AJ463">
        <v>3</v>
      </c>
      <c r="AK463">
        <v>19</v>
      </c>
      <c r="AL463" t="s">
        <v>120</v>
      </c>
      <c r="AM463" t="s">
        <v>121</v>
      </c>
      <c r="AN463" t="s">
        <v>1221</v>
      </c>
      <c r="AO463" t="s">
        <v>74</v>
      </c>
      <c r="AP463" t="s">
        <v>417</v>
      </c>
      <c r="AQ463" t="s">
        <v>74</v>
      </c>
      <c r="AR463" t="s">
        <v>418</v>
      </c>
      <c r="AS463" t="s">
        <v>419</v>
      </c>
      <c r="AT463" t="s">
        <v>351</v>
      </c>
      <c r="AU463">
        <v>2024</v>
      </c>
      <c r="AV463">
        <v>12</v>
      </c>
      <c r="AW463">
        <v>3</v>
      </c>
      <c r="AX463" t="s">
        <v>74</v>
      </c>
      <c r="AY463" t="s">
        <v>74</v>
      </c>
      <c r="AZ463" t="s">
        <v>74</v>
      </c>
      <c r="BA463" t="s">
        <v>74</v>
      </c>
      <c r="BB463" t="s">
        <v>74</v>
      </c>
      <c r="BC463" t="s">
        <v>74</v>
      </c>
      <c r="BD463">
        <v>337</v>
      </c>
      <c r="BE463" t="s">
        <v>9204</v>
      </c>
      <c r="BF463" t="str">
        <f>HYPERLINK("http://dx.doi.org/10.3390/healthcare12030337","http://dx.doi.org/10.3390/healthcare12030337")</f>
        <v>http://dx.doi.org/10.3390/healthcare12030337</v>
      </c>
      <c r="BG463" t="s">
        <v>74</v>
      </c>
      <c r="BH463" t="s">
        <v>74</v>
      </c>
      <c r="BI463">
        <v>19</v>
      </c>
      <c r="BJ463" t="s">
        <v>422</v>
      </c>
      <c r="BK463" t="s">
        <v>102</v>
      </c>
      <c r="BL463" t="s">
        <v>423</v>
      </c>
      <c r="BM463" t="s">
        <v>9205</v>
      </c>
      <c r="BN463">
        <v>38338223</v>
      </c>
      <c r="BO463" t="s">
        <v>131</v>
      </c>
      <c r="BP463" t="s">
        <v>74</v>
      </c>
      <c r="BQ463" t="s">
        <v>74</v>
      </c>
      <c r="BR463" t="s">
        <v>105</v>
      </c>
      <c r="BS463" t="s">
        <v>9206</v>
      </c>
      <c r="BT463" t="str">
        <f>HYPERLINK("https%3A%2F%2Fwww.webofscience.com%2Fwos%2Fwoscc%2Ffull-record%2FWOS:001160080500001","View Full Record in Web of Science")</f>
        <v>View Full Record in Web of Science</v>
      </c>
    </row>
    <row r="464" spans="1:72" x14ac:dyDescent="0.25">
      <c r="A464" t="s">
        <v>72</v>
      </c>
      <c r="B464" t="s">
        <v>9207</v>
      </c>
      <c r="C464" t="s">
        <v>74</v>
      </c>
      <c r="D464" t="s">
        <v>74</v>
      </c>
      <c r="E464" t="s">
        <v>74</v>
      </c>
      <c r="F464" t="s">
        <v>9208</v>
      </c>
      <c r="G464" t="s">
        <v>74</v>
      </c>
      <c r="H464" t="s">
        <v>74</v>
      </c>
      <c r="I464" t="s">
        <v>9209</v>
      </c>
      <c r="J464" t="s">
        <v>3028</v>
      </c>
      <c r="K464" t="s">
        <v>74</v>
      </c>
      <c r="L464" t="s">
        <v>74</v>
      </c>
      <c r="M464" t="s">
        <v>78</v>
      </c>
      <c r="N464" t="s">
        <v>79</v>
      </c>
      <c r="O464" t="s">
        <v>74</v>
      </c>
      <c r="P464" t="s">
        <v>74</v>
      </c>
      <c r="Q464" t="s">
        <v>74</v>
      </c>
      <c r="R464" t="s">
        <v>74</v>
      </c>
      <c r="S464" t="s">
        <v>74</v>
      </c>
      <c r="T464" t="s">
        <v>9210</v>
      </c>
      <c r="U464" t="s">
        <v>9211</v>
      </c>
      <c r="V464" t="s">
        <v>9212</v>
      </c>
      <c r="W464" t="s">
        <v>9213</v>
      </c>
      <c r="X464" t="s">
        <v>9214</v>
      </c>
      <c r="Y464" t="s">
        <v>9215</v>
      </c>
      <c r="Z464" t="s">
        <v>9216</v>
      </c>
      <c r="AA464" t="s">
        <v>9217</v>
      </c>
      <c r="AB464" t="s">
        <v>9218</v>
      </c>
      <c r="AC464" t="s">
        <v>74</v>
      </c>
      <c r="AD464" t="s">
        <v>74</v>
      </c>
      <c r="AE464" t="s">
        <v>74</v>
      </c>
      <c r="AF464" t="s">
        <v>74</v>
      </c>
      <c r="AG464">
        <v>169</v>
      </c>
      <c r="AH464">
        <v>4</v>
      </c>
      <c r="AI464">
        <v>4</v>
      </c>
      <c r="AJ464">
        <v>2</v>
      </c>
      <c r="AK464">
        <v>4</v>
      </c>
      <c r="AL464" t="s">
        <v>3038</v>
      </c>
      <c r="AM464" t="s">
        <v>3039</v>
      </c>
      <c r="AN464" t="s">
        <v>3040</v>
      </c>
      <c r="AO464" t="s">
        <v>3041</v>
      </c>
      <c r="AP464" t="s">
        <v>3042</v>
      </c>
      <c r="AQ464" t="s">
        <v>74</v>
      </c>
      <c r="AR464" t="s">
        <v>3043</v>
      </c>
      <c r="AS464" t="s">
        <v>3044</v>
      </c>
      <c r="AT464" t="s">
        <v>487</v>
      </c>
      <c r="AU464">
        <v>2024</v>
      </c>
      <c r="AV464">
        <v>374</v>
      </c>
      <c r="AW464" t="s">
        <v>74</v>
      </c>
      <c r="AX464" t="s">
        <v>74</v>
      </c>
      <c r="AY464" t="s">
        <v>74</v>
      </c>
      <c r="AZ464" t="s">
        <v>74</v>
      </c>
      <c r="BA464" t="s">
        <v>74</v>
      </c>
      <c r="BB464" t="s">
        <v>74</v>
      </c>
      <c r="BC464" t="s">
        <v>74</v>
      </c>
      <c r="BD464">
        <v>114701</v>
      </c>
      <c r="BE464" t="s">
        <v>9219</v>
      </c>
      <c r="BF464" t="str">
        <f>HYPERLINK("http://dx.doi.org/10.1016/j.expneurol.2024.114701","http://dx.doi.org/10.1016/j.expneurol.2024.114701")</f>
        <v>http://dx.doi.org/10.1016/j.expneurol.2024.114701</v>
      </c>
      <c r="BG464" t="s">
        <v>74</v>
      </c>
      <c r="BH464" t="s">
        <v>1966</v>
      </c>
      <c r="BI464">
        <v>12</v>
      </c>
      <c r="BJ464" t="s">
        <v>374</v>
      </c>
      <c r="BK464" t="s">
        <v>182</v>
      </c>
      <c r="BL464" t="s">
        <v>375</v>
      </c>
      <c r="BM464" t="s">
        <v>9220</v>
      </c>
      <c r="BN464">
        <v>38278205</v>
      </c>
      <c r="BO464" t="s">
        <v>74</v>
      </c>
      <c r="BP464" t="s">
        <v>74</v>
      </c>
      <c r="BQ464" t="s">
        <v>74</v>
      </c>
      <c r="BR464" t="s">
        <v>105</v>
      </c>
      <c r="BS464" t="s">
        <v>9221</v>
      </c>
      <c r="BT464" t="str">
        <f>HYPERLINK("https%3A%2F%2Fwww.webofscience.com%2Fwos%2Fwoscc%2Ffull-record%2FWOS:001174082200001","View Full Record in Web of Science")</f>
        <v>View Full Record in Web of Science</v>
      </c>
    </row>
    <row r="465" spans="1:72" x14ac:dyDescent="0.25">
      <c r="A465" t="s">
        <v>72</v>
      </c>
      <c r="B465" t="s">
        <v>9222</v>
      </c>
      <c r="C465" t="s">
        <v>74</v>
      </c>
      <c r="D465" t="s">
        <v>74</v>
      </c>
      <c r="E465" t="s">
        <v>74</v>
      </c>
      <c r="F465" t="s">
        <v>9223</v>
      </c>
      <c r="G465" t="s">
        <v>74</v>
      </c>
      <c r="H465" t="s">
        <v>74</v>
      </c>
      <c r="I465" t="s">
        <v>9224</v>
      </c>
      <c r="J465" t="s">
        <v>9225</v>
      </c>
      <c r="K465" t="s">
        <v>74</v>
      </c>
      <c r="L465" t="s">
        <v>74</v>
      </c>
      <c r="M465" t="s">
        <v>78</v>
      </c>
      <c r="N465" t="s">
        <v>79</v>
      </c>
      <c r="O465" t="s">
        <v>74</v>
      </c>
      <c r="P465" t="s">
        <v>74</v>
      </c>
      <c r="Q465" t="s">
        <v>74</v>
      </c>
      <c r="R465" t="s">
        <v>74</v>
      </c>
      <c r="S465" t="s">
        <v>74</v>
      </c>
      <c r="T465" t="s">
        <v>9226</v>
      </c>
      <c r="U465" t="s">
        <v>9227</v>
      </c>
      <c r="V465" t="s">
        <v>9228</v>
      </c>
      <c r="W465" t="s">
        <v>9229</v>
      </c>
      <c r="X465" t="s">
        <v>9230</v>
      </c>
      <c r="Y465" t="s">
        <v>9231</v>
      </c>
      <c r="Z465" t="s">
        <v>9232</v>
      </c>
      <c r="AA465" t="s">
        <v>74</v>
      </c>
      <c r="AB465" t="s">
        <v>74</v>
      </c>
      <c r="AC465" t="s">
        <v>9233</v>
      </c>
      <c r="AD465" t="s">
        <v>9233</v>
      </c>
      <c r="AE465" t="s">
        <v>171</v>
      </c>
      <c r="AF465" t="s">
        <v>74</v>
      </c>
      <c r="AG465">
        <v>64</v>
      </c>
      <c r="AH465">
        <v>7</v>
      </c>
      <c r="AI465">
        <v>7</v>
      </c>
      <c r="AJ465">
        <v>5</v>
      </c>
      <c r="AK465">
        <v>27</v>
      </c>
      <c r="AL465" t="s">
        <v>392</v>
      </c>
      <c r="AM465" t="s">
        <v>393</v>
      </c>
      <c r="AN465" t="s">
        <v>394</v>
      </c>
      <c r="AO465" t="s">
        <v>74</v>
      </c>
      <c r="AP465" t="s">
        <v>9234</v>
      </c>
      <c r="AQ465" t="s">
        <v>74</v>
      </c>
      <c r="AR465" t="s">
        <v>9235</v>
      </c>
      <c r="AS465" t="s">
        <v>9236</v>
      </c>
      <c r="AT465" t="s">
        <v>9237</v>
      </c>
      <c r="AU465">
        <v>2024</v>
      </c>
      <c r="AV465">
        <v>5</v>
      </c>
      <c r="AW465" t="s">
        <v>74</v>
      </c>
      <c r="AX465" t="s">
        <v>74</v>
      </c>
      <c r="AY465" t="s">
        <v>74</v>
      </c>
      <c r="AZ465" t="s">
        <v>74</v>
      </c>
      <c r="BA465" t="s">
        <v>74</v>
      </c>
      <c r="BB465" t="s">
        <v>74</v>
      </c>
      <c r="BC465" t="s">
        <v>74</v>
      </c>
      <c r="BD465">
        <v>1246773</v>
      </c>
      <c r="BE465" t="s">
        <v>9238</v>
      </c>
      <c r="BF465" t="str">
        <f>HYPERLINK("http://dx.doi.org/10.3389/fresc.2024.1246773","http://dx.doi.org/10.3389/fresc.2024.1246773")</f>
        <v>http://dx.doi.org/10.3389/fresc.2024.1246773</v>
      </c>
      <c r="BG465" t="s">
        <v>74</v>
      </c>
      <c r="BH465" t="s">
        <v>74</v>
      </c>
      <c r="BI465">
        <v>7</v>
      </c>
      <c r="BJ465" t="s">
        <v>101</v>
      </c>
      <c r="BK465" t="s">
        <v>155</v>
      </c>
      <c r="BL465" t="s">
        <v>101</v>
      </c>
      <c r="BM465" t="s">
        <v>9239</v>
      </c>
      <c r="BN465">
        <v>38343790</v>
      </c>
      <c r="BO465" t="s">
        <v>355</v>
      </c>
      <c r="BP465" t="s">
        <v>74</v>
      </c>
      <c r="BQ465" t="s">
        <v>74</v>
      </c>
      <c r="BR465" t="s">
        <v>105</v>
      </c>
      <c r="BS465" t="s">
        <v>9240</v>
      </c>
      <c r="BT465" t="str">
        <f>HYPERLINK("https%3A%2F%2Fwww.webofscience.com%2Fwos%2Fwoscc%2Ffull-record%2FWOS:001157195200001","View Full Record in Web of Science")</f>
        <v>View Full Record in Web of Science</v>
      </c>
    </row>
    <row r="466" spans="1:72" x14ac:dyDescent="0.25">
      <c r="A466" t="s">
        <v>72</v>
      </c>
      <c r="B466" t="s">
        <v>8215</v>
      </c>
      <c r="C466" t="s">
        <v>74</v>
      </c>
      <c r="D466" t="s">
        <v>74</v>
      </c>
      <c r="E466" t="s">
        <v>74</v>
      </c>
      <c r="F466" t="s">
        <v>8216</v>
      </c>
      <c r="G466" t="s">
        <v>74</v>
      </c>
      <c r="H466" t="s">
        <v>74</v>
      </c>
      <c r="I466" t="s">
        <v>9241</v>
      </c>
      <c r="J466" t="s">
        <v>3053</v>
      </c>
      <c r="K466" t="s">
        <v>74</v>
      </c>
      <c r="L466" t="s">
        <v>74</v>
      </c>
      <c r="M466" t="s">
        <v>78</v>
      </c>
      <c r="N466" t="s">
        <v>79</v>
      </c>
      <c r="O466" t="s">
        <v>74</v>
      </c>
      <c r="P466" t="s">
        <v>74</v>
      </c>
      <c r="Q466" t="s">
        <v>74</v>
      </c>
      <c r="R466" t="s">
        <v>74</v>
      </c>
      <c r="S466" t="s">
        <v>74</v>
      </c>
      <c r="T466" t="s">
        <v>9242</v>
      </c>
      <c r="U466" t="s">
        <v>9243</v>
      </c>
      <c r="V466" t="s">
        <v>9244</v>
      </c>
      <c r="W466" t="s">
        <v>9245</v>
      </c>
      <c r="X466" t="s">
        <v>9246</v>
      </c>
      <c r="Y466" t="s">
        <v>9247</v>
      </c>
      <c r="Z466" t="s">
        <v>8224</v>
      </c>
      <c r="AA466" t="s">
        <v>8225</v>
      </c>
      <c r="AB466" t="s">
        <v>8226</v>
      </c>
      <c r="AC466" t="s">
        <v>74</v>
      </c>
      <c r="AD466" t="s">
        <v>74</v>
      </c>
      <c r="AE466" t="s">
        <v>74</v>
      </c>
      <c r="AF466" t="s">
        <v>74</v>
      </c>
      <c r="AG466">
        <v>71</v>
      </c>
      <c r="AH466">
        <v>3</v>
      </c>
      <c r="AI466">
        <v>3</v>
      </c>
      <c r="AJ466">
        <v>2</v>
      </c>
      <c r="AK466">
        <v>6</v>
      </c>
      <c r="AL466" t="s">
        <v>92</v>
      </c>
      <c r="AM466" t="s">
        <v>93</v>
      </c>
      <c r="AN466" t="s">
        <v>94</v>
      </c>
      <c r="AO466" t="s">
        <v>3066</v>
      </c>
      <c r="AP466" t="s">
        <v>3067</v>
      </c>
      <c r="AQ466" t="s">
        <v>74</v>
      </c>
      <c r="AR466" t="s">
        <v>3068</v>
      </c>
      <c r="AS466" t="s">
        <v>3069</v>
      </c>
      <c r="AT466" t="s">
        <v>863</v>
      </c>
      <c r="AU466">
        <v>2025</v>
      </c>
      <c r="AV466">
        <v>48</v>
      </c>
      <c r="AW466">
        <v>1</v>
      </c>
      <c r="AX466" t="s">
        <v>74</v>
      </c>
      <c r="AY466" t="s">
        <v>74</v>
      </c>
      <c r="AZ466" t="s">
        <v>74</v>
      </c>
      <c r="BA466" t="s">
        <v>74</v>
      </c>
      <c r="BB466">
        <v>6</v>
      </c>
      <c r="BC466">
        <v>21</v>
      </c>
      <c r="BD466" t="s">
        <v>74</v>
      </c>
      <c r="BE466" t="s">
        <v>9248</v>
      </c>
      <c r="BF466" t="str">
        <f>HYPERLINK("http://dx.doi.org/10.1080/10790268.2024.2304921","http://dx.doi.org/10.1080/10790268.2024.2304921")</f>
        <v>http://dx.doi.org/10.1080/10790268.2024.2304921</v>
      </c>
      <c r="BG466" t="s">
        <v>74</v>
      </c>
      <c r="BH466" t="s">
        <v>1966</v>
      </c>
      <c r="BI466">
        <v>16</v>
      </c>
      <c r="BJ466" t="s">
        <v>541</v>
      </c>
      <c r="BK466" t="s">
        <v>182</v>
      </c>
      <c r="BL466" t="s">
        <v>375</v>
      </c>
      <c r="BM466" t="s">
        <v>9249</v>
      </c>
      <c r="BN466">
        <v>38265422</v>
      </c>
      <c r="BO466" t="s">
        <v>74</v>
      </c>
      <c r="BP466" t="s">
        <v>74</v>
      </c>
      <c r="BQ466" t="s">
        <v>74</v>
      </c>
      <c r="BR466" t="s">
        <v>105</v>
      </c>
      <c r="BS466" t="s">
        <v>9250</v>
      </c>
      <c r="BT466" t="str">
        <f>HYPERLINK("https%3A%2F%2Fwww.webofscience.com%2Fwos%2Fwoscc%2Ffull-record%2FWOS:001148152000001","View Full Record in Web of Science")</f>
        <v>View Full Record in Web of Science</v>
      </c>
    </row>
    <row r="467" spans="1:72" x14ac:dyDescent="0.25">
      <c r="A467" t="s">
        <v>72</v>
      </c>
      <c r="B467" t="s">
        <v>9251</v>
      </c>
      <c r="C467" t="s">
        <v>74</v>
      </c>
      <c r="D467" t="s">
        <v>74</v>
      </c>
      <c r="E467" t="s">
        <v>74</v>
      </c>
      <c r="F467" t="s">
        <v>9252</v>
      </c>
      <c r="G467" t="s">
        <v>74</v>
      </c>
      <c r="H467" t="s">
        <v>74</v>
      </c>
      <c r="I467" t="s">
        <v>9253</v>
      </c>
      <c r="J467" t="s">
        <v>521</v>
      </c>
      <c r="K467" t="s">
        <v>74</v>
      </c>
      <c r="L467" t="s">
        <v>74</v>
      </c>
      <c r="M467" t="s">
        <v>78</v>
      </c>
      <c r="N467" t="s">
        <v>79</v>
      </c>
      <c r="O467" t="s">
        <v>74</v>
      </c>
      <c r="P467" t="s">
        <v>74</v>
      </c>
      <c r="Q467" t="s">
        <v>74</v>
      </c>
      <c r="R467" t="s">
        <v>74</v>
      </c>
      <c r="S467" t="s">
        <v>74</v>
      </c>
      <c r="T467" t="s">
        <v>9254</v>
      </c>
      <c r="U467" t="s">
        <v>9255</v>
      </c>
      <c r="V467" t="s">
        <v>9256</v>
      </c>
      <c r="W467" t="s">
        <v>9257</v>
      </c>
      <c r="X467" t="s">
        <v>9258</v>
      </c>
      <c r="Y467" t="s">
        <v>9259</v>
      </c>
      <c r="Z467" t="s">
        <v>9260</v>
      </c>
      <c r="AA467" t="s">
        <v>9261</v>
      </c>
      <c r="AB467" t="s">
        <v>9262</v>
      </c>
      <c r="AC467" t="s">
        <v>74</v>
      </c>
      <c r="AD467" t="s">
        <v>74</v>
      </c>
      <c r="AE467" t="s">
        <v>74</v>
      </c>
      <c r="AF467" t="s">
        <v>74</v>
      </c>
      <c r="AG467">
        <v>147</v>
      </c>
      <c r="AH467">
        <v>4</v>
      </c>
      <c r="AI467">
        <v>4</v>
      </c>
      <c r="AJ467">
        <v>4</v>
      </c>
      <c r="AK467">
        <v>6</v>
      </c>
      <c r="AL467" t="s">
        <v>531</v>
      </c>
      <c r="AM467" t="s">
        <v>2343</v>
      </c>
      <c r="AN467" t="s">
        <v>2344</v>
      </c>
      <c r="AO467" t="s">
        <v>534</v>
      </c>
      <c r="AP467" t="s">
        <v>535</v>
      </c>
      <c r="AQ467" t="s">
        <v>74</v>
      </c>
      <c r="AR467" t="s">
        <v>536</v>
      </c>
      <c r="AS467" t="s">
        <v>537</v>
      </c>
      <c r="AT467" t="s">
        <v>351</v>
      </c>
      <c r="AU467">
        <v>2024</v>
      </c>
      <c r="AV467">
        <v>82</v>
      </c>
      <c r="AW467" t="s">
        <v>74</v>
      </c>
      <c r="AX467" t="s">
        <v>74</v>
      </c>
      <c r="AY467" t="s">
        <v>74</v>
      </c>
      <c r="AZ467" t="s">
        <v>74</v>
      </c>
      <c r="BA467" t="s">
        <v>74</v>
      </c>
      <c r="BB467" t="s">
        <v>74</v>
      </c>
      <c r="BC467" t="s">
        <v>74</v>
      </c>
      <c r="BD467">
        <v>105415</v>
      </c>
      <c r="BE467" t="s">
        <v>9263</v>
      </c>
      <c r="BF467" t="str">
        <f>HYPERLINK("http://dx.doi.org/10.1016/j.msard.2023.105415","http://dx.doi.org/10.1016/j.msard.2023.105415")</f>
        <v>http://dx.doi.org/10.1016/j.msard.2023.105415</v>
      </c>
      <c r="BG467" t="s">
        <v>74</v>
      </c>
      <c r="BH467" t="s">
        <v>1966</v>
      </c>
      <c r="BI467">
        <v>64</v>
      </c>
      <c r="BJ467" t="s">
        <v>541</v>
      </c>
      <c r="BK467" t="s">
        <v>182</v>
      </c>
      <c r="BL467" t="s">
        <v>375</v>
      </c>
      <c r="BM467" t="s">
        <v>9264</v>
      </c>
      <c r="BN467">
        <v>38211505</v>
      </c>
      <c r="BO467" t="s">
        <v>74</v>
      </c>
      <c r="BP467" t="s">
        <v>74</v>
      </c>
      <c r="BQ467" t="s">
        <v>74</v>
      </c>
      <c r="BR467" t="s">
        <v>105</v>
      </c>
      <c r="BS467" t="s">
        <v>9265</v>
      </c>
      <c r="BT467" t="str">
        <f>HYPERLINK("https%3A%2F%2Fwww.webofscience.com%2Fwos%2Fwoscc%2Ffull-record%2FWOS:001163963900001","View Full Record in Web of Science")</f>
        <v>View Full Record in Web of Science</v>
      </c>
    </row>
    <row r="468" spans="1:72" x14ac:dyDescent="0.25">
      <c r="A468" t="s">
        <v>72</v>
      </c>
      <c r="B468" t="s">
        <v>9266</v>
      </c>
      <c r="C468" t="s">
        <v>74</v>
      </c>
      <c r="D468" t="s">
        <v>74</v>
      </c>
      <c r="E468" t="s">
        <v>74</v>
      </c>
      <c r="F468" t="s">
        <v>9267</v>
      </c>
      <c r="G468" t="s">
        <v>74</v>
      </c>
      <c r="H468" t="s">
        <v>74</v>
      </c>
      <c r="I468" t="s">
        <v>9268</v>
      </c>
      <c r="J468" t="s">
        <v>9269</v>
      </c>
      <c r="K468" t="s">
        <v>74</v>
      </c>
      <c r="L468" t="s">
        <v>74</v>
      </c>
      <c r="M468" t="s">
        <v>78</v>
      </c>
      <c r="N468" t="s">
        <v>79</v>
      </c>
      <c r="O468" t="s">
        <v>74</v>
      </c>
      <c r="P468" t="s">
        <v>74</v>
      </c>
      <c r="Q468" t="s">
        <v>74</v>
      </c>
      <c r="R468" t="s">
        <v>74</v>
      </c>
      <c r="S468" t="s">
        <v>74</v>
      </c>
      <c r="T468" t="s">
        <v>9270</v>
      </c>
      <c r="U468" t="s">
        <v>9271</v>
      </c>
      <c r="V468" t="s">
        <v>9272</v>
      </c>
      <c r="W468" t="s">
        <v>9273</v>
      </c>
      <c r="X468" t="s">
        <v>9274</v>
      </c>
      <c r="Y468" t="s">
        <v>9275</v>
      </c>
      <c r="Z468" t="s">
        <v>9276</v>
      </c>
      <c r="AA468" t="s">
        <v>9277</v>
      </c>
      <c r="AB468" t="s">
        <v>9278</v>
      </c>
      <c r="AC468" t="s">
        <v>74</v>
      </c>
      <c r="AD468" t="s">
        <v>74</v>
      </c>
      <c r="AE468" t="s">
        <v>74</v>
      </c>
      <c r="AF468" t="s">
        <v>74</v>
      </c>
      <c r="AG468">
        <v>106</v>
      </c>
      <c r="AH468">
        <v>3</v>
      </c>
      <c r="AI468">
        <v>3</v>
      </c>
      <c r="AJ468">
        <v>5</v>
      </c>
      <c r="AK468">
        <v>17</v>
      </c>
      <c r="AL468" t="s">
        <v>392</v>
      </c>
      <c r="AM468" t="s">
        <v>393</v>
      </c>
      <c r="AN468" t="s">
        <v>394</v>
      </c>
      <c r="AO468" t="s">
        <v>9279</v>
      </c>
      <c r="AP468" t="s">
        <v>74</v>
      </c>
      <c r="AQ468" t="s">
        <v>74</v>
      </c>
      <c r="AR468" t="s">
        <v>9280</v>
      </c>
      <c r="AS468" t="s">
        <v>9281</v>
      </c>
      <c r="AT468" t="s">
        <v>9282</v>
      </c>
      <c r="AU468">
        <v>2024</v>
      </c>
      <c r="AV468">
        <v>10</v>
      </c>
      <c r="AW468" t="s">
        <v>74</v>
      </c>
      <c r="AX468" t="s">
        <v>74</v>
      </c>
      <c r="AY468" t="s">
        <v>74</v>
      </c>
      <c r="AZ468" t="s">
        <v>74</v>
      </c>
      <c r="BA468" t="s">
        <v>74</v>
      </c>
      <c r="BB468" t="s">
        <v>74</v>
      </c>
      <c r="BC468" t="s">
        <v>74</v>
      </c>
      <c r="BD468">
        <v>1325423</v>
      </c>
      <c r="BE468" t="s">
        <v>9283</v>
      </c>
      <c r="BF468" t="str">
        <f>HYPERLINK("http://dx.doi.org/10.3389/fsurg.2023.1325423","http://dx.doi.org/10.3389/fsurg.2023.1325423")</f>
        <v>http://dx.doi.org/10.3389/fsurg.2023.1325423</v>
      </c>
      <c r="BG468" t="s">
        <v>74</v>
      </c>
      <c r="BH468" t="s">
        <v>74</v>
      </c>
      <c r="BI468">
        <v>10</v>
      </c>
      <c r="BJ468" t="s">
        <v>4896</v>
      </c>
      <c r="BK468" t="s">
        <v>182</v>
      </c>
      <c r="BL468" t="s">
        <v>4896</v>
      </c>
      <c r="BM468" t="s">
        <v>9284</v>
      </c>
      <c r="BN468">
        <v>38274350</v>
      </c>
      <c r="BO468" t="s">
        <v>131</v>
      </c>
      <c r="BP468" t="s">
        <v>74</v>
      </c>
      <c r="BQ468" t="s">
        <v>74</v>
      </c>
      <c r="BR468" t="s">
        <v>105</v>
      </c>
      <c r="BS468" t="s">
        <v>9285</v>
      </c>
      <c r="BT468" t="str">
        <f>HYPERLINK("https%3A%2F%2Fwww.webofscience.com%2Fwos%2Fwoscc%2Ffull-record%2FWOS:001148023400001","View Full Record in Web of Science")</f>
        <v>View Full Record in Web of Science</v>
      </c>
    </row>
    <row r="469" spans="1:72" x14ac:dyDescent="0.25">
      <c r="A469" t="s">
        <v>72</v>
      </c>
      <c r="B469" t="s">
        <v>9286</v>
      </c>
      <c r="C469" t="s">
        <v>74</v>
      </c>
      <c r="D469" t="s">
        <v>74</v>
      </c>
      <c r="E469" t="s">
        <v>74</v>
      </c>
      <c r="F469" t="s">
        <v>9287</v>
      </c>
      <c r="G469" t="s">
        <v>74</v>
      </c>
      <c r="H469" t="s">
        <v>74</v>
      </c>
      <c r="I469" t="s">
        <v>9288</v>
      </c>
      <c r="J469" t="s">
        <v>9289</v>
      </c>
      <c r="K469" t="s">
        <v>74</v>
      </c>
      <c r="L469" t="s">
        <v>74</v>
      </c>
      <c r="M469" t="s">
        <v>78</v>
      </c>
      <c r="N469" t="s">
        <v>79</v>
      </c>
      <c r="O469" t="s">
        <v>74</v>
      </c>
      <c r="P469" t="s">
        <v>74</v>
      </c>
      <c r="Q469" t="s">
        <v>74</v>
      </c>
      <c r="R469" t="s">
        <v>74</v>
      </c>
      <c r="S469" t="s">
        <v>74</v>
      </c>
      <c r="T469" t="s">
        <v>9290</v>
      </c>
      <c r="U469" t="s">
        <v>9291</v>
      </c>
      <c r="V469" t="s">
        <v>9292</v>
      </c>
      <c r="W469" t="s">
        <v>9293</v>
      </c>
      <c r="X469" t="s">
        <v>9294</v>
      </c>
      <c r="Y469" t="s">
        <v>9295</v>
      </c>
      <c r="Z469" t="s">
        <v>9296</v>
      </c>
      <c r="AA469" t="s">
        <v>9297</v>
      </c>
      <c r="AB469" t="s">
        <v>74</v>
      </c>
      <c r="AC469" t="s">
        <v>9298</v>
      </c>
      <c r="AD469" t="s">
        <v>9299</v>
      </c>
      <c r="AE469" t="s">
        <v>9300</v>
      </c>
      <c r="AF469" t="s">
        <v>74</v>
      </c>
      <c r="AG469">
        <v>102</v>
      </c>
      <c r="AH469">
        <v>0</v>
      </c>
      <c r="AI469">
        <v>0</v>
      </c>
      <c r="AJ469">
        <v>12</v>
      </c>
      <c r="AK469">
        <v>12</v>
      </c>
      <c r="AL469" t="s">
        <v>9301</v>
      </c>
      <c r="AM469" t="s">
        <v>9302</v>
      </c>
      <c r="AN469" t="s">
        <v>9303</v>
      </c>
      <c r="AO469" t="s">
        <v>9304</v>
      </c>
      <c r="AP469" t="s">
        <v>74</v>
      </c>
      <c r="AQ469" t="s">
        <v>74</v>
      </c>
      <c r="AR469" t="s">
        <v>9305</v>
      </c>
      <c r="AS469" t="s">
        <v>9306</v>
      </c>
      <c r="AT469" t="s">
        <v>74</v>
      </c>
      <c r="AU469">
        <v>2024</v>
      </c>
      <c r="AV469">
        <v>16</v>
      </c>
      <c r="AW469">
        <v>9</v>
      </c>
      <c r="AX469" t="s">
        <v>74</v>
      </c>
      <c r="AY469" t="s">
        <v>74</v>
      </c>
      <c r="AZ469" t="s">
        <v>74</v>
      </c>
      <c r="BA469" t="s">
        <v>74</v>
      </c>
      <c r="BB469">
        <v>230</v>
      </c>
      <c r="BC469">
        <v>246</v>
      </c>
      <c r="BD469" t="s">
        <v>74</v>
      </c>
      <c r="BE469" t="s">
        <v>9307</v>
      </c>
      <c r="BF469" t="str">
        <f>HYPERLINK("http://dx.doi.org/10.30880/ijie.2024.16.09.018","http://dx.doi.org/10.30880/ijie.2024.16.09.018")</f>
        <v>http://dx.doi.org/10.30880/ijie.2024.16.09.018</v>
      </c>
      <c r="BG469" t="s">
        <v>74</v>
      </c>
      <c r="BH469" t="s">
        <v>74</v>
      </c>
      <c r="BI469">
        <v>17</v>
      </c>
      <c r="BJ469" t="s">
        <v>1202</v>
      </c>
      <c r="BK469" t="s">
        <v>155</v>
      </c>
      <c r="BL469" t="s">
        <v>183</v>
      </c>
      <c r="BM469" t="s">
        <v>9308</v>
      </c>
      <c r="BN469" t="s">
        <v>74</v>
      </c>
      <c r="BO469" t="s">
        <v>74</v>
      </c>
      <c r="BP469" t="s">
        <v>74</v>
      </c>
      <c r="BQ469" t="s">
        <v>74</v>
      </c>
      <c r="BR469" t="s">
        <v>105</v>
      </c>
      <c r="BS469" t="s">
        <v>9309</v>
      </c>
      <c r="BT469" t="str">
        <f>HYPERLINK("https%3A%2F%2Fwww.webofscience.com%2Fwos%2Fwoscc%2Ffull-record%2FWOS:001397801100003","View Full Record in Web of Science")</f>
        <v>View Full Record in Web of Science</v>
      </c>
    </row>
    <row r="470" spans="1:72" x14ac:dyDescent="0.25">
      <c r="A470" t="s">
        <v>72</v>
      </c>
      <c r="B470" t="s">
        <v>9310</v>
      </c>
      <c r="C470" t="s">
        <v>74</v>
      </c>
      <c r="D470" t="s">
        <v>74</v>
      </c>
      <c r="E470" t="s">
        <v>74</v>
      </c>
      <c r="F470" t="s">
        <v>9311</v>
      </c>
      <c r="G470" t="s">
        <v>74</v>
      </c>
      <c r="H470" t="s">
        <v>74</v>
      </c>
      <c r="I470" t="s">
        <v>9312</v>
      </c>
      <c r="J470" t="s">
        <v>1837</v>
      </c>
      <c r="K470" t="s">
        <v>74</v>
      </c>
      <c r="L470" t="s">
        <v>74</v>
      </c>
      <c r="M470" t="s">
        <v>78</v>
      </c>
      <c r="N470" t="s">
        <v>79</v>
      </c>
      <c r="O470" t="s">
        <v>74</v>
      </c>
      <c r="P470" t="s">
        <v>74</v>
      </c>
      <c r="Q470" t="s">
        <v>74</v>
      </c>
      <c r="R470" t="s">
        <v>74</v>
      </c>
      <c r="S470" t="s">
        <v>74</v>
      </c>
      <c r="T470" t="s">
        <v>9313</v>
      </c>
      <c r="U470" t="s">
        <v>9314</v>
      </c>
      <c r="V470" t="s">
        <v>9315</v>
      </c>
      <c r="W470" t="s">
        <v>9316</v>
      </c>
      <c r="X470" t="s">
        <v>9317</v>
      </c>
      <c r="Y470" t="s">
        <v>9318</v>
      </c>
      <c r="Z470" t="s">
        <v>9319</v>
      </c>
      <c r="AA470" t="s">
        <v>9320</v>
      </c>
      <c r="AB470" t="s">
        <v>9321</v>
      </c>
      <c r="AC470" t="s">
        <v>9322</v>
      </c>
      <c r="AD470" t="s">
        <v>9323</v>
      </c>
      <c r="AE470" t="s">
        <v>9324</v>
      </c>
      <c r="AF470" t="s">
        <v>74</v>
      </c>
      <c r="AG470">
        <v>180</v>
      </c>
      <c r="AH470">
        <v>5</v>
      </c>
      <c r="AI470">
        <v>5</v>
      </c>
      <c r="AJ470">
        <v>23</v>
      </c>
      <c r="AK470">
        <v>43</v>
      </c>
      <c r="AL470" t="s">
        <v>1114</v>
      </c>
      <c r="AM470" t="s">
        <v>1115</v>
      </c>
      <c r="AN470" t="s">
        <v>1116</v>
      </c>
      <c r="AO470" t="s">
        <v>1850</v>
      </c>
      <c r="AP470" t="s">
        <v>74</v>
      </c>
      <c r="AQ470" t="s">
        <v>74</v>
      </c>
      <c r="AR470" t="s">
        <v>1837</v>
      </c>
      <c r="AS470" t="s">
        <v>1851</v>
      </c>
      <c r="AT470" t="s">
        <v>74</v>
      </c>
      <c r="AU470">
        <v>2024</v>
      </c>
      <c r="AV470">
        <v>12</v>
      </c>
      <c r="AW470" t="s">
        <v>74</v>
      </c>
      <c r="AX470" t="s">
        <v>74</v>
      </c>
      <c r="AY470" t="s">
        <v>74</v>
      </c>
      <c r="AZ470" t="s">
        <v>74</v>
      </c>
      <c r="BA470" t="s">
        <v>74</v>
      </c>
      <c r="BB470">
        <v>143883</v>
      </c>
      <c r="BC470">
        <v>143907</v>
      </c>
      <c r="BD470" t="s">
        <v>74</v>
      </c>
      <c r="BE470" t="s">
        <v>9325</v>
      </c>
      <c r="BF470" t="str">
        <f>HYPERLINK("http://dx.doi.org/10.1109/ACCESS.2024.3414175","http://dx.doi.org/10.1109/ACCESS.2024.3414175")</f>
        <v>http://dx.doi.org/10.1109/ACCESS.2024.3414175</v>
      </c>
      <c r="BG470" t="s">
        <v>74</v>
      </c>
      <c r="BH470" t="s">
        <v>74</v>
      </c>
      <c r="BI470">
        <v>25</v>
      </c>
      <c r="BJ470" t="s">
        <v>1853</v>
      </c>
      <c r="BK470" t="s">
        <v>182</v>
      </c>
      <c r="BL470" t="s">
        <v>1854</v>
      </c>
      <c r="BM470" t="s">
        <v>9326</v>
      </c>
      <c r="BN470" t="s">
        <v>74</v>
      </c>
      <c r="BO470" t="s">
        <v>185</v>
      </c>
      <c r="BP470" t="s">
        <v>74</v>
      </c>
      <c r="BQ470" t="s">
        <v>74</v>
      </c>
      <c r="BR470" t="s">
        <v>105</v>
      </c>
      <c r="BS470" t="s">
        <v>9327</v>
      </c>
      <c r="BT470" t="str">
        <f>HYPERLINK("https%3A%2F%2Fwww.webofscience.com%2Fwos%2Fwoscc%2Ffull-record%2FWOS:001337133400001","View Full Record in Web of Science")</f>
        <v>View Full Record in Web of Science</v>
      </c>
    </row>
    <row r="471" spans="1:72" x14ac:dyDescent="0.25">
      <c r="A471" t="s">
        <v>72</v>
      </c>
      <c r="B471" t="s">
        <v>9328</v>
      </c>
      <c r="C471" t="s">
        <v>74</v>
      </c>
      <c r="D471" t="s">
        <v>74</v>
      </c>
      <c r="E471" t="s">
        <v>74</v>
      </c>
      <c r="F471" t="s">
        <v>9329</v>
      </c>
      <c r="G471" t="s">
        <v>74</v>
      </c>
      <c r="H471" t="s">
        <v>74</v>
      </c>
      <c r="I471" t="s">
        <v>9330</v>
      </c>
      <c r="J471" t="s">
        <v>9331</v>
      </c>
      <c r="K471" t="s">
        <v>74</v>
      </c>
      <c r="L471" t="s">
        <v>74</v>
      </c>
      <c r="M471" t="s">
        <v>78</v>
      </c>
      <c r="N471" t="s">
        <v>79</v>
      </c>
      <c r="O471" t="s">
        <v>74</v>
      </c>
      <c r="P471" t="s">
        <v>74</v>
      </c>
      <c r="Q471" t="s">
        <v>74</v>
      </c>
      <c r="R471" t="s">
        <v>74</v>
      </c>
      <c r="S471" t="s">
        <v>74</v>
      </c>
      <c r="T471" t="s">
        <v>9332</v>
      </c>
      <c r="U471" t="s">
        <v>9333</v>
      </c>
      <c r="V471" t="s">
        <v>9334</v>
      </c>
      <c r="W471" t="s">
        <v>9335</v>
      </c>
      <c r="X471" t="s">
        <v>9336</v>
      </c>
      <c r="Y471" t="s">
        <v>9337</v>
      </c>
      <c r="Z471" t="s">
        <v>9338</v>
      </c>
      <c r="AA471" t="s">
        <v>9339</v>
      </c>
      <c r="AB471" t="s">
        <v>9340</v>
      </c>
      <c r="AC471" t="s">
        <v>74</v>
      </c>
      <c r="AD471" t="s">
        <v>74</v>
      </c>
      <c r="AE471" t="s">
        <v>74</v>
      </c>
      <c r="AF471" t="s">
        <v>74</v>
      </c>
      <c r="AG471">
        <v>37</v>
      </c>
      <c r="AH471">
        <v>0</v>
      </c>
      <c r="AI471">
        <v>0</v>
      </c>
      <c r="AJ471">
        <v>1</v>
      </c>
      <c r="AK471">
        <v>1</v>
      </c>
      <c r="AL471" t="s">
        <v>9341</v>
      </c>
      <c r="AM471" t="s">
        <v>9342</v>
      </c>
      <c r="AN471" t="s">
        <v>9343</v>
      </c>
      <c r="AO471" t="s">
        <v>9344</v>
      </c>
      <c r="AP471" t="s">
        <v>9345</v>
      </c>
      <c r="AQ471" t="s">
        <v>74</v>
      </c>
      <c r="AR471" t="s">
        <v>9346</v>
      </c>
      <c r="AS471" t="s">
        <v>9347</v>
      </c>
      <c r="AT471" t="s">
        <v>74</v>
      </c>
      <c r="AU471">
        <v>2024</v>
      </c>
      <c r="AV471">
        <v>41</v>
      </c>
      <c r="AW471">
        <v>4</v>
      </c>
      <c r="AX471" t="s">
        <v>74</v>
      </c>
      <c r="AY471" t="s">
        <v>74</v>
      </c>
      <c r="AZ471" t="s">
        <v>74</v>
      </c>
      <c r="BA471" t="s">
        <v>74</v>
      </c>
      <c r="BB471">
        <v>454</v>
      </c>
      <c r="BC471">
        <v>464</v>
      </c>
      <c r="BD471" t="s">
        <v>74</v>
      </c>
      <c r="BE471" t="s">
        <v>9348</v>
      </c>
      <c r="BF471" t="str">
        <f>HYPERLINK("http://dx.doi.org/10.5937/afmnai41-47529","http://dx.doi.org/10.5937/afmnai41-47529")</f>
        <v>http://dx.doi.org/10.5937/afmnai41-47529</v>
      </c>
      <c r="BG471" t="s">
        <v>74</v>
      </c>
      <c r="BH471" t="s">
        <v>74</v>
      </c>
      <c r="BI471">
        <v>11</v>
      </c>
      <c r="BJ471" t="s">
        <v>128</v>
      </c>
      <c r="BK471" t="s">
        <v>155</v>
      </c>
      <c r="BL471" t="s">
        <v>129</v>
      </c>
      <c r="BM471" t="s">
        <v>9349</v>
      </c>
      <c r="BN471" t="s">
        <v>74</v>
      </c>
      <c r="BO471" t="s">
        <v>185</v>
      </c>
      <c r="BP471" t="s">
        <v>74</v>
      </c>
      <c r="BQ471" t="s">
        <v>74</v>
      </c>
      <c r="BR471" t="s">
        <v>105</v>
      </c>
      <c r="BS471" t="s">
        <v>9350</v>
      </c>
      <c r="BT471" t="str">
        <f>HYPERLINK("https%3A%2F%2Fwww.webofscience.com%2Fwos%2Fwoscc%2Ffull-record%2FWOS:001384427500001","View Full Record in Web of Science")</f>
        <v>View Full Record in Web of Science</v>
      </c>
    </row>
    <row r="472" spans="1:72" x14ac:dyDescent="0.25">
      <c r="A472" t="s">
        <v>72</v>
      </c>
      <c r="B472" t="s">
        <v>9351</v>
      </c>
      <c r="C472" t="s">
        <v>74</v>
      </c>
      <c r="D472" t="s">
        <v>74</v>
      </c>
      <c r="E472" t="s">
        <v>74</v>
      </c>
      <c r="F472" t="s">
        <v>9352</v>
      </c>
      <c r="G472" t="s">
        <v>74</v>
      </c>
      <c r="H472" t="s">
        <v>74</v>
      </c>
      <c r="I472" t="s">
        <v>9353</v>
      </c>
      <c r="J472" t="s">
        <v>406</v>
      </c>
      <c r="K472" t="s">
        <v>74</v>
      </c>
      <c r="L472" t="s">
        <v>74</v>
      </c>
      <c r="M472" t="s">
        <v>78</v>
      </c>
      <c r="N472" t="s">
        <v>79</v>
      </c>
      <c r="O472" t="s">
        <v>74</v>
      </c>
      <c r="P472" t="s">
        <v>74</v>
      </c>
      <c r="Q472" t="s">
        <v>74</v>
      </c>
      <c r="R472" t="s">
        <v>74</v>
      </c>
      <c r="S472" t="s">
        <v>74</v>
      </c>
      <c r="T472" t="s">
        <v>9354</v>
      </c>
      <c r="U472" t="s">
        <v>9355</v>
      </c>
      <c r="V472" t="s">
        <v>9356</v>
      </c>
      <c r="W472" t="s">
        <v>9357</v>
      </c>
      <c r="X472" t="s">
        <v>9358</v>
      </c>
      <c r="Y472" t="s">
        <v>9359</v>
      </c>
      <c r="Z472" t="s">
        <v>9360</v>
      </c>
      <c r="AA472" t="s">
        <v>9361</v>
      </c>
      <c r="AB472" t="s">
        <v>9362</v>
      </c>
      <c r="AC472" t="s">
        <v>74</v>
      </c>
      <c r="AD472" t="s">
        <v>74</v>
      </c>
      <c r="AE472" t="s">
        <v>74</v>
      </c>
      <c r="AF472" t="s">
        <v>74</v>
      </c>
      <c r="AG472">
        <v>73</v>
      </c>
      <c r="AH472">
        <v>1</v>
      </c>
      <c r="AI472">
        <v>1</v>
      </c>
      <c r="AJ472">
        <v>2</v>
      </c>
      <c r="AK472">
        <v>7</v>
      </c>
      <c r="AL472" t="s">
        <v>120</v>
      </c>
      <c r="AM472" t="s">
        <v>121</v>
      </c>
      <c r="AN472" t="s">
        <v>122</v>
      </c>
      <c r="AO472" t="s">
        <v>74</v>
      </c>
      <c r="AP472" t="s">
        <v>417</v>
      </c>
      <c r="AQ472" t="s">
        <v>74</v>
      </c>
      <c r="AR472" t="s">
        <v>418</v>
      </c>
      <c r="AS472" t="s">
        <v>419</v>
      </c>
      <c r="AT472" t="s">
        <v>538</v>
      </c>
      <c r="AU472">
        <v>2024</v>
      </c>
      <c r="AV472">
        <v>12</v>
      </c>
      <c r="AW472">
        <v>2</v>
      </c>
      <c r="AX472" t="s">
        <v>74</v>
      </c>
      <c r="AY472" t="s">
        <v>74</v>
      </c>
      <c r="AZ472" t="s">
        <v>74</v>
      </c>
      <c r="BA472" t="s">
        <v>74</v>
      </c>
      <c r="BB472" t="s">
        <v>74</v>
      </c>
      <c r="BC472" t="s">
        <v>74</v>
      </c>
      <c r="BD472">
        <v>149</v>
      </c>
      <c r="BE472" t="s">
        <v>9363</v>
      </c>
      <c r="BF472" t="str">
        <f>HYPERLINK("http://dx.doi.org/10.3390/healthcare12020149","http://dx.doi.org/10.3390/healthcare12020149")</f>
        <v>http://dx.doi.org/10.3390/healthcare12020149</v>
      </c>
      <c r="BG472" t="s">
        <v>74</v>
      </c>
      <c r="BH472" t="s">
        <v>74</v>
      </c>
      <c r="BI472">
        <v>14</v>
      </c>
      <c r="BJ472" t="s">
        <v>422</v>
      </c>
      <c r="BK472" t="s">
        <v>102</v>
      </c>
      <c r="BL472" t="s">
        <v>423</v>
      </c>
      <c r="BM472" t="s">
        <v>9364</v>
      </c>
      <c r="BN472">
        <v>38255037</v>
      </c>
      <c r="BO472" t="s">
        <v>131</v>
      </c>
      <c r="BP472" t="s">
        <v>74</v>
      </c>
      <c r="BQ472" t="s">
        <v>74</v>
      </c>
      <c r="BR472" t="s">
        <v>105</v>
      </c>
      <c r="BS472" t="s">
        <v>9365</v>
      </c>
      <c r="BT472" t="str">
        <f>HYPERLINK("https%3A%2F%2Fwww.webofscience.com%2Fwos%2Fwoscc%2Ffull-record%2FWOS:001148989700001","View Full Record in Web of Science")</f>
        <v>View Full Record in Web of Science</v>
      </c>
    </row>
    <row r="473" spans="1:72" x14ac:dyDescent="0.25">
      <c r="A473" t="s">
        <v>72</v>
      </c>
      <c r="B473" t="s">
        <v>9366</v>
      </c>
      <c r="C473" t="s">
        <v>74</v>
      </c>
      <c r="D473" t="s">
        <v>74</v>
      </c>
      <c r="E473" t="s">
        <v>74</v>
      </c>
      <c r="F473" t="s">
        <v>9367</v>
      </c>
      <c r="G473" t="s">
        <v>74</v>
      </c>
      <c r="H473" t="s">
        <v>74</v>
      </c>
      <c r="I473" t="s">
        <v>9368</v>
      </c>
      <c r="J473" t="s">
        <v>2117</v>
      </c>
      <c r="K473" t="s">
        <v>74</v>
      </c>
      <c r="L473" t="s">
        <v>74</v>
      </c>
      <c r="M473" t="s">
        <v>78</v>
      </c>
      <c r="N473" t="s">
        <v>79</v>
      </c>
      <c r="O473" t="s">
        <v>74</v>
      </c>
      <c r="P473" t="s">
        <v>74</v>
      </c>
      <c r="Q473" t="s">
        <v>74</v>
      </c>
      <c r="R473" t="s">
        <v>74</v>
      </c>
      <c r="S473" t="s">
        <v>74</v>
      </c>
      <c r="T473" t="s">
        <v>9369</v>
      </c>
      <c r="U473" t="s">
        <v>9370</v>
      </c>
      <c r="V473" t="s">
        <v>9371</v>
      </c>
      <c r="W473" t="s">
        <v>9372</v>
      </c>
      <c r="X473" t="s">
        <v>8459</v>
      </c>
      <c r="Y473" t="s">
        <v>9373</v>
      </c>
      <c r="Z473" t="s">
        <v>9374</v>
      </c>
      <c r="AA473" t="s">
        <v>9375</v>
      </c>
      <c r="AB473" t="s">
        <v>9376</v>
      </c>
      <c r="AC473" t="s">
        <v>8464</v>
      </c>
      <c r="AD473" t="s">
        <v>8465</v>
      </c>
      <c r="AE473" t="s">
        <v>171</v>
      </c>
      <c r="AF473" t="s">
        <v>74</v>
      </c>
      <c r="AG473">
        <v>100</v>
      </c>
      <c r="AH473">
        <v>2</v>
      </c>
      <c r="AI473">
        <v>2</v>
      </c>
      <c r="AJ473">
        <v>2</v>
      </c>
      <c r="AK473">
        <v>9</v>
      </c>
      <c r="AL473" t="s">
        <v>120</v>
      </c>
      <c r="AM473" t="s">
        <v>121</v>
      </c>
      <c r="AN473" t="s">
        <v>122</v>
      </c>
      <c r="AO473" t="s">
        <v>74</v>
      </c>
      <c r="AP473" t="s">
        <v>2129</v>
      </c>
      <c r="AQ473" t="s">
        <v>74</v>
      </c>
      <c r="AR473" t="s">
        <v>2117</v>
      </c>
      <c r="AS473" t="s">
        <v>714</v>
      </c>
      <c r="AT473" t="s">
        <v>538</v>
      </c>
      <c r="AU473">
        <v>2024</v>
      </c>
      <c r="AV473">
        <v>13</v>
      </c>
      <c r="AW473">
        <v>1</v>
      </c>
      <c r="AX473" t="s">
        <v>74</v>
      </c>
      <c r="AY473" t="s">
        <v>74</v>
      </c>
      <c r="AZ473" t="s">
        <v>74</v>
      </c>
      <c r="BA473" t="s">
        <v>74</v>
      </c>
      <c r="BB473" t="s">
        <v>74</v>
      </c>
      <c r="BC473" t="s">
        <v>74</v>
      </c>
      <c r="BD473">
        <v>11</v>
      </c>
      <c r="BE473" t="s">
        <v>9377</v>
      </c>
      <c r="BF473" t="str">
        <f>HYPERLINK("http://dx.doi.org/10.3390/robotics13010011","http://dx.doi.org/10.3390/robotics13010011")</f>
        <v>http://dx.doi.org/10.3390/robotics13010011</v>
      </c>
      <c r="BG473" t="s">
        <v>74</v>
      </c>
      <c r="BH473" t="s">
        <v>74</v>
      </c>
      <c r="BI473">
        <v>24</v>
      </c>
      <c r="BJ473" t="s">
        <v>714</v>
      </c>
      <c r="BK473" t="s">
        <v>155</v>
      </c>
      <c r="BL473" t="s">
        <v>714</v>
      </c>
      <c r="BM473" t="s">
        <v>9378</v>
      </c>
      <c r="BN473" t="s">
        <v>74</v>
      </c>
      <c r="BO473" t="s">
        <v>185</v>
      </c>
      <c r="BP473" t="s">
        <v>74</v>
      </c>
      <c r="BQ473" t="s">
        <v>74</v>
      </c>
      <c r="BR473" t="s">
        <v>105</v>
      </c>
      <c r="BS473" t="s">
        <v>9379</v>
      </c>
      <c r="BT473" t="str">
        <f>HYPERLINK("https%3A%2F%2Fwww.webofscience.com%2Fwos%2Fwoscc%2Ffull-record%2FWOS:001151316100001","View Full Record in Web of Science")</f>
        <v>View Full Record in Web of Science</v>
      </c>
    </row>
    <row r="474" spans="1:72" x14ac:dyDescent="0.25">
      <c r="A474" t="s">
        <v>72</v>
      </c>
      <c r="B474" t="s">
        <v>9380</v>
      </c>
      <c r="C474" t="s">
        <v>74</v>
      </c>
      <c r="D474" t="s">
        <v>74</v>
      </c>
      <c r="E474" t="s">
        <v>74</v>
      </c>
      <c r="F474" t="s">
        <v>9381</v>
      </c>
      <c r="G474" t="s">
        <v>74</v>
      </c>
      <c r="H474" t="s">
        <v>74</v>
      </c>
      <c r="I474" t="s">
        <v>9382</v>
      </c>
      <c r="J474" t="s">
        <v>9383</v>
      </c>
      <c r="K474" t="s">
        <v>74</v>
      </c>
      <c r="L474" t="s">
        <v>74</v>
      </c>
      <c r="M474" t="s">
        <v>78</v>
      </c>
      <c r="N474" t="s">
        <v>79</v>
      </c>
      <c r="O474" t="s">
        <v>74</v>
      </c>
      <c r="P474" t="s">
        <v>74</v>
      </c>
      <c r="Q474" t="s">
        <v>74</v>
      </c>
      <c r="R474" t="s">
        <v>74</v>
      </c>
      <c r="S474" t="s">
        <v>74</v>
      </c>
      <c r="T474" t="s">
        <v>9384</v>
      </c>
      <c r="U474" t="s">
        <v>9385</v>
      </c>
      <c r="V474" t="s">
        <v>9386</v>
      </c>
      <c r="W474" t="s">
        <v>9387</v>
      </c>
      <c r="X474" t="s">
        <v>9388</v>
      </c>
      <c r="Y474" t="s">
        <v>9389</v>
      </c>
      <c r="Z474" t="s">
        <v>9390</v>
      </c>
      <c r="AA474" t="s">
        <v>9391</v>
      </c>
      <c r="AB474" t="s">
        <v>9392</v>
      </c>
      <c r="AC474" t="s">
        <v>74</v>
      </c>
      <c r="AD474" t="s">
        <v>74</v>
      </c>
      <c r="AE474" t="s">
        <v>9393</v>
      </c>
      <c r="AF474" t="s">
        <v>74</v>
      </c>
      <c r="AG474">
        <v>42</v>
      </c>
      <c r="AH474">
        <v>1</v>
      </c>
      <c r="AI474">
        <v>1</v>
      </c>
      <c r="AJ474">
        <v>8</v>
      </c>
      <c r="AK474">
        <v>14</v>
      </c>
      <c r="AL474" t="s">
        <v>9394</v>
      </c>
      <c r="AM474" t="s">
        <v>9395</v>
      </c>
      <c r="AN474" t="s">
        <v>9396</v>
      </c>
      <c r="AO474" t="s">
        <v>74</v>
      </c>
      <c r="AP474" t="s">
        <v>9397</v>
      </c>
      <c r="AQ474" t="s">
        <v>74</v>
      </c>
      <c r="AR474" t="s">
        <v>9398</v>
      </c>
      <c r="AS474" t="s">
        <v>9399</v>
      </c>
      <c r="AT474" t="s">
        <v>74</v>
      </c>
      <c r="AU474">
        <v>2024</v>
      </c>
      <c r="AV474">
        <v>70</v>
      </c>
      <c r="AW474">
        <v>3</v>
      </c>
      <c r="AX474" t="s">
        <v>74</v>
      </c>
      <c r="AY474" t="s">
        <v>74</v>
      </c>
      <c r="AZ474" t="s">
        <v>74</v>
      </c>
      <c r="BA474" t="s">
        <v>74</v>
      </c>
      <c r="BB474">
        <v>293</v>
      </c>
      <c r="BC474">
        <v>299</v>
      </c>
      <c r="BD474" t="s">
        <v>74</v>
      </c>
      <c r="BE474" t="s">
        <v>9400</v>
      </c>
      <c r="BF474" t="str">
        <f>HYPERLINK("http://dx.doi.org/10.5606/tftrd.2024.15681","http://dx.doi.org/10.5606/tftrd.2024.15681")</f>
        <v>http://dx.doi.org/10.5606/tftrd.2024.15681</v>
      </c>
      <c r="BG474" t="s">
        <v>74</v>
      </c>
      <c r="BH474" t="s">
        <v>74</v>
      </c>
      <c r="BI474">
        <v>7</v>
      </c>
      <c r="BJ474" t="s">
        <v>101</v>
      </c>
      <c r="BK474" t="s">
        <v>182</v>
      </c>
      <c r="BL474" t="s">
        <v>101</v>
      </c>
      <c r="BM474" t="s">
        <v>9401</v>
      </c>
      <c r="BN474">
        <v>39679124</v>
      </c>
      <c r="BO474" t="s">
        <v>355</v>
      </c>
      <c r="BP474" t="s">
        <v>74</v>
      </c>
      <c r="BQ474" t="s">
        <v>74</v>
      </c>
      <c r="BR474" t="s">
        <v>105</v>
      </c>
      <c r="BS474" t="s">
        <v>9402</v>
      </c>
      <c r="BT474" t="str">
        <f>HYPERLINK("https%3A%2F%2Fwww.webofscience.com%2Fwos%2Fwoscc%2Ffull-record%2FWOS:001301802300001","View Full Record in Web of Science")</f>
        <v>View Full Record in Web of Science</v>
      </c>
    </row>
    <row r="475" spans="1:72" x14ac:dyDescent="0.25">
      <c r="A475" t="s">
        <v>72</v>
      </c>
      <c r="B475" t="s">
        <v>9403</v>
      </c>
      <c r="C475" t="s">
        <v>74</v>
      </c>
      <c r="D475" t="s">
        <v>74</v>
      </c>
      <c r="E475" t="s">
        <v>74</v>
      </c>
      <c r="F475" t="s">
        <v>9404</v>
      </c>
      <c r="G475" t="s">
        <v>74</v>
      </c>
      <c r="H475" t="s">
        <v>74</v>
      </c>
      <c r="I475" t="s">
        <v>9405</v>
      </c>
      <c r="J475" t="s">
        <v>9406</v>
      </c>
      <c r="K475" t="s">
        <v>74</v>
      </c>
      <c r="L475" t="s">
        <v>74</v>
      </c>
      <c r="M475" t="s">
        <v>78</v>
      </c>
      <c r="N475" t="s">
        <v>79</v>
      </c>
      <c r="O475" t="s">
        <v>74</v>
      </c>
      <c r="P475" t="s">
        <v>74</v>
      </c>
      <c r="Q475" t="s">
        <v>74</v>
      </c>
      <c r="R475" t="s">
        <v>74</v>
      </c>
      <c r="S475" t="s">
        <v>74</v>
      </c>
      <c r="T475" t="s">
        <v>9407</v>
      </c>
      <c r="U475" t="s">
        <v>9408</v>
      </c>
      <c r="V475" t="s">
        <v>9409</v>
      </c>
      <c r="W475" t="s">
        <v>9410</v>
      </c>
      <c r="X475" t="s">
        <v>9411</v>
      </c>
      <c r="Y475" t="s">
        <v>9412</v>
      </c>
      <c r="Z475" t="s">
        <v>9413</v>
      </c>
      <c r="AA475" t="s">
        <v>9414</v>
      </c>
      <c r="AB475" t="s">
        <v>9415</v>
      </c>
      <c r="AC475" t="s">
        <v>9416</v>
      </c>
      <c r="AD475" t="s">
        <v>9416</v>
      </c>
      <c r="AE475" t="s">
        <v>171</v>
      </c>
      <c r="AF475" t="s">
        <v>74</v>
      </c>
      <c r="AG475">
        <v>57</v>
      </c>
      <c r="AH475">
        <v>2</v>
      </c>
      <c r="AI475">
        <v>2</v>
      </c>
      <c r="AJ475">
        <v>2</v>
      </c>
      <c r="AK475">
        <v>9</v>
      </c>
      <c r="AL475" t="s">
        <v>120</v>
      </c>
      <c r="AM475" t="s">
        <v>121</v>
      </c>
      <c r="AN475" t="s">
        <v>122</v>
      </c>
      <c r="AO475" t="s">
        <v>74</v>
      </c>
      <c r="AP475" t="s">
        <v>9417</v>
      </c>
      <c r="AQ475" t="s">
        <v>74</v>
      </c>
      <c r="AR475" t="s">
        <v>9418</v>
      </c>
      <c r="AS475" t="s">
        <v>9419</v>
      </c>
      <c r="AT475" t="s">
        <v>538</v>
      </c>
      <c r="AU475">
        <v>2024</v>
      </c>
      <c r="AV475">
        <v>12</v>
      </c>
      <c r="AW475">
        <v>1</v>
      </c>
      <c r="AX475" t="s">
        <v>74</v>
      </c>
      <c r="AY475" t="s">
        <v>74</v>
      </c>
      <c r="AZ475" t="s">
        <v>74</v>
      </c>
      <c r="BA475" t="s">
        <v>74</v>
      </c>
      <c r="BB475" t="s">
        <v>74</v>
      </c>
      <c r="BC475" t="s">
        <v>74</v>
      </c>
      <c r="BD475">
        <v>8</v>
      </c>
      <c r="BE475" t="s">
        <v>9420</v>
      </c>
      <c r="BF475" t="str">
        <f>HYPERLINK("http://dx.doi.org/10.3390/dj12010008","http://dx.doi.org/10.3390/dj12010008")</f>
        <v>http://dx.doi.org/10.3390/dj12010008</v>
      </c>
      <c r="BG475" t="s">
        <v>74</v>
      </c>
      <c r="BH475" t="s">
        <v>74</v>
      </c>
      <c r="BI475">
        <v>13</v>
      </c>
      <c r="BJ475" t="s">
        <v>1831</v>
      </c>
      <c r="BK475" t="s">
        <v>155</v>
      </c>
      <c r="BL475" t="s">
        <v>1831</v>
      </c>
      <c r="BM475" t="s">
        <v>9421</v>
      </c>
      <c r="BN475">
        <v>38248216</v>
      </c>
      <c r="BO475" t="s">
        <v>355</v>
      </c>
      <c r="BP475" t="s">
        <v>74</v>
      </c>
      <c r="BQ475" t="s">
        <v>74</v>
      </c>
      <c r="BR475" t="s">
        <v>105</v>
      </c>
      <c r="BS475" t="s">
        <v>9422</v>
      </c>
      <c r="BT475" t="str">
        <f>HYPERLINK("https%3A%2F%2Fwww.webofscience.com%2Fwos%2Fwoscc%2Ffull-record%2FWOS:001149538200001","View Full Record in Web of Science")</f>
        <v>View Full Record in Web of Science</v>
      </c>
    </row>
    <row r="476" spans="1:72" x14ac:dyDescent="0.25">
      <c r="A476" t="s">
        <v>72</v>
      </c>
      <c r="B476" t="s">
        <v>9423</v>
      </c>
      <c r="C476" t="s">
        <v>74</v>
      </c>
      <c r="D476" t="s">
        <v>74</v>
      </c>
      <c r="E476" t="s">
        <v>74</v>
      </c>
      <c r="F476" t="s">
        <v>9424</v>
      </c>
      <c r="G476" t="s">
        <v>74</v>
      </c>
      <c r="H476" t="s">
        <v>74</v>
      </c>
      <c r="I476" t="s">
        <v>9425</v>
      </c>
      <c r="J476" t="s">
        <v>9426</v>
      </c>
      <c r="K476" t="s">
        <v>74</v>
      </c>
      <c r="L476" t="s">
        <v>74</v>
      </c>
      <c r="M476" t="s">
        <v>78</v>
      </c>
      <c r="N476" t="s">
        <v>79</v>
      </c>
      <c r="O476" t="s">
        <v>74</v>
      </c>
      <c r="P476" t="s">
        <v>74</v>
      </c>
      <c r="Q476" t="s">
        <v>74</v>
      </c>
      <c r="R476" t="s">
        <v>74</v>
      </c>
      <c r="S476" t="s">
        <v>74</v>
      </c>
      <c r="T476" t="s">
        <v>9427</v>
      </c>
      <c r="U476" t="s">
        <v>9428</v>
      </c>
      <c r="V476" t="s">
        <v>9429</v>
      </c>
      <c r="W476" t="s">
        <v>9430</v>
      </c>
      <c r="X476" t="s">
        <v>9431</v>
      </c>
      <c r="Y476" t="s">
        <v>9432</v>
      </c>
      <c r="Z476" t="s">
        <v>9433</v>
      </c>
      <c r="AA476" t="s">
        <v>74</v>
      </c>
      <c r="AB476" t="s">
        <v>74</v>
      </c>
      <c r="AC476" t="s">
        <v>74</v>
      </c>
      <c r="AD476" t="s">
        <v>74</v>
      </c>
      <c r="AE476" t="s">
        <v>74</v>
      </c>
      <c r="AF476" t="s">
        <v>74</v>
      </c>
      <c r="AG476">
        <v>55</v>
      </c>
      <c r="AH476">
        <v>5</v>
      </c>
      <c r="AI476">
        <v>5</v>
      </c>
      <c r="AJ476">
        <v>4</v>
      </c>
      <c r="AK476">
        <v>11</v>
      </c>
      <c r="AL476" t="s">
        <v>9434</v>
      </c>
      <c r="AM476" t="s">
        <v>1606</v>
      </c>
      <c r="AN476" t="s">
        <v>9435</v>
      </c>
      <c r="AO476" t="s">
        <v>9436</v>
      </c>
      <c r="AP476" t="s">
        <v>9437</v>
      </c>
      <c r="AQ476" t="s">
        <v>74</v>
      </c>
      <c r="AR476" t="s">
        <v>9438</v>
      </c>
      <c r="AS476" t="s">
        <v>9439</v>
      </c>
      <c r="AT476" t="s">
        <v>74</v>
      </c>
      <c r="AU476">
        <v>2024</v>
      </c>
      <c r="AV476">
        <v>37</v>
      </c>
      <c r="AW476">
        <v>2</v>
      </c>
      <c r="AX476" t="s">
        <v>74</v>
      </c>
      <c r="AY476" t="s">
        <v>74</v>
      </c>
      <c r="AZ476" t="s">
        <v>74</v>
      </c>
      <c r="BA476" t="s">
        <v>74</v>
      </c>
      <c r="BB476">
        <v>253</v>
      </c>
      <c r="BC476">
        <v>268</v>
      </c>
      <c r="BD476" t="s">
        <v>74</v>
      </c>
      <c r="BE476" t="s">
        <v>9440</v>
      </c>
      <c r="BF476" t="str">
        <f>HYPERLINK("http://dx.doi.org/10.3233/BMR-220395","http://dx.doi.org/10.3233/BMR-220395")</f>
        <v>http://dx.doi.org/10.3233/BMR-220395</v>
      </c>
      <c r="BG476" t="s">
        <v>74</v>
      </c>
      <c r="BH476" t="s">
        <v>74</v>
      </c>
      <c r="BI476">
        <v>16</v>
      </c>
      <c r="BJ476" t="s">
        <v>3977</v>
      </c>
      <c r="BK476" t="s">
        <v>182</v>
      </c>
      <c r="BL476" t="s">
        <v>3977</v>
      </c>
      <c r="BM476" t="s">
        <v>9441</v>
      </c>
      <c r="BN476">
        <v>37955075</v>
      </c>
      <c r="BO476" t="s">
        <v>1052</v>
      </c>
      <c r="BP476" t="s">
        <v>74</v>
      </c>
      <c r="BQ476" t="s">
        <v>74</v>
      </c>
      <c r="BR476" t="s">
        <v>105</v>
      </c>
      <c r="BS476" t="s">
        <v>9442</v>
      </c>
      <c r="BT476" t="str">
        <f>HYPERLINK("https%3A%2F%2Fwww.webofscience.com%2Fwos%2Fwoscc%2Ffull-record%2FWOS:001208560100002","View Full Record in Web of Science")</f>
        <v>View Full Record in Web of Science</v>
      </c>
    </row>
    <row r="477" spans="1:72" x14ac:dyDescent="0.25">
      <c r="A477" t="s">
        <v>72</v>
      </c>
      <c r="B477" t="s">
        <v>9443</v>
      </c>
      <c r="C477" t="s">
        <v>74</v>
      </c>
      <c r="D477" t="s">
        <v>74</v>
      </c>
      <c r="E477" t="s">
        <v>74</v>
      </c>
      <c r="F477" t="s">
        <v>9444</v>
      </c>
      <c r="G477" t="s">
        <v>74</v>
      </c>
      <c r="H477" t="s">
        <v>74</v>
      </c>
      <c r="I477" t="s">
        <v>9445</v>
      </c>
      <c r="J477" t="s">
        <v>3906</v>
      </c>
      <c r="K477" t="s">
        <v>74</v>
      </c>
      <c r="L477" t="s">
        <v>74</v>
      </c>
      <c r="M477" t="s">
        <v>78</v>
      </c>
      <c r="N477" t="s">
        <v>79</v>
      </c>
      <c r="O477" t="s">
        <v>74</v>
      </c>
      <c r="P477" t="s">
        <v>74</v>
      </c>
      <c r="Q477" t="s">
        <v>74</v>
      </c>
      <c r="R477" t="s">
        <v>74</v>
      </c>
      <c r="S477" t="s">
        <v>74</v>
      </c>
      <c r="T477" t="s">
        <v>74</v>
      </c>
      <c r="U477" t="s">
        <v>9446</v>
      </c>
      <c r="V477" t="s">
        <v>9447</v>
      </c>
      <c r="W477" t="s">
        <v>9448</v>
      </c>
      <c r="X477" t="s">
        <v>9449</v>
      </c>
      <c r="Y477" t="s">
        <v>9450</v>
      </c>
      <c r="Z477" t="s">
        <v>9451</v>
      </c>
      <c r="AA477" t="s">
        <v>9452</v>
      </c>
      <c r="AB477" t="s">
        <v>74</v>
      </c>
      <c r="AC477" t="s">
        <v>9453</v>
      </c>
      <c r="AD477" t="s">
        <v>9453</v>
      </c>
      <c r="AE477" t="s">
        <v>9454</v>
      </c>
      <c r="AF477" t="s">
        <v>74</v>
      </c>
      <c r="AG477">
        <v>84</v>
      </c>
      <c r="AH477">
        <v>1</v>
      </c>
      <c r="AI477">
        <v>1</v>
      </c>
      <c r="AJ477">
        <v>6</v>
      </c>
      <c r="AK477">
        <v>6</v>
      </c>
      <c r="AL477" t="s">
        <v>297</v>
      </c>
      <c r="AM477" t="s">
        <v>298</v>
      </c>
      <c r="AN477" t="s">
        <v>299</v>
      </c>
      <c r="AO477" t="s">
        <v>3917</v>
      </c>
      <c r="AP477" t="s">
        <v>3918</v>
      </c>
      <c r="AQ477" t="s">
        <v>74</v>
      </c>
      <c r="AR477" t="s">
        <v>3919</v>
      </c>
      <c r="AS477" t="s">
        <v>3920</v>
      </c>
      <c r="AT477" t="s">
        <v>74</v>
      </c>
      <c r="AU477">
        <v>2024</v>
      </c>
      <c r="AV477" t="s">
        <v>74</v>
      </c>
      <c r="AW477">
        <v>9</v>
      </c>
      <c r="AX477" t="s">
        <v>74</v>
      </c>
      <c r="AY477" t="s">
        <v>74</v>
      </c>
      <c r="AZ477" t="s">
        <v>74</v>
      </c>
      <c r="BA477" t="s">
        <v>74</v>
      </c>
      <c r="BB477" t="s">
        <v>74</v>
      </c>
      <c r="BC477" t="s">
        <v>74</v>
      </c>
      <c r="BD477" t="s">
        <v>9455</v>
      </c>
      <c r="BE477" t="s">
        <v>9456</v>
      </c>
      <c r="BF477" t="str">
        <f>HYPERLINK("http://dx.doi.org/10.1002/14651858.CD010779.pub2","http://dx.doi.org/10.1002/14651858.CD010779.pub2")</f>
        <v>http://dx.doi.org/10.1002/14651858.CD010779.pub2</v>
      </c>
      <c r="BG477" t="s">
        <v>74</v>
      </c>
      <c r="BH477" t="s">
        <v>74</v>
      </c>
      <c r="BI477">
        <v>60</v>
      </c>
      <c r="BJ477" t="s">
        <v>128</v>
      </c>
      <c r="BK477" t="s">
        <v>182</v>
      </c>
      <c r="BL477" t="s">
        <v>129</v>
      </c>
      <c r="BM477" t="s">
        <v>9457</v>
      </c>
      <c r="BN477">
        <v>39312271</v>
      </c>
      <c r="BO477" t="s">
        <v>74</v>
      </c>
      <c r="BP477" t="s">
        <v>74</v>
      </c>
      <c r="BQ477" t="s">
        <v>74</v>
      </c>
      <c r="BR477" t="s">
        <v>105</v>
      </c>
      <c r="BS477" t="s">
        <v>9458</v>
      </c>
      <c r="BT477" t="str">
        <f>HYPERLINK("https%3A%2F%2Fwww.webofscience.com%2Fwos%2Fwoscc%2Ffull-record%2FWOS:001356730100011","View Full Record in Web of Science")</f>
        <v>View Full Record in Web of Science</v>
      </c>
    </row>
    <row r="478" spans="1:72" x14ac:dyDescent="0.25">
      <c r="A478" t="s">
        <v>72</v>
      </c>
      <c r="B478" t="s">
        <v>9459</v>
      </c>
      <c r="C478" t="s">
        <v>74</v>
      </c>
      <c r="D478" t="s">
        <v>74</v>
      </c>
      <c r="E478" t="s">
        <v>74</v>
      </c>
      <c r="F478" t="s">
        <v>9460</v>
      </c>
      <c r="G478" t="s">
        <v>74</v>
      </c>
      <c r="H478" t="s">
        <v>74</v>
      </c>
      <c r="I478" t="s">
        <v>9461</v>
      </c>
      <c r="J478" t="s">
        <v>9462</v>
      </c>
      <c r="K478" t="s">
        <v>74</v>
      </c>
      <c r="L478" t="s">
        <v>74</v>
      </c>
      <c r="M478" t="s">
        <v>78</v>
      </c>
      <c r="N478" t="s">
        <v>79</v>
      </c>
      <c r="O478" t="s">
        <v>74</v>
      </c>
      <c r="P478" t="s">
        <v>74</v>
      </c>
      <c r="Q478" t="s">
        <v>74</v>
      </c>
      <c r="R478" t="s">
        <v>74</v>
      </c>
      <c r="S478" t="s">
        <v>74</v>
      </c>
      <c r="T478" t="s">
        <v>9463</v>
      </c>
      <c r="U478" t="s">
        <v>9464</v>
      </c>
      <c r="V478" t="s">
        <v>9465</v>
      </c>
      <c r="W478" t="s">
        <v>9466</v>
      </c>
      <c r="X478" t="s">
        <v>9467</v>
      </c>
      <c r="Y478" t="s">
        <v>9468</v>
      </c>
      <c r="Z478" t="s">
        <v>9469</v>
      </c>
      <c r="AA478" t="s">
        <v>9470</v>
      </c>
      <c r="AB478" t="s">
        <v>74</v>
      </c>
      <c r="AC478" t="s">
        <v>74</v>
      </c>
      <c r="AD478" t="s">
        <v>74</v>
      </c>
      <c r="AE478" t="s">
        <v>74</v>
      </c>
      <c r="AF478" t="s">
        <v>74</v>
      </c>
      <c r="AG478">
        <v>148</v>
      </c>
      <c r="AH478">
        <v>7</v>
      </c>
      <c r="AI478">
        <v>7</v>
      </c>
      <c r="AJ478">
        <v>20</v>
      </c>
      <c r="AK478">
        <v>42</v>
      </c>
      <c r="AL478" t="s">
        <v>4437</v>
      </c>
      <c r="AM478" t="s">
        <v>4438</v>
      </c>
      <c r="AN478" t="s">
        <v>4439</v>
      </c>
      <c r="AO478" t="s">
        <v>9471</v>
      </c>
      <c r="AP478" t="s">
        <v>9472</v>
      </c>
      <c r="AQ478" t="s">
        <v>74</v>
      </c>
      <c r="AR478" t="s">
        <v>9473</v>
      </c>
      <c r="AS478" t="s">
        <v>9474</v>
      </c>
      <c r="AT478" t="s">
        <v>74</v>
      </c>
      <c r="AU478">
        <v>2024</v>
      </c>
      <c r="AV478">
        <v>26</v>
      </c>
      <c r="AW478" t="s">
        <v>74</v>
      </c>
      <c r="AX478" t="s">
        <v>74</v>
      </c>
      <c r="AY478" t="s">
        <v>74</v>
      </c>
      <c r="AZ478" t="s">
        <v>74</v>
      </c>
      <c r="BA478" t="s">
        <v>74</v>
      </c>
      <c r="BB478">
        <v>1</v>
      </c>
      <c r="BC478">
        <v>24</v>
      </c>
      <c r="BD478" t="s">
        <v>74</v>
      </c>
      <c r="BE478" t="s">
        <v>9475</v>
      </c>
      <c r="BF478" t="str">
        <f>HYPERLINK("http://dx.doi.org/10.1146/annurev-bioeng-082222-012531","http://dx.doi.org/10.1146/annurev-bioeng-082222-012531")</f>
        <v>http://dx.doi.org/10.1146/annurev-bioeng-082222-012531</v>
      </c>
      <c r="BG478" t="s">
        <v>74</v>
      </c>
      <c r="BH478" t="s">
        <v>74</v>
      </c>
      <c r="BI478">
        <v>24</v>
      </c>
      <c r="BJ478" t="s">
        <v>282</v>
      </c>
      <c r="BK478" t="s">
        <v>182</v>
      </c>
      <c r="BL478" t="s">
        <v>183</v>
      </c>
      <c r="BM478" t="s">
        <v>9476</v>
      </c>
      <c r="BN478">
        <v>37832939</v>
      </c>
      <c r="BO478" t="s">
        <v>74</v>
      </c>
      <c r="BP478" t="s">
        <v>74</v>
      </c>
      <c r="BQ478" t="s">
        <v>74</v>
      </c>
      <c r="BR478" t="s">
        <v>105</v>
      </c>
      <c r="BS478" t="s">
        <v>9477</v>
      </c>
      <c r="BT478" t="str">
        <f>HYPERLINK("https%3A%2F%2Fwww.webofscience.com%2Fwos%2Fwoscc%2Ffull-record%2FWOS:001273796600001","View Full Record in Web of Science")</f>
        <v>View Full Record in Web of Science</v>
      </c>
    </row>
    <row r="479" spans="1:72" x14ac:dyDescent="0.25">
      <c r="A479" t="s">
        <v>72</v>
      </c>
      <c r="B479" t="s">
        <v>9478</v>
      </c>
      <c r="C479" t="s">
        <v>74</v>
      </c>
      <c r="D479" t="s">
        <v>74</v>
      </c>
      <c r="E479" t="s">
        <v>74</v>
      </c>
      <c r="F479" t="s">
        <v>9479</v>
      </c>
      <c r="G479" t="s">
        <v>74</v>
      </c>
      <c r="H479" t="s">
        <v>74</v>
      </c>
      <c r="I479" t="s">
        <v>9480</v>
      </c>
      <c r="J479" t="s">
        <v>468</v>
      </c>
      <c r="K479" t="s">
        <v>74</v>
      </c>
      <c r="L479" t="s">
        <v>74</v>
      </c>
      <c r="M479" t="s">
        <v>78</v>
      </c>
      <c r="N479" t="s">
        <v>79</v>
      </c>
      <c r="O479" t="s">
        <v>74</v>
      </c>
      <c r="P479" t="s">
        <v>74</v>
      </c>
      <c r="Q479" t="s">
        <v>74</v>
      </c>
      <c r="R479" t="s">
        <v>74</v>
      </c>
      <c r="S479" t="s">
        <v>74</v>
      </c>
      <c r="T479" t="s">
        <v>9481</v>
      </c>
      <c r="U479" t="s">
        <v>9482</v>
      </c>
      <c r="V479" t="s">
        <v>9483</v>
      </c>
      <c r="W479" t="s">
        <v>9484</v>
      </c>
      <c r="X479" t="s">
        <v>9485</v>
      </c>
      <c r="Y479" t="s">
        <v>9486</v>
      </c>
      <c r="Z479" t="s">
        <v>9487</v>
      </c>
      <c r="AA479" t="s">
        <v>9488</v>
      </c>
      <c r="AB479" t="s">
        <v>9489</v>
      </c>
      <c r="AC479" t="s">
        <v>74</v>
      </c>
      <c r="AD479" t="s">
        <v>74</v>
      </c>
      <c r="AE479" t="s">
        <v>74</v>
      </c>
      <c r="AF479" t="s">
        <v>74</v>
      </c>
      <c r="AG479">
        <v>31</v>
      </c>
      <c r="AH479">
        <v>0</v>
      </c>
      <c r="AI479">
        <v>0</v>
      </c>
      <c r="AJ479">
        <v>2</v>
      </c>
      <c r="AK479">
        <v>5</v>
      </c>
      <c r="AL479" t="s">
        <v>480</v>
      </c>
      <c r="AM479" t="s">
        <v>481</v>
      </c>
      <c r="AN479" t="s">
        <v>482</v>
      </c>
      <c r="AO479" t="s">
        <v>483</v>
      </c>
      <c r="AP479" t="s">
        <v>484</v>
      </c>
      <c r="AQ479" t="s">
        <v>74</v>
      </c>
      <c r="AR479" t="s">
        <v>485</v>
      </c>
      <c r="AS479" t="s">
        <v>486</v>
      </c>
      <c r="AT479" t="s">
        <v>74</v>
      </c>
      <c r="AU479">
        <v>2024</v>
      </c>
      <c r="AV479">
        <v>56</v>
      </c>
      <c r="AW479" t="s">
        <v>74</v>
      </c>
      <c r="AX479" t="s">
        <v>74</v>
      </c>
      <c r="AY479" t="s">
        <v>74</v>
      </c>
      <c r="AZ479" t="s">
        <v>74</v>
      </c>
      <c r="BA479" t="s">
        <v>74</v>
      </c>
      <c r="BB479" t="s">
        <v>74</v>
      </c>
      <c r="BC479" t="s">
        <v>74</v>
      </c>
      <c r="BD479">
        <v>12335</v>
      </c>
      <c r="BE479" t="s">
        <v>9490</v>
      </c>
      <c r="BF479" t="str">
        <f>HYPERLINK("http://dx.doi.org/10.2340/jrm.v56.12335","http://dx.doi.org/10.2340/jrm.v56.12335")</f>
        <v>http://dx.doi.org/10.2340/jrm.v56.12335</v>
      </c>
      <c r="BG479" t="s">
        <v>74</v>
      </c>
      <c r="BH479" t="s">
        <v>74</v>
      </c>
      <c r="BI479">
        <v>10</v>
      </c>
      <c r="BJ479" t="s">
        <v>236</v>
      </c>
      <c r="BK479" t="s">
        <v>182</v>
      </c>
      <c r="BL479" t="s">
        <v>236</v>
      </c>
      <c r="BM479" t="s">
        <v>9491</v>
      </c>
      <c r="BN479">
        <v>38214120</v>
      </c>
      <c r="BO479" t="s">
        <v>355</v>
      </c>
      <c r="BP479" t="s">
        <v>74</v>
      </c>
      <c r="BQ479" t="s">
        <v>74</v>
      </c>
      <c r="BR479" t="s">
        <v>105</v>
      </c>
      <c r="BS479" t="s">
        <v>9492</v>
      </c>
      <c r="BT479" t="str">
        <f>HYPERLINK("https%3A%2F%2Fwww.webofscience.com%2Fwos%2Fwoscc%2Ffull-record%2FWOS:001148305100002","View Full Record in Web of Science")</f>
        <v>View Full Record in Web of Science</v>
      </c>
    </row>
    <row r="480" spans="1:72" x14ac:dyDescent="0.25">
      <c r="A480" t="s">
        <v>72</v>
      </c>
      <c r="B480" t="s">
        <v>9493</v>
      </c>
      <c r="C480" t="s">
        <v>74</v>
      </c>
      <c r="D480" t="s">
        <v>74</v>
      </c>
      <c r="E480" t="s">
        <v>74</v>
      </c>
      <c r="F480" t="s">
        <v>9494</v>
      </c>
      <c r="G480" t="s">
        <v>74</v>
      </c>
      <c r="H480" t="s">
        <v>74</v>
      </c>
      <c r="I480" t="s">
        <v>9495</v>
      </c>
      <c r="J480" t="s">
        <v>1208</v>
      </c>
      <c r="K480" t="s">
        <v>74</v>
      </c>
      <c r="L480" t="s">
        <v>74</v>
      </c>
      <c r="M480" t="s">
        <v>78</v>
      </c>
      <c r="N480" t="s">
        <v>79</v>
      </c>
      <c r="O480" t="s">
        <v>74</v>
      </c>
      <c r="P480" t="s">
        <v>74</v>
      </c>
      <c r="Q480" t="s">
        <v>74</v>
      </c>
      <c r="R480" t="s">
        <v>74</v>
      </c>
      <c r="S480" t="s">
        <v>74</v>
      </c>
      <c r="T480" t="s">
        <v>9496</v>
      </c>
      <c r="U480" t="s">
        <v>9497</v>
      </c>
      <c r="V480" t="s">
        <v>9498</v>
      </c>
      <c r="W480" t="s">
        <v>9499</v>
      </c>
      <c r="X480" t="s">
        <v>9500</v>
      </c>
      <c r="Y480" t="s">
        <v>9501</v>
      </c>
      <c r="Z480" t="s">
        <v>9502</v>
      </c>
      <c r="AA480" t="s">
        <v>9503</v>
      </c>
      <c r="AB480" t="s">
        <v>9504</v>
      </c>
      <c r="AC480" t="s">
        <v>9505</v>
      </c>
      <c r="AD480" t="s">
        <v>9505</v>
      </c>
      <c r="AE480" t="s">
        <v>9506</v>
      </c>
      <c r="AF480" t="s">
        <v>74</v>
      </c>
      <c r="AG480">
        <v>84</v>
      </c>
      <c r="AH480">
        <v>6</v>
      </c>
      <c r="AI480">
        <v>6</v>
      </c>
      <c r="AJ480">
        <v>6</v>
      </c>
      <c r="AK480">
        <v>30</v>
      </c>
      <c r="AL480" t="s">
        <v>120</v>
      </c>
      <c r="AM480" t="s">
        <v>121</v>
      </c>
      <c r="AN480" t="s">
        <v>1221</v>
      </c>
      <c r="AO480" t="s">
        <v>74</v>
      </c>
      <c r="AP480" t="s">
        <v>1222</v>
      </c>
      <c r="AQ480" t="s">
        <v>74</v>
      </c>
      <c r="AR480" t="s">
        <v>1208</v>
      </c>
      <c r="AS480" t="s">
        <v>1223</v>
      </c>
      <c r="AT480" t="s">
        <v>538</v>
      </c>
      <c r="AU480">
        <v>2024</v>
      </c>
      <c r="AV480">
        <v>12</v>
      </c>
      <c r="AW480">
        <v>1</v>
      </c>
      <c r="AX480" t="s">
        <v>74</v>
      </c>
      <c r="AY480" t="s">
        <v>74</v>
      </c>
      <c r="AZ480" t="s">
        <v>74</v>
      </c>
      <c r="BA480" t="s">
        <v>74</v>
      </c>
      <c r="BB480" t="s">
        <v>74</v>
      </c>
      <c r="BC480" t="s">
        <v>74</v>
      </c>
      <c r="BD480">
        <v>21</v>
      </c>
      <c r="BE480" t="s">
        <v>9507</v>
      </c>
      <c r="BF480" t="str">
        <f>HYPERLINK("http://dx.doi.org/10.3390/machines12010021","http://dx.doi.org/10.3390/machines12010021")</f>
        <v>http://dx.doi.org/10.3390/machines12010021</v>
      </c>
      <c r="BG480" t="s">
        <v>74</v>
      </c>
      <c r="BH480" t="s">
        <v>74</v>
      </c>
      <c r="BI480">
        <v>44</v>
      </c>
      <c r="BJ480" t="s">
        <v>1225</v>
      </c>
      <c r="BK480" t="s">
        <v>182</v>
      </c>
      <c r="BL480" t="s">
        <v>183</v>
      </c>
      <c r="BM480" t="s">
        <v>9508</v>
      </c>
      <c r="BN480" t="s">
        <v>74</v>
      </c>
      <c r="BO480" t="s">
        <v>1374</v>
      </c>
      <c r="BP480" t="s">
        <v>74</v>
      </c>
      <c r="BQ480" t="s">
        <v>74</v>
      </c>
      <c r="BR480" t="s">
        <v>105</v>
      </c>
      <c r="BS480" t="s">
        <v>9509</v>
      </c>
      <c r="BT480" t="str">
        <f>HYPERLINK("https%3A%2F%2Fwww.webofscience.com%2Fwos%2Fwoscc%2Ffull-record%2FWOS:001151196900001","View Full Record in Web of Science")</f>
        <v>View Full Record in Web of Science</v>
      </c>
    </row>
    <row r="481" spans="1:72" x14ac:dyDescent="0.25">
      <c r="A481" t="s">
        <v>72</v>
      </c>
      <c r="B481" t="s">
        <v>9510</v>
      </c>
      <c r="C481" t="s">
        <v>74</v>
      </c>
      <c r="D481" t="s">
        <v>74</v>
      </c>
      <c r="E481" t="s">
        <v>74</v>
      </c>
      <c r="F481" t="s">
        <v>9511</v>
      </c>
      <c r="G481" t="s">
        <v>74</v>
      </c>
      <c r="H481" t="s">
        <v>74</v>
      </c>
      <c r="I481" t="s">
        <v>9512</v>
      </c>
      <c r="J481" t="s">
        <v>9513</v>
      </c>
      <c r="K481" t="s">
        <v>74</v>
      </c>
      <c r="L481" t="s">
        <v>74</v>
      </c>
      <c r="M481" t="s">
        <v>78</v>
      </c>
      <c r="N481" t="s">
        <v>79</v>
      </c>
      <c r="O481" t="s">
        <v>74</v>
      </c>
      <c r="P481" t="s">
        <v>74</v>
      </c>
      <c r="Q481" t="s">
        <v>74</v>
      </c>
      <c r="R481" t="s">
        <v>74</v>
      </c>
      <c r="S481" t="s">
        <v>74</v>
      </c>
      <c r="T481" t="s">
        <v>9514</v>
      </c>
      <c r="U481" t="s">
        <v>9515</v>
      </c>
      <c r="V481" t="s">
        <v>9516</v>
      </c>
      <c r="W481" t="s">
        <v>9517</v>
      </c>
      <c r="X481" t="s">
        <v>74</v>
      </c>
      <c r="Y481" t="s">
        <v>9518</v>
      </c>
      <c r="Z481" t="s">
        <v>9519</v>
      </c>
      <c r="AA481" t="s">
        <v>9520</v>
      </c>
      <c r="AB481" t="s">
        <v>74</v>
      </c>
      <c r="AC481" t="s">
        <v>74</v>
      </c>
      <c r="AD481" t="s">
        <v>74</v>
      </c>
      <c r="AE481" t="s">
        <v>74</v>
      </c>
      <c r="AF481" t="s">
        <v>74</v>
      </c>
      <c r="AG481">
        <v>43</v>
      </c>
      <c r="AH481">
        <v>5</v>
      </c>
      <c r="AI481">
        <v>5</v>
      </c>
      <c r="AJ481">
        <v>2</v>
      </c>
      <c r="AK481">
        <v>6</v>
      </c>
      <c r="AL481" t="s">
        <v>9434</v>
      </c>
      <c r="AM481" t="s">
        <v>1606</v>
      </c>
      <c r="AN481" t="s">
        <v>9435</v>
      </c>
      <c r="AO481" t="s">
        <v>9521</v>
      </c>
      <c r="AP481" t="s">
        <v>9522</v>
      </c>
      <c r="AQ481" t="s">
        <v>74</v>
      </c>
      <c r="AR481" t="s">
        <v>9523</v>
      </c>
      <c r="AS481" t="s">
        <v>9524</v>
      </c>
      <c r="AT481" t="s">
        <v>74</v>
      </c>
      <c r="AU481">
        <v>2024</v>
      </c>
      <c r="AV481">
        <v>32</v>
      </c>
      <c r="AW481">
        <v>2</v>
      </c>
      <c r="AX481" t="s">
        <v>74</v>
      </c>
      <c r="AY481" t="s">
        <v>74</v>
      </c>
      <c r="AZ481" t="s">
        <v>74</v>
      </c>
      <c r="BA481" t="s">
        <v>74</v>
      </c>
      <c r="BB481">
        <v>511</v>
      </c>
      <c r="BC481">
        <v>523</v>
      </c>
      <c r="BD481" t="s">
        <v>74</v>
      </c>
      <c r="BE481" t="s">
        <v>9525</v>
      </c>
      <c r="BF481" t="str">
        <f>HYPERLINK("http://dx.doi.org/10.3233/THC-230201","http://dx.doi.org/10.3233/THC-230201")</f>
        <v>http://dx.doi.org/10.3233/THC-230201</v>
      </c>
      <c r="BG481" t="s">
        <v>74</v>
      </c>
      <c r="BH481" t="s">
        <v>74</v>
      </c>
      <c r="BI481">
        <v>13</v>
      </c>
      <c r="BJ481" t="s">
        <v>9526</v>
      </c>
      <c r="BK481" t="s">
        <v>182</v>
      </c>
      <c r="BL481" t="s">
        <v>9527</v>
      </c>
      <c r="BM481" t="s">
        <v>9528</v>
      </c>
      <c r="BN481">
        <v>37483035</v>
      </c>
      <c r="BO481" t="s">
        <v>309</v>
      </c>
      <c r="BP481" t="s">
        <v>74</v>
      </c>
      <c r="BQ481" t="s">
        <v>74</v>
      </c>
      <c r="BR481" t="s">
        <v>105</v>
      </c>
      <c r="BS481" t="s">
        <v>9529</v>
      </c>
      <c r="BT481" t="str">
        <f>HYPERLINK("https%3A%2F%2Fwww.webofscience.com%2Fwos%2Fwoscc%2Ffull-record%2FWOS:001208606200002","View Full Record in Web of Science")</f>
        <v>View Full Record in Web of Science</v>
      </c>
    </row>
    <row r="482" spans="1:72" x14ac:dyDescent="0.25">
      <c r="A482" t="s">
        <v>72</v>
      </c>
      <c r="B482" t="s">
        <v>9530</v>
      </c>
      <c r="C482" t="s">
        <v>74</v>
      </c>
      <c r="D482" t="s">
        <v>74</v>
      </c>
      <c r="E482" t="s">
        <v>74</v>
      </c>
      <c r="F482" t="s">
        <v>9531</v>
      </c>
      <c r="G482" t="s">
        <v>74</v>
      </c>
      <c r="H482" t="s">
        <v>74</v>
      </c>
      <c r="I482" t="s">
        <v>9532</v>
      </c>
      <c r="J482" t="s">
        <v>9533</v>
      </c>
      <c r="K482" t="s">
        <v>74</v>
      </c>
      <c r="L482" t="s">
        <v>74</v>
      </c>
      <c r="M482" t="s">
        <v>78</v>
      </c>
      <c r="N482" t="s">
        <v>79</v>
      </c>
      <c r="O482" t="s">
        <v>74</v>
      </c>
      <c r="P482" t="s">
        <v>74</v>
      </c>
      <c r="Q482" t="s">
        <v>74</v>
      </c>
      <c r="R482" t="s">
        <v>74</v>
      </c>
      <c r="S482" t="s">
        <v>74</v>
      </c>
      <c r="T482" t="s">
        <v>9534</v>
      </c>
      <c r="U482" t="s">
        <v>9535</v>
      </c>
      <c r="V482" t="s">
        <v>9536</v>
      </c>
      <c r="W482" t="s">
        <v>9537</v>
      </c>
      <c r="X482" t="s">
        <v>9538</v>
      </c>
      <c r="Y482" t="s">
        <v>9539</v>
      </c>
      <c r="Z482" t="s">
        <v>9540</v>
      </c>
      <c r="AA482" t="s">
        <v>74</v>
      </c>
      <c r="AB482" t="s">
        <v>74</v>
      </c>
      <c r="AC482" t="s">
        <v>74</v>
      </c>
      <c r="AD482" t="s">
        <v>74</v>
      </c>
      <c r="AE482" t="s">
        <v>74</v>
      </c>
      <c r="AF482" t="s">
        <v>74</v>
      </c>
      <c r="AG482">
        <v>102</v>
      </c>
      <c r="AH482">
        <v>5</v>
      </c>
      <c r="AI482">
        <v>5</v>
      </c>
      <c r="AJ482">
        <v>6</v>
      </c>
      <c r="AK482">
        <v>27</v>
      </c>
      <c r="AL482" t="s">
        <v>3456</v>
      </c>
      <c r="AM482" t="s">
        <v>3457</v>
      </c>
      <c r="AN482" t="s">
        <v>3458</v>
      </c>
      <c r="AO482" t="s">
        <v>9541</v>
      </c>
      <c r="AP482" t="s">
        <v>74</v>
      </c>
      <c r="AQ482" t="s">
        <v>74</v>
      </c>
      <c r="AR482" t="s">
        <v>9542</v>
      </c>
      <c r="AS482" t="s">
        <v>9543</v>
      </c>
      <c r="AT482" t="s">
        <v>74</v>
      </c>
      <c r="AU482">
        <v>2024</v>
      </c>
      <c r="AV482">
        <v>17</v>
      </c>
      <c r="AW482" t="s">
        <v>74</v>
      </c>
      <c r="AX482" t="s">
        <v>74</v>
      </c>
      <c r="AY482" t="s">
        <v>74</v>
      </c>
      <c r="AZ482" t="s">
        <v>74</v>
      </c>
      <c r="BA482" t="s">
        <v>74</v>
      </c>
      <c r="BB482">
        <v>1</v>
      </c>
      <c r="BC482">
        <v>22</v>
      </c>
      <c r="BD482" t="s">
        <v>74</v>
      </c>
      <c r="BE482" t="s">
        <v>9544</v>
      </c>
      <c r="BF482" t="str">
        <f>HYPERLINK("http://dx.doi.org/10.2147/MDER.S429206","http://dx.doi.org/10.2147/MDER.S429206")</f>
        <v>http://dx.doi.org/10.2147/MDER.S429206</v>
      </c>
      <c r="BG482" t="s">
        <v>74</v>
      </c>
      <c r="BH482" t="s">
        <v>74</v>
      </c>
      <c r="BI482">
        <v>22</v>
      </c>
      <c r="BJ482" t="s">
        <v>282</v>
      </c>
      <c r="BK482" t="s">
        <v>155</v>
      </c>
      <c r="BL482" t="s">
        <v>183</v>
      </c>
      <c r="BM482" t="s">
        <v>9545</v>
      </c>
      <c r="BN482">
        <v>38196509</v>
      </c>
      <c r="BO482" t="s">
        <v>131</v>
      </c>
      <c r="BP482" t="s">
        <v>74</v>
      </c>
      <c r="BQ482" t="s">
        <v>74</v>
      </c>
      <c r="BR482" t="s">
        <v>105</v>
      </c>
      <c r="BS482" t="s">
        <v>9546</v>
      </c>
      <c r="BT482" t="str">
        <f>HYPERLINK("https%3A%2F%2Fwww.webofscience.com%2Fwos%2Fwoscc%2Ffull-record%2FWOS:001141801500001","View Full Record in Web of Science")</f>
        <v>View Full Record in Web of Science</v>
      </c>
    </row>
    <row r="483" spans="1:72" x14ac:dyDescent="0.25">
      <c r="A483" t="s">
        <v>72</v>
      </c>
      <c r="B483" t="s">
        <v>9547</v>
      </c>
      <c r="C483" t="s">
        <v>74</v>
      </c>
      <c r="D483" t="s">
        <v>74</v>
      </c>
      <c r="E483" t="s">
        <v>74</v>
      </c>
      <c r="F483" t="s">
        <v>9548</v>
      </c>
      <c r="G483" t="s">
        <v>74</v>
      </c>
      <c r="H483" t="s">
        <v>74</v>
      </c>
      <c r="I483" t="s">
        <v>9549</v>
      </c>
      <c r="J483" t="s">
        <v>382</v>
      </c>
      <c r="K483" t="s">
        <v>74</v>
      </c>
      <c r="L483" t="s">
        <v>74</v>
      </c>
      <c r="M483" t="s">
        <v>78</v>
      </c>
      <c r="N483" t="s">
        <v>79</v>
      </c>
      <c r="O483" t="s">
        <v>74</v>
      </c>
      <c r="P483" t="s">
        <v>74</v>
      </c>
      <c r="Q483" t="s">
        <v>74</v>
      </c>
      <c r="R483" t="s">
        <v>74</v>
      </c>
      <c r="S483" t="s">
        <v>74</v>
      </c>
      <c r="T483" t="s">
        <v>9550</v>
      </c>
      <c r="U483" t="s">
        <v>9551</v>
      </c>
      <c r="V483" t="s">
        <v>9552</v>
      </c>
      <c r="W483" t="s">
        <v>9553</v>
      </c>
      <c r="X483" t="s">
        <v>9554</v>
      </c>
      <c r="Y483" t="s">
        <v>9555</v>
      </c>
      <c r="Z483" t="s">
        <v>9556</v>
      </c>
      <c r="AA483" t="s">
        <v>9557</v>
      </c>
      <c r="AB483" t="s">
        <v>9558</v>
      </c>
      <c r="AC483" t="s">
        <v>9559</v>
      </c>
      <c r="AD483" t="s">
        <v>9559</v>
      </c>
      <c r="AE483" t="s">
        <v>9560</v>
      </c>
      <c r="AF483" t="s">
        <v>74</v>
      </c>
      <c r="AG483">
        <v>42</v>
      </c>
      <c r="AH483">
        <v>4</v>
      </c>
      <c r="AI483">
        <v>4</v>
      </c>
      <c r="AJ483">
        <v>1</v>
      </c>
      <c r="AK483">
        <v>3</v>
      </c>
      <c r="AL483" t="s">
        <v>392</v>
      </c>
      <c r="AM483" t="s">
        <v>393</v>
      </c>
      <c r="AN483" t="s">
        <v>394</v>
      </c>
      <c r="AO483" t="s">
        <v>395</v>
      </c>
      <c r="AP483" t="s">
        <v>74</v>
      </c>
      <c r="AQ483" t="s">
        <v>74</v>
      </c>
      <c r="AR483" t="s">
        <v>396</v>
      </c>
      <c r="AS483" t="s">
        <v>397</v>
      </c>
      <c r="AT483" t="s">
        <v>9561</v>
      </c>
      <c r="AU483">
        <v>2023</v>
      </c>
      <c r="AV483">
        <v>14</v>
      </c>
      <c r="AW483" t="s">
        <v>74</v>
      </c>
      <c r="AX483" t="s">
        <v>74</v>
      </c>
      <c r="AY483" t="s">
        <v>74</v>
      </c>
      <c r="AZ483" t="s">
        <v>74</v>
      </c>
      <c r="BA483" t="s">
        <v>74</v>
      </c>
      <c r="BB483" t="s">
        <v>74</v>
      </c>
      <c r="BC483" t="s">
        <v>74</v>
      </c>
      <c r="BD483">
        <v>1221656</v>
      </c>
      <c r="BE483" t="s">
        <v>9562</v>
      </c>
      <c r="BF483" t="str">
        <f>HYPERLINK("http://dx.doi.org/10.3389/fneur.2023.1221656","http://dx.doi.org/10.3389/fneur.2023.1221656")</f>
        <v>http://dx.doi.org/10.3389/fneur.2023.1221656</v>
      </c>
      <c r="BG483" t="s">
        <v>74</v>
      </c>
      <c r="BH483" t="s">
        <v>74</v>
      </c>
      <c r="BI483">
        <v>7</v>
      </c>
      <c r="BJ483" t="s">
        <v>400</v>
      </c>
      <c r="BK483" t="s">
        <v>182</v>
      </c>
      <c r="BL483" t="s">
        <v>375</v>
      </c>
      <c r="BM483" t="s">
        <v>9563</v>
      </c>
      <c r="BN483">
        <v>38146442</v>
      </c>
      <c r="BO483" t="s">
        <v>131</v>
      </c>
      <c r="BP483" t="s">
        <v>74</v>
      </c>
      <c r="BQ483" t="s">
        <v>74</v>
      </c>
      <c r="BR483" t="s">
        <v>105</v>
      </c>
      <c r="BS483" t="s">
        <v>9564</v>
      </c>
      <c r="BT483" t="str">
        <f>HYPERLINK("https%3A%2F%2Fwww.webofscience.com%2Fwos%2Fwoscc%2Ffull-record%2FWOS:001134961300001","View Full Record in Web of Science")</f>
        <v>View Full Record in Web of Science</v>
      </c>
    </row>
    <row r="484" spans="1:72" x14ac:dyDescent="0.25">
      <c r="A484" t="s">
        <v>72</v>
      </c>
      <c r="B484" t="s">
        <v>9565</v>
      </c>
      <c r="C484" t="s">
        <v>74</v>
      </c>
      <c r="D484" t="s">
        <v>74</v>
      </c>
      <c r="E484" t="s">
        <v>74</v>
      </c>
      <c r="F484" t="s">
        <v>9566</v>
      </c>
      <c r="G484" t="s">
        <v>74</v>
      </c>
      <c r="H484" t="s">
        <v>74</v>
      </c>
      <c r="I484" t="s">
        <v>9567</v>
      </c>
      <c r="J484" t="s">
        <v>986</v>
      </c>
      <c r="K484" t="s">
        <v>74</v>
      </c>
      <c r="L484" t="s">
        <v>74</v>
      </c>
      <c r="M484" t="s">
        <v>78</v>
      </c>
      <c r="N484" t="s">
        <v>79</v>
      </c>
      <c r="O484" t="s">
        <v>74</v>
      </c>
      <c r="P484" t="s">
        <v>74</v>
      </c>
      <c r="Q484" t="s">
        <v>74</v>
      </c>
      <c r="R484" t="s">
        <v>74</v>
      </c>
      <c r="S484" t="s">
        <v>74</v>
      </c>
      <c r="T484" t="s">
        <v>9568</v>
      </c>
      <c r="U484" t="s">
        <v>9569</v>
      </c>
      <c r="V484" t="s">
        <v>9570</v>
      </c>
      <c r="W484" t="s">
        <v>9571</v>
      </c>
      <c r="X484" t="s">
        <v>9572</v>
      </c>
      <c r="Y484" t="s">
        <v>9573</v>
      </c>
      <c r="Z484" t="s">
        <v>9574</v>
      </c>
      <c r="AA484" t="s">
        <v>9575</v>
      </c>
      <c r="AB484" t="s">
        <v>74</v>
      </c>
      <c r="AC484" t="s">
        <v>9576</v>
      </c>
      <c r="AD484" t="s">
        <v>9576</v>
      </c>
      <c r="AE484" t="s">
        <v>9577</v>
      </c>
      <c r="AF484" t="s">
        <v>74</v>
      </c>
      <c r="AG484">
        <v>40</v>
      </c>
      <c r="AH484">
        <v>2</v>
      </c>
      <c r="AI484">
        <v>2</v>
      </c>
      <c r="AJ484">
        <v>0</v>
      </c>
      <c r="AK484">
        <v>4</v>
      </c>
      <c r="AL484" t="s">
        <v>996</v>
      </c>
      <c r="AM484" t="s">
        <v>275</v>
      </c>
      <c r="AN484" t="s">
        <v>997</v>
      </c>
      <c r="AO484" t="s">
        <v>74</v>
      </c>
      <c r="AP484" t="s">
        <v>998</v>
      </c>
      <c r="AQ484" t="s">
        <v>74</v>
      </c>
      <c r="AR484" t="s">
        <v>999</v>
      </c>
      <c r="AS484" t="s">
        <v>1000</v>
      </c>
      <c r="AT484" t="s">
        <v>9561</v>
      </c>
      <c r="AU484">
        <v>2023</v>
      </c>
      <c r="AV484">
        <v>15</v>
      </c>
      <c r="AW484">
        <v>12</v>
      </c>
      <c r="AX484" t="s">
        <v>74</v>
      </c>
      <c r="AY484" t="s">
        <v>74</v>
      </c>
      <c r="AZ484" t="s">
        <v>74</v>
      </c>
      <c r="BA484" t="s">
        <v>74</v>
      </c>
      <c r="BB484" t="s">
        <v>74</v>
      </c>
      <c r="BC484" t="s">
        <v>74</v>
      </c>
      <c r="BD484" t="s">
        <v>9578</v>
      </c>
      <c r="BE484" t="s">
        <v>9579</v>
      </c>
      <c r="BF484" t="str">
        <f>HYPERLINK("http://dx.doi.org/10.7759/cureus.50316","http://dx.doi.org/10.7759/cureus.50316")</f>
        <v>http://dx.doi.org/10.7759/cureus.50316</v>
      </c>
      <c r="BG484" t="s">
        <v>74</v>
      </c>
      <c r="BH484" t="s">
        <v>74</v>
      </c>
      <c r="BI484">
        <v>7</v>
      </c>
      <c r="BJ484" t="s">
        <v>128</v>
      </c>
      <c r="BK484" t="s">
        <v>155</v>
      </c>
      <c r="BL484" t="s">
        <v>129</v>
      </c>
      <c r="BM484" t="s">
        <v>9580</v>
      </c>
      <c r="BN484">
        <v>38205460</v>
      </c>
      <c r="BO484" t="s">
        <v>185</v>
      </c>
      <c r="BP484" t="s">
        <v>74</v>
      </c>
      <c r="BQ484" t="s">
        <v>74</v>
      </c>
      <c r="BR484" t="s">
        <v>105</v>
      </c>
      <c r="BS484" t="s">
        <v>9581</v>
      </c>
      <c r="BT484" t="str">
        <f>HYPERLINK("https%3A%2F%2Fwww.webofscience.com%2Fwos%2Fwoscc%2Ffull-record%2FWOS:001126866900015","View Full Record in Web of Science")</f>
        <v>View Full Record in Web of Science</v>
      </c>
    </row>
    <row r="485" spans="1:72" x14ac:dyDescent="0.25">
      <c r="A485" t="s">
        <v>72</v>
      </c>
      <c r="B485" t="s">
        <v>9582</v>
      </c>
      <c r="C485" t="s">
        <v>74</v>
      </c>
      <c r="D485" t="s">
        <v>74</v>
      </c>
      <c r="E485" t="s">
        <v>74</v>
      </c>
      <c r="F485" t="s">
        <v>9583</v>
      </c>
      <c r="G485" t="s">
        <v>74</v>
      </c>
      <c r="H485" t="s">
        <v>74</v>
      </c>
      <c r="I485" t="s">
        <v>9584</v>
      </c>
      <c r="J485" t="s">
        <v>986</v>
      </c>
      <c r="K485" t="s">
        <v>74</v>
      </c>
      <c r="L485" t="s">
        <v>74</v>
      </c>
      <c r="M485" t="s">
        <v>78</v>
      </c>
      <c r="N485" t="s">
        <v>79</v>
      </c>
      <c r="O485" t="s">
        <v>74</v>
      </c>
      <c r="P485" t="s">
        <v>74</v>
      </c>
      <c r="Q485" t="s">
        <v>74</v>
      </c>
      <c r="R485" t="s">
        <v>74</v>
      </c>
      <c r="S485" t="s">
        <v>74</v>
      </c>
      <c r="T485" t="s">
        <v>9585</v>
      </c>
      <c r="U485" t="s">
        <v>7862</v>
      </c>
      <c r="V485" t="s">
        <v>9586</v>
      </c>
      <c r="W485" t="s">
        <v>9587</v>
      </c>
      <c r="X485" t="s">
        <v>9588</v>
      </c>
      <c r="Y485" t="s">
        <v>9589</v>
      </c>
      <c r="Z485" t="s">
        <v>9590</v>
      </c>
      <c r="AA485" t="s">
        <v>74</v>
      </c>
      <c r="AB485" t="s">
        <v>74</v>
      </c>
      <c r="AC485" t="s">
        <v>74</v>
      </c>
      <c r="AD485" t="s">
        <v>74</v>
      </c>
      <c r="AE485" t="s">
        <v>74</v>
      </c>
      <c r="AF485" t="s">
        <v>74</v>
      </c>
      <c r="AG485">
        <v>30</v>
      </c>
      <c r="AH485">
        <v>10</v>
      </c>
      <c r="AI485">
        <v>10</v>
      </c>
      <c r="AJ485">
        <v>6</v>
      </c>
      <c r="AK485">
        <v>12</v>
      </c>
      <c r="AL485" t="s">
        <v>996</v>
      </c>
      <c r="AM485" t="s">
        <v>275</v>
      </c>
      <c r="AN485" t="s">
        <v>997</v>
      </c>
      <c r="AO485" t="s">
        <v>74</v>
      </c>
      <c r="AP485" t="s">
        <v>998</v>
      </c>
      <c r="AQ485" t="s">
        <v>74</v>
      </c>
      <c r="AR485" t="s">
        <v>999</v>
      </c>
      <c r="AS485" t="s">
        <v>1000</v>
      </c>
      <c r="AT485" t="s">
        <v>9591</v>
      </c>
      <c r="AU485">
        <v>2023</v>
      </c>
      <c r="AV485">
        <v>15</v>
      </c>
      <c r="AW485">
        <v>12</v>
      </c>
      <c r="AX485" t="s">
        <v>74</v>
      </c>
      <c r="AY485" t="s">
        <v>74</v>
      </c>
      <c r="AZ485" t="s">
        <v>74</v>
      </c>
      <c r="BA485" t="s">
        <v>74</v>
      </c>
      <c r="BB485" t="s">
        <v>74</v>
      </c>
      <c r="BC485" t="s">
        <v>74</v>
      </c>
      <c r="BD485" t="s">
        <v>9592</v>
      </c>
      <c r="BE485" t="s">
        <v>9593</v>
      </c>
      <c r="BF485" t="str">
        <f>HYPERLINK("http://dx.doi.org/10.7759/cureus.49887","http://dx.doi.org/10.7759/cureus.49887")</f>
        <v>http://dx.doi.org/10.7759/cureus.49887</v>
      </c>
      <c r="BG485" t="s">
        <v>74</v>
      </c>
      <c r="BH485" t="s">
        <v>74</v>
      </c>
      <c r="BI485">
        <v>7</v>
      </c>
      <c r="BJ485" t="s">
        <v>128</v>
      </c>
      <c r="BK485" t="s">
        <v>155</v>
      </c>
      <c r="BL485" t="s">
        <v>129</v>
      </c>
      <c r="BM485" t="s">
        <v>9594</v>
      </c>
      <c r="BN485">
        <v>38174199</v>
      </c>
      <c r="BO485" t="s">
        <v>131</v>
      </c>
      <c r="BP485" t="s">
        <v>74</v>
      </c>
      <c r="BQ485" t="s">
        <v>74</v>
      </c>
      <c r="BR485" t="s">
        <v>105</v>
      </c>
      <c r="BS485" t="s">
        <v>9595</v>
      </c>
      <c r="BT485" t="str">
        <f>HYPERLINK("https%3A%2F%2Fwww.webofscience.com%2Fwos%2Fwoscc%2Ffull-record%2FWOS:001122699000005","View Full Record in Web of Science")</f>
        <v>View Full Record in Web of Science</v>
      </c>
    </row>
    <row r="486" spans="1:72" x14ac:dyDescent="0.25">
      <c r="A486" t="s">
        <v>72</v>
      </c>
      <c r="B486" t="s">
        <v>9596</v>
      </c>
      <c r="C486" t="s">
        <v>74</v>
      </c>
      <c r="D486" t="s">
        <v>74</v>
      </c>
      <c r="E486" t="s">
        <v>74</v>
      </c>
      <c r="F486" t="s">
        <v>9597</v>
      </c>
      <c r="G486" t="s">
        <v>74</v>
      </c>
      <c r="H486" t="s">
        <v>74</v>
      </c>
      <c r="I486" t="s">
        <v>9598</v>
      </c>
      <c r="J486" t="s">
        <v>6946</v>
      </c>
      <c r="K486" t="s">
        <v>74</v>
      </c>
      <c r="L486" t="s">
        <v>74</v>
      </c>
      <c r="M486" t="s">
        <v>78</v>
      </c>
      <c r="N486" t="s">
        <v>79</v>
      </c>
      <c r="O486" t="s">
        <v>74</v>
      </c>
      <c r="P486" t="s">
        <v>74</v>
      </c>
      <c r="Q486" t="s">
        <v>74</v>
      </c>
      <c r="R486" t="s">
        <v>74</v>
      </c>
      <c r="S486" t="s">
        <v>74</v>
      </c>
      <c r="T486" t="s">
        <v>9599</v>
      </c>
      <c r="U486" t="s">
        <v>9600</v>
      </c>
      <c r="V486" t="s">
        <v>9601</v>
      </c>
      <c r="W486" t="s">
        <v>9602</v>
      </c>
      <c r="X486" t="s">
        <v>9603</v>
      </c>
      <c r="Y486" t="s">
        <v>9604</v>
      </c>
      <c r="Z486" t="s">
        <v>9605</v>
      </c>
      <c r="AA486" t="s">
        <v>9606</v>
      </c>
      <c r="AB486" t="s">
        <v>9607</v>
      </c>
      <c r="AC486" t="s">
        <v>9608</v>
      </c>
      <c r="AD486" t="s">
        <v>9608</v>
      </c>
      <c r="AE486" t="s">
        <v>171</v>
      </c>
      <c r="AF486" t="s">
        <v>74</v>
      </c>
      <c r="AG486">
        <v>108</v>
      </c>
      <c r="AH486">
        <v>11</v>
      </c>
      <c r="AI486">
        <v>11</v>
      </c>
      <c r="AJ486">
        <v>7</v>
      </c>
      <c r="AK486">
        <v>27</v>
      </c>
      <c r="AL486" t="s">
        <v>120</v>
      </c>
      <c r="AM486" t="s">
        <v>121</v>
      </c>
      <c r="AN486" t="s">
        <v>122</v>
      </c>
      <c r="AO486" t="s">
        <v>74</v>
      </c>
      <c r="AP486" t="s">
        <v>6959</v>
      </c>
      <c r="AQ486" t="s">
        <v>74</v>
      </c>
      <c r="AR486" t="s">
        <v>6946</v>
      </c>
      <c r="AS486" t="s">
        <v>6960</v>
      </c>
      <c r="AT486" t="s">
        <v>151</v>
      </c>
      <c r="AU486">
        <v>2023</v>
      </c>
      <c r="AV486">
        <v>11</v>
      </c>
      <c r="AW486">
        <v>6</v>
      </c>
      <c r="AX486" t="s">
        <v>74</v>
      </c>
      <c r="AY486" t="s">
        <v>74</v>
      </c>
      <c r="AZ486" t="s">
        <v>74</v>
      </c>
      <c r="BA486" t="s">
        <v>74</v>
      </c>
      <c r="BB486" t="s">
        <v>74</v>
      </c>
      <c r="BC486" t="s">
        <v>74</v>
      </c>
      <c r="BD486">
        <v>157</v>
      </c>
      <c r="BE486" t="s">
        <v>9609</v>
      </c>
      <c r="BF486" t="str">
        <f>HYPERLINK("http://dx.doi.org/10.3390/technologies11060157","http://dx.doi.org/10.3390/technologies11060157")</f>
        <v>http://dx.doi.org/10.3390/technologies11060157</v>
      </c>
      <c r="BG486" t="s">
        <v>74</v>
      </c>
      <c r="BH486" t="s">
        <v>74</v>
      </c>
      <c r="BI486">
        <v>24</v>
      </c>
      <c r="BJ486" t="s">
        <v>1202</v>
      </c>
      <c r="BK486" t="s">
        <v>155</v>
      </c>
      <c r="BL486" t="s">
        <v>183</v>
      </c>
      <c r="BM486" t="s">
        <v>9610</v>
      </c>
      <c r="BN486" t="s">
        <v>74</v>
      </c>
      <c r="BO486" t="s">
        <v>185</v>
      </c>
      <c r="BP486" t="s">
        <v>74</v>
      </c>
      <c r="BQ486" t="s">
        <v>74</v>
      </c>
      <c r="BR486" t="s">
        <v>105</v>
      </c>
      <c r="BS486" t="s">
        <v>9611</v>
      </c>
      <c r="BT486" t="str">
        <f>HYPERLINK("https%3A%2F%2Fwww.webofscience.com%2Fwos%2Fwoscc%2Ffull-record%2FWOS:001131275500001","View Full Record in Web of Science")</f>
        <v>View Full Record in Web of Science</v>
      </c>
    </row>
    <row r="487" spans="1:72" x14ac:dyDescent="0.25">
      <c r="A487" t="s">
        <v>72</v>
      </c>
      <c r="B487" t="s">
        <v>9612</v>
      </c>
      <c r="C487" t="s">
        <v>74</v>
      </c>
      <c r="D487" t="s">
        <v>74</v>
      </c>
      <c r="E487" t="s">
        <v>74</v>
      </c>
      <c r="F487" t="s">
        <v>9613</v>
      </c>
      <c r="G487" t="s">
        <v>74</v>
      </c>
      <c r="H487" t="s">
        <v>74</v>
      </c>
      <c r="I487" t="s">
        <v>9614</v>
      </c>
      <c r="J487" t="s">
        <v>9615</v>
      </c>
      <c r="K487" t="s">
        <v>74</v>
      </c>
      <c r="L487" t="s">
        <v>74</v>
      </c>
      <c r="M487" t="s">
        <v>78</v>
      </c>
      <c r="N487" t="s">
        <v>79</v>
      </c>
      <c r="O487" t="s">
        <v>74</v>
      </c>
      <c r="P487" t="s">
        <v>74</v>
      </c>
      <c r="Q487" t="s">
        <v>74</v>
      </c>
      <c r="R487" t="s">
        <v>74</v>
      </c>
      <c r="S487" t="s">
        <v>74</v>
      </c>
      <c r="T487" t="s">
        <v>9616</v>
      </c>
      <c r="U487" t="s">
        <v>9617</v>
      </c>
      <c r="V487" t="s">
        <v>9618</v>
      </c>
      <c r="W487" t="s">
        <v>9619</v>
      </c>
      <c r="X487" t="s">
        <v>9620</v>
      </c>
      <c r="Y487" t="s">
        <v>9621</v>
      </c>
      <c r="Z487" t="s">
        <v>9622</v>
      </c>
      <c r="AA487" t="s">
        <v>9623</v>
      </c>
      <c r="AB487" t="s">
        <v>9624</v>
      </c>
      <c r="AC487" t="s">
        <v>7599</v>
      </c>
      <c r="AD487" t="s">
        <v>4047</v>
      </c>
      <c r="AE487" t="s">
        <v>171</v>
      </c>
      <c r="AF487" t="s">
        <v>74</v>
      </c>
      <c r="AG487">
        <v>98</v>
      </c>
      <c r="AH487">
        <v>45</v>
      </c>
      <c r="AI487">
        <v>47</v>
      </c>
      <c r="AJ487">
        <v>62</v>
      </c>
      <c r="AK487">
        <v>165</v>
      </c>
      <c r="AL487" t="s">
        <v>1114</v>
      </c>
      <c r="AM487" t="s">
        <v>1115</v>
      </c>
      <c r="AN487" t="s">
        <v>1116</v>
      </c>
      <c r="AO487" t="s">
        <v>9625</v>
      </c>
      <c r="AP487" t="s">
        <v>9626</v>
      </c>
      <c r="AQ487" t="s">
        <v>74</v>
      </c>
      <c r="AR487" t="s">
        <v>9627</v>
      </c>
      <c r="AS487" t="s">
        <v>9628</v>
      </c>
      <c r="AT487" t="s">
        <v>151</v>
      </c>
      <c r="AU487">
        <v>2023</v>
      </c>
      <c r="AV487">
        <v>15</v>
      </c>
      <c r="AW487">
        <v>4</v>
      </c>
      <c r="AX487" t="s">
        <v>74</v>
      </c>
      <c r="AY487" t="s">
        <v>74</v>
      </c>
      <c r="AZ487" t="s">
        <v>74</v>
      </c>
      <c r="BA487" t="s">
        <v>74</v>
      </c>
      <c r="BB487">
        <v>2053</v>
      </c>
      <c r="BC487">
        <v>2063</v>
      </c>
      <c r="BD487" t="s">
        <v>74</v>
      </c>
      <c r="BE487" t="s">
        <v>9629</v>
      </c>
      <c r="BF487" t="str">
        <f>HYPERLINK("http://dx.doi.org/10.1109/TCDS.2021.3098350","http://dx.doi.org/10.1109/TCDS.2021.3098350")</f>
        <v>http://dx.doi.org/10.1109/TCDS.2021.3098350</v>
      </c>
      <c r="BG487" t="s">
        <v>74</v>
      </c>
      <c r="BH487" t="s">
        <v>74</v>
      </c>
      <c r="BI487">
        <v>11</v>
      </c>
      <c r="BJ487" t="s">
        <v>1249</v>
      </c>
      <c r="BK487" t="s">
        <v>182</v>
      </c>
      <c r="BL487" t="s">
        <v>1250</v>
      </c>
      <c r="BM487" t="s">
        <v>9630</v>
      </c>
      <c r="BN487" t="s">
        <v>74</v>
      </c>
      <c r="BO487" t="s">
        <v>3048</v>
      </c>
      <c r="BP487" t="s">
        <v>74</v>
      </c>
      <c r="BQ487" t="s">
        <v>74</v>
      </c>
      <c r="BR487" t="s">
        <v>105</v>
      </c>
      <c r="BS487" t="s">
        <v>9631</v>
      </c>
      <c r="BT487" t="str">
        <f>HYPERLINK("https%3A%2F%2Fwww.webofscience.com%2Fwos%2Fwoscc%2Ffull-record%2FWOS:001126639000010","View Full Record in Web of Science")</f>
        <v>View Full Record in Web of Science</v>
      </c>
    </row>
    <row r="488" spans="1:72" x14ac:dyDescent="0.25">
      <c r="A488" t="s">
        <v>72</v>
      </c>
      <c r="B488" t="s">
        <v>9632</v>
      </c>
      <c r="C488" t="s">
        <v>74</v>
      </c>
      <c r="D488" t="s">
        <v>74</v>
      </c>
      <c r="E488" t="s">
        <v>74</v>
      </c>
      <c r="F488" t="s">
        <v>9633</v>
      </c>
      <c r="G488" t="s">
        <v>74</v>
      </c>
      <c r="H488" t="s">
        <v>74</v>
      </c>
      <c r="I488" t="s">
        <v>9634</v>
      </c>
      <c r="J488" t="s">
        <v>9635</v>
      </c>
      <c r="K488" t="s">
        <v>74</v>
      </c>
      <c r="L488" t="s">
        <v>74</v>
      </c>
      <c r="M488" t="s">
        <v>78</v>
      </c>
      <c r="N488" t="s">
        <v>79</v>
      </c>
      <c r="O488" t="s">
        <v>74</v>
      </c>
      <c r="P488" t="s">
        <v>74</v>
      </c>
      <c r="Q488" t="s">
        <v>74</v>
      </c>
      <c r="R488" t="s">
        <v>74</v>
      </c>
      <c r="S488" t="s">
        <v>74</v>
      </c>
      <c r="T488" t="s">
        <v>9636</v>
      </c>
      <c r="U488" t="s">
        <v>9637</v>
      </c>
      <c r="V488" t="s">
        <v>9638</v>
      </c>
      <c r="W488" t="s">
        <v>9639</v>
      </c>
      <c r="X488" t="s">
        <v>7751</v>
      </c>
      <c r="Y488" t="s">
        <v>9640</v>
      </c>
      <c r="Z488" t="s">
        <v>9641</v>
      </c>
      <c r="AA488" t="s">
        <v>9642</v>
      </c>
      <c r="AB488" t="s">
        <v>9643</v>
      </c>
      <c r="AC488" t="s">
        <v>9644</v>
      </c>
      <c r="AD488" t="s">
        <v>9644</v>
      </c>
      <c r="AE488" t="s">
        <v>9645</v>
      </c>
      <c r="AF488" t="s">
        <v>74</v>
      </c>
      <c r="AG488">
        <v>72</v>
      </c>
      <c r="AH488">
        <v>4</v>
      </c>
      <c r="AI488">
        <v>4</v>
      </c>
      <c r="AJ488">
        <v>4</v>
      </c>
      <c r="AK488">
        <v>29</v>
      </c>
      <c r="AL488" t="s">
        <v>120</v>
      </c>
      <c r="AM488" t="s">
        <v>121</v>
      </c>
      <c r="AN488" t="s">
        <v>122</v>
      </c>
      <c r="AO488" t="s">
        <v>74</v>
      </c>
      <c r="AP488" t="s">
        <v>9646</v>
      </c>
      <c r="AQ488" t="s">
        <v>74</v>
      </c>
      <c r="AR488" t="s">
        <v>9635</v>
      </c>
      <c r="AS488" t="s">
        <v>9647</v>
      </c>
      <c r="AT488" t="s">
        <v>151</v>
      </c>
      <c r="AU488">
        <v>2023</v>
      </c>
      <c r="AV488">
        <v>13</v>
      </c>
      <c r="AW488">
        <v>23</v>
      </c>
      <c r="AX488" t="s">
        <v>74</v>
      </c>
      <c r="AY488" t="s">
        <v>74</v>
      </c>
      <c r="AZ488" t="s">
        <v>74</v>
      </c>
      <c r="BA488" t="s">
        <v>74</v>
      </c>
      <c r="BB488" t="s">
        <v>74</v>
      </c>
      <c r="BC488" t="s">
        <v>74</v>
      </c>
      <c r="BD488">
        <v>3561</v>
      </c>
      <c r="BE488" t="s">
        <v>9648</v>
      </c>
      <c r="BF488" t="str">
        <f>HYPERLINK("http://dx.doi.org/10.3390/diagnostics13233561","http://dx.doi.org/10.3390/diagnostics13233561")</f>
        <v>http://dx.doi.org/10.3390/diagnostics13233561</v>
      </c>
      <c r="BG488" t="s">
        <v>74</v>
      </c>
      <c r="BH488" t="s">
        <v>74</v>
      </c>
      <c r="BI488">
        <v>14</v>
      </c>
      <c r="BJ488" t="s">
        <v>128</v>
      </c>
      <c r="BK488" t="s">
        <v>182</v>
      </c>
      <c r="BL488" t="s">
        <v>129</v>
      </c>
      <c r="BM488" t="s">
        <v>9649</v>
      </c>
      <c r="BN488">
        <v>38066802</v>
      </c>
      <c r="BO488" t="s">
        <v>185</v>
      </c>
      <c r="BP488" t="s">
        <v>74</v>
      </c>
      <c r="BQ488" t="s">
        <v>74</v>
      </c>
      <c r="BR488" t="s">
        <v>105</v>
      </c>
      <c r="BS488" t="s">
        <v>9650</v>
      </c>
      <c r="BT488" t="str">
        <f>HYPERLINK("https%3A%2F%2Fwww.webofscience.com%2Fwos%2Fwoscc%2Ffull-record%2FWOS:001115938200001","View Full Record in Web of Science")</f>
        <v>View Full Record in Web of Science</v>
      </c>
    </row>
    <row r="489" spans="1:72" x14ac:dyDescent="0.25">
      <c r="A489" t="s">
        <v>72</v>
      </c>
      <c r="B489" t="s">
        <v>9651</v>
      </c>
      <c r="C489" t="s">
        <v>74</v>
      </c>
      <c r="D489" t="s">
        <v>74</v>
      </c>
      <c r="E489" t="s">
        <v>74</v>
      </c>
      <c r="F489" t="s">
        <v>9652</v>
      </c>
      <c r="G489" t="s">
        <v>74</v>
      </c>
      <c r="H489" t="s">
        <v>74</v>
      </c>
      <c r="I489" t="s">
        <v>9653</v>
      </c>
      <c r="J489" t="s">
        <v>2745</v>
      </c>
      <c r="K489" t="s">
        <v>74</v>
      </c>
      <c r="L489" t="s">
        <v>74</v>
      </c>
      <c r="M489" t="s">
        <v>78</v>
      </c>
      <c r="N489" t="s">
        <v>79</v>
      </c>
      <c r="O489" t="s">
        <v>74</v>
      </c>
      <c r="P489" t="s">
        <v>74</v>
      </c>
      <c r="Q489" t="s">
        <v>74</v>
      </c>
      <c r="R489" t="s">
        <v>74</v>
      </c>
      <c r="S489" t="s">
        <v>74</v>
      </c>
      <c r="T489" t="s">
        <v>9654</v>
      </c>
      <c r="U489" t="s">
        <v>74</v>
      </c>
      <c r="V489" t="s">
        <v>9655</v>
      </c>
      <c r="W489" t="s">
        <v>9656</v>
      </c>
      <c r="X489" t="s">
        <v>9657</v>
      </c>
      <c r="Y489" t="s">
        <v>9658</v>
      </c>
      <c r="Z489" t="s">
        <v>9659</v>
      </c>
      <c r="AA489" t="s">
        <v>9660</v>
      </c>
      <c r="AB489" t="s">
        <v>9661</v>
      </c>
      <c r="AC489" t="s">
        <v>9662</v>
      </c>
      <c r="AD489" t="s">
        <v>9663</v>
      </c>
      <c r="AE489" t="s">
        <v>9664</v>
      </c>
      <c r="AF489" t="s">
        <v>74</v>
      </c>
      <c r="AG489">
        <v>82</v>
      </c>
      <c r="AH489">
        <v>21</v>
      </c>
      <c r="AI489">
        <v>23</v>
      </c>
      <c r="AJ489">
        <v>19</v>
      </c>
      <c r="AK489">
        <v>62</v>
      </c>
      <c r="AL489" t="s">
        <v>120</v>
      </c>
      <c r="AM489" t="s">
        <v>121</v>
      </c>
      <c r="AN489" t="s">
        <v>1221</v>
      </c>
      <c r="AO489" t="s">
        <v>74</v>
      </c>
      <c r="AP489" t="s">
        <v>2757</v>
      </c>
      <c r="AQ489" t="s">
        <v>74</v>
      </c>
      <c r="AR489" t="s">
        <v>2745</v>
      </c>
      <c r="AS489" t="s">
        <v>2758</v>
      </c>
      <c r="AT489" t="s">
        <v>151</v>
      </c>
      <c r="AU489">
        <v>2023</v>
      </c>
      <c r="AV489">
        <v>10</v>
      </c>
      <c r="AW489">
        <v>12</v>
      </c>
      <c r="AX489" t="s">
        <v>74</v>
      </c>
      <c r="AY489" t="s">
        <v>74</v>
      </c>
      <c r="AZ489" t="s">
        <v>74</v>
      </c>
      <c r="BA489" t="s">
        <v>74</v>
      </c>
      <c r="BB489" t="s">
        <v>74</v>
      </c>
      <c r="BC489" t="s">
        <v>74</v>
      </c>
      <c r="BD489">
        <v>1393</v>
      </c>
      <c r="BE489" t="s">
        <v>9665</v>
      </c>
      <c r="BF489" t="str">
        <f>HYPERLINK("http://dx.doi.org/10.3390/bioengineering10121393","http://dx.doi.org/10.3390/bioengineering10121393")</f>
        <v>http://dx.doi.org/10.3390/bioengineering10121393</v>
      </c>
      <c r="BG489" t="s">
        <v>74</v>
      </c>
      <c r="BH489" t="s">
        <v>74</v>
      </c>
      <c r="BI489">
        <v>27</v>
      </c>
      <c r="BJ489" t="s">
        <v>2760</v>
      </c>
      <c r="BK489" t="s">
        <v>182</v>
      </c>
      <c r="BL489" t="s">
        <v>2761</v>
      </c>
      <c r="BM489" t="s">
        <v>9666</v>
      </c>
      <c r="BN489">
        <v>38135985</v>
      </c>
      <c r="BO489" t="s">
        <v>131</v>
      </c>
      <c r="BP489" t="s">
        <v>74</v>
      </c>
      <c r="BQ489" t="s">
        <v>74</v>
      </c>
      <c r="BR489" t="s">
        <v>105</v>
      </c>
      <c r="BS489" t="s">
        <v>9667</v>
      </c>
      <c r="BT489" t="str">
        <f>HYPERLINK("https%3A%2F%2Fwww.webofscience.com%2Fwos%2Fwoscc%2Ffull-record%2FWOS:001131247900001","View Full Record in Web of Science")</f>
        <v>View Full Record in Web of Science</v>
      </c>
    </row>
    <row r="490" spans="1:72" x14ac:dyDescent="0.25">
      <c r="A490" t="s">
        <v>72</v>
      </c>
      <c r="B490" t="s">
        <v>9668</v>
      </c>
      <c r="C490" t="s">
        <v>74</v>
      </c>
      <c r="D490" t="s">
        <v>74</v>
      </c>
      <c r="E490" t="s">
        <v>74</v>
      </c>
      <c r="F490" t="s">
        <v>9669</v>
      </c>
      <c r="G490" t="s">
        <v>74</v>
      </c>
      <c r="H490" t="s">
        <v>74</v>
      </c>
      <c r="I490" t="s">
        <v>9670</v>
      </c>
      <c r="J490" t="s">
        <v>9671</v>
      </c>
      <c r="K490" t="s">
        <v>74</v>
      </c>
      <c r="L490" t="s">
        <v>74</v>
      </c>
      <c r="M490" t="s">
        <v>78</v>
      </c>
      <c r="N490" t="s">
        <v>79</v>
      </c>
      <c r="O490" t="s">
        <v>74</v>
      </c>
      <c r="P490" t="s">
        <v>74</v>
      </c>
      <c r="Q490" t="s">
        <v>74</v>
      </c>
      <c r="R490" t="s">
        <v>74</v>
      </c>
      <c r="S490" t="s">
        <v>74</v>
      </c>
      <c r="T490" t="s">
        <v>9672</v>
      </c>
      <c r="U490" t="s">
        <v>9673</v>
      </c>
      <c r="V490" t="s">
        <v>9674</v>
      </c>
      <c r="W490" t="s">
        <v>9675</v>
      </c>
      <c r="X490" t="s">
        <v>9676</v>
      </c>
      <c r="Y490" t="s">
        <v>9677</v>
      </c>
      <c r="Z490" t="s">
        <v>9678</v>
      </c>
      <c r="AA490" t="s">
        <v>9679</v>
      </c>
      <c r="AB490" t="s">
        <v>9680</v>
      </c>
      <c r="AC490" t="s">
        <v>74</v>
      </c>
      <c r="AD490" t="s">
        <v>74</v>
      </c>
      <c r="AE490" t="s">
        <v>74</v>
      </c>
      <c r="AF490" t="s">
        <v>74</v>
      </c>
      <c r="AG490">
        <v>163</v>
      </c>
      <c r="AH490">
        <v>3</v>
      </c>
      <c r="AI490">
        <v>3</v>
      </c>
      <c r="AJ490">
        <v>12</v>
      </c>
      <c r="AK490">
        <v>22</v>
      </c>
      <c r="AL490" t="s">
        <v>120</v>
      </c>
      <c r="AM490" t="s">
        <v>121</v>
      </c>
      <c r="AN490" t="s">
        <v>122</v>
      </c>
      <c r="AO490" t="s">
        <v>74</v>
      </c>
      <c r="AP490" t="s">
        <v>9681</v>
      </c>
      <c r="AQ490" t="s">
        <v>74</v>
      </c>
      <c r="AR490" t="s">
        <v>9682</v>
      </c>
      <c r="AS490" t="s">
        <v>9683</v>
      </c>
      <c r="AT490" t="s">
        <v>151</v>
      </c>
      <c r="AU490">
        <v>2023</v>
      </c>
      <c r="AV490">
        <v>3</v>
      </c>
      <c r="AW490">
        <v>4</v>
      </c>
      <c r="AX490" t="s">
        <v>74</v>
      </c>
      <c r="AY490" t="s">
        <v>74</v>
      </c>
      <c r="AZ490" t="s">
        <v>74</v>
      </c>
      <c r="BA490" t="s">
        <v>74</v>
      </c>
      <c r="BB490">
        <v>820</v>
      </c>
      <c r="BC490">
        <v>854</v>
      </c>
      <c r="BD490" t="s">
        <v>74</v>
      </c>
      <c r="BE490" t="s">
        <v>9684</v>
      </c>
      <c r="BF490" t="str">
        <f>HYPERLINK("http://dx.doi.org/10.3390/dynamics3040045","http://dx.doi.org/10.3390/dynamics3040045")</f>
        <v>http://dx.doi.org/10.3390/dynamics3040045</v>
      </c>
      <c r="BG490" t="s">
        <v>74</v>
      </c>
      <c r="BH490" t="s">
        <v>74</v>
      </c>
      <c r="BI490">
        <v>35</v>
      </c>
      <c r="BJ490" t="s">
        <v>7980</v>
      </c>
      <c r="BK490" t="s">
        <v>155</v>
      </c>
      <c r="BL490" t="s">
        <v>7981</v>
      </c>
      <c r="BM490" t="s">
        <v>9685</v>
      </c>
      <c r="BN490" t="s">
        <v>74</v>
      </c>
      <c r="BO490" t="s">
        <v>185</v>
      </c>
      <c r="BP490" t="s">
        <v>74</v>
      </c>
      <c r="BQ490" t="s">
        <v>74</v>
      </c>
      <c r="BR490" t="s">
        <v>105</v>
      </c>
      <c r="BS490" t="s">
        <v>9686</v>
      </c>
      <c r="BT490" t="str">
        <f>HYPERLINK("https%3A%2F%2Fwww.webofscience.com%2Fwos%2Fwoscc%2Ffull-record%2FWOS:001314773900001","View Full Record in Web of Science")</f>
        <v>View Full Record in Web of Science</v>
      </c>
    </row>
    <row r="491" spans="1:72" x14ac:dyDescent="0.25">
      <c r="A491" t="s">
        <v>72</v>
      </c>
      <c r="B491" t="s">
        <v>9687</v>
      </c>
      <c r="C491" t="s">
        <v>74</v>
      </c>
      <c r="D491" t="s">
        <v>74</v>
      </c>
      <c r="E491" t="s">
        <v>74</v>
      </c>
      <c r="F491" t="s">
        <v>9688</v>
      </c>
      <c r="G491" t="s">
        <v>74</v>
      </c>
      <c r="H491" t="s">
        <v>74</v>
      </c>
      <c r="I491" t="s">
        <v>9689</v>
      </c>
      <c r="J491" t="s">
        <v>110</v>
      </c>
      <c r="K491" t="s">
        <v>74</v>
      </c>
      <c r="L491" t="s">
        <v>74</v>
      </c>
      <c r="M491" t="s">
        <v>78</v>
      </c>
      <c r="N491" t="s">
        <v>79</v>
      </c>
      <c r="O491" t="s">
        <v>74</v>
      </c>
      <c r="P491" t="s">
        <v>74</v>
      </c>
      <c r="Q491" t="s">
        <v>74</v>
      </c>
      <c r="R491" t="s">
        <v>74</v>
      </c>
      <c r="S491" t="s">
        <v>74</v>
      </c>
      <c r="T491" t="s">
        <v>9690</v>
      </c>
      <c r="U491" t="s">
        <v>9691</v>
      </c>
      <c r="V491" t="s">
        <v>9692</v>
      </c>
      <c r="W491" t="s">
        <v>9693</v>
      </c>
      <c r="X491" t="s">
        <v>9694</v>
      </c>
      <c r="Y491" t="s">
        <v>9695</v>
      </c>
      <c r="Z491" t="s">
        <v>9696</v>
      </c>
      <c r="AA491" t="s">
        <v>9697</v>
      </c>
      <c r="AB491" t="s">
        <v>9698</v>
      </c>
      <c r="AC491" t="s">
        <v>4344</v>
      </c>
      <c r="AD491" t="s">
        <v>9699</v>
      </c>
      <c r="AE491" t="s">
        <v>171</v>
      </c>
      <c r="AF491" t="s">
        <v>74</v>
      </c>
      <c r="AG491">
        <v>222</v>
      </c>
      <c r="AH491">
        <v>9</v>
      </c>
      <c r="AI491">
        <v>9</v>
      </c>
      <c r="AJ491">
        <v>5</v>
      </c>
      <c r="AK491">
        <v>38</v>
      </c>
      <c r="AL491" t="s">
        <v>120</v>
      </c>
      <c r="AM491" t="s">
        <v>121</v>
      </c>
      <c r="AN491" t="s">
        <v>122</v>
      </c>
      <c r="AO491" t="s">
        <v>74</v>
      </c>
      <c r="AP491" t="s">
        <v>123</v>
      </c>
      <c r="AQ491" t="s">
        <v>74</v>
      </c>
      <c r="AR491" t="s">
        <v>124</v>
      </c>
      <c r="AS491" t="s">
        <v>125</v>
      </c>
      <c r="AT491" t="s">
        <v>151</v>
      </c>
      <c r="AU491">
        <v>2023</v>
      </c>
      <c r="AV491">
        <v>12</v>
      </c>
      <c r="AW491">
        <v>23</v>
      </c>
      <c r="AX491" t="s">
        <v>74</v>
      </c>
      <c r="AY491" t="s">
        <v>74</v>
      </c>
      <c r="AZ491" t="s">
        <v>74</v>
      </c>
      <c r="BA491" t="s">
        <v>74</v>
      </c>
      <c r="BB491" t="s">
        <v>74</v>
      </c>
      <c r="BC491" t="s">
        <v>74</v>
      </c>
      <c r="BD491">
        <v>7497</v>
      </c>
      <c r="BE491" t="s">
        <v>9700</v>
      </c>
      <c r="BF491" t="str">
        <f>HYPERLINK("http://dx.doi.org/10.3390/jcm12237497","http://dx.doi.org/10.3390/jcm12237497")</f>
        <v>http://dx.doi.org/10.3390/jcm12237497</v>
      </c>
      <c r="BG491" t="s">
        <v>74</v>
      </c>
      <c r="BH491" t="s">
        <v>74</v>
      </c>
      <c r="BI491">
        <v>27</v>
      </c>
      <c r="BJ491" t="s">
        <v>128</v>
      </c>
      <c r="BK491" t="s">
        <v>182</v>
      </c>
      <c r="BL491" t="s">
        <v>129</v>
      </c>
      <c r="BM491" t="s">
        <v>9701</v>
      </c>
      <c r="BN491">
        <v>38068549</v>
      </c>
      <c r="BO491" t="s">
        <v>185</v>
      </c>
      <c r="BP491" t="s">
        <v>74</v>
      </c>
      <c r="BQ491" t="s">
        <v>74</v>
      </c>
      <c r="BR491" t="s">
        <v>105</v>
      </c>
      <c r="BS491" t="s">
        <v>9702</v>
      </c>
      <c r="BT491" t="str">
        <f>HYPERLINK("https%3A%2F%2Fwww.webofscience.com%2Fwos%2Fwoscc%2Ffull-record%2FWOS:001116061400001","View Full Record in Web of Science")</f>
        <v>View Full Record in Web of Science</v>
      </c>
    </row>
    <row r="492" spans="1:72" x14ac:dyDescent="0.25">
      <c r="A492" t="s">
        <v>72</v>
      </c>
      <c r="B492" t="s">
        <v>9703</v>
      </c>
      <c r="C492" t="s">
        <v>74</v>
      </c>
      <c r="D492" t="s">
        <v>74</v>
      </c>
      <c r="E492" t="s">
        <v>74</v>
      </c>
      <c r="F492" t="s">
        <v>9704</v>
      </c>
      <c r="G492" t="s">
        <v>74</v>
      </c>
      <c r="H492" t="s">
        <v>74</v>
      </c>
      <c r="I492" t="s">
        <v>9705</v>
      </c>
      <c r="J492" t="s">
        <v>1597</v>
      </c>
      <c r="K492" t="s">
        <v>74</v>
      </c>
      <c r="L492" t="s">
        <v>74</v>
      </c>
      <c r="M492" t="s">
        <v>78</v>
      </c>
      <c r="N492" t="s">
        <v>79</v>
      </c>
      <c r="O492" t="s">
        <v>74</v>
      </c>
      <c r="P492" t="s">
        <v>74</v>
      </c>
      <c r="Q492" t="s">
        <v>74</v>
      </c>
      <c r="R492" t="s">
        <v>74</v>
      </c>
      <c r="S492" t="s">
        <v>74</v>
      </c>
      <c r="T492" t="s">
        <v>9706</v>
      </c>
      <c r="U492" t="s">
        <v>9707</v>
      </c>
      <c r="V492" t="s">
        <v>9708</v>
      </c>
      <c r="W492" t="s">
        <v>9709</v>
      </c>
      <c r="X492" t="s">
        <v>9006</v>
      </c>
      <c r="Y492" t="s">
        <v>9710</v>
      </c>
      <c r="Z492" t="s">
        <v>9711</v>
      </c>
      <c r="AA492" t="s">
        <v>74</v>
      </c>
      <c r="AB492" t="s">
        <v>74</v>
      </c>
      <c r="AC492" t="s">
        <v>74</v>
      </c>
      <c r="AD492" t="s">
        <v>74</v>
      </c>
      <c r="AE492" t="s">
        <v>74</v>
      </c>
      <c r="AF492" t="s">
        <v>74</v>
      </c>
      <c r="AG492">
        <v>48</v>
      </c>
      <c r="AH492">
        <v>3</v>
      </c>
      <c r="AI492">
        <v>3</v>
      </c>
      <c r="AJ492">
        <v>0</v>
      </c>
      <c r="AK492">
        <v>0</v>
      </c>
      <c r="AL492" t="s">
        <v>1605</v>
      </c>
      <c r="AM492" t="s">
        <v>1606</v>
      </c>
      <c r="AN492" t="s">
        <v>1607</v>
      </c>
      <c r="AO492" t="s">
        <v>74</v>
      </c>
      <c r="AP492" t="s">
        <v>1608</v>
      </c>
      <c r="AQ492" t="s">
        <v>74</v>
      </c>
      <c r="AR492" t="s">
        <v>1609</v>
      </c>
      <c r="AS492" t="s">
        <v>1610</v>
      </c>
      <c r="AT492" t="s">
        <v>151</v>
      </c>
      <c r="AU492">
        <v>2023</v>
      </c>
      <c r="AV492">
        <v>20</v>
      </c>
      <c r="AW492" t="s">
        <v>74</v>
      </c>
      <c r="AX492" t="s">
        <v>74</v>
      </c>
      <c r="AY492" t="s">
        <v>74</v>
      </c>
      <c r="AZ492" t="s">
        <v>74</v>
      </c>
      <c r="BA492" t="s">
        <v>74</v>
      </c>
      <c r="BB492" t="s">
        <v>74</v>
      </c>
      <c r="BC492" t="s">
        <v>74</v>
      </c>
      <c r="BD492">
        <v>100261</v>
      </c>
      <c r="BE492" t="s">
        <v>9712</v>
      </c>
      <c r="BF492" t="str">
        <f>HYPERLINK("http://dx.doi.org/10.1016/j.medntd.2023.100261","http://dx.doi.org/10.1016/j.medntd.2023.100261")</f>
        <v>http://dx.doi.org/10.1016/j.medntd.2023.100261</v>
      </c>
      <c r="BG492" t="s">
        <v>74</v>
      </c>
      <c r="BH492" t="s">
        <v>74</v>
      </c>
      <c r="BI492">
        <v>10</v>
      </c>
      <c r="BJ492" t="s">
        <v>282</v>
      </c>
      <c r="BK492" t="s">
        <v>155</v>
      </c>
      <c r="BL492" t="s">
        <v>183</v>
      </c>
      <c r="BM492" t="s">
        <v>9713</v>
      </c>
      <c r="BN492" t="s">
        <v>74</v>
      </c>
      <c r="BO492" t="s">
        <v>185</v>
      </c>
      <c r="BP492" t="s">
        <v>74</v>
      </c>
      <c r="BQ492" t="s">
        <v>74</v>
      </c>
      <c r="BR492" t="s">
        <v>105</v>
      </c>
      <c r="BS492" t="s">
        <v>9714</v>
      </c>
      <c r="BT492" t="str">
        <f>HYPERLINK("https%3A%2F%2Fwww.webofscience.com%2Fwos%2Fwoscc%2Ffull-record%2FWOS:001454012200003","View Full Record in Web of Science")</f>
        <v>View Full Record in Web of Science</v>
      </c>
    </row>
    <row r="493" spans="1:72" x14ac:dyDescent="0.25">
      <c r="A493" t="s">
        <v>72</v>
      </c>
      <c r="B493" t="s">
        <v>9715</v>
      </c>
      <c r="C493" t="s">
        <v>74</v>
      </c>
      <c r="D493" t="s">
        <v>74</v>
      </c>
      <c r="E493" t="s">
        <v>74</v>
      </c>
      <c r="F493" t="s">
        <v>9716</v>
      </c>
      <c r="G493" t="s">
        <v>74</v>
      </c>
      <c r="H493" t="s">
        <v>74</v>
      </c>
      <c r="I493" t="s">
        <v>9717</v>
      </c>
      <c r="J493" t="s">
        <v>2040</v>
      </c>
      <c r="K493" t="s">
        <v>74</v>
      </c>
      <c r="L493" t="s">
        <v>74</v>
      </c>
      <c r="M493" t="s">
        <v>78</v>
      </c>
      <c r="N493" t="s">
        <v>79</v>
      </c>
      <c r="O493" t="s">
        <v>74</v>
      </c>
      <c r="P493" t="s">
        <v>74</v>
      </c>
      <c r="Q493" t="s">
        <v>74</v>
      </c>
      <c r="R493" t="s">
        <v>74</v>
      </c>
      <c r="S493" t="s">
        <v>74</v>
      </c>
      <c r="T493" t="s">
        <v>9718</v>
      </c>
      <c r="U493" t="s">
        <v>9719</v>
      </c>
      <c r="V493" t="s">
        <v>9720</v>
      </c>
      <c r="W493" t="s">
        <v>9721</v>
      </c>
      <c r="X493" t="s">
        <v>9722</v>
      </c>
      <c r="Y493" t="s">
        <v>9723</v>
      </c>
      <c r="Z493" t="s">
        <v>9724</v>
      </c>
      <c r="AA493" t="s">
        <v>74</v>
      </c>
      <c r="AB493" t="s">
        <v>9725</v>
      </c>
      <c r="AC493" t="s">
        <v>9726</v>
      </c>
      <c r="AD493" t="s">
        <v>9727</v>
      </c>
      <c r="AE493" t="s">
        <v>171</v>
      </c>
      <c r="AF493" t="s">
        <v>74</v>
      </c>
      <c r="AG493">
        <v>114</v>
      </c>
      <c r="AH493">
        <v>12</v>
      </c>
      <c r="AI493">
        <v>14</v>
      </c>
      <c r="AJ493">
        <v>37</v>
      </c>
      <c r="AK493">
        <v>142</v>
      </c>
      <c r="AL493" t="s">
        <v>120</v>
      </c>
      <c r="AM493" t="s">
        <v>121</v>
      </c>
      <c r="AN493" t="s">
        <v>122</v>
      </c>
      <c r="AO493" t="s">
        <v>74</v>
      </c>
      <c r="AP493" t="s">
        <v>2050</v>
      </c>
      <c r="AQ493" t="s">
        <v>74</v>
      </c>
      <c r="AR493" t="s">
        <v>2051</v>
      </c>
      <c r="AS493" t="s">
        <v>2052</v>
      </c>
      <c r="AT493" t="s">
        <v>151</v>
      </c>
      <c r="AU493">
        <v>2023</v>
      </c>
      <c r="AV493">
        <v>23</v>
      </c>
      <c r="AW493">
        <v>23</v>
      </c>
      <c r="AX493" t="s">
        <v>74</v>
      </c>
      <c r="AY493" t="s">
        <v>74</v>
      </c>
      <c r="AZ493" t="s">
        <v>74</v>
      </c>
      <c r="BA493" t="s">
        <v>74</v>
      </c>
      <c r="BB493" t="s">
        <v>74</v>
      </c>
      <c r="BC493" t="s">
        <v>74</v>
      </c>
      <c r="BD493">
        <v>9369</v>
      </c>
      <c r="BE493" t="s">
        <v>9728</v>
      </c>
      <c r="BF493" t="str">
        <f>HYPERLINK("http://dx.doi.org/10.3390/s23239369","http://dx.doi.org/10.3390/s23239369")</f>
        <v>http://dx.doi.org/10.3390/s23239369</v>
      </c>
      <c r="BG493" t="s">
        <v>74</v>
      </c>
      <c r="BH493" t="s">
        <v>74</v>
      </c>
      <c r="BI493">
        <v>20</v>
      </c>
      <c r="BJ493" t="s">
        <v>2054</v>
      </c>
      <c r="BK493" t="s">
        <v>182</v>
      </c>
      <c r="BL493" t="s">
        <v>2055</v>
      </c>
      <c r="BM493" t="s">
        <v>9729</v>
      </c>
      <c r="BN493">
        <v>38067743</v>
      </c>
      <c r="BO493" t="s">
        <v>377</v>
      </c>
      <c r="BP493" t="s">
        <v>74</v>
      </c>
      <c r="BQ493" t="s">
        <v>74</v>
      </c>
      <c r="BR493" t="s">
        <v>105</v>
      </c>
      <c r="BS493" t="s">
        <v>9730</v>
      </c>
      <c r="BT493" t="str">
        <f>HYPERLINK("https%3A%2F%2Fwww.webofscience.com%2Fwos%2Fwoscc%2Ffull-record%2FWOS:001116456200001","View Full Record in Web of Science")</f>
        <v>View Full Record in Web of Science</v>
      </c>
    </row>
    <row r="494" spans="1:72" x14ac:dyDescent="0.25">
      <c r="A494" t="s">
        <v>72</v>
      </c>
      <c r="B494" t="s">
        <v>9731</v>
      </c>
      <c r="C494" t="s">
        <v>74</v>
      </c>
      <c r="D494" t="s">
        <v>74</v>
      </c>
      <c r="E494" t="s">
        <v>74</v>
      </c>
      <c r="F494" t="s">
        <v>9732</v>
      </c>
      <c r="G494" t="s">
        <v>74</v>
      </c>
      <c r="H494" t="s">
        <v>74</v>
      </c>
      <c r="I494" t="s">
        <v>9733</v>
      </c>
      <c r="J494" t="s">
        <v>9734</v>
      </c>
      <c r="K494" t="s">
        <v>74</v>
      </c>
      <c r="L494" t="s">
        <v>74</v>
      </c>
      <c r="M494" t="s">
        <v>78</v>
      </c>
      <c r="N494" t="s">
        <v>79</v>
      </c>
      <c r="O494" t="s">
        <v>74</v>
      </c>
      <c r="P494" t="s">
        <v>74</v>
      </c>
      <c r="Q494" t="s">
        <v>74</v>
      </c>
      <c r="R494" t="s">
        <v>74</v>
      </c>
      <c r="S494" t="s">
        <v>74</v>
      </c>
      <c r="T494" t="s">
        <v>9735</v>
      </c>
      <c r="U494" t="s">
        <v>9736</v>
      </c>
      <c r="V494" t="s">
        <v>9737</v>
      </c>
      <c r="W494" t="s">
        <v>9738</v>
      </c>
      <c r="X494" t="s">
        <v>9739</v>
      </c>
      <c r="Y494" t="s">
        <v>9740</v>
      </c>
      <c r="Z494" t="s">
        <v>9741</v>
      </c>
      <c r="AA494" t="s">
        <v>9742</v>
      </c>
      <c r="AB494" t="s">
        <v>9743</v>
      </c>
      <c r="AC494" t="s">
        <v>9744</v>
      </c>
      <c r="AD494" t="s">
        <v>9745</v>
      </c>
      <c r="AE494" t="s">
        <v>9746</v>
      </c>
      <c r="AF494" t="s">
        <v>74</v>
      </c>
      <c r="AG494">
        <v>129</v>
      </c>
      <c r="AH494">
        <v>0</v>
      </c>
      <c r="AI494">
        <v>0</v>
      </c>
      <c r="AJ494">
        <v>1</v>
      </c>
      <c r="AK494">
        <v>7</v>
      </c>
      <c r="AL494" t="s">
        <v>9747</v>
      </c>
      <c r="AM494" t="s">
        <v>9748</v>
      </c>
      <c r="AN494" t="s">
        <v>9749</v>
      </c>
      <c r="AO494" t="s">
        <v>74</v>
      </c>
      <c r="AP494" t="s">
        <v>9750</v>
      </c>
      <c r="AQ494" t="s">
        <v>74</v>
      </c>
      <c r="AR494" t="s">
        <v>9751</v>
      </c>
      <c r="AS494" t="s">
        <v>9752</v>
      </c>
      <c r="AT494" t="s">
        <v>151</v>
      </c>
      <c r="AU494">
        <v>2023</v>
      </c>
      <c r="AV494">
        <v>18</v>
      </c>
      <c r="AW494">
        <v>2</v>
      </c>
      <c r="AX494" t="s">
        <v>74</v>
      </c>
      <c r="AY494" t="s">
        <v>74</v>
      </c>
      <c r="AZ494" t="s">
        <v>74</v>
      </c>
      <c r="BA494" t="s">
        <v>74</v>
      </c>
      <c r="BB494">
        <v>328</v>
      </c>
      <c r="BC494">
        <v>372</v>
      </c>
      <c r="BD494" t="s">
        <v>74</v>
      </c>
      <c r="BE494" t="s">
        <v>9753</v>
      </c>
      <c r="BF494" t="str">
        <f>HYPERLINK("http://dx.doi.org/10.17576/MH.2023.1802.03","http://dx.doi.org/10.17576/MH.2023.1802.03")</f>
        <v>http://dx.doi.org/10.17576/MH.2023.1802.03</v>
      </c>
      <c r="BG494" t="s">
        <v>74</v>
      </c>
      <c r="BH494" t="s">
        <v>74</v>
      </c>
      <c r="BI494">
        <v>45</v>
      </c>
      <c r="BJ494" t="s">
        <v>128</v>
      </c>
      <c r="BK494" t="s">
        <v>155</v>
      </c>
      <c r="BL494" t="s">
        <v>129</v>
      </c>
      <c r="BM494" t="s">
        <v>9754</v>
      </c>
      <c r="BN494" t="s">
        <v>74</v>
      </c>
      <c r="BO494" t="s">
        <v>185</v>
      </c>
      <c r="BP494" t="s">
        <v>74</v>
      </c>
      <c r="BQ494" t="s">
        <v>74</v>
      </c>
      <c r="BR494" t="s">
        <v>105</v>
      </c>
      <c r="BS494" t="s">
        <v>9755</v>
      </c>
      <c r="BT494" t="str">
        <f>HYPERLINK("https%3A%2F%2Fwww.webofscience.com%2Fwos%2Fwoscc%2Ffull-record%2FWOS:001197236000003","View Full Record in Web of Science")</f>
        <v>View Full Record in Web of Science</v>
      </c>
    </row>
    <row r="495" spans="1:72" x14ac:dyDescent="0.25">
      <c r="A495" t="s">
        <v>72</v>
      </c>
      <c r="B495" t="s">
        <v>9756</v>
      </c>
      <c r="C495" t="s">
        <v>74</v>
      </c>
      <c r="D495" t="s">
        <v>74</v>
      </c>
      <c r="E495" t="s">
        <v>74</v>
      </c>
      <c r="F495" t="s">
        <v>9757</v>
      </c>
      <c r="G495" t="s">
        <v>74</v>
      </c>
      <c r="H495" t="s">
        <v>74</v>
      </c>
      <c r="I495" t="s">
        <v>9758</v>
      </c>
      <c r="J495" t="s">
        <v>9759</v>
      </c>
      <c r="K495" t="s">
        <v>74</v>
      </c>
      <c r="L495" t="s">
        <v>74</v>
      </c>
      <c r="M495" t="s">
        <v>78</v>
      </c>
      <c r="N495" t="s">
        <v>79</v>
      </c>
      <c r="O495" t="s">
        <v>74</v>
      </c>
      <c r="P495" t="s">
        <v>74</v>
      </c>
      <c r="Q495" t="s">
        <v>74</v>
      </c>
      <c r="R495" t="s">
        <v>74</v>
      </c>
      <c r="S495" t="s">
        <v>74</v>
      </c>
      <c r="T495" t="s">
        <v>9760</v>
      </c>
      <c r="U495" t="s">
        <v>9761</v>
      </c>
      <c r="V495" t="s">
        <v>9762</v>
      </c>
      <c r="W495" t="s">
        <v>9763</v>
      </c>
      <c r="X495" t="s">
        <v>9764</v>
      </c>
      <c r="Y495" t="s">
        <v>9765</v>
      </c>
      <c r="Z495" t="s">
        <v>9766</v>
      </c>
      <c r="AA495" t="s">
        <v>9767</v>
      </c>
      <c r="AB495" t="s">
        <v>9768</v>
      </c>
      <c r="AC495" t="s">
        <v>9769</v>
      </c>
      <c r="AD495" t="s">
        <v>9770</v>
      </c>
      <c r="AE495" t="s">
        <v>9771</v>
      </c>
      <c r="AF495" t="s">
        <v>74</v>
      </c>
      <c r="AG495">
        <v>138</v>
      </c>
      <c r="AH495">
        <v>11</v>
      </c>
      <c r="AI495">
        <v>12</v>
      </c>
      <c r="AJ495">
        <v>56</v>
      </c>
      <c r="AK495">
        <v>140</v>
      </c>
      <c r="AL495" t="s">
        <v>392</v>
      </c>
      <c r="AM495" t="s">
        <v>393</v>
      </c>
      <c r="AN495" t="s">
        <v>394</v>
      </c>
      <c r="AO495" t="s">
        <v>74</v>
      </c>
      <c r="AP495" t="s">
        <v>9772</v>
      </c>
      <c r="AQ495" t="s">
        <v>74</v>
      </c>
      <c r="AR495" t="s">
        <v>9773</v>
      </c>
      <c r="AS495" t="s">
        <v>9774</v>
      </c>
      <c r="AT495" t="s">
        <v>5724</v>
      </c>
      <c r="AU495">
        <v>2023</v>
      </c>
      <c r="AV495">
        <v>17</v>
      </c>
      <c r="AW495" t="s">
        <v>74</v>
      </c>
      <c r="AX495" t="s">
        <v>74</v>
      </c>
      <c r="AY495" t="s">
        <v>74</v>
      </c>
      <c r="AZ495" t="s">
        <v>74</v>
      </c>
      <c r="BA495" t="s">
        <v>74</v>
      </c>
      <c r="BB495" t="s">
        <v>74</v>
      </c>
      <c r="BC495" t="s">
        <v>74</v>
      </c>
      <c r="BD495">
        <v>1291682</v>
      </c>
      <c r="BE495" t="s">
        <v>9775</v>
      </c>
      <c r="BF495" t="str">
        <f>HYPERLINK("http://dx.doi.org/10.3389/fnins.2023.1291682","http://dx.doi.org/10.3389/fnins.2023.1291682")</f>
        <v>http://dx.doi.org/10.3389/fnins.2023.1291682</v>
      </c>
      <c r="BG495" t="s">
        <v>74</v>
      </c>
      <c r="BH495" t="s">
        <v>74</v>
      </c>
      <c r="BI495">
        <v>16</v>
      </c>
      <c r="BJ495" t="s">
        <v>374</v>
      </c>
      <c r="BK495" t="s">
        <v>182</v>
      </c>
      <c r="BL495" t="s">
        <v>375</v>
      </c>
      <c r="BM495" t="s">
        <v>9776</v>
      </c>
      <c r="BN495">
        <v>38099199</v>
      </c>
      <c r="BO495" t="s">
        <v>185</v>
      </c>
      <c r="BP495" t="s">
        <v>74</v>
      </c>
      <c r="BQ495" t="s">
        <v>74</v>
      </c>
      <c r="BR495" t="s">
        <v>105</v>
      </c>
      <c r="BS495" t="s">
        <v>9777</v>
      </c>
      <c r="BT495" t="str">
        <f>HYPERLINK("https%3A%2F%2Fwww.webofscience.com%2Fwos%2Fwoscc%2Ffull-record%2FWOS:001126906500001","View Full Record in Web of Science")</f>
        <v>View Full Record in Web of Science</v>
      </c>
    </row>
    <row r="496" spans="1:72" x14ac:dyDescent="0.25">
      <c r="A496" t="s">
        <v>72</v>
      </c>
      <c r="B496" t="s">
        <v>9778</v>
      </c>
      <c r="C496" t="s">
        <v>74</v>
      </c>
      <c r="D496" t="s">
        <v>74</v>
      </c>
      <c r="E496" t="s">
        <v>74</v>
      </c>
      <c r="F496" t="s">
        <v>9779</v>
      </c>
      <c r="G496" t="s">
        <v>74</v>
      </c>
      <c r="H496" t="s">
        <v>74</v>
      </c>
      <c r="I496" t="s">
        <v>9780</v>
      </c>
      <c r="J496" t="s">
        <v>9781</v>
      </c>
      <c r="K496" t="s">
        <v>74</v>
      </c>
      <c r="L496" t="s">
        <v>74</v>
      </c>
      <c r="M496" t="s">
        <v>78</v>
      </c>
      <c r="N496" t="s">
        <v>79</v>
      </c>
      <c r="O496" t="s">
        <v>74</v>
      </c>
      <c r="P496" t="s">
        <v>74</v>
      </c>
      <c r="Q496" t="s">
        <v>74</v>
      </c>
      <c r="R496" t="s">
        <v>74</v>
      </c>
      <c r="S496" t="s">
        <v>74</v>
      </c>
      <c r="T496" t="s">
        <v>9782</v>
      </c>
      <c r="U496" t="s">
        <v>9783</v>
      </c>
      <c r="V496" t="s">
        <v>9784</v>
      </c>
      <c r="W496" t="s">
        <v>9785</v>
      </c>
      <c r="X496" t="s">
        <v>9786</v>
      </c>
      <c r="Y496" t="s">
        <v>9787</v>
      </c>
      <c r="Z496" t="s">
        <v>9788</v>
      </c>
      <c r="AA496" t="s">
        <v>9789</v>
      </c>
      <c r="AB496" t="s">
        <v>9790</v>
      </c>
      <c r="AC496" t="s">
        <v>9791</v>
      </c>
      <c r="AD496" t="s">
        <v>9792</v>
      </c>
      <c r="AE496" t="s">
        <v>9793</v>
      </c>
      <c r="AF496" t="s">
        <v>74</v>
      </c>
      <c r="AG496">
        <v>272</v>
      </c>
      <c r="AH496">
        <v>20</v>
      </c>
      <c r="AI496">
        <v>20</v>
      </c>
      <c r="AJ496">
        <v>40</v>
      </c>
      <c r="AK496">
        <v>202</v>
      </c>
      <c r="AL496" t="s">
        <v>6272</v>
      </c>
      <c r="AM496" t="s">
        <v>393</v>
      </c>
      <c r="AN496" t="s">
        <v>6273</v>
      </c>
      <c r="AO496" t="s">
        <v>9794</v>
      </c>
      <c r="AP496" t="s">
        <v>9795</v>
      </c>
      <c r="AQ496" t="s">
        <v>74</v>
      </c>
      <c r="AR496" t="s">
        <v>9796</v>
      </c>
      <c r="AS496" t="s">
        <v>9797</v>
      </c>
      <c r="AT496" t="s">
        <v>9798</v>
      </c>
      <c r="AU496">
        <v>2024</v>
      </c>
      <c r="AV496">
        <v>479</v>
      </c>
      <c r="AW496" t="s">
        <v>74</v>
      </c>
      <c r="AX496" t="s">
        <v>74</v>
      </c>
      <c r="AY496" t="s">
        <v>74</v>
      </c>
      <c r="AZ496" t="s">
        <v>74</v>
      </c>
      <c r="BA496" t="s">
        <v>74</v>
      </c>
      <c r="BB496" t="s">
        <v>74</v>
      </c>
      <c r="BC496" t="s">
        <v>74</v>
      </c>
      <c r="BD496">
        <v>147550</v>
      </c>
      <c r="BE496" t="s">
        <v>9799</v>
      </c>
      <c r="BF496" t="str">
        <f>HYPERLINK("http://dx.doi.org/10.1016/j.cej.2023.147550","http://dx.doi.org/10.1016/j.cej.2023.147550")</f>
        <v>http://dx.doi.org/10.1016/j.cej.2023.147550</v>
      </c>
      <c r="BG496" t="s">
        <v>74</v>
      </c>
      <c r="BH496" t="s">
        <v>1430</v>
      </c>
      <c r="BI496">
        <v>20</v>
      </c>
      <c r="BJ496" t="s">
        <v>9800</v>
      </c>
      <c r="BK496" t="s">
        <v>182</v>
      </c>
      <c r="BL496" t="s">
        <v>183</v>
      </c>
      <c r="BM496" t="s">
        <v>9801</v>
      </c>
      <c r="BN496" t="s">
        <v>74</v>
      </c>
      <c r="BO496" t="s">
        <v>74</v>
      </c>
      <c r="BP496" t="s">
        <v>74</v>
      </c>
      <c r="BQ496" t="s">
        <v>74</v>
      </c>
      <c r="BR496" t="s">
        <v>105</v>
      </c>
      <c r="BS496" t="s">
        <v>9802</v>
      </c>
      <c r="BT496" t="str">
        <f>HYPERLINK("https%3A%2F%2Fwww.webofscience.com%2Fwos%2Fwoscc%2Ffull-record%2FWOS:001125116300001","View Full Record in Web of Science")</f>
        <v>View Full Record in Web of Science</v>
      </c>
    </row>
    <row r="497" spans="1:72" x14ac:dyDescent="0.25">
      <c r="A497" t="s">
        <v>72</v>
      </c>
      <c r="B497" t="s">
        <v>9803</v>
      </c>
      <c r="C497" t="s">
        <v>74</v>
      </c>
      <c r="D497" t="s">
        <v>74</v>
      </c>
      <c r="E497" t="s">
        <v>74</v>
      </c>
      <c r="F497" t="s">
        <v>9804</v>
      </c>
      <c r="G497" t="s">
        <v>74</v>
      </c>
      <c r="H497" t="s">
        <v>74</v>
      </c>
      <c r="I497" t="s">
        <v>9805</v>
      </c>
      <c r="J497" t="s">
        <v>986</v>
      </c>
      <c r="K497" t="s">
        <v>74</v>
      </c>
      <c r="L497" t="s">
        <v>74</v>
      </c>
      <c r="M497" t="s">
        <v>78</v>
      </c>
      <c r="N497" t="s">
        <v>79</v>
      </c>
      <c r="O497" t="s">
        <v>74</v>
      </c>
      <c r="P497" t="s">
        <v>74</v>
      </c>
      <c r="Q497" t="s">
        <v>74</v>
      </c>
      <c r="R497" t="s">
        <v>74</v>
      </c>
      <c r="S497" t="s">
        <v>74</v>
      </c>
      <c r="T497" t="s">
        <v>9806</v>
      </c>
      <c r="U497" t="s">
        <v>9807</v>
      </c>
      <c r="V497" t="s">
        <v>9808</v>
      </c>
      <c r="W497" t="s">
        <v>9809</v>
      </c>
      <c r="X497" t="s">
        <v>9810</v>
      </c>
      <c r="Y497" t="s">
        <v>9811</v>
      </c>
      <c r="Z497" t="s">
        <v>9812</v>
      </c>
      <c r="AA497" t="s">
        <v>9813</v>
      </c>
      <c r="AB497" t="s">
        <v>9814</v>
      </c>
      <c r="AC497" t="s">
        <v>74</v>
      </c>
      <c r="AD497" t="s">
        <v>74</v>
      </c>
      <c r="AE497" t="s">
        <v>74</v>
      </c>
      <c r="AF497" t="s">
        <v>74</v>
      </c>
      <c r="AG497">
        <v>49</v>
      </c>
      <c r="AH497">
        <v>7</v>
      </c>
      <c r="AI497">
        <v>7</v>
      </c>
      <c r="AJ497">
        <v>7</v>
      </c>
      <c r="AK497">
        <v>39</v>
      </c>
      <c r="AL497" t="s">
        <v>996</v>
      </c>
      <c r="AM497" t="s">
        <v>275</v>
      </c>
      <c r="AN497" t="s">
        <v>997</v>
      </c>
      <c r="AO497" t="s">
        <v>74</v>
      </c>
      <c r="AP497" t="s">
        <v>998</v>
      </c>
      <c r="AQ497" t="s">
        <v>74</v>
      </c>
      <c r="AR497" t="s">
        <v>999</v>
      </c>
      <c r="AS497" t="s">
        <v>1000</v>
      </c>
      <c r="AT497" t="s">
        <v>9815</v>
      </c>
      <c r="AU497">
        <v>2023</v>
      </c>
      <c r="AV497">
        <v>15</v>
      </c>
      <c r="AW497">
        <v>11</v>
      </c>
      <c r="AX497" t="s">
        <v>74</v>
      </c>
      <c r="AY497" t="s">
        <v>74</v>
      </c>
      <c r="AZ497" t="s">
        <v>74</v>
      </c>
      <c r="BA497" t="s">
        <v>74</v>
      </c>
      <c r="BB497" t="s">
        <v>74</v>
      </c>
      <c r="BC497" t="s">
        <v>74</v>
      </c>
      <c r="BD497" t="s">
        <v>9816</v>
      </c>
      <c r="BE497" t="s">
        <v>9817</v>
      </c>
      <c r="BF497" t="str">
        <f>HYPERLINK("http://dx.doi.org/10.7759/cureus.49210","http://dx.doi.org/10.7759/cureus.49210")</f>
        <v>http://dx.doi.org/10.7759/cureus.49210</v>
      </c>
      <c r="BG497" t="s">
        <v>74</v>
      </c>
      <c r="BH497" t="s">
        <v>74</v>
      </c>
      <c r="BI497">
        <v>11</v>
      </c>
      <c r="BJ497" t="s">
        <v>128</v>
      </c>
      <c r="BK497" t="s">
        <v>155</v>
      </c>
      <c r="BL497" t="s">
        <v>129</v>
      </c>
      <c r="BM497" t="s">
        <v>9818</v>
      </c>
      <c r="BN497">
        <v>38143700</v>
      </c>
      <c r="BO497" t="s">
        <v>9819</v>
      </c>
      <c r="BP497" t="s">
        <v>74</v>
      </c>
      <c r="BQ497" t="s">
        <v>74</v>
      </c>
      <c r="BR497" t="s">
        <v>105</v>
      </c>
      <c r="BS497" t="s">
        <v>9820</v>
      </c>
      <c r="BT497" t="str">
        <f>HYPERLINK("https%3A%2F%2Fwww.webofscience.com%2Fwos%2Fwoscc%2Ffull-record%2FWOS:001110706700002","View Full Record in Web of Science")</f>
        <v>View Full Record in Web of Science</v>
      </c>
    </row>
    <row r="498" spans="1:72" x14ac:dyDescent="0.25">
      <c r="A498" t="s">
        <v>72</v>
      </c>
      <c r="B498" t="s">
        <v>9821</v>
      </c>
      <c r="C498" t="s">
        <v>74</v>
      </c>
      <c r="D498" t="s">
        <v>74</v>
      </c>
      <c r="E498" t="s">
        <v>74</v>
      </c>
      <c r="F498" t="s">
        <v>9822</v>
      </c>
      <c r="G498" t="s">
        <v>74</v>
      </c>
      <c r="H498" t="s">
        <v>74</v>
      </c>
      <c r="I498" t="s">
        <v>9823</v>
      </c>
      <c r="J498" t="s">
        <v>9824</v>
      </c>
      <c r="K498" t="s">
        <v>74</v>
      </c>
      <c r="L498" t="s">
        <v>74</v>
      </c>
      <c r="M498" t="s">
        <v>78</v>
      </c>
      <c r="N498" t="s">
        <v>79</v>
      </c>
      <c r="O498" t="s">
        <v>74</v>
      </c>
      <c r="P498" t="s">
        <v>74</v>
      </c>
      <c r="Q498" t="s">
        <v>74</v>
      </c>
      <c r="R498" t="s">
        <v>74</v>
      </c>
      <c r="S498" t="s">
        <v>74</v>
      </c>
      <c r="T498" t="s">
        <v>9825</v>
      </c>
      <c r="U498" t="s">
        <v>9826</v>
      </c>
      <c r="V498" t="s">
        <v>9827</v>
      </c>
      <c r="W498" t="s">
        <v>9828</v>
      </c>
      <c r="X498" t="s">
        <v>1322</v>
      </c>
      <c r="Y498" t="s">
        <v>9829</v>
      </c>
      <c r="Z498" t="s">
        <v>9830</v>
      </c>
      <c r="AA498" t="s">
        <v>9831</v>
      </c>
      <c r="AB498" t="s">
        <v>9832</v>
      </c>
      <c r="AC498" t="s">
        <v>74</v>
      </c>
      <c r="AD498" t="s">
        <v>74</v>
      </c>
      <c r="AE498" t="s">
        <v>74</v>
      </c>
      <c r="AF498" t="s">
        <v>74</v>
      </c>
      <c r="AG498">
        <v>60</v>
      </c>
      <c r="AH498">
        <v>24</v>
      </c>
      <c r="AI498">
        <v>25</v>
      </c>
      <c r="AJ498">
        <v>13</v>
      </c>
      <c r="AK498">
        <v>49</v>
      </c>
      <c r="AL498" t="s">
        <v>1605</v>
      </c>
      <c r="AM498" t="s">
        <v>1606</v>
      </c>
      <c r="AN498" t="s">
        <v>1607</v>
      </c>
      <c r="AO498" t="s">
        <v>9833</v>
      </c>
      <c r="AP498" t="s">
        <v>9834</v>
      </c>
      <c r="AQ498" t="s">
        <v>74</v>
      </c>
      <c r="AR498" t="s">
        <v>9835</v>
      </c>
      <c r="AS498" t="s">
        <v>9836</v>
      </c>
      <c r="AT498" t="s">
        <v>151</v>
      </c>
      <c r="AU498">
        <v>2023</v>
      </c>
      <c r="AV498">
        <v>146</v>
      </c>
      <c r="AW498" t="s">
        <v>74</v>
      </c>
      <c r="AX498" t="s">
        <v>74</v>
      </c>
      <c r="AY498" t="s">
        <v>74</v>
      </c>
      <c r="AZ498" t="s">
        <v>74</v>
      </c>
      <c r="BA498" t="s">
        <v>74</v>
      </c>
      <c r="BB498" t="s">
        <v>74</v>
      </c>
      <c r="BC498" t="s">
        <v>74</v>
      </c>
      <c r="BD498">
        <v>102693</v>
      </c>
      <c r="BE498" t="s">
        <v>9837</v>
      </c>
      <c r="BF498" t="str">
        <f>HYPERLINK("http://dx.doi.org/10.1016/j.artmed.2023.102693","http://dx.doi.org/10.1016/j.artmed.2023.102693")</f>
        <v>http://dx.doi.org/10.1016/j.artmed.2023.102693</v>
      </c>
      <c r="BG498" t="s">
        <v>74</v>
      </c>
      <c r="BH498" t="s">
        <v>1430</v>
      </c>
      <c r="BI498">
        <v>11</v>
      </c>
      <c r="BJ498" t="s">
        <v>9838</v>
      </c>
      <c r="BK498" t="s">
        <v>182</v>
      </c>
      <c r="BL498" t="s">
        <v>7421</v>
      </c>
      <c r="BM498" t="s">
        <v>9839</v>
      </c>
      <c r="BN498">
        <v>38042593</v>
      </c>
      <c r="BO498" t="s">
        <v>309</v>
      </c>
      <c r="BP498" t="s">
        <v>74</v>
      </c>
      <c r="BQ498" t="s">
        <v>74</v>
      </c>
      <c r="BR498" t="s">
        <v>105</v>
      </c>
      <c r="BS498" t="s">
        <v>9840</v>
      </c>
      <c r="BT498" t="str">
        <f>HYPERLINK("https%3A%2F%2Fwww.webofscience.com%2Fwos%2Fwoscc%2Ffull-record%2FWOS:001115017200001","View Full Record in Web of Science")</f>
        <v>View Full Record in Web of Science</v>
      </c>
    </row>
    <row r="499" spans="1:72" x14ac:dyDescent="0.25">
      <c r="A499" t="s">
        <v>72</v>
      </c>
      <c r="B499" t="s">
        <v>9841</v>
      </c>
      <c r="C499" t="s">
        <v>74</v>
      </c>
      <c r="D499" t="s">
        <v>74</v>
      </c>
      <c r="E499" t="s">
        <v>74</v>
      </c>
      <c r="F499" t="s">
        <v>9842</v>
      </c>
      <c r="G499" t="s">
        <v>74</v>
      </c>
      <c r="H499" t="s">
        <v>74</v>
      </c>
      <c r="I499" t="s">
        <v>9843</v>
      </c>
      <c r="J499" t="s">
        <v>110</v>
      </c>
      <c r="K499" t="s">
        <v>74</v>
      </c>
      <c r="L499" t="s">
        <v>74</v>
      </c>
      <c r="M499" t="s">
        <v>78</v>
      </c>
      <c r="N499" t="s">
        <v>79</v>
      </c>
      <c r="O499" t="s">
        <v>74</v>
      </c>
      <c r="P499" t="s">
        <v>74</v>
      </c>
      <c r="Q499" t="s">
        <v>74</v>
      </c>
      <c r="R499" t="s">
        <v>74</v>
      </c>
      <c r="S499" t="s">
        <v>74</v>
      </c>
      <c r="T499" t="s">
        <v>9844</v>
      </c>
      <c r="U499" t="s">
        <v>9845</v>
      </c>
      <c r="V499" t="s">
        <v>9846</v>
      </c>
      <c r="W499" t="s">
        <v>9847</v>
      </c>
      <c r="X499" t="s">
        <v>9848</v>
      </c>
      <c r="Y499" t="s">
        <v>9849</v>
      </c>
      <c r="Z499" t="s">
        <v>9850</v>
      </c>
      <c r="AA499" t="s">
        <v>9851</v>
      </c>
      <c r="AB499" t="s">
        <v>9852</v>
      </c>
      <c r="AC499" t="s">
        <v>74</v>
      </c>
      <c r="AD499" t="s">
        <v>74</v>
      </c>
      <c r="AE499" t="s">
        <v>74</v>
      </c>
      <c r="AF499" t="s">
        <v>74</v>
      </c>
      <c r="AG499">
        <v>146</v>
      </c>
      <c r="AH499">
        <v>10</v>
      </c>
      <c r="AI499">
        <v>10</v>
      </c>
      <c r="AJ499">
        <v>6</v>
      </c>
      <c r="AK499">
        <v>32</v>
      </c>
      <c r="AL499" t="s">
        <v>120</v>
      </c>
      <c r="AM499" t="s">
        <v>121</v>
      </c>
      <c r="AN499" t="s">
        <v>1221</v>
      </c>
      <c r="AO499" t="s">
        <v>74</v>
      </c>
      <c r="AP499" t="s">
        <v>123</v>
      </c>
      <c r="AQ499" t="s">
        <v>74</v>
      </c>
      <c r="AR499" t="s">
        <v>124</v>
      </c>
      <c r="AS499" t="s">
        <v>125</v>
      </c>
      <c r="AT499" t="s">
        <v>126</v>
      </c>
      <c r="AU499">
        <v>2023</v>
      </c>
      <c r="AV499">
        <v>12</v>
      </c>
      <c r="AW499">
        <v>21</v>
      </c>
      <c r="AX499" t="s">
        <v>74</v>
      </c>
      <c r="AY499" t="s">
        <v>74</v>
      </c>
      <c r="AZ499" t="s">
        <v>74</v>
      </c>
      <c r="BA499" t="s">
        <v>74</v>
      </c>
      <c r="BB499" t="s">
        <v>74</v>
      </c>
      <c r="BC499" t="s">
        <v>74</v>
      </c>
      <c r="BD499">
        <v>6734</v>
      </c>
      <c r="BE499" t="s">
        <v>9853</v>
      </c>
      <c r="BF499" t="str">
        <f>HYPERLINK("http://dx.doi.org/10.3390/jcm12216734","http://dx.doi.org/10.3390/jcm12216734")</f>
        <v>http://dx.doi.org/10.3390/jcm12216734</v>
      </c>
      <c r="BG499" t="s">
        <v>74</v>
      </c>
      <c r="BH499" t="s">
        <v>74</v>
      </c>
      <c r="BI499">
        <v>19</v>
      </c>
      <c r="BJ499" t="s">
        <v>128</v>
      </c>
      <c r="BK499" t="s">
        <v>182</v>
      </c>
      <c r="BL499" t="s">
        <v>129</v>
      </c>
      <c r="BM499" t="s">
        <v>9854</v>
      </c>
      <c r="BN499">
        <v>37959200</v>
      </c>
      <c r="BO499" t="s">
        <v>131</v>
      </c>
      <c r="BP499" t="s">
        <v>74</v>
      </c>
      <c r="BQ499" t="s">
        <v>74</v>
      </c>
      <c r="BR499" t="s">
        <v>105</v>
      </c>
      <c r="BS499" t="s">
        <v>9855</v>
      </c>
      <c r="BT499" t="str">
        <f>HYPERLINK("https%3A%2F%2Fwww.webofscience.com%2Fwos%2Fwoscc%2Ffull-record%2FWOS:001100383500001","View Full Record in Web of Science")</f>
        <v>View Full Record in Web of Science</v>
      </c>
    </row>
    <row r="500" spans="1:72" x14ac:dyDescent="0.25">
      <c r="A500" t="s">
        <v>72</v>
      </c>
      <c r="B500" t="s">
        <v>9856</v>
      </c>
      <c r="C500" t="s">
        <v>74</v>
      </c>
      <c r="D500" t="s">
        <v>74</v>
      </c>
      <c r="E500" t="s">
        <v>74</v>
      </c>
      <c r="F500" t="s">
        <v>9857</v>
      </c>
      <c r="G500" t="s">
        <v>74</v>
      </c>
      <c r="H500" t="s">
        <v>74</v>
      </c>
      <c r="I500" t="s">
        <v>9858</v>
      </c>
      <c r="J500" t="s">
        <v>2091</v>
      </c>
      <c r="K500" t="s">
        <v>74</v>
      </c>
      <c r="L500" t="s">
        <v>74</v>
      </c>
      <c r="M500" t="s">
        <v>78</v>
      </c>
      <c r="N500" t="s">
        <v>79</v>
      </c>
      <c r="O500" t="s">
        <v>74</v>
      </c>
      <c r="P500" t="s">
        <v>74</v>
      </c>
      <c r="Q500" t="s">
        <v>74</v>
      </c>
      <c r="R500" t="s">
        <v>74</v>
      </c>
      <c r="S500" t="s">
        <v>74</v>
      </c>
      <c r="T500" t="s">
        <v>9859</v>
      </c>
      <c r="U500" t="s">
        <v>9860</v>
      </c>
      <c r="V500" t="s">
        <v>9861</v>
      </c>
      <c r="W500" t="s">
        <v>9862</v>
      </c>
      <c r="X500" t="s">
        <v>9863</v>
      </c>
      <c r="Y500" t="s">
        <v>9864</v>
      </c>
      <c r="Z500" t="s">
        <v>9865</v>
      </c>
      <c r="AA500" t="s">
        <v>9866</v>
      </c>
      <c r="AB500" t="s">
        <v>9867</v>
      </c>
      <c r="AC500" t="s">
        <v>74</v>
      </c>
      <c r="AD500" t="s">
        <v>74</v>
      </c>
      <c r="AE500" t="s">
        <v>74</v>
      </c>
      <c r="AF500" t="s">
        <v>74</v>
      </c>
      <c r="AG500">
        <v>169</v>
      </c>
      <c r="AH500">
        <v>12</v>
      </c>
      <c r="AI500">
        <v>12</v>
      </c>
      <c r="AJ500">
        <v>12</v>
      </c>
      <c r="AK500">
        <v>57</v>
      </c>
      <c r="AL500" t="s">
        <v>120</v>
      </c>
      <c r="AM500" t="s">
        <v>121</v>
      </c>
      <c r="AN500" t="s">
        <v>122</v>
      </c>
      <c r="AO500" t="s">
        <v>74</v>
      </c>
      <c r="AP500" t="s">
        <v>2104</v>
      </c>
      <c r="AQ500" t="s">
        <v>74</v>
      </c>
      <c r="AR500" t="s">
        <v>2105</v>
      </c>
      <c r="AS500" t="s">
        <v>2106</v>
      </c>
      <c r="AT500" t="s">
        <v>126</v>
      </c>
      <c r="AU500">
        <v>2023</v>
      </c>
      <c r="AV500">
        <v>13</v>
      </c>
      <c r="AW500">
        <v>22</v>
      </c>
      <c r="AX500" t="s">
        <v>74</v>
      </c>
      <c r="AY500" t="s">
        <v>74</v>
      </c>
      <c r="AZ500" t="s">
        <v>74</v>
      </c>
      <c r="BA500" t="s">
        <v>74</v>
      </c>
      <c r="BB500" t="s">
        <v>74</v>
      </c>
      <c r="BC500" t="s">
        <v>74</v>
      </c>
      <c r="BD500">
        <v>12129</v>
      </c>
      <c r="BE500" t="s">
        <v>9868</v>
      </c>
      <c r="BF500" t="str">
        <f>HYPERLINK("http://dx.doi.org/10.3390/app132212129","http://dx.doi.org/10.3390/app132212129")</f>
        <v>http://dx.doi.org/10.3390/app132212129</v>
      </c>
      <c r="BG500" t="s">
        <v>74</v>
      </c>
      <c r="BH500" t="s">
        <v>74</v>
      </c>
      <c r="BI500">
        <v>28</v>
      </c>
      <c r="BJ500" t="s">
        <v>2109</v>
      </c>
      <c r="BK500" t="s">
        <v>182</v>
      </c>
      <c r="BL500" t="s">
        <v>2110</v>
      </c>
      <c r="BM500" t="s">
        <v>9869</v>
      </c>
      <c r="BN500" t="s">
        <v>74</v>
      </c>
      <c r="BO500" t="s">
        <v>185</v>
      </c>
      <c r="BP500" t="s">
        <v>74</v>
      </c>
      <c r="BQ500" t="s">
        <v>74</v>
      </c>
      <c r="BR500" t="s">
        <v>105</v>
      </c>
      <c r="BS500" t="s">
        <v>9870</v>
      </c>
      <c r="BT500" t="str">
        <f>HYPERLINK("https%3A%2F%2Fwww.webofscience.com%2Fwos%2Fwoscc%2Ffull-record%2FWOS:001118085900001","View Full Record in Web of Science")</f>
        <v>View Full Record in Web of Science</v>
      </c>
    </row>
    <row r="501" spans="1:72" x14ac:dyDescent="0.25">
      <c r="A501" t="s">
        <v>72</v>
      </c>
      <c r="B501" t="s">
        <v>9871</v>
      </c>
      <c r="C501" t="s">
        <v>74</v>
      </c>
      <c r="D501" t="s">
        <v>74</v>
      </c>
      <c r="E501" t="s">
        <v>74</v>
      </c>
      <c r="F501" t="s">
        <v>9872</v>
      </c>
      <c r="G501" t="s">
        <v>74</v>
      </c>
      <c r="H501" t="s">
        <v>74</v>
      </c>
      <c r="I501" t="s">
        <v>9873</v>
      </c>
      <c r="J501" t="s">
        <v>9874</v>
      </c>
      <c r="K501" t="s">
        <v>74</v>
      </c>
      <c r="L501" t="s">
        <v>74</v>
      </c>
      <c r="M501" t="s">
        <v>78</v>
      </c>
      <c r="N501" t="s">
        <v>79</v>
      </c>
      <c r="O501" t="s">
        <v>74</v>
      </c>
      <c r="P501" t="s">
        <v>74</v>
      </c>
      <c r="Q501" t="s">
        <v>74</v>
      </c>
      <c r="R501" t="s">
        <v>74</v>
      </c>
      <c r="S501" t="s">
        <v>74</v>
      </c>
      <c r="T501" t="s">
        <v>74</v>
      </c>
      <c r="U501" t="s">
        <v>9875</v>
      </c>
      <c r="V501" t="s">
        <v>9876</v>
      </c>
      <c r="W501" t="s">
        <v>9877</v>
      </c>
      <c r="X501" t="s">
        <v>9878</v>
      </c>
      <c r="Y501" t="s">
        <v>9879</v>
      </c>
      <c r="Z501" t="s">
        <v>9880</v>
      </c>
      <c r="AA501" t="s">
        <v>9881</v>
      </c>
      <c r="AB501" t="s">
        <v>9882</v>
      </c>
      <c r="AC501" t="s">
        <v>9883</v>
      </c>
      <c r="AD501" t="s">
        <v>9883</v>
      </c>
      <c r="AE501" t="s">
        <v>9884</v>
      </c>
      <c r="AF501" t="s">
        <v>74</v>
      </c>
      <c r="AG501">
        <v>42</v>
      </c>
      <c r="AH501">
        <v>5</v>
      </c>
      <c r="AI501">
        <v>5</v>
      </c>
      <c r="AJ501">
        <v>1</v>
      </c>
      <c r="AK501">
        <v>7</v>
      </c>
      <c r="AL501" t="s">
        <v>297</v>
      </c>
      <c r="AM501" t="s">
        <v>298</v>
      </c>
      <c r="AN501" t="s">
        <v>299</v>
      </c>
      <c r="AO501" t="s">
        <v>9885</v>
      </c>
      <c r="AP501" t="s">
        <v>9886</v>
      </c>
      <c r="AQ501" t="s">
        <v>74</v>
      </c>
      <c r="AR501" t="s">
        <v>9887</v>
      </c>
      <c r="AS501" t="s">
        <v>9888</v>
      </c>
      <c r="AT501" t="s">
        <v>9889</v>
      </c>
      <c r="AU501">
        <v>2023</v>
      </c>
      <c r="AV501">
        <v>2023</v>
      </c>
      <c r="AW501" t="s">
        <v>74</v>
      </c>
      <c r="AX501" t="s">
        <v>74</v>
      </c>
      <c r="AY501" t="s">
        <v>74</v>
      </c>
      <c r="AZ501" t="s">
        <v>74</v>
      </c>
      <c r="BA501" t="s">
        <v>74</v>
      </c>
      <c r="BB501" t="s">
        <v>74</v>
      </c>
      <c r="BC501" t="s">
        <v>74</v>
      </c>
      <c r="BD501">
        <v>7991765</v>
      </c>
      <c r="BE501" t="s">
        <v>9890</v>
      </c>
      <c r="BF501" t="str">
        <f>HYPERLINK("http://dx.doi.org/10.1155/2023/7991765","http://dx.doi.org/10.1155/2023/7991765")</f>
        <v>http://dx.doi.org/10.1155/2023/7991765</v>
      </c>
      <c r="BG501" t="s">
        <v>74</v>
      </c>
      <c r="BH501" t="s">
        <v>74</v>
      </c>
      <c r="BI501">
        <v>16</v>
      </c>
      <c r="BJ501" t="s">
        <v>101</v>
      </c>
      <c r="BK501" t="s">
        <v>102</v>
      </c>
      <c r="BL501" t="s">
        <v>101</v>
      </c>
      <c r="BM501" t="s">
        <v>9891</v>
      </c>
      <c r="BN501">
        <v>37927581</v>
      </c>
      <c r="BO501" t="s">
        <v>355</v>
      </c>
      <c r="BP501" t="s">
        <v>74</v>
      </c>
      <c r="BQ501" t="s">
        <v>74</v>
      </c>
      <c r="BR501" t="s">
        <v>105</v>
      </c>
      <c r="BS501" t="s">
        <v>9892</v>
      </c>
      <c r="BT501" t="str">
        <f>HYPERLINK("https%3A%2F%2Fwww.webofscience.com%2Fwos%2Fwoscc%2Ffull-record%2FWOS:001094674500001","View Full Record in Web of Science")</f>
        <v>View Full Record in Web of Science</v>
      </c>
    </row>
    <row r="502" spans="1:72" x14ac:dyDescent="0.25">
      <c r="A502" t="s">
        <v>72</v>
      </c>
      <c r="B502" t="s">
        <v>9893</v>
      </c>
      <c r="C502" t="s">
        <v>74</v>
      </c>
      <c r="D502" t="s">
        <v>74</v>
      </c>
      <c r="E502" t="s">
        <v>74</v>
      </c>
      <c r="F502" t="s">
        <v>9894</v>
      </c>
      <c r="G502" t="s">
        <v>74</v>
      </c>
      <c r="H502" t="s">
        <v>74</v>
      </c>
      <c r="I502" t="s">
        <v>9895</v>
      </c>
      <c r="J502" t="s">
        <v>594</v>
      </c>
      <c r="K502" t="s">
        <v>74</v>
      </c>
      <c r="L502" t="s">
        <v>74</v>
      </c>
      <c r="M502" t="s">
        <v>78</v>
      </c>
      <c r="N502" t="s">
        <v>79</v>
      </c>
      <c r="O502" t="s">
        <v>74</v>
      </c>
      <c r="P502" t="s">
        <v>74</v>
      </c>
      <c r="Q502" t="s">
        <v>74</v>
      </c>
      <c r="R502" t="s">
        <v>74</v>
      </c>
      <c r="S502" t="s">
        <v>74</v>
      </c>
      <c r="T502" t="s">
        <v>9896</v>
      </c>
      <c r="U502" t="s">
        <v>9897</v>
      </c>
      <c r="V502" t="s">
        <v>9898</v>
      </c>
      <c r="W502" t="s">
        <v>9899</v>
      </c>
      <c r="X502" t="s">
        <v>9900</v>
      </c>
      <c r="Y502" t="s">
        <v>9901</v>
      </c>
      <c r="Z502" t="s">
        <v>9902</v>
      </c>
      <c r="AA502" t="s">
        <v>9903</v>
      </c>
      <c r="AB502" t="s">
        <v>9904</v>
      </c>
      <c r="AC502" t="s">
        <v>9905</v>
      </c>
      <c r="AD502" t="s">
        <v>9906</v>
      </c>
      <c r="AE502" t="s">
        <v>9907</v>
      </c>
      <c r="AF502" t="s">
        <v>74</v>
      </c>
      <c r="AG502">
        <v>174</v>
      </c>
      <c r="AH502">
        <v>14</v>
      </c>
      <c r="AI502">
        <v>14</v>
      </c>
      <c r="AJ502">
        <v>12</v>
      </c>
      <c r="AK502">
        <v>44</v>
      </c>
      <c r="AL502" t="s">
        <v>274</v>
      </c>
      <c r="AM502" t="s">
        <v>275</v>
      </c>
      <c r="AN502" t="s">
        <v>276</v>
      </c>
      <c r="AO502" t="s">
        <v>74</v>
      </c>
      <c r="AP502" t="s">
        <v>606</v>
      </c>
      <c r="AQ502" t="s">
        <v>74</v>
      </c>
      <c r="AR502" t="s">
        <v>607</v>
      </c>
      <c r="AS502" t="s">
        <v>608</v>
      </c>
      <c r="AT502" t="s">
        <v>9908</v>
      </c>
      <c r="AU502">
        <v>2023</v>
      </c>
      <c r="AV502">
        <v>20</v>
      </c>
      <c r="AW502">
        <v>1</v>
      </c>
      <c r="AX502" t="s">
        <v>74</v>
      </c>
      <c r="AY502" t="s">
        <v>74</v>
      </c>
      <c r="AZ502" t="s">
        <v>74</v>
      </c>
      <c r="BA502" t="s">
        <v>74</v>
      </c>
      <c r="BB502" t="s">
        <v>74</v>
      </c>
      <c r="BC502" t="s">
        <v>74</v>
      </c>
      <c r="BD502">
        <v>141</v>
      </c>
      <c r="BE502" t="s">
        <v>9909</v>
      </c>
      <c r="BF502" t="str">
        <f>HYPERLINK("http://dx.doi.org/10.1186/s12984-023-01268-8","http://dx.doi.org/10.1186/s12984-023-01268-8")</f>
        <v>http://dx.doi.org/10.1186/s12984-023-01268-8</v>
      </c>
      <c r="BG502" t="s">
        <v>74</v>
      </c>
      <c r="BH502" t="s">
        <v>74</v>
      </c>
      <c r="BI502">
        <v>16</v>
      </c>
      <c r="BJ502" t="s">
        <v>611</v>
      </c>
      <c r="BK502" t="s">
        <v>182</v>
      </c>
      <c r="BL502" t="s">
        <v>612</v>
      </c>
      <c r="BM502" t="s">
        <v>9910</v>
      </c>
      <c r="BN502">
        <v>37872633</v>
      </c>
      <c r="BO502" t="s">
        <v>355</v>
      </c>
      <c r="BP502" t="s">
        <v>74</v>
      </c>
      <c r="BQ502" t="s">
        <v>74</v>
      </c>
      <c r="BR502" t="s">
        <v>105</v>
      </c>
      <c r="BS502" t="s">
        <v>9911</v>
      </c>
      <c r="BT502" t="str">
        <f>HYPERLINK("https%3A%2F%2Fwww.webofscience.com%2Fwos%2Fwoscc%2Ffull-record%2FWOS:001088026400001","View Full Record in Web of Science")</f>
        <v>View Full Record in Web of Science</v>
      </c>
    </row>
    <row r="503" spans="1:72" x14ac:dyDescent="0.25">
      <c r="A503" t="s">
        <v>72</v>
      </c>
      <c r="B503" t="s">
        <v>9912</v>
      </c>
      <c r="C503" t="s">
        <v>74</v>
      </c>
      <c r="D503" t="s">
        <v>74</v>
      </c>
      <c r="E503" t="s">
        <v>74</v>
      </c>
      <c r="F503" t="s">
        <v>9913</v>
      </c>
      <c r="G503" t="s">
        <v>74</v>
      </c>
      <c r="H503" t="s">
        <v>74</v>
      </c>
      <c r="I503" t="s">
        <v>9914</v>
      </c>
      <c r="J503" t="s">
        <v>9915</v>
      </c>
      <c r="K503" t="s">
        <v>74</v>
      </c>
      <c r="L503" t="s">
        <v>74</v>
      </c>
      <c r="M503" t="s">
        <v>78</v>
      </c>
      <c r="N503" t="s">
        <v>79</v>
      </c>
      <c r="O503" t="s">
        <v>74</v>
      </c>
      <c r="P503" t="s">
        <v>74</v>
      </c>
      <c r="Q503" t="s">
        <v>74</v>
      </c>
      <c r="R503" t="s">
        <v>74</v>
      </c>
      <c r="S503" t="s">
        <v>74</v>
      </c>
      <c r="T503" t="s">
        <v>9916</v>
      </c>
      <c r="U503" t="s">
        <v>9917</v>
      </c>
      <c r="V503" t="s">
        <v>9918</v>
      </c>
      <c r="W503" t="s">
        <v>9919</v>
      </c>
      <c r="X503" t="s">
        <v>9920</v>
      </c>
      <c r="Y503" t="s">
        <v>9921</v>
      </c>
      <c r="Z503" t="s">
        <v>9922</v>
      </c>
      <c r="AA503" t="s">
        <v>74</v>
      </c>
      <c r="AB503" t="s">
        <v>9923</v>
      </c>
      <c r="AC503" t="s">
        <v>9924</v>
      </c>
      <c r="AD503" t="s">
        <v>9924</v>
      </c>
      <c r="AE503" t="s">
        <v>9924</v>
      </c>
      <c r="AF503" t="s">
        <v>74</v>
      </c>
      <c r="AG503">
        <v>53</v>
      </c>
      <c r="AH503">
        <v>3</v>
      </c>
      <c r="AI503">
        <v>3</v>
      </c>
      <c r="AJ503">
        <v>5</v>
      </c>
      <c r="AK503">
        <v>18</v>
      </c>
      <c r="AL503" t="s">
        <v>996</v>
      </c>
      <c r="AM503" t="s">
        <v>275</v>
      </c>
      <c r="AN503" t="s">
        <v>997</v>
      </c>
      <c r="AO503" t="s">
        <v>9925</v>
      </c>
      <c r="AP503" t="s">
        <v>9926</v>
      </c>
      <c r="AQ503" t="s">
        <v>74</v>
      </c>
      <c r="AR503" t="s">
        <v>9927</v>
      </c>
      <c r="AS503" t="s">
        <v>9928</v>
      </c>
      <c r="AT503" t="s">
        <v>126</v>
      </c>
      <c r="AU503">
        <v>2023</v>
      </c>
      <c r="AV503">
        <v>13</v>
      </c>
      <c r="AW503">
        <v>4</v>
      </c>
      <c r="AX503" t="s">
        <v>74</v>
      </c>
      <c r="AY503" t="s">
        <v>74</v>
      </c>
      <c r="AZ503" t="s">
        <v>152</v>
      </c>
      <c r="BA503" t="s">
        <v>74</v>
      </c>
      <c r="BB503">
        <v>553</v>
      </c>
      <c r="BC503">
        <v>559</v>
      </c>
      <c r="BD503" t="s">
        <v>74</v>
      </c>
      <c r="BE503" t="s">
        <v>9929</v>
      </c>
      <c r="BF503" t="str">
        <f>HYPERLINK("http://dx.doi.org/10.1007/s13534-023-00324-5","http://dx.doi.org/10.1007/s13534-023-00324-5")</f>
        <v>http://dx.doi.org/10.1007/s13534-023-00324-5</v>
      </c>
      <c r="BG503" t="s">
        <v>74</v>
      </c>
      <c r="BH503" t="s">
        <v>636</v>
      </c>
      <c r="BI503">
        <v>7</v>
      </c>
      <c r="BJ503" t="s">
        <v>282</v>
      </c>
      <c r="BK503" t="s">
        <v>182</v>
      </c>
      <c r="BL503" t="s">
        <v>183</v>
      </c>
      <c r="BM503" t="s">
        <v>9930</v>
      </c>
      <c r="BN503">
        <v>37872991</v>
      </c>
      <c r="BO503" t="s">
        <v>74</v>
      </c>
      <c r="BP503" t="s">
        <v>74</v>
      </c>
      <c r="BQ503" t="s">
        <v>74</v>
      </c>
      <c r="BR503" t="s">
        <v>105</v>
      </c>
      <c r="BS503" t="s">
        <v>9931</v>
      </c>
      <c r="BT503" t="str">
        <f>HYPERLINK("https%3A%2F%2Fwww.webofscience.com%2Fwos%2Fwoscc%2Ffull-record%2FWOS:001083179500001","View Full Record in Web of Science")</f>
        <v>View Full Record in Web of Science</v>
      </c>
    </row>
    <row r="504" spans="1:72" x14ac:dyDescent="0.25">
      <c r="A504" t="s">
        <v>72</v>
      </c>
      <c r="B504" t="s">
        <v>9932</v>
      </c>
      <c r="C504" t="s">
        <v>74</v>
      </c>
      <c r="D504" t="s">
        <v>74</v>
      </c>
      <c r="E504" t="s">
        <v>74</v>
      </c>
      <c r="F504" t="s">
        <v>9933</v>
      </c>
      <c r="G504" t="s">
        <v>74</v>
      </c>
      <c r="H504" t="s">
        <v>74</v>
      </c>
      <c r="I504" t="s">
        <v>9934</v>
      </c>
      <c r="J504" t="s">
        <v>9935</v>
      </c>
      <c r="K504" t="s">
        <v>74</v>
      </c>
      <c r="L504" t="s">
        <v>74</v>
      </c>
      <c r="M504" t="s">
        <v>78</v>
      </c>
      <c r="N504" t="s">
        <v>79</v>
      </c>
      <c r="O504" t="s">
        <v>74</v>
      </c>
      <c r="P504" t="s">
        <v>74</v>
      </c>
      <c r="Q504" t="s">
        <v>74</v>
      </c>
      <c r="R504" t="s">
        <v>74</v>
      </c>
      <c r="S504" t="s">
        <v>74</v>
      </c>
      <c r="T504" t="s">
        <v>9936</v>
      </c>
      <c r="U504" t="s">
        <v>9937</v>
      </c>
      <c r="V504" t="s">
        <v>9938</v>
      </c>
      <c r="W504" t="s">
        <v>9939</v>
      </c>
      <c r="X504" t="s">
        <v>9940</v>
      </c>
      <c r="Y504" t="s">
        <v>9941</v>
      </c>
      <c r="Z504" t="s">
        <v>9942</v>
      </c>
      <c r="AA504" t="s">
        <v>9943</v>
      </c>
      <c r="AB504" t="s">
        <v>9944</v>
      </c>
      <c r="AC504" t="s">
        <v>74</v>
      </c>
      <c r="AD504" t="s">
        <v>74</v>
      </c>
      <c r="AE504" t="s">
        <v>74</v>
      </c>
      <c r="AF504" t="s">
        <v>74</v>
      </c>
      <c r="AG504">
        <v>85</v>
      </c>
      <c r="AH504">
        <v>2</v>
      </c>
      <c r="AI504">
        <v>4</v>
      </c>
      <c r="AJ504">
        <v>12</v>
      </c>
      <c r="AK504">
        <v>35</v>
      </c>
      <c r="AL504" t="s">
        <v>92</v>
      </c>
      <c r="AM504" t="s">
        <v>93</v>
      </c>
      <c r="AN504" t="s">
        <v>94</v>
      </c>
      <c r="AO504" t="s">
        <v>9945</v>
      </c>
      <c r="AP504" t="s">
        <v>9946</v>
      </c>
      <c r="AQ504" t="s">
        <v>74</v>
      </c>
      <c r="AR504" t="s">
        <v>9947</v>
      </c>
      <c r="AS504" t="s">
        <v>9948</v>
      </c>
      <c r="AT504" t="s">
        <v>2939</v>
      </c>
      <c r="AU504">
        <v>2024</v>
      </c>
      <c r="AV504">
        <v>41</v>
      </c>
      <c r="AW504">
        <v>4</v>
      </c>
      <c r="AX504" t="s">
        <v>74</v>
      </c>
      <c r="AY504" t="s">
        <v>74</v>
      </c>
      <c r="AZ504" t="s">
        <v>74</v>
      </c>
      <c r="BA504" t="s">
        <v>74</v>
      </c>
      <c r="BB504">
        <v>466</v>
      </c>
      <c r="BC504">
        <v>485</v>
      </c>
      <c r="BD504" t="s">
        <v>74</v>
      </c>
      <c r="BE504" t="s">
        <v>9949</v>
      </c>
      <c r="BF504" t="str">
        <f>HYPERLINK("http://dx.doi.org/10.1080/02564602.2023.2265897","http://dx.doi.org/10.1080/02564602.2023.2265897")</f>
        <v>http://dx.doi.org/10.1080/02564602.2023.2265897</v>
      </c>
      <c r="BG504" t="s">
        <v>74</v>
      </c>
      <c r="BH504" t="s">
        <v>636</v>
      </c>
      <c r="BI504">
        <v>20</v>
      </c>
      <c r="BJ504" t="s">
        <v>9950</v>
      </c>
      <c r="BK504" t="s">
        <v>182</v>
      </c>
      <c r="BL504" t="s">
        <v>9951</v>
      </c>
      <c r="BM504" t="s">
        <v>9952</v>
      </c>
      <c r="BN504" t="s">
        <v>74</v>
      </c>
      <c r="BO504" t="s">
        <v>74</v>
      </c>
      <c r="BP504" t="s">
        <v>74</v>
      </c>
      <c r="BQ504" t="s">
        <v>74</v>
      </c>
      <c r="BR504" t="s">
        <v>105</v>
      </c>
      <c r="BS504" t="s">
        <v>9953</v>
      </c>
      <c r="BT504" t="str">
        <f>HYPERLINK("https%3A%2F%2Fwww.webofscience.com%2Fwos%2Fwoscc%2Ffull-record%2FWOS:001084188600001","View Full Record in Web of Science")</f>
        <v>View Full Record in Web of Science</v>
      </c>
    </row>
    <row r="505" spans="1:72" x14ac:dyDescent="0.25">
      <c r="A505" t="s">
        <v>72</v>
      </c>
      <c r="B505" t="s">
        <v>9954</v>
      </c>
      <c r="C505" t="s">
        <v>74</v>
      </c>
      <c r="D505" t="s">
        <v>74</v>
      </c>
      <c r="E505" t="s">
        <v>74</v>
      </c>
      <c r="F505" t="s">
        <v>9955</v>
      </c>
      <c r="G505" t="s">
        <v>74</v>
      </c>
      <c r="H505" t="s">
        <v>74</v>
      </c>
      <c r="I505" t="s">
        <v>9956</v>
      </c>
      <c r="J505" t="s">
        <v>986</v>
      </c>
      <c r="K505" t="s">
        <v>74</v>
      </c>
      <c r="L505" t="s">
        <v>74</v>
      </c>
      <c r="M505" t="s">
        <v>78</v>
      </c>
      <c r="N505" t="s">
        <v>79</v>
      </c>
      <c r="O505" t="s">
        <v>74</v>
      </c>
      <c r="P505" t="s">
        <v>74</v>
      </c>
      <c r="Q505" t="s">
        <v>74</v>
      </c>
      <c r="R505" t="s">
        <v>74</v>
      </c>
      <c r="S505" t="s">
        <v>74</v>
      </c>
      <c r="T505" t="s">
        <v>9957</v>
      </c>
      <c r="U505" t="s">
        <v>9958</v>
      </c>
      <c r="V505" t="s">
        <v>9959</v>
      </c>
      <c r="W505" t="s">
        <v>9960</v>
      </c>
      <c r="X505" t="s">
        <v>9961</v>
      </c>
      <c r="Y505" t="s">
        <v>9962</v>
      </c>
      <c r="Z505" t="s">
        <v>9963</v>
      </c>
      <c r="AA505" t="s">
        <v>9964</v>
      </c>
      <c r="AB505" t="s">
        <v>74</v>
      </c>
      <c r="AC505" t="s">
        <v>74</v>
      </c>
      <c r="AD505" t="s">
        <v>74</v>
      </c>
      <c r="AE505" t="s">
        <v>74</v>
      </c>
      <c r="AF505" t="s">
        <v>74</v>
      </c>
      <c r="AG505">
        <v>32</v>
      </c>
      <c r="AH505">
        <v>4</v>
      </c>
      <c r="AI505">
        <v>4</v>
      </c>
      <c r="AJ505">
        <v>1</v>
      </c>
      <c r="AK505">
        <v>3</v>
      </c>
      <c r="AL505" t="s">
        <v>996</v>
      </c>
      <c r="AM505" t="s">
        <v>275</v>
      </c>
      <c r="AN505" t="s">
        <v>997</v>
      </c>
      <c r="AO505" t="s">
        <v>74</v>
      </c>
      <c r="AP505" t="s">
        <v>998</v>
      </c>
      <c r="AQ505" t="s">
        <v>74</v>
      </c>
      <c r="AR505" t="s">
        <v>999</v>
      </c>
      <c r="AS505" t="s">
        <v>1000</v>
      </c>
      <c r="AT505" t="s">
        <v>9965</v>
      </c>
      <c r="AU505">
        <v>2023</v>
      </c>
      <c r="AV505">
        <v>15</v>
      </c>
      <c r="AW505">
        <v>10</v>
      </c>
      <c r="AX505" t="s">
        <v>74</v>
      </c>
      <c r="AY505" t="s">
        <v>74</v>
      </c>
      <c r="AZ505" t="s">
        <v>74</v>
      </c>
      <c r="BA505" t="s">
        <v>74</v>
      </c>
      <c r="BB505" t="s">
        <v>74</v>
      </c>
      <c r="BC505" t="s">
        <v>74</v>
      </c>
      <c r="BD505" t="s">
        <v>9966</v>
      </c>
      <c r="BE505" t="s">
        <v>9967</v>
      </c>
      <c r="BF505" t="str">
        <f>HYPERLINK("http://dx.doi.org/10.7759/cureus.47118","http://dx.doi.org/10.7759/cureus.47118")</f>
        <v>http://dx.doi.org/10.7759/cureus.47118</v>
      </c>
      <c r="BG505" t="s">
        <v>74</v>
      </c>
      <c r="BH505" t="s">
        <v>74</v>
      </c>
      <c r="BI505">
        <v>8</v>
      </c>
      <c r="BJ505" t="s">
        <v>128</v>
      </c>
      <c r="BK505" t="s">
        <v>155</v>
      </c>
      <c r="BL505" t="s">
        <v>129</v>
      </c>
      <c r="BM505" t="s">
        <v>9968</v>
      </c>
      <c r="BN505">
        <v>38021909</v>
      </c>
      <c r="BO505" t="s">
        <v>355</v>
      </c>
      <c r="BP505" t="s">
        <v>74</v>
      </c>
      <c r="BQ505" t="s">
        <v>74</v>
      </c>
      <c r="BR505" t="s">
        <v>105</v>
      </c>
      <c r="BS505" t="s">
        <v>9969</v>
      </c>
      <c r="BT505" t="str">
        <f>HYPERLINK("https%3A%2F%2Fwww.webofscience.com%2Fwos%2Fwoscc%2Ffull-record%2FWOS:001098996700001","View Full Record in Web of Science")</f>
        <v>View Full Record in Web of Science</v>
      </c>
    </row>
    <row r="506" spans="1:72" x14ac:dyDescent="0.25">
      <c r="A506" t="s">
        <v>72</v>
      </c>
      <c r="B506" t="s">
        <v>9970</v>
      </c>
      <c r="C506" t="s">
        <v>74</v>
      </c>
      <c r="D506" t="s">
        <v>74</v>
      </c>
      <c r="E506" t="s">
        <v>74</v>
      </c>
      <c r="F506" t="s">
        <v>9971</v>
      </c>
      <c r="G506" t="s">
        <v>74</v>
      </c>
      <c r="H506" t="s">
        <v>74</v>
      </c>
      <c r="I506" t="s">
        <v>9972</v>
      </c>
      <c r="J506" t="s">
        <v>9973</v>
      </c>
      <c r="K506" t="s">
        <v>74</v>
      </c>
      <c r="L506" t="s">
        <v>74</v>
      </c>
      <c r="M506" t="s">
        <v>78</v>
      </c>
      <c r="N506" t="s">
        <v>79</v>
      </c>
      <c r="O506" t="s">
        <v>74</v>
      </c>
      <c r="P506" t="s">
        <v>74</v>
      </c>
      <c r="Q506" t="s">
        <v>74</v>
      </c>
      <c r="R506" t="s">
        <v>74</v>
      </c>
      <c r="S506" t="s">
        <v>74</v>
      </c>
      <c r="T506" t="s">
        <v>9974</v>
      </c>
      <c r="U506" t="s">
        <v>9975</v>
      </c>
      <c r="V506" t="s">
        <v>9976</v>
      </c>
      <c r="W506" t="s">
        <v>9977</v>
      </c>
      <c r="X506" t="s">
        <v>9978</v>
      </c>
      <c r="Y506" t="s">
        <v>9979</v>
      </c>
      <c r="Z506" t="s">
        <v>9980</v>
      </c>
      <c r="AA506" t="s">
        <v>9981</v>
      </c>
      <c r="AB506" t="s">
        <v>9982</v>
      </c>
      <c r="AC506" t="s">
        <v>74</v>
      </c>
      <c r="AD506" t="s">
        <v>74</v>
      </c>
      <c r="AE506" t="s">
        <v>74</v>
      </c>
      <c r="AF506" t="s">
        <v>74</v>
      </c>
      <c r="AG506">
        <v>331</v>
      </c>
      <c r="AH506">
        <v>36</v>
      </c>
      <c r="AI506">
        <v>37</v>
      </c>
      <c r="AJ506">
        <v>28</v>
      </c>
      <c r="AK506">
        <v>167</v>
      </c>
      <c r="AL506" t="s">
        <v>531</v>
      </c>
      <c r="AM506" t="s">
        <v>2343</v>
      </c>
      <c r="AN506" t="s">
        <v>2344</v>
      </c>
      <c r="AO506" t="s">
        <v>9983</v>
      </c>
      <c r="AP506" t="s">
        <v>9984</v>
      </c>
      <c r="AQ506" t="s">
        <v>74</v>
      </c>
      <c r="AR506" t="s">
        <v>9985</v>
      </c>
      <c r="AS506" t="s">
        <v>9986</v>
      </c>
      <c r="AT506" t="s">
        <v>1471</v>
      </c>
      <c r="AU506">
        <v>2024</v>
      </c>
      <c r="AV506">
        <v>170</v>
      </c>
      <c r="AW506" t="s">
        <v>74</v>
      </c>
      <c r="AX506" t="s">
        <v>74</v>
      </c>
      <c r="AY506" t="s">
        <v>74</v>
      </c>
      <c r="AZ506" t="s">
        <v>74</v>
      </c>
      <c r="BA506" t="s">
        <v>74</v>
      </c>
      <c r="BB506" t="s">
        <v>74</v>
      </c>
      <c r="BC506" t="s">
        <v>74</v>
      </c>
      <c r="BD506">
        <v>110187</v>
      </c>
      <c r="BE506" t="s">
        <v>9987</v>
      </c>
      <c r="BF506" t="str">
        <f>HYPERLINK("http://dx.doi.org/10.1016/j.optlastec.2023.110187","http://dx.doi.org/10.1016/j.optlastec.2023.110187")</f>
        <v>http://dx.doi.org/10.1016/j.optlastec.2023.110187</v>
      </c>
      <c r="BG506" t="s">
        <v>74</v>
      </c>
      <c r="BH506" t="s">
        <v>636</v>
      </c>
      <c r="BI506">
        <v>40</v>
      </c>
      <c r="BJ506" t="s">
        <v>9988</v>
      </c>
      <c r="BK506" t="s">
        <v>182</v>
      </c>
      <c r="BL506" t="s">
        <v>9989</v>
      </c>
      <c r="BM506" t="s">
        <v>9990</v>
      </c>
      <c r="BN506" t="s">
        <v>74</v>
      </c>
      <c r="BO506" t="s">
        <v>74</v>
      </c>
      <c r="BP506" t="s">
        <v>74</v>
      </c>
      <c r="BQ506" t="s">
        <v>74</v>
      </c>
      <c r="BR506" t="s">
        <v>105</v>
      </c>
      <c r="BS506" t="s">
        <v>9991</v>
      </c>
      <c r="BT506" t="str">
        <f>HYPERLINK("https%3A%2F%2Fwww.webofscience.com%2Fwos%2Fwoscc%2Ffull-record%2FWOS:001097843400001","View Full Record in Web of Science")</f>
        <v>View Full Record in Web of Science</v>
      </c>
    </row>
    <row r="507" spans="1:72" x14ac:dyDescent="0.25">
      <c r="A507" t="s">
        <v>72</v>
      </c>
      <c r="B507" t="s">
        <v>9992</v>
      </c>
      <c r="C507" t="s">
        <v>74</v>
      </c>
      <c r="D507" t="s">
        <v>74</v>
      </c>
      <c r="E507" t="s">
        <v>74</v>
      </c>
      <c r="F507" t="s">
        <v>9993</v>
      </c>
      <c r="G507" t="s">
        <v>74</v>
      </c>
      <c r="H507" t="s">
        <v>74</v>
      </c>
      <c r="I507" t="s">
        <v>9994</v>
      </c>
      <c r="J507" t="s">
        <v>77</v>
      </c>
      <c r="K507" t="s">
        <v>74</v>
      </c>
      <c r="L507" t="s">
        <v>74</v>
      </c>
      <c r="M507" t="s">
        <v>78</v>
      </c>
      <c r="N507" t="s">
        <v>79</v>
      </c>
      <c r="O507" t="s">
        <v>74</v>
      </c>
      <c r="P507" t="s">
        <v>74</v>
      </c>
      <c r="Q507" t="s">
        <v>74</v>
      </c>
      <c r="R507" t="s">
        <v>74</v>
      </c>
      <c r="S507" t="s">
        <v>74</v>
      </c>
      <c r="T507" t="s">
        <v>9995</v>
      </c>
      <c r="U507" t="s">
        <v>9996</v>
      </c>
      <c r="V507" t="s">
        <v>9997</v>
      </c>
      <c r="W507" t="s">
        <v>9998</v>
      </c>
      <c r="X507" t="s">
        <v>9999</v>
      </c>
      <c r="Y507" t="s">
        <v>10000</v>
      </c>
      <c r="Z507" t="s">
        <v>10001</v>
      </c>
      <c r="AA507" t="s">
        <v>10002</v>
      </c>
      <c r="AB507" t="s">
        <v>10003</v>
      </c>
      <c r="AC507" t="s">
        <v>10004</v>
      </c>
      <c r="AD507" t="s">
        <v>10005</v>
      </c>
      <c r="AE507" t="s">
        <v>10006</v>
      </c>
      <c r="AF507" t="s">
        <v>74</v>
      </c>
      <c r="AG507">
        <v>66</v>
      </c>
      <c r="AH507">
        <v>3</v>
      </c>
      <c r="AI507">
        <v>3</v>
      </c>
      <c r="AJ507">
        <v>7</v>
      </c>
      <c r="AK507">
        <v>33</v>
      </c>
      <c r="AL507" t="s">
        <v>92</v>
      </c>
      <c r="AM507" t="s">
        <v>93</v>
      </c>
      <c r="AN507" t="s">
        <v>94</v>
      </c>
      <c r="AO507" t="s">
        <v>95</v>
      </c>
      <c r="AP507" t="s">
        <v>96</v>
      </c>
      <c r="AQ507" t="s">
        <v>74</v>
      </c>
      <c r="AR507" t="s">
        <v>97</v>
      </c>
      <c r="AS507" t="s">
        <v>98</v>
      </c>
      <c r="AT507" t="s">
        <v>1964</v>
      </c>
      <c r="AU507">
        <v>2024</v>
      </c>
      <c r="AV507">
        <v>46</v>
      </c>
      <c r="AW507">
        <v>18</v>
      </c>
      <c r="AX507" t="s">
        <v>74</v>
      </c>
      <c r="AY507" t="s">
        <v>74</v>
      </c>
      <c r="AZ507" t="s">
        <v>74</v>
      </c>
      <c r="BA507" t="s">
        <v>74</v>
      </c>
      <c r="BB507">
        <v>4049</v>
      </c>
      <c r="BC507">
        <v>4067</v>
      </c>
      <c r="BD507" t="s">
        <v>74</v>
      </c>
      <c r="BE507" t="s">
        <v>10007</v>
      </c>
      <c r="BF507" t="str">
        <f>HYPERLINK("http://dx.doi.org/10.1080/09638288.2023.2266178","http://dx.doi.org/10.1080/09638288.2023.2266178")</f>
        <v>http://dx.doi.org/10.1080/09638288.2023.2266178</v>
      </c>
      <c r="BG507" t="s">
        <v>74</v>
      </c>
      <c r="BH507" t="s">
        <v>636</v>
      </c>
      <c r="BI507">
        <v>19</v>
      </c>
      <c r="BJ507" t="s">
        <v>101</v>
      </c>
      <c r="BK507" t="s">
        <v>102</v>
      </c>
      <c r="BL507" t="s">
        <v>101</v>
      </c>
      <c r="BM507" t="s">
        <v>10008</v>
      </c>
      <c r="BN507">
        <v>37818694</v>
      </c>
      <c r="BO507" t="s">
        <v>74</v>
      </c>
      <c r="BP507" t="s">
        <v>74</v>
      </c>
      <c r="BQ507" t="s">
        <v>74</v>
      </c>
      <c r="BR507" t="s">
        <v>105</v>
      </c>
      <c r="BS507" t="s">
        <v>10009</v>
      </c>
      <c r="BT507" t="str">
        <f>HYPERLINK("https%3A%2F%2Fwww.webofscience.com%2Fwos%2Fwoscc%2Ffull-record%2FWOS:001085062400001","View Full Record in Web of Science")</f>
        <v>View Full Record in Web of Science</v>
      </c>
    </row>
    <row r="508" spans="1:72" x14ac:dyDescent="0.25">
      <c r="A508" t="s">
        <v>72</v>
      </c>
      <c r="B508" t="s">
        <v>10010</v>
      </c>
      <c r="C508" t="s">
        <v>74</v>
      </c>
      <c r="D508" t="s">
        <v>74</v>
      </c>
      <c r="E508" t="s">
        <v>74</v>
      </c>
      <c r="F508" t="s">
        <v>10011</v>
      </c>
      <c r="G508" t="s">
        <v>74</v>
      </c>
      <c r="H508" t="s">
        <v>74</v>
      </c>
      <c r="I508" t="s">
        <v>10012</v>
      </c>
      <c r="J508" t="s">
        <v>2117</v>
      </c>
      <c r="K508" t="s">
        <v>74</v>
      </c>
      <c r="L508" t="s">
        <v>74</v>
      </c>
      <c r="M508" t="s">
        <v>78</v>
      </c>
      <c r="N508" t="s">
        <v>79</v>
      </c>
      <c r="O508" t="s">
        <v>74</v>
      </c>
      <c r="P508" t="s">
        <v>74</v>
      </c>
      <c r="Q508" t="s">
        <v>74</v>
      </c>
      <c r="R508" t="s">
        <v>74</v>
      </c>
      <c r="S508" t="s">
        <v>74</v>
      </c>
      <c r="T508" t="s">
        <v>10013</v>
      </c>
      <c r="U508" t="s">
        <v>10014</v>
      </c>
      <c r="V508" t="s">
        <v>10015</v>
      </c>
      <c r="W508" t="s">
        <v>10016</v>
      </c>
      <c r="X508" t="s">
        <v>10017</v>
      </c>
      <c r="Y508" t="s">
        <v>10018</v>
      </c>
      <c r="Z508" t="s">
        <v>10019</v>
      </c>
      <c r="AA508" t="s">
        <v>10020</v>
      </c>
      <c r="AB508" t="s">
        <v>10021</v>
      </c>
      <c r="AC508" t="s">
        <v>74</v>
      </c>
      <c r="AD508" t="s">
        <v>74</v>
      </c>
      <c r="AE508" t="s">
        <v>74</v>
      </c>
      <c r="AF508" t="s">
        <v>74</v>
      </c>
      <c r="AG508">
        <v>118</v>
      </c>
      <c r="AH508">
        <v>14</v>
      </c>
      <c r="AI508">
        <v>14</v>
      </c>
      <c r="AJ508">
        <v>22</v>
      </c>
      <c r="AK508">
        <v>89</v>
      </c>
      <c r="AL508" t="s">
        <v>120</v>
      </c>
      <c r="AM508" t="s">
        <v>121</v>
      </c>
      <c r="AN508" t="s">
        <v>122</v>
      </c>
      <c r="AO508" t="s">
        <v>74</v>
      </c>
      <c r="AP508" t="s">
        <v>2129</v>
      </c>
      <c r="AQ508" t="s">
        <v>74</v>
      </c>
      <c r="AR508" t="s">
        <v>2117</v>
      </c>
      <c r="AS508" t="s">
        <v>714</v>
      </c>
      <c r="AT508" t="s">
        <v>1888</v>
      </c>
      <c r="AU508">
        <v>2023</v>
      </c>
      <c r="AV508">
        <v>12</v>
      </c>
      <c r="AW508">
        <v>5</v>
      </c>
      <c r="AX508" t="s">
        <v>74</v>
      </c>
      <c r="AY508" t="s">
        <v>74</v>
      </c>
      <c r="AZ508" t="s">
        <v>74</v>
      </c>
      <c r="BA508" t="s">
        <v>74</v>
      </c>
      <c r="BB508" t="s">
        <v>74</v>
      </c>
      <c r="BC508" t="s">
        <v>74</v>
      </c>
      <c r="BD508">
        <v>131</v>
      </c>
      <c r="BE508" t="s">
        <v>10022</v>
      </c>
      <c r="BF508" t="str">
        <f>HYPERLINK("http://dx.doi.org/10.3390/robotics12050131","http://dx.doi.org/10.3390/robotics12050131")</f>
        <v>http://dx.doi.org/10.3390/robotics12050131</v>
      </c>
      <c r="BG508" t="s">
        <v>74</v>
      </c>
      <c r="BH508" t="s">
        <v>74</v>
      </c>
      <c r="BI508">
        <v>39</v>
      </c>
      <c r="BJ508" t="s">
        <v>714</v>
      </c>
      <c r="BK508" t="s">
        <v>155</v>
      </c>
      <c r="BL508" t="s">
        <v>714</v>
      </c>
      <c r="BM508" t="s">
        <v>10023</v>
      </c>
      <c r="BN508" t="s">
        <v>74</v>
      </c>
      <c r="BO508" t="s">
        <v>185</v>
      </c>
      <c r="BP508" t="s">
        <v>74</v>
      </c>
      <c r="BQ508" t="s">
        <v>74</v>
      </c>
      <c r="BR508" t="s">
        <v>105</v>
      </c>
      <c r="BS508" t="s">
        <v>10024</v>
      </c>
      <c r="BT508" t="str">
        <f>HYPERLINK("https%3A%2F%2Fwww.webofscience.com%2Fwos%2Fwoscc%2Ffull-record%2FWOS:001095371700001","View Full Record in Web of Science")</f>
        <v>View Full Record in Web of Science</v>
      </c>
    </row>
    <row r="509" spans="1:72" x14ac:dyDescent="0.25">
      <c r="A509" t="s">
        <v>72</v>
      </c>
      <c r="B509" t="s">
        <v>10025</v>
      </c>
      <c r="C509" t="s">
        <v>74</v>
      </c>
      <c r="D509" t="s">
        <v>74</v>
      </c>
      <c r="E509" t="s">
        <v>74</v>
      </c>
      <c r="F509" t="s">
        <v>10026</v>
      </c>
      <c r="G509" t="s">
        <v>74</v>
      </c>
      <c r="H509" t="s">
        <v>74</v>
      </c>
      <c r="I509" t="s">
        <v>10027</v>
      </c>
      <c r="J509" t="s">
        <v>2040</v>
      </c>
      <c r="K509" t="s">
        <v>74</v>
      </c>
      <c r="L509" t="s">
        <v>74</v>
      </c>
      <c r="M509" t="s">
        <v>78</v>
      </c>
      <c r="N509" t="s">
        <v>79</v>
      </c>
      <c r="O509" t="s">
        <v>74</v>
      </c>
      <c r="P509" t="s">
        <v>74</v>
      </c>
      <c r="Q509" t="s">
        <v>74</v>
      </c>
      <c r="R509" t="s">
        <v>74</v>
      </c>
      <c r="S509" t="s">
        <v>74</v>
      </c>
      <c r="T509" t="s">
        <v>10028</v>
      </c>
      <c r="U509" t="s">
        <v>10029</v>
      </c>
      <c r="V509" t="s">
        <v>10030</v>
      </c>
      <c r="W509" t="s">
        <v>10031</v>
      </c>
      <c r="X509" t="s">
        <v>526</v>
      </c>
      <c r="Y509" t="s">
        <v>10032</v>
      </c>
      <c r="Z509" t="s">
        <v>10033</v>
      </c>
      <c r="AA509" t="s">
        <v>10034</v>
      </c>
      <c r="AB509" t="s">
        <v>10035</v>
      </c>
      <c r="AC509" t="s">
        <v>74</v>
      </c>
      <c r="AD509" t="s">
        <v>74</v>
      </c>
      <c r="AE509" t="s">
        <v>74</v>
      </c>
      <c r="AF509" t="s">
        <v>74</v>
      </c>
      <c r="AG509">
        <v>34</v>
      </c>
      <c r="AH509">
        <v>5</v>
      </c>
      <c r="AI509">
        <v>5</v>
      </c>
      <c r="AJ509">
        <v>1</v>
      </c>
      <c r="AK509">
        <v>7</v>
      </c>
      <c r="AL509" t="s">
        <v>120</v>
      </c>
      <c r="AM509" t="s">
        <v>121</v>
      </c>
      <c r="AN509" t="s">
        <v>1221</v>
      </c>
      <c r="AO509" t="s">
        <v>74</v>
      </c>
      <c r="AP509" t="s">
        <v>2050</v>
      </c>
      <c r="AQ509" t="s">
        <v>74</v>
      </c>
      <c r="AR509" t="s">
        <v>2051</v>
      </c>
      <c r="AS509" t="s">
        <v>2052</v>
      </c>
      <c r="AT509" t="s">
        <v>1888</v>
      </c>
      <c r="AU509">
        <v>2023</v>
      </c>
      <c r="AV509">
        <v>23</v>
      </c>
      <c r="AW509">
        <v>19</v>
      </c>
      <c r="AX509" t="s">
        <v>74</v>
      </c>
      <c r="AY509" t="s">
        <v>74</v>
      </c>
      <c r="AZ509" t="s">
        <v>74</v>
      </c>
      <c r="BA509" t="s">
        <v>74</v>
      </c>
      <c r="BB509" t="s">
        <v>74</v>
      </c>
      <c r="BC509" t="s">
        <v>74</v>
      </c>
      <c r="BD509">
        <v>8239</v>
      </c>
      <c r="BE509" t="s">
        <v>10036</v>
      </c>
      <c r="BF509" t="str">
        <f>HYPERLINK("http://dx.doi.org/10.3390/s23198239","http://dx.doi.org/10.3390/s23198239")</f>
        <v>http://dx.doi.org/10.3390/s23198239</v>
      </c>
      <c r="BG509" t="s">
        <v>74</v>
      </c>
      <c r="BH509" t="s">
        <v>74</v>
      </c>
      <c r="BI509">
        <v>13</v>
      </c>
      <c r="BJ509" t="s">
        <v>2054</v>
      </c>
      <c r="BK509" t="s">
        <v>182</v>
      </c>
      <c r="BL509" t="s">
        <v>2055</v>
      </c>
      <c r="BM509" t="s">
        <v>10037</v>
      </c>
      <c r="BN509">
        <v>37837068</v>
      </c>
      <c r="BO509" t="s">
        <v>355</v>
      </c>
      <c r="BP509" t="s">
        <v>74</v>
      </c>
      <c r="BQ509" t="s">
        <v>74</v>
      </c>
      <c r="BR509" t="s">
        <v>105</v>
      </c>
      <c r="BS509" t="s">
        <v>10038</v>
      </c>
      <c r="BT509" t="str">
        <f>HYPERLINK("https%3A%2F%2Fwww.webofscience.com%2Fwos%2Fwoscc%2Ffull-record%2FWOS:001086019000001","View Full Record in Web of Science")</f>
        <v>View Full Record in Web of Science</v>
      </c>
    </row>
    <row r="510" spans="1:72" x14ac:dyDescent="0.25">
      <c r="A510" t="s">
        <v>72</v>
      </c>
      <c r="B510" t="s">
        <v>10039</v>
      </c>
      <c r="C510" t="s">
        <v>74</v>
      </c>
      <c r="D510" t="s">
        <v>74</v>
      </c>
      <c r="E510" t="s">
        <v>74</v>
      </c>
      <c r="F510" t="s">
        <v>10040</v>
      </c>
      <c r="G510" t="s">
        <v>74</v>
      </c>
      <c r="H510" t="s">
        <v>74</v>
      </c>
      <c r="I510" t="s">
        <v>10041</v>
      </c>
      <c r="J510" t="s">
        <v>10042</v>
      </c>
      <c r="K510" t="s">
        <v>74</v>
      </c>
      <c r="L510" t="s">
        <v>74</v>
      </c>
      <c r="M510" t="s">
        <v>78</v>
      </c>
      <c r="N510" t="s">
        <v>79</v>
      </c>
      <c r="O510" t="s">
        <v>74</v>
      </c>
      <c r="P510" t="s">
        <v>74</v>
      </c>
      <c r="Q510" t="s">
        <v>74</v>
      </c>
      <c r="R510" t="s">
        <v>74</v>
      </c>
      <c r="S510" t="s">
        <v>74</v>
      </c>
      <c r="T510" t="s">
        <v>10043</v>
      </c>
      <c r="U510" t="s">
        <v>10044</v>
      </c>
      <c r="V510" t="s">
        <v>10045</v>
      </c>
      <c r="W510" t="s">
        <v>10046</v>
      </c>
      <c r="X510" t="s">
        <v>10047</v>
      </c>
      <c r="Y510" t="s">
        <v>10048</v>
      </c>
      <c r="Z510" t="s">
        <v>74</v>
      </c>
      <c r="AA510" t="s">
        <v>10049</v>
      </c>
      <c r="AB510" t="s">
        <v>74</v>
      </c>
      <c r="AC510" t="s">
        <v>74</v>
      </c>
      <c r="AD510" t="s">
        <v>74</v>
      </c>
      <c r="AE510" t="s">
        <v>74</v>
      </c>
      <c r="AF510" t="s">
        <v>74</v>
      </c>
      <c r="AG510">
        <v>51</v>
      </c>
      <c r="AH510">
        <v>0</v>
      </c>
      <c r="AI510">
        <v>0</v>
      </c>
      <c r="AJ510">
        <v>5</v>
      </c>
      <c r="AK510">
        <v>6</v>
      </c>
      <c r="AL510" t="s">
        <v>10050</v>
      </c>
      <c r="AM510" t="s">
        <v>10051</v>
      </c>
      <c r="AN510" t="s">
        <v>10052</v>
      </c>
      <c r="AO510" t="s">
        <v>10053</v>
      </c>
      <c r="AP510" t="s">
        <v>10054</v>
      </c>
      <c r="AQ510" t="s">
        <v>74</v>
      </c>
      <c r="AR510" t="s">
        <v>10055</v>
      </c>
      <c r="AS510" t="s">
        <v>10056</v>
      </c>
      <c r="AT510" t="s">
        <v>7199</v>
      </c>
      <c r="AU510">
        <v>2023</v>
      </c>
      <c r="AV510">
        <v>15</v>
      </c>
      <c r="AW510">
        <v>4</v>
      </c>
      <c r="AX510" t="s">
        <v>74</v>
      </c>
      <c r="AY510" t="s">
        <v>74</v>
      </c>
      <c r="AZ510" t="s">
        <v>74</v>
      </c>
      <c r="BA510" t="s">
        <v>74</v>
      </c>
      <c r="BB510">
        <v>258</v>
      </c>
      <c r="BC510">
        <v>269</v>
      </c>
      <c r="BD510" t="s">
        <v>74</v>
      </c>
      <c r="BE510" t="s">
        <v>10057</v>
      </c>
      <c r="BF510" t="str">
        <f>HYPERLINK("http://dx.doi.org/10.35845/kmuj.2023.23348","http://dx.doi.org/10.35845/kmuj.2023.23348")</f>
        <v>http://dx.doi.org/10.35845/kmuj.2023.23348</v>
      </c>
      <c r="BG510" t="s">
        <v>74</v>
      </c>
      <c r="BH510" t="s">
        <v>74</v>
      </c>
      <c r="BI510">
        <v>12</v>
      </c>
      <c r="BJ510" t="s">
        <v>128</v>
      </c>
      <c r="BK510" t="s">
        <v>155</v>
      </c>
      <c r="BL510" t="s">
        <v>129</v>
      </c>
      <c r="BM510" t="s">
        <v>10058</v>
      </c>
      <c r="BN510" t="s">
        <v>74</v>
      </c>
      <c r="BO510" t="s">
        <v>185</v>
      </c>
      <c r="BP510" t="s">
        <v>74</v>
      </c>
      <c r="BQ510" t="s">
        <v>74</v>
      </c>
      <c r="BR510" t="s">
        <v>105</v>
      </c>
      <c r="BS510" t="s">
        <v>10059</v>
      </c>
      <c r="BT510" t="str">
        <f>HYPERLINK("https%3A%2F%2Fwww.webofscience.com%2Fwos%2Fwoscc%2Ffull-record%2FWOS:001196924100012","View Full Record in Web of Science")</f>
        <v>View Full Record in Web of Science</v>
      </c>
    </row>
    <row r="511" spans="1:72" x14ac:dyDescent="0.25">
      <c r="A511" t="s">
        <v>72</v>
      </c>
      <c r="B511" t="s">
        <v>10060</v>
      </c>
      <c r="C511" t="s">
        <v>74</v>
      </c>
      <c r="D511" t="s">
        <v>74</v>
      </c>
      <c r="E511" t="s">
        <v>74</v>
      </c>
      <c r="F511" t="s">
        <v>10061</v>
      </c>
      <c r="G511" t="s">
        <v>74</v>
      </c>
      <c r="H511" t="s">
        <v>74</v>
      </c>
      <c r="I511" t="s">
        <v>10062</v>
      </c>
      <c r="J511" t="s">
        <v>2543</v>
      </c>
      <c r="K511" t="s">
        <v>74</v>
      </c>
      <c r="L511" t="s">
        <v>74</v>
      </c>
      <c r="M511" t="s">
        <v>78</v>
      </c>
      <c r="N511" t="s">
        <v>79</v>
      </c>
      <c r="O511" t="s">
        <v>74</v>
      </c>
      <c r="P511" t="s">
        <v>74</v>
      </c>
      <c r="Q511" t="s">
        <v>74</v>
      </c>
      <c r="R511" t="s">
        <v>74</v>
      </c>
      <c r="S511" t="s">
        <v>74</v>
      </c>
      <c r="T511" t="s">
        <v>10063</v>
      </c>
      <c r="U511" t="s">
        <v>10064</v>
      </c>
      <c r="V511" t="s">
        <v>10065</v>
      </c>
      <c r="W511" t="s">
        <v>10066</v>
      </c>
      <c r="X511" t="s">
        <v>10067</v>
      </c>
      <c r="Y511" t="s">
        <v>10068</v>
      </c>
      <c r="Z511" t="s">
        <v>10069</v>
      </c>
      <c r="AA511" t="s">
        <v>10070</v>
      </c>
      <c r="AB511" t="s">
        <v>10071</v>
      </c>
      <c r="AC511" t="s">
        <v>74</v>
      </c>
      <c r="AD511" t="s">
        <v>74</v>
      </c>
      <c r="AE511" t="s">
        <v>74</v>
      </c>
      <c r="AF511" t="s">
        <v>74</v>
      </c>
      <c r="AG511">
        <v>136</v>
      </c>
      <c r="AH511">
        <v>5</v>
      </c>
      <c r="AI511">
        <v>5</v>
      </c>
      <c r="AJ511">
        <v>3</v>
      </c>
      <c r="AK511">
        <v>8</v>
      </c>
      <c r="AL511" t="s">
        <v>120</v>
      </c>
      <c r="AM511" t="s">
        <v>121</v>
      </c>
      <c r="AN511" t="s">
        <v>122</v>
      </c>
      <c r="AO511" t="s">
        <v>74</v>
      </c>
      <c r="AP511" t="s">
        <v>2553</v>
      </c>
      <c r="AQ511" t="s">
        <v>74</v>
      </c>
      <c r="AR511" t="s">
        <v>2554</v>
      </c>
      <c r="AS511" t="s">
        <v>2555</v>
      </c>
      <c r="AT511" t="s">
        <v>1888</v>
      </c>
      <c r="AU511">
        <v>2023</v>
      </c>
      <c r="AV511">
        <v>13</v>
      </c>
      <c r="AW511">
        <v>10</v>
      </c>
      <c r="AX511" t="s">
        <v>74</v>
      </c>
      <c r="AY511" t="s">
        <v>74</v>
      </c>
      <c r="AZ511" t="s">
        <v>74</v>
      </c>
      <c r="BA511" t="s">
        <v>74</v>
      </c>
      <c r="BB511" t="s">
        <v>74</v>
      </c>
      <c r="BC511" t="s">
        <v>74</v>
      </c>
      <c r="BD511">
        <v>1495</v>
      </c>
      <c r="BE511" t="s">
        <v>10072</v>
      </c>
      <c r="BF511" t="str">
        <f>HYPERLINK("http://dx.doi.org/10.3390/brainsci13101495","http://dx.doi.org/10.3390/brainsci13101495")</f>
        <v>http://dx.doi.org/10.3390/brainsci13101495</v>
      </c>
      <c r="BG511" t="s">
        <v>74</v>
      </c>
      <c r="BH511" t="s">
        <v>74</v>
      </c>
      <c r="BI511">
        <v>27</v>
      </c>
      <c r="BJ511" t="s">
        <v>374</v>
      </c>
      <c r="BK511" t="s">
        <v>182</v>
      </c>
      <c r="BL511" t="s">
        <v>375</v>
      </c>
      <c r="BM511" t="s">
        <v>10073</v>
      </c>
      <c r="BN511">
        <v>37891862</v>
      </c>
      <c r="BO511" t="s">
        <v>355</v>
      </c>
      <c r="BP511" t="s">
        <v>74</v>
      </c>
      <c r="BQ511" t="s">
        <v>74</v>
      </c>
      <c r="BR511" t="s">
        <v>105</v>
      </c>
      <c r="BS511" t="s">
        <v>10074</v>
      </c>
      <c r="BT511" t="str">
        <f>HYPERLINK("https%3A%2F%2Fwww.webofscience.com%2Fwos%2Fwoscc%2Ffull-record%2FWOS:001094201600001","View Full Record in Web of Science")</f>
        <v>View Full Record in Web of Science</v>
      </c>
    </row>
    <row r="512" spans="1:72" x14ac:dyDescent="0.25">
      <c r="A512" t="s">
        <v>72</v>
      </c>
      <c r="B512" t="s">
        <v>10075</v>
      </c>
      <c r="C512" t="s">
        <v>74</v>
      </c>
      <c r="D512" t="s">
        <v>74</v>
      </c>
      <c r="E512" t="s">
        <v>74</v>
      </c>
      <c r="F512" t="s">
        <v>10076</v>
      </c>
      <c r="G512" t="s">
        <v>74</v>
      </c>
      <c r="H512" t="s">
        <v>74</v>
      </c>
      <c r="I512" t="s">
        <v>10077</v>
      </c>
      <c r="J512" t="s">
        <v>10078</v>
      </c>
      <c r="K512" t="s">
        <v>74</v>
      </c>
      <c r="L512" t="s">
        <v>74</v>
      </c>
      <c r="M512" t="s">
        <v>78</v>
      </c>
      <c r="N512" t="s">
        <v>79</v>
      </c>
      <c r="O512" t="s">
        <v>74</v>
      </c>
      <c r="P512" t="s">
        <v>74</v>
      </c>
      <c r="Q512" t="s">
        <v>74</v>
      </c>
      <c r="R512" t="s">
        <v>74</v>
      </c>
      <c r="S512" t="s">
        <v>74</v>
      </c>
      <c r="T512" t="s">
        <v>10079</v>
      </c>
      <c r="U512" t="s">
        <v>10080</v>
      </c>
      <c r="V512" t="s">
        <v>10081</v>
      </c>
      <c r="W512" t="s">
        <v>10082</v>
      </c>
      <c r="X512" t="s">
        <v>10083</v>
      </c>
      <c r="Y512" t="s">
        <v>10084</v>
      </c>
      <c r="Z512" t="s">
        <v>10085</v>
      </c>
      <c r="AA512" t="s">
        <v>10086</v>
      </c>
      <c r="AB512" t="s">
        <v>10087</v>
      </c>
      <c r="AC512" t="s">
        <v>74</v>
      </c>
      <c r="AD512" t="s">
        <v>74</v>
      </c>
      <c r="AE512" t="s">
        <v>74</v>
      </c>
      <c r="AF512" t="s">
        <v>74</v>
      </c>
      <c r="AG512">
        <v>42</v>
      </c>
      <c r="AH512">
        <v>2</v>
      </c>
      <c r="AI512">
        <v>2</v>
      </c>
      <c r="AJ512">
        <v>3</v>
      </c>
      <c r="AK512">
        <v>11</v>
      </c>
      <c r="AL512" t="s">
        <v>1040</v>
      </c>
      <c r="AM512" t="s">
        <v>1041</v>
      </c>
      <c r="AN512" t="s">
        <v>1042</v>
      </c>
      <c r="AO512" t="s">
        <v>10088</v>
      </c>
      <c r="AP512" t="s">
        <v>10089</v>
      </c>
      <c r="AQ512" t="s">
        <v>74</v>
      </c>
      <c r="AR512" t="s">
        <v>10078</v>
      </c>
      <c r="AS512" t="s">
        <v>10090</v>
      </c>
      <c r="AT512" t="s">
        <v>1888</v>
      </c>
      <c r="AU512">
        <v>2023</v>
      </c>
      <c r="AV512">
        <v>30</v>
      </c>
      <c r="AW512" t="s">
        <v>74</v>
      </c>
      <c r="AX512" t="s">
        <v>74</v>
      </c>
      <c r="AY512" t="s">
        <v>74</v>
      </c>
      <c r="AZ512" t="s">
        <v>74</v>
      </c>
      <c r="BA512" t="s">
        <v>74</v>
      </c>
      <c r="BB512" t="s">
        <v>74</v>
      </c>
      <c r="BC512" t="s">
        <v>74</v>
      </c>
      <c r="BD512">
        <v>1.0732748231212352E+16</v>
      </c>
      <c r="BE512" t="s">
        <v>10091</v>
      </c>
      <c r="BF512" t="str">
        <f>HYPERLINK("http://dx.doi.org/10.1177/10732748231212353","http://dx.doi.org/10.1177/10732748231212353")</f>
        <v>http://dx.doi.org/10.1177/10732748231212353</v>
      </c>
      <c r="BG512" t="s">
        <v>74</v>
      </c>
      <c r="BH512" t="s">
        <v>74</v>
      </c>
      <c r="BI512">
        <v>7</v>
      </c>
      <c r="BJ512" t="s">
        <v>4032</v>
      </c>
      <c r="BK512" t="s">
        <v>182</v>
      </c>
      <c r="BL512" t="s">
        <v>4032</v>
      </c>
      <c r="BM512" t="s">
        <v>10092</v>
      </c>
      <c r="BN512">
        <v>37907433</v>
      </c>
      <c r="BO512" t="s">
        <v>131</v>
      </c>
      <c r="BP512" t="s">
        <v>74</v>
      </c>
      <c r="BQ512" t="s">
        <v>74</v>
      </c>
      <c r="BR512" t="s">
        <v>105</v>
      </c>
      <c r="BS512" t="s">
        <v>10093</v>
      </c>
      <c r="BT512" t="str">
        <f>HYPERLINK("https%3A%2F%2Fwww.webofscience.com%2Fwos%2Fwoscc%2Ffull-record%2FWOS:001092327700001","View Full Record in Web of Science")</f>
        <v>View Full Record in Web of Science</v>
      </c>
    </row>
    <row r="513" spans="1:72" x14ac:dyDescent="0.25">
      <c r="A513" t="s">
        <v>72</v>
      </c>
      <c r="B513" t="s">
        <v>10094</v>
      </c>
      <c r="C513" t="s">
        <v>74</v>
      </c>
      <c r="D513" t="s">
        <v>74</v>
      </c>
      <c r="E513" t="s">
        <v>74</v>
      </c>
      <c r="F513" t="s">
        <v>10095</v>
      </c>
      <c r="G513" t="s">
        <v>74</v>
      </c>
      <c r="H513" t="s">
        <v>74</v>
      </c>
      <c r="I513" t="s">
        <v>10096</v>
      </c>
      <c r="J513" t="s">
        <v>214</v>
      </c>
      <c r="K513" t="s">
        <v>74</v>
      </c>
      <c r="L513" t="s">
        <v>74</v>
      </c>
      <c r="M513" t="s">
        <v>78</v>
      </c>
      <c r="N513" t="s">
        <v>79</v>
      </c>
      <c r="O513" t="s">
        <v>74</v>
      </c>
      <c r="P513" t="s">
        <v>74</v>
      </c>
      <c r="Q513" t="s">
        <v>74</v>
      </c>
      <c r="R513" t="s">
        <v>74</v>
      </c>
      <c r="S513" t="s">
        <v>74</v>
      </c>
      <c r="T513" t="s">
        <v>10097</v>
      </c>
      <c r="U513" t="s">
        <v>10098</v>
      </c>
      <c r="V513" t="s">
        <v>10099</v>
      </c>
      <c r="W513" t="s">
        <v>10100</v>
      </c>
      <c r="X513" t="s">
        <v>10101</v>
      </c>
      <c r="Y513" t="s">
        <v>10102</v>
      </c>
      <c r="Z513" t="s">
        <v>10103</v>
      </c>
      <c r="AA513" t="s">
        <v>10104</v>
      </c>
      <c r="AB513" t="s">
        <v>10105</v>
      </c>
      <c r="AC513" t="s">
        <v>74</v>
      </c>
      <c r="AD513" t="s">
        <v>74</v>
      </c>
      <c r="AE513" t="s">
        <v>74</v>
      </c>
      <c r="AF513" t="s">
        <v>74</v>
      </c>
      <c r="AG513">
        <v>83</v>
      </c>
      <c r="AH513">
        <v>9</v>
      </c>
      <c r="AI513">
        <v>9</v>
      </c>
      <c r="AJ513">
        <v>2</v>
      </c>
      <c r="AK513">
        <v>17</v>
      </c>
      <c r="AL513" t="s">
        <v>226</v>
      </c>
      <c r="AM513" t="s">
        <v>227</v>
      </c>
      <c r="AN513" t="s">
        <v>228</v>
      </c>
      <c r="AO513" t="s">
        <v>229</v>
      </c>
      <c r="AP513" t="s">
        <v>230</v>
      </c>
      <c r="AQ513" t="s">
        <v>74</v>
      </c>
      <c r="AR513" t="s">
        <v>231</v>
      </c>
      <c r="AS513" t="s">
        <v>232</v>
      </c>
      <c r="AT513" t="s">
        <v>1888</v>
      </c>
      <c r="AU513">
        <v>2023</v>
      </c>
      <c r="AV513">
        <v>104</v>
      </c>
      <c r="AW513">
        <v>10</v>
      </c>
      <c r="AX513" t="s">
        <v>74</v>
      </c>
      <c r="AY513" t="s">
        <v>74</v>
      </c>
      <c r="AZ513" t="s">
        <v>74</v>
      </c>
      <c r="BA513" t="s">
        <v>74</v>
      </c>
      <c r="BB513">
        <v>1698</v>
      </c>
      <c r="BC513">
        <v>1710</v>
      </c>
      <c r="BD513" t="s">
        <v>74</v>
      </c>
      <c r="BE513" t="s">
        <v>10106</v>
      </c>
      <c r="BF513" t="str">
        <f>HYPERLINK("http://dx.doi.org/10.1016/j.apmr.2023.03.006","http://dx.doi.org/10.1016/j.apmr.2023.03.006")</f>
        <v>http://dx.doi.org/10.1016/j.apmr.2023.03.006</v>
      </c>
      <c r="BG513" t="s">
        <v>74</v>
      </c>
      <c r="BH513" t="s">
        <v>2016</v>
      </c>
      <c r="BI513">
        <v>13</v>
      </c>
      <c r="BJ513" t="s">
        <v>236</v>
      </c>
      <c r="BK513" t="s">
        <v>182</v>
      </c>
      <c r="BL513" t="s">
        <v>236</v>
      </c>
      <c r="BM513" t="s">
        <v>10107</v>
      </c>
      <c r="BN513">
        <v>36972746</v>
      </c>
      <c r="BO513" t="s">
        <v>74</v>
      </c>
      <c r="BP513" t="s">
        <v>74</v>
      </c>
      <c r="BQ513" t="s">
        <v>74</v>
      </c>
      <c r="BR513" t="s">
        <v>105</v>
      </c>
      <c r="BS513" t="s">
        <v>10108</v>
      </c>
      <c r="BT513" t="str">
        <f>HYPERLINK("https%3A%2F%2Fwww.webofscience.com%2Fwos%2Fwoscc%2Ffull-record%2FWOS:001091745700001","View Full Record in Web of Science")</f>
        <v>View Full Record in Web of Science</v>
      </c>
    </row>
    <row r="514" spans="1:72" x14ac:dyDescent="0.25">
      <c r="A514" t="s">
        <v>72</v>
      </c>
      <c r="B514" t="s">
        <v>10109</v>
      </c>
      <c r="C514" t="s">
        <v>74</v>
      </c>
      <c r="D514" t="s">
        <v>74</v>
      </c>
      <c r="E514" t="s">
        <v>74</v>
      </c>
      <c r="F514" t="s">
        <v>10110</v>
      </c>
      <c r="G514" t="s">
        <v>74</v>
      </c>
      <c r="H514" t="s">
        <v>74</v>
      </c>
      <c r="I514" t="s">
        <v>10111</v>
      </c>
      <c r="J514" t="s">
        <v>10112</v>
      </c>
      <c r="K514" t="s">
        <v>74</v>
      </c>
      <c r="L514" t="s">
        <v>74</v>
      </c>
      <c r="M514" t="s">
        <v>78</v>
      </c>
      <c r="N514" t="s">
        <v>79</v>
      </c>
      <c r="O514" t="s">
        <v>74</v>
      </c>
      <c r="P514" t="s">
        <v>74</v>
      </c>
      <c r="Q514" t="s">
        <v>74</v>
      </c>
      <c r="R514" t="s">
        <v>74</v>
      </c>
      <c r="S514" t="s">
        <v>74</v>
      </c>
      <c r="T514" t="s">
        <v>10113</v>
      </c>
      <c r="U514" t="s">
        <v>10114</v>
      </c>
      <c r="V514" t="s">
        <v>10115</v>
      </c>
      <c r="W514" t="s">
        <v>10116</v>
      </c>
      <c r="X514" t="s">
        <v>10117</v>
      </c>
      <c r="Y514" t="s">
        <v>10118</v>
      </c>
      <c r="Z514" t="s">
        <v>74</v>
      </c>
      <c r="AA514" t="s">
        <v>10119</v>
      </c>
      <c r="AB514" t="s">
        <v>10120</v>
      </c>
      <c r="AC514" t="s">
        <v>10121</v>
      </c>
      <c r="AD514" t="s">
        <v>10122</v>
      </c>
      <c r="AE514" t="s">
        <v>10123</v>
      </c>
      <c r="AF514" t="s">
        <v>74</v>
      </c>
      <c r="AG514">
        <v>109</v>
      </c>
      <c r="AH514">
        <v>5</v>
      </c>
      <c r="AI514">
        <v>5</v>
      </c>
      <c r="AJ514">
        <v>7</v>
      </c>
      <c r="AK514">
        <v>19</v>
      </c>
      <c r="AL514" t="s">
        <v>6029</v>
      </c>
      <c r="AM514" t="s">
        <v>6030</v>
      </c>
      <c r="AN514" t="s">
        <v>6031</v>
      </c>
      <c r="AO514" t="s">
        <v>10124</v>
      </c>
      <c r="AP514" t="s">
        <v>10125</v>
      </c>
      <c r="AQ514" t="s">
        <v>74</v>
      </c>
      <c r="AR514" t="s">
        <v>10126</v>
      </c>
      <c r="AS514" t="s">
        <v>10127</v>
      </c>
      <c r="AT514" t="s">
        <v>10128</v>
      </c>
      <c r="AU514">
        <v>2023</v>
      </c>
      <c r="AV514">
        <v>43</v>
      </c>
      <c r="AW514">
        <v>6</v>
      </c>
      <c r="AX514" t="s">
        <v>74</v>
      </c>
      <c r="AY514" t="s">
        <v>74</v>
      </c>
      <c r="AZ514" t="s">
        <v>74</v>
      </c>
      <c r="BA514" t="s">
        <v>74</v>
      </c>
      <c r="BB514">
        <v>669</v>
      </c>
      <c r="BC514">
        <v>690</v>
      </c>
      <c r="BD514" t="s">
        <v>74</v>
      </c>
      <c r="BE514" t="s">
        <v>10129</v>
      </c>
      <c r="BF514" t="str">
        <f>HYPERLINK("http://dx.doi.org/10.1108/RIA-04-2023-0045","http://dx.doi.org/10.1108/RIA-04-2023-0045")</f>
        <v>http://dx.doi.org/10.1108/RIA-04-2023-0045</v>
      </c>
      <c r="BG514" t="s">
        <v>74</v>
      </c>
      <c r="BH514" t="s">
        <v>2016</v>
      </c>
      <c r="BI514">
        <v>22</v>
      </c>
      <c r="BJ514" t="s">
        <v>10130</v>
      </c>
      <c r="BK514" t="s">
        <v>182</v>
      </c>
      <c r="BL514" t="s">
        <v>10131</v>
      </c>
      <c r="BM514" t="s">
        <v>10132</v>
      </c>
      <c r="BN514" t="s">
        <v>74</v>
      </c>
      <c r="BO514" t="s">
        <v>74</v>
      </c>
      <c r="BP514" t="s">
        <v>74</v>
      </c>
      <c r="BQ514" t="s">
        <v>74</v>
      </c>
      <c r="BR514" t="s">
        <v>105</v>
      </c>
      <c r="BS514" t="s">
        <v>10133</v>
      </c>
      <c r="BT514" t="str">
        <f>HYPERLINK("https%3A%2F%2Fwww.webofscience.com%2Fwos%2Fwoscc%2Ffull-record%2FWOS:001073878200001","View Full Record in Web of Science")</f>
        <v>View Full Record in Web of Science</v>
      </c>
    </row>
    <row r="515" spans="1:72" x14ac:dyDescent="0.25">
      <c r="A515" t="s">
        <v>72</v>
      </c>
      <c r="B515" t="s">
        <v>10134</v>
      </c>
      <c r="C515" t="s">
        <v>74</v>
      </c>
      <c r="D515" t="s">
        <v>74</v>
      </c>
      <c r="E515" t="s">
        <v>74</v>
      </c>
      <c r="F515" t="s">
        <v>10135</v>
      </c>
      <c r="G515" t="s">
        <v>74</v>
      </c>
      <c r="H515" t="s">
        <v>74</v>
      </c>
      <c r="I515" t="s">
        <v>10136</v>
      </c>
      <c r="J515" t="s">
        <v>214</v>
      </c>
      <c r="K515" t="s">
        <v>74</v>
      </c>
      <c r="L515" t="s">
        <v>74</v>
      </c>
      <c r="M515" t="s">
        <v>78</v>
      </c>
      <c r="N515" t="s">
        <v>79</v>
      </c>
      <c r="O515" t="s">
        <v>74</v>
      </c>
      <c r="P515" t="s">
        <v>74</v>
      </c>
      <c r="Q515" t="s">
        <v>74</v>
      </c>
      <c r="R515" t="s">
        <v>74</v>
      </c>
      <c r="S515" t="s">
        <v>74</v>
      </c>
      <c r="T515" t="s">
        <v>10137</v>
      </c>
      <c r="U515" t="s">
        <v>10138</v>
      </c>
      <c r="V515" t="s">
        <v>10139</v>
      </c>
      <c r="W515" t="s">
        <v>10140</v>
      </c>
      <c r="X515" t="s">
        <v>10141</v>
      </c>
      <c r="Y515" t="s">
        <v>10142</v>
      </c>
      <c r="Z515" t="s">
        <v>10143</v>
      </c>
      <c r="AA515" t="s">
        <v>10144</v>
      </c>
      <c r="AB515" t="s">
        <v>10145</v>
      </c>
      <c r="AC515" t="s">
        <v>74</v>
      </c>
      <c r="AD515" t="s">
        <v>74</v>
      </c>
      <c r="AE515" t="s">
        <v>74</v>
      </c>
      <c r="AF515" t="s">
        <v>74</v>
      </c>
      <c r="AG515">
        <v>44</v>
      </c>
      <c r="AH515">
        <v>10</v>
      </c>
      <c r="AI515">
        <v>11</v>
      </c>
      <c r="AJ515">
        <v>7</v>
      </c>
      <c r="AK515">
        <v>41</v>
      </c>
      <c r="AL515" t="s">
        <v>226</v>
      </c>
      <c r="AM515" t="s">
        <v>227</v>
      </c>
      <c r="AN515" t="s">
        <v>228</v>
      </c>
      <c r="AO515" t="s">
        <v>229</v>
      </c>
      <c r="AP515" t="s">
        <v>230</v>
      </c>
      <c r="AQ515" t="s">
        <v>74</v>
      </c>
      <c r="AR515" t="s">
        <v>231</v>
      </c>
      <c r="AS515" t="s">
        <v>232</v>
      </c>
      <c r="AT515" t="s">
        <v>1888</v>
      </c>
      <c r="AU515">
        <v>2023</v>
      </c>
      <c r="AV515">
        <v>104</v>
      </c>
      <c r="AW515">
        <v>10</v>
      </c>
      <c r="AX515" t="s">
        <v>74</v>
      </c>
      <c r="AY515" t="s">
        <v>74</v>
      </c>
      <c r="AZ515" t="s">
        <v>74</v>
      </c>
      <c r="BA515" t="s">
        <v>74</v>
      </c>
      <c r="BB515">
        <v>1711</v>
      </c>
      <c r="BC515">
        <v>1719</v>
      </c>
      <c r="BD515" t="s">
        <v>74</v>
      </c>
      <c r="BE515" t="s">
        <v>10146</v>
      </c>
      <c r="BF515" t="str">
        <f>HYPERLINK("http://dx.doi.org/10.1016/j.apmr.2023.04.005","http://dx.doi.org/10.1016/j.apmr.2023.04.005")</f>
        <v>http://dx.doi.org/10.1016/j.apmr.2023.04.005</v>
      </c>
      <c r="BG515" t="s">
        <v>74</v>
      </c>
      <c r="BH515" t="s">
        <v>2016</v>
      </c>
      <c r="BI515">
        <v>9</v>
      </c>
      <c r="BJ515" t="s">
        <v>236</v>
      </c>
      <c r="BK515" t="s">
        <v>182</v>
      </c>
      <c r="BL515" t="s">
        <v>236</v>
      </c>
      <c r="BM515" t="s">
        <v>10147</v>
      </c>
      <c r="BN515">
        <v>37119954</v>
      </c>
      <c r="BO515" t="s">
        <v>74</v>
      </c>
      <c r="BP515" t="s">
        <v>74</v>
      </c>
      <c r="BQ515" t="s">
        <v>74</v>
      </c>
      <c r="BR515" t="s">
        <v>105</v>
      </c>
      <c r="BS515" t="s">
        <v>10148</v>
      </c>
      <c r="BT515" t="str">
        <f>HYPERLINK("https%3A%2F%2Fwww.webofscience.com%2Fwos%2Fwoscc%2Ffull-record%2FWOS:001088779700001","View Full Record in Web of Science")</f>
        <v>View Full Record in Web of Science</v>
      </c>
    </row>
    <row r="516" spans="1:72" x14ac:dyDescent="0.25">
      <c r="A516" t="s">
        <v>72</v>
      </c>
      <c r="B516" t="s">
        <v>10149</v>
      </c>
      <c r="C516" t="s">
        <v>74</v>
      </c>
      <c r="D516" t="s">
        <v>74</v>
      </c>
      <c r="E516" t="s">
        <v>74</v>
      </c>
      <c r="F516" t="s">
        <v>10150</v>
      </c>
      <c r="G516" t="s">
        <v>74</v>
      </c>
      <c r="H516" t="s">
        <v>74</v>
      </c>
      <c r="I516" t="s">
        <v>10151</v>
      </c>
      <c r="J516" t="s">
        <v>10152</v>
      </c>
      <c r="K516" t="s">
        <v>74</v>
      </c>
      <c r="L516" t="s">
        <v>74</v>
      </c>
      <c r="M516" t="s">
        <v>78</v>
      </c>
      <c r="N516" t="s">
        <v>79</v>
      </c>
      <c r="O516" t="s">
        <v>74</v>
      </c>
      <c r="P516" t="s">
        <v>74</v>
      </c>
      <c r="Q516" t="s">
        <v>74</v>
      </c>
      <c r="R516" t="s">
        <v>74</v>
      </c>
      <c r="S516" t="s">
        <v>74</v>
      </c>
      <c r="T516" t="s">
        <v>10153</v>
      </c>
      <c r="U516" t="s">
        <v>10154</v>
      </c>
      <c r="V516" t="s">
        <v>10155</v>
      </c>
      <c r="W516" t="s">
        <v>10156</v>
      </c>
      <c r="X516" t="s">
        <v>10157</v>
      </c>
      <c r="Y516" t="s">
        <v>10158</v>
      </c>
      <c r="Z516" t="s">
        <v>10159</v>
      </c>
      <c r="AA516" t="s">
        <v>10160</v>
      </c>
      <c r="AB516" t="s">
        <v>10161</v>
      </c>
      <c r="AC516" t="s">
        <v>10162</v>
      </c>
      <c r="AD516" t="s">
        <v>10162</v>
      </c>
      <c r="AE516" t="s">
        <v>10163</v>
      </c>
      <c r="AF516" t="s">
        <v>74</v>
      </c>
      <c r="AG516">
        <v>64</v>
      </c>
      <c r="AH516">
        <v>8</v>
      </c>
      <c r="AI516">
        <v>10</v>
      </c>
      <c r="AJ516">
        <v>0</v>
      </c>
      <c r="AK516">
        <v>0</v>
      </c>
      <c r="AL516" t="s">
        <v>2998</v>
      </c>
      <c r="AM516" t="s">
        <v>2999</v>
      </c>
      <c r="AN516" t="s">
        <v>3000</v>
      </c>
      <c r="AO516" t="s">
        <v>10164</v>
      </c>
      <c r="AP516" t="s">
        <v>74</v>
      </c>
      <c r="AQ516" t="s">
        <v>74</v>
      </c>
      <c r="AR516" t="s">
        <v>10165</v>
      </c>
      <c r="AS516" t="s">
        <v>10166</v>
      </c>
      <c r="AT516" t="s">
        <v>126</v>
      </c>
      <c r="AU516">
        <v>2023</v>
      </c>
      <c r="AV516">
        <v>7</v>
      </c>
      <c r="AW516">
        <v>6</v>
      </c>
      <c r="AX516" t="s">
        <v>74</v>
      </c>
      <c r="AY516" t="s">
        <v>74</v>
      </c>
      <c r="AZ516" t="s">
        <v>74</v>
      </c>
      <c r="BA516" t="s">
        <v>74</v>
      </c>
      <c r="BB516">
        <v>863</v>
      </c>
      <c r="BC516">
        <v>870</v>
      </c>
      <c r="BD516" t="s">
        <v>74</v>
      </c>
      <c r="BE516" t="s">
        <v>10167</v>
      </c>
      <c r="BF516" t="str">
        <f>HYPERLINK("http://dx.doi.org/10.1002/ags3.12737","http://dx.doi.org/10.1002/ags3.12737")</f>
        <v>http://dx.doi.org/10.1002/ags3.12737</v>
      </c>
      <c r="BG516" t="s">
        <v>74</v>
      </c>
      <c r="BH516" t="s">
        <v>2016</v>
      </c>
      <c r="BI516">
        <v>8</v>
      </c>
      <c r="BJ516" t="s">
        <v>5035</v>
      </c>
      <c r="BK516" t="s">
        <v>182</v>
      </c>
      <c r="BL516" t="s">
        <v>5035</v>
      </c>
      <c r="BM516" t="s">
        <v>10168</v>
      </c>
      <c r="BN516">
        <v>37927925</v>
      </c>
      <c r="BO516" t="s">
        <v>131</v>
      </c>
      <c r="BP516" t="s">
        <v>74</v>
      </c>
      <c r="BQ516" t="s">
        <v>74</v>
      </c>
      <c r="BR516" t="s">
        <v>105</v>
      </c>
      <c r="BS516" t="s">
        <v>10169</v>
      </c>
      <c r="BT516" t="str">
        <f>HYPERLINK("https%3A%2F%2Fwww.webofscience.com%2Fwos%2Fwoscc%2Ffull-record%2FWOS:001059120300001","View Full Record in Web of Science")</f>
        <v>View Full Record in Web of Science</v>
      </c>
    </row>
    <row r="517" spans="1:72" x14ac:dyDescent="0.25">
      <c r="A517" t="s">
        <v>72</v>
      </c>
      <c r="B517" t="s">
        <v>10170</v>
      </c>
      <c r="C517" t="s">
        <v>74</v>
      </c>
      <c r="D517" t="s">
        <v>74</v>
      </c>
      <c r="E517" t="s">
        <v>74</v>
      </c>
      <c r="F517" t="s">
        <v>10171</v>
      </c>
      <c r="G517" t="s">
        <v>74</v>
      </c>
      <c r="H517" t="s">
        <v>74</v>
      </c>
      <c r="I517" t="s">
        <v>10172</v>
      </c>
      <c r="J517" t="s">
        <v>2091</v>
      </c>
      <c r="K517" t="s">
        <v>74</v>
      </c>
      <c r="L517" t="s">
        <v>74</v>
      </c>
      <c r="M517" t="s">
        <v>78</v>
      </c>
      <c r="N517" t="s">
        <v>79</v>
      </c>
      <c r="O517" t="s">
        <v>74</v>
      </c>
      <c r="P517" t="s">
        <v>74</v>
      </c>
      <c r="Q517" t="s">
        <v>74</v>
      </c>
      <c r="R517" t="s">
        <v>74</v>
      </c>
      <c r="S517" t="s">
        <v>74</v>
      </c>
      <c r="T517" t="s">
        <v>10173</v>
      </c>
      <c r="U517" t="s">
        <v>10174</v>
      </c>
      <c r="V517" t="s">
        <v>10175</v>
      </c>
      <c r="W517" t="s">
        <v>10176</v>
      </c>
      <c r="X517" t="s">
        <v>10177</v>
      </c>
      <c r="Y517" t="s">
        <v>10178</v>
      </c>
      <c r="Z517" t="s">
        <v>10179</v>
      </c>
      <c r="AA517" t="s">
        <v>10180</v>
      </c>
      <c r="AB517" t="s">
        <v>10181</v>
      </c>
      <c r="AC517" t="s">
        <v>10182</v>
      </c>
      <c r="AD517" t="s">
        <v>10183</v>
      </c>
      <c r="AE517" t="s">
        <v>10184</v>
      </c>
      <c r="AF517" t="s">
        <v>74</v>
      </c>
      <c r="AG517">
        <v>129</v>
      </c>
      <c r="AH517">
        <v>18</v>
      </c>
      <c r="AI517">
        <v>18</v>
      </c>
      <c r="AJ517">
        <v>28</v>
      </c>
      <c r="AK517">
        <v>136</v>
      </c>
      <c r="AL517" t="s">
        <v>120</v>
      </c>
      <c r="AM517" t="s">
        <v>121</v>
      </c>
      <c r="AN517" t="s">
        <v>10185</v>
      </c>
      <c r="AO517" t="s">
        <v>74</v>
      </c>
      <c r="AP517" t="s">
        <v>2104</v>
      </c>
      <c r="AQ517" t="s">
        <v>74</v>
      </c>
      <c r="AR517" t="s">
        <v>2105</v>
      </c>
      <c r="AS517" t="s">
        <v>2106</v>
      </c>
      <c r="AT517" t="s">
        <v>420</v>
      </c>
      <c r="AU517">
        <v>2023</v>
      </c>
      <c r="AV517">
        <v>13</v>
      </c>
      <c r="AW517">
        <v>17</v>
      </c>
      <c r="AX517" t="s">
        <v>74</v>
      </c>
      <c r="AY517" t="s">
        <v>74</v>
      </c>
      <c r="AZ517" t="s">
        <v>74</v>
      </c>
      <c r="BA517" t="s">
        <v>74</v>
      </c>
      <c r="BB517" t="s">
        <v>74</v>
      </c>
      <c r="BC517" t="s">
        <v>74</v>
      </c>
      <c r="BD517">
        <v>9546</v>
      </c>
      <c r="BE517" t="s">
        <v>10186</v>
      </c>
      <c r="BF517" t="str">
        <f>HYPERLINK("http://dx.doi.org/10.3390/app13179546","http://dx.doi.org/10.3390/app13179546")</f>
        <v>http://dx.doi.org/10.3390/app13179546</v>
      </c>
      <c r="BG517" t="s">
        <v>74</v>
      </c>
      <c r="BH517" t="s">
        <v>74</v>
      </c>
      <c r="BI517">
        <v>21</v>
      </c>
      <c r="BJ517" t="s">
        <v>2109</v>
      </c>
      <c r="BK517" t="s">
        <v>182</v>
      </c>
      <c r="BL517" t="s">
        <v>2110</v>
      </c>
      <c r="BM517" t="s">
        <v>10187</v>
      </c>
      <c r="BN517" t="s">
        <v>74</v>
      </c>
      <c r="BO517" t="s">
        <v>185</v>
      </c>
      <c r="BP517" t="s">
        <v>74</v>
      </c>
      <c r="BQ517" t="s">
        <v>74</v>
      </c>
      <c r="BR517" t="s">
        <v>105</v>
      </c>
      <c r="BS517" t="s">
        <v>10188</v>
      </c>
      <c r="BT517" t="str">
        <f>HYPERLINK("https%3A%2F%2Fwww.webofscience.com%2Fwos%2Fwoscc%2Ffull-record%2FWOS:001062881600001","View Full Record in Web of Science")</f>
        <v>View Full Record in Web of Science</v>
      </c>
    </row>
    <row r="518" spans="1:72" x14ac:dyDescent="0.25">
      <c r="A518" t="s">
        <v>72</v>
      </c>
      <c r="B518" t="s">
        <v>10189</v>
      </c>
      <c r="C518" t="s">
        <v>74</v>
      </c>
      <c r="D518" t="s">
        <v>74</v>
      </c>
      <c r="E518" t="s">
        <v>74</v>
      </c>
      <c r="F518" t="s">
        <v>10190</v>
      </c>
      <c r="G518" t="s">
        <v>74</v>
      </c>
      <c r="H518" t="s">
        <v>74</v>
      </c>
      <c r="I518" t="s">
        <v>10191</v>
      </c>
      <c r="J518" t="s">
        <v>571</v>
      </c>
      <c r="K518" t="s">
        <v>74</v>
      </c>
      <c r="L518" t="s">
        <v>74</v>
      </c>
      <c r="M518" t="s">
        <v>78</v>
      </c>
      <c r="N518" t="s">
        <v>79</v>
      </c>
      <c r="O518" t="s">
        <v>74</v>
      </c>
      <c r="P518" t="s">
        <v>74</v>
      </c>
      <c r="Q518" t="s">
        <v>74</v>
      </c>
      <c r="R518" t="s">
        <v>74</v>
      </c>
      <c r="S518" t="s">
        <v>74</v>
      </c>
      <c r="T518" t="s">
        <v>10192</v>
      </c>
      <c r="U518" t="s">
        <v>10193</v>
      </c>
      <c r="V518" t="s">
        <v>10194</v>
      </c>
      <c r="W518" t="s">
        <v>10195</v>
      </c>
      <c r="X518" t="s">
        <v>10196</v>
      </c>
      <c r="Y518" t="s">
        <v>10197</v>
      </c>
      <c r="Z518" t="s">
        <v>10198</v>
      </c>
      <c r="AA518" t="s">
        <v>74</v>
      </c>
      <c r="AB518" t="s">
        <v>74</v>
      </c>
      <c r="AC518" t="s">
        <v>74</v>
      </c>
      <c r="AD518" t="s">
        <v>74</v>
      </c>
      <c r="AE518" t="s">
        <v>74</v>
      </c>
      <c r="AF518" t="s">
        <v>74</v>
      </c>
      <c r="AG518">
        <v>26</v>
      </c>
      <c r="AH518">
        <v>1</v>
      </c>
      <c r="AI518">
        <v>1</v>
      </c>
      <c r="AJ518">
        <v>2</v>
      </c>
      <c r="AK518">
        <v>8</v>
      </c>
      <c r="AL518" t="s">
        <v>583</v>
      </c>
      <c r="AM518" t="s">
        <v>275</v>
      </c>
      <c r="AN518" t="s">
        <v>584</v>
      </c>
      <c r="AO518" t="s">
        <v>585</v>
      </c>
      <c r="AP518" t="s">
        <v>74</v>
      </c>
      <c r="AQ518" t="s">
        <v>74</v>
      </c>
      <c r="AR518" t="s">
        <v>571</v>
      </c>
      <c r="AS518" t="s">
        <v>586</v>
      </c>
      <c r="AT518" t="s">
        <v>420</v>
      </c>
      <c r="AU518">
        <v>2023</v>
      </c>
      <c r="AV518">
        <v>13</v>
      </c>
      <c r="AW518">
        <v>9</v>
      </c>
      <c r="AX518" t="s">
        <v>74</v>
      </c>
      <c r="AY518" t="s">
        <v>74</v>
      </c>
      <c r="AZ518" t="s">
        <v>74</v>
      </c>
      <c r="BA518" t="s">
        <v>74</v>
      </c>
      <c r="BB518" t="s">
        <v>74</v>
      </c>
      <c r="BC518" t="s">
        <v>74</v>
      </c>
      <c r="BD518" t="s">
        <v>10199</v>
      </c>
      <c r="BE518" t="s">
        <v>10200</v>
      </c>
      <c r="BF518" t="str">
        <f>HYPERLINK("http://dx.doi.org/10.1136/bmjopen-2022-070675","http://dx.doi.org/10.1136/bmjopen-2022-070675")</f>
        <v>http://dx.doi.org/10.1136/bmjopen-2022-070675</v>
      </c>
      <c r="BG518" t="s">
        <v>74</v>
      </c>
      <c r="BH518" t="s">
        <v>74</v>
      </c>
      <c r="BI518">
        <v>5</v>
      </c>
      <c r="BJ518" t="s">
        <v>128</v>
      </c>
      <c r="BK518" t="s">
        <v>182</v>
      </c>
      <c r="BL518" t="s">
        <v>129</v>
      </c>
      <c r="BM518" t="s">
        <v>10201</v>
      </c>
      <c r="BN518">
        <v>37739462</v>
      </c>
      <c r="BO518" t="s">
        <v>131</v>
      </c>
      <c r="BP518" t="s">
        <v>74</v>
      </c>
      <c r="BQ518" t="s">
        <v>74</v>
      </c>
      <c r="BR518" t="s">
        <v>105</v>
      </c>
      <c r="BS518" t="s">
        <v>10202</v>
      </c>
      <c r="BT518" t="str">
        <f>HYPERLINK("https%3A%2F%2Fwww.webofscience.com%2Fwos%2Fwoscc%2Ffull-record%2FWOS:001072843300058","View Full Record in Web of Science")</f>
        <v>View Full Record in Web of Science</v>
      </c>
    </row>
    <row r="519" spans="1:72" x14ac:dyDescent="0.25">
      <c r="A519" t="s">
        <v>72</v>
      </c>
      <c r="B519" t="s">
        <v>10203</v>
      </c>
      <c r="C519" t="s">
        <v>74</v>
      </c>
      <c r="D519" t="s">
        <v>74</v>
      </c>
      <c r="E519" t="s">
        <v>74</v>
      </c>
      <c r="F519" t="s">
        <v>10204</v>
      </c>
      <c r="G519" t="s">
        <v>74</v>
      </c>
      <c r="H519" t="s">
        <v>74</v>
      </c>
      <c r="I519" t="s">
        <v>10205</v>
      </c>
      <c r="J519" t="s">
        <v>214</v>
      </c>
      <c r="K519" t="s">
        <v>74</v>
      </c>
      <c r="L519" t="s">
        <v>74</v>
      </c>
      <c r="M519" t="s">
        <v>78</v>
      </c>
      <c r="N519" t="s">
        <v>79</v>
      </c>
      <c r="O519" t="s">
        <v>74</v>
      </c>
      <c r="P519" t="s">
        <v>74</v>
      </c>
      <c r="Q519" t="s">
        <v>74</v>
      </c>
      <c r="R519" t="s">
        <v>74</v>
      </c>
      <c r="S519" t="s">
        <v>74</v>
      </c>
      <c r="T519" t="s">
        <v>10206</v>
      </c>
      <c r="U519" t="s">
        <v>10207</v>
      </c>
      <c r="V519" t="s">
        <v>10208</v>
      </c>
      <c r="W519" t="s">
        <v>10209</v>
      </c>
      <c r="X519" t="s">
        <v>10210</v>
      </c>
      <c r="Y519" t="s">
        <v>10211</v>
      </c>
      <c r="Z519" t="s">
        <v>10212</v>
      </c>
      <c r="AA519" t="s">
        <v>10213</v>
      </c>
      <c r="AB519" t="s">
        <v>10214</v>
      </c>
      <c r="AC519" t="s">
        <v>74</v>
      </c>
      <c r="AD519" t="s">
        <v>74</v>
      </c>
      <c r="AE519" t="s">
        <v>74</v>
      </c>
      <c r="AF519" t="s">
        <v>74</v>
      </c>
      <c r="AG519">
        <v>62</v>
      </c>
      <c r="AH519">
        <v>16</v>
      </c>
      <c r="AI519">
        <v>16</v>
      </c>
      <c r="AJ519">
        <v>2</v>
      </c>
      <c r="AK519">
        <v>26</v>
      </c>
      <c r="AL519" t="s">
        <v>226</v>
      </c>
      <c r="AM519" t="s">
        <v>227</v>
      </c>
      <c r="AN519" t="s">
        <v>228</v>
      </c>
      <c r="AO519" t="s">
        <v>229</v>
      </c>
      <c r="AP519" t="s">
        <v>230</v>
      </c>
      <c r="AQ519" t="s">
        <v>74</v>
      </c>
      <c r="AR519" t="s">
        <v>231</v>
      </c>
      <c r="AS519" t="s">
        <v>232</v>
      </c>
      <c r="AT519" t="s">
        <v>420</v>
      </c>
      <c r="AU519">
        <v>2023</v>
      </c>
      <c r="AV519">
        <v>104</v>
      </c>
      <c r="AW519">
        <v>9</v>
      </c>
      <c r="AX519" t="s">
        <v>74</v>
      </c>
      <c r="AY519" t="s">
        <v>74</v>
      </c>
      <c r="AZ519" t="s">
        <v>74</v>
      </c>
      <c r="BA519" t="s">
        <v>74</v>
      </c>
      <c r="BB519">
        <v>1498</v>
      </c>
      <c r="BC519">
        <v>1513</v>
      </c>
      <c r="BD519" t="s">
        <v>74</v>
      </c>
      <c r="BE519" t="s">
        <v>10215</v>
      </c>
      <c r="BF519" t="str">
        <f>HYPERLINK("http://dx.doi.org/10.1016/j.apmr.2023.02.004","http://dx.doi.org/10.1016/j.apmr.2023.02.004")</f>
        <v>http://dx.doi.org/10.1016/j.apmr.2023.02.004</v>
      </c>
      <c r="BG519" t="s">
        <v>74</v>
      </c>
      <c r="BH519" t="s">
        <v>2016</v>
      </c>
      <c r="BI519">
        <v>16</v>
      </c>
      <c r="BJ519" t="s">
        <v>236</v>
      </c>
      <c r="BK519" t="s">
        <v>182</v>
      </c>
      <c r="BL519" t="s">
        <v>236</v>
      </c>
      <c r="BM519" t="s">
        <v>10216</v>
      </c>
      <c r="BN519">
        <v>36868494</v>
      </c>
      <c r="BO519" t="s">
        <v>74</v>
      </c>
      <c r="BP519" t="s">
        <v>74</v>
      </c>
      <c r="BQ519" t="s">
        <v>74</v>
      </c>
      <c r="BR519" t="s">
        <v>105</v>
      </c>
      <c r="BS519" t="s">
        <v>10217</v>
      </c>
      <c r="BT519" t="str">
        <f>HYPERLINK("https%3A%2F%2Fwww.webofscience.com%2Fwos%2Fwoscc%2Ffull-record%2FWOS:001080915400001","View Full Record in Web of Science")</f>
        <v>View Full Record in Web of Science</v>
      </c>
    </row>
    <row r="520" spans="1:72" x14ac:dyDescent="0.25">
      <c r="A520" t="s">
        <v>72</v>
      </c>
      <c r="B520" t="s">
        <v>10218</v>
      </c>
      <c r="C520" t="s">
        <v>74</v>
      </c>
      <c r="D520" t="s">
        <v>74</v>
      </c>
      <c r="E520" t="s">
        <v>74</v>
      </c>
      <c r="F520" t="s">
        <v>10219</v>
      </c>
      <c r="G520" t="s">
        <v>74</v>
      </c>
      <c r="H520" t="s">
        <v>74</v>
      </c>
      <c r="I520" t="s">
        <v>10220</v>
      </c>
      <c r="J520" t="s">
        <v>10221</v>
      </c>
      <c r="K520" t="s">
        <v>74</v>
      </c>
      <c r="L520" t="s">
        <v>74</v>
      </c>
      <c r="M520" t="s">
        <v>78</v>
      </c>
      <c r="N520" t="s">
        <v>79</v>
      </c>
      <c r="O520" t="s">
        <v>74</v>
      </c>
      <c r="P520" t="s">
        <v>74</v>
      </c>
      <c r="Q520" t="s">
        <v>74</v>
      </c>
      <c r="R520" t="s">
        <v>74</v>
      </c>
      <c r="S520" t="s">
        <v>74</v>
      </c>
      <c r="T520" t="s">
        <v>10222</v>
      </c>
      <c r="U520" t="s">
        <v>10223</v>
      </c>
      <c r="V520" t="s">
        <v>10224</v>
      </c>
      <c r="W520" t="s">
        <v>10225</v>
      </c>
      <c r="X520" t="s">
        <v>10226</v>
      </c>
      <c r="Y520" t="s">
        <v>10227</v>
      </c>
      <c r="Z520" t="s">
        <v>10228</v>
      </c>
      <c r="AA520" t="s">
        <v>10229</v>
      </c>
      <c r="AB520" t="s">
        <v>74</v>
      </c>
      <c r="AC520" t="s">
        <v>10230</v>
      </c>
      <c r="AD520" t="s">
        <v>10231</v>
      </c>
      <c r="AE520" t="s">
        <v>10232</v>
      </c>
      <c r="AF520" t="s">
        <v>74</v>
      </c>
      <c r="AG520">
        <v>237</v>
      </c>
      <c r="AH520">
        <v>3</v>
      </c>
      <c r="AI520">
        <v>3</v>
      </c>
      <c r="AJ520">
        <v>1</v>
      </c>
      <c r="AK520">
        <v>5</v>
      </c>
      <c r="AL520" t="s">
        <v>297</v>
      </c>
      <c r="AM520" t="s">
        <v>298</v>
      </c>
      <c r="AN520" t="s">
        <v>299</v>
      </c>
      <c r="AO520" t="s">
        <v>10233</v>
      </c>
      <c r="AP520" t="s">
        <v>74</v>
      </c>
      <c r="AQ520" t="s">
        <v>74</v>
      </c>
      <c r="AR520" t="s">
        <v>10234</v>
      </c>
      <c r="AS520" t="s">
        <v>10235</v>
      </c>
      <c r="AT520" t="s">
        <v>420</v>
      </c>
      <c r="AU520">
        <v>2023</v>
      </c>
      <c r="AV520">
        <v>2</v>
      </c>
      <c r="AW520">
        <v>9</v>
      </c>
      <c r="AX520" t="s">
        <v>74</v>
      </c>
      <c r="AY520" t="s">
        <v>74</v>
      </c>
      <c r="AZ520" t="s">
        <v>74</v>
      </c>
      <c r="BA520" t="s">
        <v>74</v>
      </c>
      <c r="BB520" t="s">
        <v>74</v>
      </c>
      <c r="BC520" t="s">
        <v>74</v>
      </c>
      <c r="BD520">
        <v>2200055</v>
      </c>
      <c r="BE520" t="s">
        <v>10236</v>
      </c>
      <c r="BF520" t="str">
        <f>HYPERLINK("http://dx.doi.org/10.1002/adsr.202200055","http://dx.doi.org/10.1002/adsr.202200055")</f>
        <v>http://dx.doi.org/10.1002/adsr.202200055</v>
      </c>
      <c r="BG520" t="s">
        <v>74</v>
      </c>
      <c r="BH520" t="s">
        <v>74</v>
      </c>
      <c r="BI520">
        <v>39</v>
      </c>
      <c r="BJ520" t="s">
        <v>10237</v>
      </c>
      <c r="BK520" t="s">
        <v>155</v>
      </c>
      <c r="BL520" t="s">
        <v>10238</v>
      </c>
      <c r="BM520" t="s">
        <v>10239</v>
      </c>
      <c r="BN520" t="s">
        <v>74</v>
      </c>
      <c r="BO520" t="s">
        <v>185</v>
      </c>
      <c r="BP520" t="s">
        <v>74</v>
      </c>
      <c r="BQ520" t="s">
        <v>74</v>
      </c>
      <c r="BR520" t="s">
        <v>105</v>
      </c>
      <c r="BS520" t="s">
        <v>10240</v>
      </c>
      <c r="BT520" t="str">
        <f>HYPERLINK("https%3A%2F%2Fwww.webofscience.com%2Fwos%2Fwoscc%2Ffull-record%2FWOS:001242377400004","View Full Record in Web of Science")</f>
        <v>View Full Record in Web of Science</v>
      </c>
    </row>
    <row r="521" spans="1:72" x14ac:dyDescent="0.25">
      <c r="A521" t="s">
        <v>72</v>
      </c>
      <c r="B521" t="s">
        <v>10241</v>
      </c>
      <c r="C521" t="s">
        <v>74</v>
      </c>
      <c r="D521" t="s">
        <v>74</v>
      </c>
      <c r="E521" t="s">
        <v>74</v>
      </c>
      <c r="F521" t="s">
        <v>10242</v>
      </c>
      <c r="G521" t="s">
        <v>74</v>
      </c>
      <c r="H521" t="s">
        <v>74</v>
      </c>
      <c r="I521" t="s">
        <v>10243</v>
      </c>
      <c r="J521" t="s">
        <v>10244</v>
      </c>
      <c r="K521" t="s">
        <v>74</v>
      </c>
      <c r="L521" t="s">
        <v>74</v>
      </c>
      <c r="M521" t="s">
        <v>78</v>
      </c>
      <c r="N521" t="s">
        <v>79</v>
      </c>
      <c r="O521" t="s">
        <v>74</v>
      </c>
      <c r="P521" t="s">
        <v>74</v>
      </c>
      <c r="Q521" t="s">
        <v>74</v>
      </c>
      <c r="R521" t="s">
        <v>74</v>
      </c>
      <c r="S521" t="s">
        <v>74</v>
      </c>
      <c r="T521" t="s">
        <v>10245</v>
      </c>
      <c r="U521" t="s">
        <v>10246</v>
      </c>
      <c r="V521" t="s">
        <v>10247</v>
      </c>
      <c r="W521" t="s">
        <v>10248</v>
      </c>
      <c r="X521" t="s">
        <v>10249</v>
      </c>
      <c r="Y521" t="s">
        <v>10250</v>
      </c>
      <c r="Z521" t="s">
        <v>10251</v>
      </c>
      <c r="AA521" t="s">
        <v>10252</v>
      </c>
      <c r="AB521" t="s">
        <v>10253</v>
      </c>
      <c r="AC521" t="s">
        <v>74</v>
      </c>
      <c r="AD521" t="s">
        <v>74</v>
      </c>
      <c r="AE521" t="s">
        <v>74</v>
      </c>
      <c r="AF521" t="s">
        <v>74</v>
      </c>
      <c r="AG521">
        <v>117</v>
      </c>
      <c r="AH521">
        <v>5</v>
      </c>
      <c r="AI521">
        <v>6</v>
      </c>
      <c r="AJ521">
        <v>4</v>
      </c>
      <c r="AK521">
        <v>34</v>
      </c>
      <c r="AL521" t="s">
        <v>10254</v>
      </c>
      <c r="AM521" t="s">
        <v>8745</v>
      </c>
      <c r="AN521" t="s">
        <v>10255</v>
      </c>
      <c r="AO521" t="s">
        <v>10256</v>
      </c>
      <c r="AP521" t="s">
        <v>74</v>
      </c>
      <c r="AQ521" t="s">
        <v>74</v>
      </c>
      <c r="AR521" t="s">
        <v>10257</v>
      </c>
      <c r="AS521" t="s">
        <v>10258</v>
      </c>
      <c r="AT521" t="s">
        <v>420</v>
      </c>
      <c r="AU521">
        <v>2023</v>
      </c>
      <c r="AV521">
        <v>11</v>
      </c>
      <c r="AW521">
        <v>3</v>
      </c>
      <c r="AX521" t="s">
        <v>74</v>
      </c>
      <c r="AY521" t="s">
        <v>74</v>
      </c>
      <c r="AZ521" t="s">
        <v>74</v>
      </c>
      <c r="BA521" t="s">
        <v>74</v>
      </c>
      <c r="BB521" t="s">
        <v>74</v>
      </c>
      <c r="BC521" t="s">
        <v>74</v>
      </c>
      <c r="BD521">
        <v>100071</v>
      </c>
      <c r="BE521" t="s">
        <v>10259</v>
      </c>
      <c r="BF521" t="str">
        <f>HYPERLINK("http://dx.doi.org/10.1016/j.jnrt.2023.100071","http://dx.doi.org/10.1016/j.jnrt.2023.100071")</f>
        <v>http://dx.doi.org/10.1016/j.jnrt.2023.100071</v>
      </c>
      <c r="BG521" t="s">
        <v>74</v>
      </c>
      <c r="BH521" t="s">
        <v>961</v>
      </c>
      <c r="BI521">
        <v>10</v>
      </c>
      <c r="BJ521" t="s">
        <v>541</v>
      </c>
      <c r="BK521" t="s">
        <v>155</v>
      </c>
      <c r="BL521" t="s">
        <v>375</v>
      </c>
      <c r="BM521" t="s">
        <v>10260</v>
      </c>
      <c r="BN521" t="s">
        <v>74</v>
      </c>
      <c r="BO521" t="s">
        <v>185</v>
      </c>
      <c r="BP521" t="s">
        <v>74</v>
      </c>
      <c r="BQ521" t="s">
        <v>74</v>
      </c>
      <c r="BR521" t="s">
        <v>105</v>
      </c>
      <c r="BS521" t="s">
        <v>10261</v>
      </c>
      <c r="BT521" t="str">
        <f>HYPERLINK("https%3A%2F%2Fwww.webofscience.com%2Fwos%2Fwoscc%2Ffull-record%2FWOS:001066184700001","View Full Record in Web of Science")</f>
        <v>View Full Record in Web of Science</v>
      </c>
    </row>
    <row r="522" spans="1:72" x14ac:dyDescent="0.25">
      <c r="A522" t="s">
        <v>72</v>
      </c>
      <c r="B522" t="s">
        <v>10262</v>
      </c>
      <c r="C522" t="s">
        <v>74</v>
      </c>
      <c r="D522" t="s">
        <v>74</v>
      </c>
      <c r="E522" t="s">
        <v>74</v>
      </c>
      <c r="F522" t="s">
        <v>10263</v>
      </c>
      <c r="G522" t="s">
        <v>74</v>
      </c>
      <c r="H522" t="s">
        <v>74</v>
      </c>
      <c r="I522" t="s">
        <v>10264</v>
      </c>
      <c r="J522" t="s">
        <v>10265</v>
      </c>
      <c r="K522" t="s">
        <v>74</v>
      </c>
      <c r="L522" t="s">
        <v>74</v>
      </c>
      <c r="M522" t="s">
        <v>78</v>
      </c>
      <c r="N522" t="s">
        <v>79</v>
      </c>
      <c r="O522" t="s">
        <v>74</v>
      </c>
      <c r="P522" t="s">
        <v>74</v>
      </c>
      <c r="Q522" t="s">
        <v>74</v>
      </c>
      <c r="R522" t="s">
        <v>74</v>
      </c>
      <c r="S522" t="s">
        <v>74</v>
      </c>
      <c r="T522" t="s">
        <v>10266</v>
      </c>
      <c r="U522" t="s">
        <v>10267</v>
      </c>
      <c r="V522" t="s">
        <v>10268</v>
      </c>
      <c r="W522" t="s">
        <v>10269</v>
      </c>
      <c r="X522" t="s">
        <v>10270</v>
      </c>
      <c r="Y522" t="s">
        <v>10271</v>
      </c>
      <c r="Z522" t="s">
        <v>10272</v>
      </c>
      <c r="AA522" t="s">
        <v>10273</v>
      </c>
      <c r="AB522" t="s">
        <v>10274</v>
      </c>
      <c r="AC522" t="s">
        <v>74</v>
      </c>
      <c r="AD522" t="s">
        <v>74</v>
      </c>
      <c r="AE522" t="s">
        <v>74</v>
      </c>
      <c r="AF522" t="s">
        <v>74</v>
      </c>
      <c r="AG522">
        <v>27</v>
      </c>
      <c r="AH522">
        <v>4</v>
      </c>
      <c r="AI522">
        <v>4</v>
      </c>
      <c r="AJ522">
        <v>3</v>
      </c>
      <c r="AK522">
        <v>10</v>
      </c>
      <c r="AL522" t="s">
        <v>297</v>
      </c>
      <c r="AM522" t="s">
        <v>298</v>
      </c>
      <c r="AN522" t="s">
        <v>299</v>
      </c>
      <c r="AO522" t="s">
        <v>10275</v>
      </c>
      <c r="AP522" t="s">
        <v>10276</v>
      </c>
      <c r="AQ522" t="s">
        <v>74</v>
      </c>
      <c r="AR522" t="s">
        <v>10277</v>
      </c>
      <c r="AS522" t="s">
        <v>10278</v>
      </c>
      <c r="AT522" t="s">
        <v>151</v>
      </c>
      <c r="AU522">
        <v>2023</v>
      </c>
      <c r="AV522">
        <v>101</v>
      </c>
      <c r="AW522">
        <v>12</v>
      </c>
      <c r="AX522" t="s">
        <v>74</v>
      </c>
      <c r="AY522" t="s">
        <v>74</v>
      </c>
      <c r="AZ522" t="s">
        <v>74</v>
      </c>
      <c r="BA522" t="s">
        <v>74</v>
      </c>
      <c r="BB522">
        <v>1773</v>
      </c>
      <c r="BC522">
        <v>1780</v>
      </c>
      <c r="BD522" t="s">
        <v>74</v>
      </c>
      <c r="BE522" t="s">
        <v>10279</v>
      </c>
      <c r="BF522" t="str">
        <f>HYPERLINK("http://dx.doi.org/10.1002/jnr.25235","http://dx.doi.org/10.1002/jnr.25235")</f>
        <v>http://dx.doi.org/10.1002/jnr.25235</v>
      </c>
      <c r="BG522" t="s">
        <v>74</v>
      </c>
      <c r="BH522" t="s">
        <v>961</v>
      </c>
      <c r="BI522">
        <v>8</v>
      </c>
      <c r="BJ522" t="s">
        <v>374</v>
      </c>
      <c r="BK522" t="s">
        <v>182</v>
      </c>
      <c r="BL522" t="s">
        <v>375</v>
      </c>
      <c r="BM522" t="s">
        <v>10280</v>
      </c>
      <c r="BN522">
        <v>37621200</v>
      </c>
      <c r="BO522" t="s">
        <v>309</v>
      </c>
      <c r="BP522" t="s">
        <v>74</v>
      </c>
      <c r="BQ522" t="s">
        <v>74</v>
      </c>
      <c r="BR522" t="s">
        <v>105</v>
      </c>
      <c r="BS522" t="s">
        <v>10281</v>
      </c>
      <c r="BT522" t="str">
        <f>HYPERLINK("https%3A%2F%2Fwww.webofscience.com%2Fwos%2Fwoscc%2Ffull-record%2FWOS:001080357600001","View Full Record in Web of Science")</f>
        <v>View Full Record in Web of Science</v>
      </c>
    </row>
    <row r="523" spans="1:72" x14ac:dyDescent="0.25">
      <c r="A523" t="s">
        <v>72</v>
      </c>
      <c r="B523" t="s">
        <v>10282</v>
      </c>
      <c r="C523" t="s">
        <v>74</v>
      </c>
      <c r="D523" t="s">
        <v>74</v>
      </c>
      <c r="E523" t="s">
        <v>74</v>
      </c>
      <c r="F523" t="s">
        <v>10283</v>
      </c>
      <c r="G523" t="s">
        <v>74</v>
      </c>
      <c r="H523" t="s">
        <v>74</v>
      </c>
      <c r="I523" t="s">
        <v>10284</v>
      </c>
      <c r="J523" t="s">
        <v>9759</v>
      </c>
      <c r="K523" t="s">
        <v>74</v>
      </c>
      <c r="L523" t="s">
        <v>74</v>
      </c>
      <c r="M523" t="s">
        <v>78</v>
      </c>
      <c r="N523" t="s">
        <v>79</v>
      </c>
      <c r="O523" t="s">
        <v>74</v>
      </c>
      <c r="P523" t="s">
        <v>74</v>
      </c>
      <c r="Q523" t="s">
        <v>74</v>
      </c>
      <c r="R523" t="s">
        <v>74</v>
      </c>
      <c r="S523" t="s">
        <v>74</v>
      </c>
      <c r="T523" t="s">
        <v>10285</v>
      </c>
      <c r="U523" t="s">
        <v>10286</v>
      </c>
      <c r="V523" t="s">
        <v>10287</v>
      </c>
      <c r="W523" t="s">
        <v>10288</v>
      </c>
      <c r="X523" t="s">
        <v>10289</v>
      </c>
      <c r="Y523" t="s">
        <v>10290</v>
      </c>
      <c r="Z523" t="s">
        <v>10291</v>
      </c>
      <c r="AA523" t="s">
        <v>10292</v>
      </c>
      <c r="AB523" t="s">
        <v>74</v>
      </c>
      <c r="AC523" t="s">
        <v>10293</v>
      </c>
      <c r="AD523" t="s">
        <v>10294</v>
      </c>
      <c r="AE523" t="s">
        <v>10295</v>
      </c>
      <c r="AF523" t="s">
        <v>74</v>
      </c>
      <c r="AG523">
        <v>37</v>
      </c>
      <c r="AH523">
        <v>8</v>
      </c>
      <c r="AI523">
        <v>9</v>
      </c>
      <c r="AJ523">
        <v>1</v>
      </c>
      <c r="AK523">
        <v>8</v>
      </c>
      <c r="AL523" t="s">
        <v>392</v>
      </c>
      <c r="AM523" t="s">
        <v>393</v>
      </c>
      <c r="AN523" t="s">
        <v>394</v>
      </c>
      <c r="AO523" t="s">
        <v>74</v>
      </c>
      <c r="AP523" t="s">
        <v>9772</v>
      </c>
      <c r="AQ523" t="s">
        <v>74</v>
      </c>
      <c r="AR523" t="s">
        <v>9773</v>
      </c>
      <c r="AS523" t="s">
        <v>9774</v>
      </c>
      <c r="AT523" t="s">
        <v>10296</v>
      </c>
      <c r="AU523">
        <v>2023</v>
      </c>
      <c r="AV523">
        <v>17</v>
      </c>
      <c r="AW523" t="s">
        <v>74</v>
      </c>
      <c r="AX523" t="s">
        <v>74</v>
      </c>
      <c r="AY523" t="s">
        <v>74</v>
      </c>
      <c r="AZ523" t="s">
        <v>74</v>
      </c>
      <c r="BA523" t="s">
        <v>74</v>
      </c>
      <c r="BB523" t="s">
        <v>74</v>
      </c>
      <c r="BC523" t="s">
        <v>74</v>
      </c>
      <c r="BD523">
        <v>1252651</v>
      </c>
      <c r="BE523" t="s">
        <v>10297</v>
      </c>
      <c r="BF523" t="str">
        <f>HYPERLINK("http://dx.doi.org/10.3389/fnins.2023.1252651","http://dx.doi.org/10.3389/fnins.2023.1252651")</f>
        <v>http://dx.doi.org/10.3389/fnins.2023.1252651</v>
      </c>
      <c r="BG523" t="s">
        <v>74</v>
      </c>
      <c r="BH523" t="s">
        <v>74</v>
      </c>
      <c r="BI523">
        <v>11</v>
      </c>
      <c r="BJ523" t="s">
        <v>374</v>
      </c>
      <c r="BK523" t="s">
        <v>182</v>
      </c>
      <c r="BL523" t="s">
        <v>375</v>
      </c>
      <c r="BM523" t="s">
        <v>10298</v>
      </c>
      <c r="BN523">
        <v>37680972</v>
      </c>
      <c r="BO523" t="s">
        <v>355</v>
      </c>
      <c r="BP523" t="s">
        <v>74</v>
      </c>
      <c r="BQ523" t="s">
        <v>74</v>
      </c>
      <c r="BR523" t="s">
        <v>105</v>
      </c>
      <c r="BS523" t="s">
        <v>10299</v>
      </c>
      <c r="BT523" t="str">
        <f>HYPERLINK("https%3A%2F%2Fwww.webofscience.com%2Fwos%2Fwoscc%2Ffull-record%2FWOS:001061582400001","View Full Record in Web of Science")</f>
        <v>View Full Record in Web of Science</v>
      </c>
    </row>
    <row r="524" spans="1:72" x14ac:dyDescent="0.25">
      <c r="A524" t="s">
        <v>72</v>
      </c>
      <c r="B524" t="s">
        <v>10300</v>
      </c>
      <c r="C524" t="s">
        <v>74</v>
      </c>
      <c r="D524" t="s">
        <v>74</v>
      </c>
      <c r="E524" t="s">
        <v>74</v>
      </c>
      <c r="F524" t="s">
        <v>10301</v>
      </c>
      <c r="G524" t="s">
        <v>74</v>
      </c>
      <c r="H524" t="s">
        <v>74</v>
      </c>
      <c r="I524" t="s">
        <v>10302</v>
      </c>
      <c r="J524" t="s">
        <v>382</v>
      </c>
      <c r="K524" t="s">
        <v>74</v>
      </c>
      <c r="L524" t="s">
        <v>74</v>
      </c>
      <c r="M524" t="s">
        <v>78</v>
      </c>
      <c r="N524" t="s">
        <v>79</v>
      </c>
      <c r="O524" t="s">
        <v>74</v>
      </c>
      <c r="P524" t="s">
        <v>74</v>
      </c>
      <c r="Q524" t="s">
        <v>74</v>
      </c>
      <c r="R524" t="s">
        <v>74</v>
      </c>
      <c r="S524" t="s">
        <v>74</v>
      </c>
      <c r="T524" t="s">
        <v>10303</v>
      </c>
      <c r="U524" t="s">
        <v>10304</v>
      </c>
      <c r="V524" t="s">
        <v>10305</v>
      </c>
      <c r="W524" t="s">
        <v>10306</v>
      </c>
      <c r="X524" t="s">
        <v>10307</v>
      </c>
      <c r="Y524" t="s">
        <v>10308</v>
      </c>
      <c r="Z524" t="s">
        <v>10309</v>
      </c>
      <c r="AA524" t="s">
        <v>10310</v>
      </c>
      <c r="AB524" t="s">
        <v>10311</v>
      </c>
      <c r="AC524" t="s">
        <v>10312</v>
      </c>
      <c r="AD524" t="s">
        <v>10313</v>
      </c>
      <c r="AE524" t="s">
        <v>10314</v>
      </c>
      <c r="AF524" t="s">
        <v>74</v>
      </c>
      <c r="AG524">
        <v>45</v>
      </c>
      <c r="AH524">
        <v>8</v>
      </c>
      <c r="AI524">
        <v>8</v>
      </c>
      <c r="AJ524">
        <v>5</v>
      </c>
      <c r="AK524">
        <v>18</v>
      </c>
      <c r="AL524" t="s">
        <v>392</v>
      </c>
      <c r="AM524" t="s">
        <v>393</v>
      </c>
      <c r="AN524" t="s">
        <v>394</v>
      </c>
      <c r="AO524" t="s">
        <v>395</v>
      </c>
      <c r="AP524" t="s">
        <v>74</v>
      </c>
      <c r="AQ524" t="s">
        <v>74</v>
      </c>
      <c r="AR524" t="s">
        <v>396</v>
      </c>
      <c r="AS524" t="s">
        <v>397</v>
      </c>
      <c r="AT524" t="s">
        <v>10315</v>
      </c>
      <c r="AU524">
        <v>2023</v>
      </c>
      <c r="AV524">
        <v>14</v>
      </c>
      <c r="AW524" t="s">
        <v>74</v>
      </c>
      <c r="AX524" t="s">
        <v>74</v>
      </c>
      <c r="AY524" t="s">
        <v>74</v>
      </c>
      <c r="AZ524" t="s">
        <v>74</v>
      </c>
      <c r="BA524" t="s">
        <v>74</v>
      </c>
      <c r="BB524" t="s">
        <v>74</v>
      </c>
      <c r="BC524" t="s">
        <v>74</v>
      </c>
      <c r="BD524">
        <v>1126755</v>
      </c>
      <c r="BE524" t="s">
        <v>10316</v>
      </c>
      <c r="BF524" t="str">
        <f>HYPERLINK("http://dx.doi.org/10.3389/fneur.2023.1126755","http://dx.doi.org/10.3389/fneur.2023.1126755")</f>
        <v>http://dx.doi.org/10.3389/fneur.2023.1126755</v>
      </c>
      <c r="BG524" t="s">
        <v>74</v>
      </c>
      <c r="BH524" t="s">
        <v>74</v>
      </c>
      <c r="BI524">
        <v>10</v>
      </c>
      <c r="BJ524" t="s">
        <v>400</v>
      </c>
      <c r="BK524" t="s">
        <v>182</v>
      </c>
      <c r="BL524" t="s">
        <v>375</v>
      </c>
      <c r="BM524" t="s">
        <v>10317</v>
      </c>
      <c r="BN524">
        <v>37621855</v>
      </c>
      <c r="BO524" t="s">
        <v>355</v>
      </c>
      <c r="BP524" t="s">
        <v>74</v>
      </c>
      <c r="BQ524" t="s">
        <v>74</v>
      </c>
      <c r="BR524" t="s">
        <v>105</v>
      </c>
      <c r="BS524" t="s">
        <v>10318</v>
      </c>
      <c r="BT524" t="str">
        <f>HYPERLINK("https%3A%2F%2Fwww.webofscience.com%2Fwos%2Fwoscc%2Ffull-record%2FWOS:001093633300001","View Full Record in Web of Science")</f>
        <v>View Full Record in Web of Science</v>
      </c>
    </row>
    <row r="525" spans="1:72" x14ac:dyDescent="0.25">
      <c r="A525" t="s">
        <v>72</v>
      </c>
      <c r="B525" t="s">
        <v>10319</v>
      </c>
      <c r="C525" t="s">
        <v>74</v>
      </c>
      <c r="D525" t="s">
        <v>74</v>
      </c>
      <c r="E525" t="s">
        <v>74</v>
      </c>
      <c r="F525" t="s">
        <v>10320</v>
      </c>
      <c r="G525" t="s">
        <v>74</v>
      </c>
      <c r="H525" t="s">
        <v>74</v>
      </c>
      <c r="I525" t="s">
        <v>10321</v>
      </c>
      <c r="J525" t="s">
        <v>3100</v>
      </c>
      <c r="K525" t="s">
        <v>74</v>
      </c>
      <c r="L525" t="s">
        <v>74</v>
      </c>
      <c r="M525" t="s">
        <v>78</v>
      </c>
      <c r="N525" t="s">
        <v>79</v>
      </c>
      <c r="O525" t="s">
        <v>74</v>
      </c>
      <c r="P525" t="s">
        <v>74</v>
      </c>
      <c r="Q525" t="s">
        <v>74</v>
      </c>
      <c r="R525" t="s">
        <v>74</v>
      </c>
      <c r="S525" t="s">
        <v>74</v>
      </c>
      <c r="T525" t="s">
        <v>10322</v>
      </c>
      <c r="U525" t="s">
        <v>10323</v>
      </c>
      <c r="V525" t="s">
        <v>10324</v>
      </c>
      <c r="W525" t="s">
        <v>10325</v>
      </c>
      <c r="X525" t="s">
        <v>10326</v>
      </c>
      <c r="Y525" t="s">
        <v>10327</v>
      </c>
      <c r="Z525" t="s">
        <v>10328</v>
      </c>
      <c r="AA525" t="s">
        <v>10329</v>
      </c>
      <c r="AB525" t="s">
        <v>10330</v>
      </c>
      <c r="AC525" t="s">
        <v>10331</v>
      </c>
      <c r="AD525" t="s">
        <v>10332</v>
      </c>
      <c r="AE525" t="s">
        <v>10333</v>
      </c>
      <c r="AF525" t="s">
        <v>74</v>
      </c>
      <c r="AG525">
        <v>57</v>
      </c>
      <c r="AH525">
        <v>6</v>
      </c>
      <c r="AI525">
        <v>6</v>
      </c>
      <c r="AJ525">
        <v>1</v>
      </c>
      <c r="AK525">
        <v>18</v>
      </c>
      <c r="AL525" t="s">
        <v>297</v>
      </c>
      <c r="AM525" t="s">
        <v>298</v>
      </c>
      <c r="AN525" t="s">
        <v>299</v>
      </c>
      <c r="AO525" t="s">
        <v>3111</v>
      </c>
      <c r="AP525" t="s">
        <v>3112</v>
      </c>
      <c r="AQ525" t="s">
        <v>74</v>
      </c>
      <c r="AR525" t="s">
        <v>3113</v>
      </c>
      <c r="AS525" t="s">
        <v>3114</v>
      </c>
      <c r="AT525" t="s">
        <v>1471</v>
      </c>
      <c r="AU525">
        <v>2024</v>
      </c>
      <c r="AV525">
        <v>48</v>
      </c>
      <c r="AW525">
        <v>3</v>
      </c>
      <c r="AX525" t="s">
        <v>74</v>
      </c>
      <c r="AY525" t="s">
        <v>74</v>
      </c>
      <c r="AZ525" t="s">
        <v>74</v>
      </c>
      <c r="BA525" t="s">
        <v>74</v>
      </c>
      <c r="BB525">
        <v>232</v>
      </c>
      <c r="BC525">
        <v>253</v>
      </c>
      <c r="BD525" t="s">
        <v>74</v>
      </c>
      <c r="BE525" t="s">
        <v>10334</v>
      </c>
      <c r="BF525" t="str">
        <f>HYPERLINK("http://dx.doi.org/10.1111/aor.14618","http://dx.doi.org/10.1111/aor.14618")</f>
        <v>http://dx.doi.org/10.1111/aor.14618</v>
      </c>
      <c r="BG525" t="s">
        <v>74</v>
      </c>
      <c r="BH525" t="s">
        <v>961</v>
      </c>
      <c r="BI525">
        <v>22</v>
      </c>
      <c r="BJ525" t="s">
        <v>3117</v>
      </c>
      <c r="BK525" t="s">
        <v>182</v>
      </c>
      <c r="BL525" t="s">
        <v>3118</v>
      </c>
      <c r="BM525" t="s">
        <v>10335</v>
      </c>
      <c r="BN525">
        <v>37548237</v>
      </c>
      <c r="BO525" t="s">
        <v>238</v>
      </c>
      <c r="BP525" t="s">
        <v>74</v>
      </c>
      <c r="BQ525" t="s">
        <v>74</v>
      </c>
      <c r="BR525" t="s">
        <v>105</v>
      </c>
      <c r="BS525" t="s">
        <v>10336</v>
      </c>
      <c r="BT525" t="str">
        <f>HYPERLINK("https%3A%2F%2Fwww.webofscience.com%2Fwos%2Fwoscc%2Ffull-record%2FWOS:001043162400001","View Full Record in Web of Science")</f>
        <v>View Full Record in Web of Science</v>
      </c>
    </row>
    <row r="526" spans="1:72" x14ac:dyDescent="0.25">
      <c r="A526" t="s">
        <v>72</v>
      </c>
      <c r="B526" t="s">
        <v>10337</v>
      </c>
      <c r="C526" t="s">
        <v>74</v>
      </c>
      <c r="D526" t="s">
        <v>74</v>
      </c>
      <c r="E526" t="s">
        <v>74</v>
      </c>
      <c r="F526" t="s">
        <v>10338</v>
      </c>
      <c r="G526" t="s">
        <v>74</v>
      </c>
      <c r="H526" t="s">
        <v>74</v>
      </c>
      <c r="I526" t="s">
        <v>10339</v>
      </c>
      <c r="J526" t="s">
        <v>2745</v>
      </c>
      <c r="K526" t="s">
        <v>74</v>
      </c>
      <c r="L526" t="s">
        <v>74</v>
      </c>
      <c r="M526" t="s">
        <v>78</v>
      </c>
      <c r="N526" t="s">
        <v>79</v>
      </c>
      <c r="O526" t="s">
        <v>74</v>
      </c>
      <c r="P526" t="s">
        <v>74</v>
      </c>
      <c r="Q526" t="s">
        <v>74</v>
      </c>
      <c r="R526" t="s">
        <v>74</v>
      </c>
      <c r="S526" t="s">
        <v>74</v>
      </c>
      <c r="T526" t="s">
        <v>10340</v>
      </c>
      <c r="U526" t="s">
        <v>74</v>
      </c>
      <c r="V526" t="s">
        <v>10341</v>
      </c>
      <c r="W526" t="s">
        <v>10342</v>
      </c>
      <c r="X526" t="s">
        <v>10343</v>
      </c>
      <c r="Y526" t="s">
        <v>10344</v>
      </c>
      <c r="Z526" t="s">
        <v>10345</v>
      </c>
      <c r="AA526" t="s">
        <v>10346</v>
      </c>
      <c r="AB526" t="s">
        <v>10347</v>
      </c>
      <c r="AC526" t="s">
        <v>10348</v>
      </c>
      <c r="AD526" t="s">
        <v>10349</v>
      </c>
      <c r="AE526" t="s">
        <v>10350</v>
      </c>
      <c r="AF526" t="s">
        <v>74</v>
      </c>
      <c r="AG526">
        <v>65</v>
      </c>
      <c r="AH526">
        <v>17</v>
      </c>
      <c r="AI526">
        <v>18</v>
      </c>
      <c r="AJ526">
        <v>2</v>
      </c>
      <c r="AK526">
        <v>15</v>
      </c>
      <c r="AL526" t="s">
        <v>120</v>
      </c>
      <c r="AM526" t="s">
        <v>121</v>
      </c>
      <c r="AN526" t="s">
        <v>122</v>
      </c>
      <c r="AO526" t="s">
        <v>74</v>
      </c>
      <c r="AP526" t="s">
        <v>2757</v>
      </c>
      <c r="AQ526" t="s">
        <v>74</v>
      </c>
      <c r="AR526" t="s">
        <v>2745</v>
      </c>
      <c r="AS526" t="s">
        <v>2758</v>
      </c>
      <c r="AT526" t="s">
        <v>634</v>
      </c>
      <c r="AU526">
        <v>2023</v>
      </c>
      <c r="AV526">
        <v>10</v>
      </c>
      <c r="AW526">
        <v>8</v>
      </c>
      <c r="AX526" t="s">
        <v>74</v>
      </c>
      <c r="AY526" t="s">
        <v>74</v>
      </c>
      <c r="AZ526" t="s">
        <v>74</v>
      </c>
      <c r="BA526" t="s">
        <v>74</v>
      </c>
      <c r="BB526" t="s">
        <v>74</v>
      </c>
      <c r="BC526" t="s">
        <v>74</v>
      </c>
      <c r="BD526">
        <v>990</v>
      </c>
      <c r="BE526" t="s">
        <v>10351</v>
      </c>
      <c r="BF526" t="str">
        <f>HYPERLINK("http://dx.doi.org/10.3390/bioengineering10080990","http://dx.doi.org/10.3390/bioengineering10080990")</f>
        <v>http://dx.doi.org/10.3390/bioengineering10080990</v>
      </c>
      <c r="BG526" t="s">
        <v>74</v>
      </c>
      <c r="BH526" t="s">
        <v>74</v>
      </c>
      <c r="BI526">
        <v>22</v>
      </c>
      <c r="BJ526" t="s">
        <v>2760</v>
      </c>
      <c r="BK526" t="s">
        <v>182</v>
      </c>
      <c r="BL526" t="s">
        <v>2761</v>
      </c>
      <c r="BM526" t="s">
        <v>10352</v>
      </c>
      <c r="BN526">
        <v>37627875</v>
      </c>
      <c r="BO526" t="s">
        <v>185</v>
      </c>
      <c r="BP526" t="s">
        <v>74</v>
      </c>
      <c r="BQ526" t="s">
        <v>74</v>
      </c>
      <c r="BR526" t="s">
        <v>105</v>
      </c>
      <c r="BS526" t="s">
        <v>10353</v>
      </c>
      <c r="BT526" t="str">
        <f>HYPERLINK("https%3A%2F%2Fwww.webofscience.com%2Fwos%2Fwoscc%2Ffull-record%2FWOS:001056211600001","View Full Record in Web of Science")</f>
        <v>View Full Record in Web of Science</v>
      </c>
    </row>
    <row r="527" spans="1:72" x14ac:dyDescent="0.25">
      <c r="A527" t="s">
        <v>72</v>
      </c>
      <c r="B527" t="s">
        <v>10354</v>
      </c>
      <c r="C527" t="s">
        <v>74</v>
      </c>
      <c r="D527" t="s">
        <v>74</v>
      </c>
      <c r="E527" t="s">
        <v>74</v>
      </c>
      <c r="F527" t="s">
        <v>10355</v>
      </c>
      <c r="G527" t="s">
        <v>74</v>
      </c>
      <c r="H527" t="s">
        <v>74</v>
      </c>
      <c r="I527" t="s">
        <v>10356</v>
      </c>
      <c r="J527" t="s">
        <v>6115</v>
      </c>
      <c r="K527" t="s">
        <v>74</v>
      </c>
      <c r="L527" t="s">
        <v>74</v>
      </c>
      <c r="M527" t="s">
        <v>78</v>
      </c>
      <c r="N527" t="s">
        <v>79</v>
      </c>
      <c r="O527" t="s">
        <v>74</v>
      </c>
      <c r="P527" t="s">
        <v>74</v>
      </c>
      <c r="Q527" t="s">
        <v>74</v>
      </c>
      <c r="R527" t="s">
        <v>74</v>
      </c>
      <c r="S527" t="s">
        <v>74</v>
      </c>
      <c r="T527" t="s">
        <v>10357</v>
      </c>
      <c r="U527" t="s">
        <v>10358</v>
      </c>
      <c r="V527" t="s">
        <v>10359</v>
      </c>
      <c r="W527" t="s">
        <v>10360</v>
      </c>
      <c r="X527" t="s">
        <v>10361</v>
      </c>
      <c r="Y527" t="s">
        <v>10362</v>
      </c>
      <c r="Z527" t="s">
        <v>10363</v>
      </c>
      <c r="AA527" t="s">
        <v>10364</v>
      </c>
      <c r="AB527" t="s">
        <v>10365</v>
      </c>
      <c r="AC527" t="s">
        <v>10366</v>
      </c>
      <c r="AD527" t="s">
        <v>10366</v>
      </c>
      <c r="AE527" t="s">
        <v>10366</v>
      </c>
      <c r="AF527" t="s">
        <v>74</v>
      </c>
      <c r="AG527">
        <v>135</v>
      </c>
      <c r="AH527">
        <v>5</v>
      </c>
      <c r="AI527">
        <v>5</v>
      </c>
      <c r="AJ527">
        <v>0</v>
      </c>
      <c r="AK527">
        <v>2</v>
      </c>
      <c r="AL527" t="s">
        <v>120</v>
      </c>
      <c r="AM527" t="s">
        <v>121</v>
      </c>
      <c r="AN527" t="s">
        <v>122</v>
      </c>
      <c r="AO527" t="s">
        <v>74</v>
      </c>
      <c r="AP527" t="s">
        <v>6124</v>
      </c>
      <c r="AQ527" t="s">
        <v>74</v>
      </c>
      <c r="AR527" t="s">
        <v>6115</v>
      </c>
      <c r="AS527" t="s">
        <v>6125</v>
      </c>
      <c r="AT527" t="s">
        <v>634</v>
      </c>
      <c r="AU527">
        <v>2023</v>
      </c>
      <c r="AV527">
        <v>15</v>
      </c>
      <c r="AW527">
        <v>16</v>
      </c>
      <c r="AX527" t="s">
        <v>74</v>
      </c>
      <c r="AY527" t="s">
        <v>74</v>
      </c>
      <c r="AZ527" t="s">
        <v>74</v>
      </c>
      <c r="BA527" t="s">
        <v>74</v>
      </c>
      <c r="BB527" t="s">
        <v>74</v>
      </c>
      <c r="BC527" t="s">
        <v>74</v>
      </c>
      <c r="BD527">
        <v>4039</v>
      </c>
      <c r="BE527" t="s">
        <v>10367</v>
      </c>
      <c r="BF527" t="str">
        <f>HYPERLINK("http://dx.doi.org/10.3390/cancers15164039","http://dx.doi.org/10.3390/cancers15164039")</f>
        <v>http://dx.doi.org/10.3390/cancers15164039</v>
      </c>
      <c r="BG527" t="s">
        <v>74</v>
      </c>
      <c r="BH527" t="s">
        <v>74</v>
      </c>
      <c r="BI527">
        <v>17</v>
      </c>
      <c r="BJ527" t="s">
        <v>4032</v>
      </c>
      <c r="BK527" t="s">
        <v>182</v>
      </c>
      <c r="BL527" t="s">
        <v>4032</v>
      </c>
      <c r="BM527" t="s">
        <v>10368</v>
      </c>
      <c r="BN527">
        <v>37627067</v>
      </c>
      <c r="BO527" t="s">
        <v>355</v>
      </c>
      <c r="BP527" t="s">
        <v>74</v>
      </c>
      <c r="BQ527" t="s">
        <v>74</v>
      </c>
      <c r="BR527" t="s">
        <v>105</v>
      </c>
      <c r="BS527" t="s">
        <v>10369</v>
      </c>
      <c r="BT527" t="str">
        <f>HYPERLINK("https%3A%2F%2Fwww.webofscience.com%2Fwos%2Fwoscc%2Ffull-record%2FWOS:001056132500001","View Full Record in Web of Science")</f>
        <v>View Full Record in Web of Science</v>
      </c>
    </row>
    <row r="528" spans="1:72" x14ac:dyDescent="0.25">
      <c r="A528" t="s">
        <v>72</v>
      </c>
      <c r="B528" t="s">
        <v>10370</v>
      </c>
      <c r="C528" t="s">
        <v>74</v>
      </c>
      <c r="D528" t="s">
        <v>74</v>
      </c>
      <c r="E528" t="s">
        <v>74</v>
      </c>
      <c r="F528" t="s">
        <v>10371</v>
      </c>
      <c r="G528" t="s">
        <v>74</v>
      </c>
      <c r="H528" t="s">
        <v>74</v>
      </c>
      <c r="I528" t="s">
        <v>10372</v>
      </c>
      <c r="J528" t="s">
        <v>2040</v>
      </c>
      <c r="K528" t="s">
        <v>74</v>
      </c>
      <c r="L528" t="s">
        <v>74</v>
      </c>
      <c r="M528" t="s">
        <v>78</v>
      </c>
      <c r="N528" t="s">
        <v>79</v>
      </c>
      <c r="O528" t="s">
        <v>74</v>
      </c>
      <c r="P528" t="s">
        <v>74</v>
      </c>
      <c r="Q528" t="s">
        <v>74</v>
      </c>
      <c r="R528" t="s">
        <v>74</v>
      </c>
      <c r="S528" t="s">
        <v>74</v>
      </c>
      <c r="T528" t="s">
        <v>10373</v>
      </c>
      <c r="U528" t="s">
        <v>10374</v>
      </c>
      <c r="V528" t="s">
        <v>10375</v>
      </c>
      <c r="W528" t="s">
        <v>10376</v>
      </c>
      <c r="X528" t="s">
        <v>10377</v>
      </c>
      <c r="Y528" t="s">
        <v>10378</v>
      </c>
      <c r="Z528" t="s">
        <v>10379</v>
      </c>
      <c r="AA528" t="s">
        <v>10380</v>
      </c>
      <c r="AB528" t="s">
        <v>10381</v>
      </c>
      <c r="AC528" t="s">
        <v>10382</v>
      </c>
      <c r="AD528" t="s">
        <v>10383</v>
      </c>
      <c r="AE528" t="s">
        <v>10384</v>
      </c>
      <c r="AF528" t="s">
        <v>74</v>
      </c>
      <c r="AG528">
        <v>118</v>
      </c>
      <c r="AH528">
        <v>16</v>
      </c>
      <c r="AI528">
        <v>16</v>
      </c>
      <c r="AJ528">
        <v>6</v>
      </c>
      <c r="AK528">
        <v>41</v>
      </c>
      <c r="AL528" t="s">
        <v>120</v>
      </c>
      <c r="AM528" t="s">
        <v>121</v>
      </c>
      <c r="AN528" t="s">
        <v>1221</v>
      </c>
      <c r="AO528" t="s">
        <v>74</v>
      </c>
      <c r="AP528" t="s">
        <v>2050</v>
      </c>
      <c r="AQ528" t="s">
        <v>74</v>
      </c>
      <c r="AR528" t="s">
        <v>2051</v>
      </c>
      <c r="AS528" t="s">
        <v>2052</v>
      </c>
      <c r="AT528" t="s">
        <v>634</v>
      </c>
      <c r="AU528">
        <v>2023</v>
      </c>
      <c r="AV528">
        <v>23</v>
      </c>
      <c r="AW528">
        <v>16</v>
      </c>
      <c r="AX528" t="s">
        <v>74</v>
      </c>
      <c r="AY528" t="s">
        <v>74</v>
      </c>
      <c r="AZ528" t="s">
        <v>74</v>
      </c>
      <c r="BA528" t="s">
        <v>74</v>
      </c>
      <c r="BB528" t="s">
        <v>74</v>
      </c>
      <c r="BC528" t="s">
        <v>74</v>
      </c>
      <c r="BD528">
        <v>7100</v>
      </c>
      <c r="BE528" t="s">
        <v>10385</v>
      </c>
      <c r="BF528" t="str">
        <f>HYPERLINK("http://dx.doi.org/10.3390/s23167100","http://dx.doi.org/10.3390/s23167100")</f>
        <v>http://dx.doi.org/10.3390/s23167100</v>
      </c>
      <c r="BG528" t="s">
        <v>74</v>
      </c>
      <c r="BH528" t="s">
        <v>74</v>
      </c>
      <c r="BI528">
        <v>22</v>
      </c>
      <c r="BJ528" t="s">
        <v>2054</v>
      </c>
      <c r="BK528" t="s">
        <v>182</v>
      </c>
      <c r="BL528" t="s">
        <v>2055</v>
      </c>
      <c r="BM528" t="s">
        <v>10386</v>
      </c>
      <c r="BN528">
        <v>37631637</v>
      </c>
      <c r="BO528" t="s">
        <v>355</v>
      </c>
      <c r="BP528" t="s">
        <v>74</v>
      </c>
      <c r="BQ528" t="s">
        <v>74</v>
      </c>
      <c r="BR528" t="s">
        <v>105</v>
      </c>
      <c r="BS528" t="s">
        <v>10387</v>
      </c>
      <c r="BT528" t="str">
        <f>HYPERLINK("https%3A%2F%2Fwww.webofscience.com%2Fwos%2Fwoscc%2Ffull-record%2FWOS:001057261800001","View Full Record in Web of Science")</f>
        <v>View Full Record in Web of Science</v>
      </c>
    </row>
    <row r="529" spans="1:72" x14ac:dyDescent="0.25">
      <c r="A529" t="s">
        <v>72</v>
      </c>
      <c r="B529" t="s">
        <v>10388</v>
      </c>
      <c r="C529" t="s">
        <v>74</v>
      </c>
      <c r="D529" t="s">
        <v>74</v>
      </c>
      <c r="E529" t="s">
        <v>74</v>
      </c>
      <c r="F529" t="s">
        <v>10389</v>
      </c>
      <c r="G529" t="s">
        <v>74</v>
      </c>
      <c r="H529" t="s">
        <v>74</v>
      </c>
      <c r="I529" t="s">
        <v>10390</v>
      </c>
      <c r="J529" t="s">
        <v>2690</v>
      </c>
      <c r="K529" t="s">
        <v>74</v>
      </c>
      <c r="L529" t="s">
        <v>74</v>
      </c>
      <c r="M529" t="s">
        <v>78</v>
      </c>
      <c r="N529" t="s">
        <v>79</v>
      </c>
      <c r="O529" t="s">
        <v>74</v>
      </c>
      <c r="P529" t="s">
        <v>74</v>
      </c>
      <c r="Q529" t="s">
        <v>74</v>
      </c>
      <c r="R529" t="s">
        <v>74</v>
      </c>
      <c r="S529" t="s">
        <v>74</v>
      </c>
      <c r="T529" t="s">
        <v>10391</v>
      </c>
      <c r="U529" t="s">
        <v>10392</v>
      </c>
      <c r="V529" t="s">
        <v>10393</v>
      </c>
      <c r="W529" t="s">
        <v>10394</v>
      </c>
      <c r="X529" t="s">
        <v>10395</v>
      </c>
      <c r="Y529" t="s">
        <v>10396</v>
      </c>
      <c r="Z529" t="s">
        <v>10397</v>
      </c>
      <c r="AA529" t="s">
        <v>10398</v>
      </c>
      <c r="AB529" t="s">
        <v>10399</v>
      </c>
      <c r="AC529" t="s">
        <v>74</v>
      </c>
      <c r="AD529" t="s">
        <v>74</v>
      </c>
      <c r="AE529" t="s">
        <v>74</v>
      </c>
      <c r="AF529" t="s">
        <v>74</v>
      </c>
      <c r="AG529">
        <v>153</v>
      </c>
      <c r="AH529">
        <v>25</v>
      </c>
      <c r="AI529">
        <v>26</v>
      </c>
      <c r="AJ529">
        <v>19</v>
      </c>
      <c r="AK529">
        <v>93</v>
      </c>
      <c r="AL529" t="s">
        <v>120</v>
      </c>
      <c r="AM529" t="s">
        <v>121</v>
      </c>
      <c r="AN529" t="s">
        <v>122</v>
      </c>
      <c r="AO529" t="s">
        <v>74</v>
      </c>
      <c r="AP529" t="s">
        <v>2698</v>
      </c>
      <c r="AQ529" t="s">
        <v>74</v>
      </c>
      <c r="AR529" t="s">
        <v>2690</v>
      </c>
      <c r="AS529" t="s">
        <v>2699</v>
      </c>
      <c r="AT529" t="s">
        <v>634</v>
      </c>
      <c r="AU529">
        <v>2023</v>
      </c>
      <c r="AV529">
        <v>12</v>
      </c>
      <c r="AW529">
        <v>8</v>
      </c>
      <c r="AX529" t="s">
        <v>74</v>
      </c>
      <c r="AY529" t="s">
        <v>74</v>
      </c>
      <c r="AZ529" t="s">
        <v>74</v>
      </c>
      <c r="BA529" t="s">
        <v>74</v>
      </c>
      <c r="BB529" t="s">
        <v>74</v>
      </c>
      <c r="BC529" t="s">
        <v>74</v>
      </c>
      <c r="BD529">
        <v>323</v>
      </c>
      <c r="BE529" t="s">
        <v>10400</v>
      </c>
      <c r="BF529" t="str">
        <f>HYPERLINK("http://dx.doi.org/10.3390/act12080323","http://dx.doi.org/10.3390/act12080323")</f>
        <v>http://dx.doi.org/10.3390/act12080323</v>
      </c>
      <c r="BG529" t="s">
        <v>74</v>
      </c>
      <c r="BH529" t="s">
        <v>74</v>
      </c>
      <c r="BI529">
        <v>29</v>
      </c>
      <c r="BJ529" t="s">
        <v>2701</v>
      </c>
      <c r="BK529" t="s">
        <v>182</v>
      </c>
      <c r="BL529" t="s">
        <v>2702</v>
      </c>
      <c r="BM529" t="s">
        <v>10401</v>
      </c>
      <c r="BN529" t="s">
        <v>74</v>
      </c>
      <c r="BO529" t="s">
        <v>185</v>
      </c>
      <c r="BP529" t="s">
        <v>74</v>
      </c>
      <c r="BQ529" t="s">
        <v>74</v>
      </c>
      <c r="BR529" t="s">
        <v>105</v>
      </c>
      <c r="BS529" t="s">
        <v>10402</v>
      </c>
      <c r="BT529" t="str">
        <f>HYPERLINK("https%3A%2F%2Fwww.webofscience.com%2Fwos%2Fwoscc%2Ffull-record%2FWOS:001056320400001","View Full Record in Web of Science")</f>
        <v>View Full Record in Web of Science</v>
      </c>
    </row>
    <row r="530" spans="1:72" x14ac:dyDescent="0.25">
      <c r="A530" t="s">
        <v>72</v>
      </c>
      <c r="B530" t="s">
        <v>10403</v>
      </c>
      <c r="C530" t="s">
        <v>74</v>
      </c>
      <c r="D530" t="s">
        <v>74</v>
      </c>
      <c r="E530" t="s">
        <v>74</v>
      </c>
      <c r="F530" t="s">
        <v>10404</v>
      </c>
      <c r="G530" t="s">
        <v>74</v>
      </c>
      <c r="H530" t="s">
        <v>74</v>
      </c>
      <c r="I530" t="s">
        <v>10405</v>
      </c>
      <c r="J530" t="s">
        <v>406</v>
      </c>
      <c r="K530" t="s">
        <v>74</v>
      </c>
      <c r="L530" t="s">
        <v>74</v>
      </c>
      <c r="M530" t="s">
        <v>78</v>
      </c>
      <c r="N530" t="s">
        <v>79</v>
      </c>
      <c r="O530" t="s">
        <v>74</v>
      </c>
      <c r="P530" t="s">
        <v>74</v>
      </c>
      <c r="Q530" t="s">
        <v>74</v>
      </c>
      <c r="R530" t="s">
        <v>74</v>
      </c>
      <c r="S530" t="s">
        <v>74</v>
      </c>
      <c r="T530" t="s">
        <v>10406</v>
      </c>
      <c r="U530" t="s">
        <v>10407</v>
      </c>
      <c r="V530" t="s">
        <v>10408</v>
      </c>
      <c r="W530" t="s">
        <v>10409</v>
      </c>
      <c r="X530" t="s">
        <v>10410</v>
      </c>
      <c r="Y530" t="s">
        <v>10411</v>
      </c>
      <c r="Z530" t="s">
        <v>10412</v>
      </c>
      <c r="AA530" t="s">
        <v>10413</v>
      </c>
      <c r="AB530" t="s">
        <v>10414</v>
      </c>
      <c r="AC530" t="s">
        <v>74</v>
      </c>
      <c r="AD530" t="s">
        <v>74</v>
      </c>
      <c r="AE530" t="s">
        <v>74</v>
      </c>
      <c r="AF530" t="s">
        <v>74</v>
      </c>
      <c r="AG530">
        <v>62</v>
      </c>
      <c r="AH530">
        <v>3</v>
      </c>
      <c r="AI530">
        <v>3</v>
      </c>
      <c r="AJ530">
        <v>1</v>
      </c>
      <c r="AK530">
        <v>8</v>
      </c>
      <c r="AL530" t="s">
        <v>120</v>
      </c>
      <c r="AM530" t="s">
        <v>121</v>
      </c>
      <c r="AN530" t="s">
        <v>10185</v>
      </c>
      <c r="AO530" t="s">
        <v>74</v>
      </c>
      <c r="AP530" t="s">
        <v>417</v>
      </c>
      <c r="AQ530" t="s">
        <v>74</v>
      </c>
      <c r="AR530" t="s">
        <v>418</v>
      </c>
      <c r="AS530" t="s">
        <v>419</v>
      </c>
      <c r="AT530" t="s">
        <v>634</v>
      </c>
      <c r="AU530">
        <v>2023</v>
      </c>
      <c r="AV530">
        <v>11</v>
      </c>
      <c r="AW530">
        <v>15</v>
      </c>
      <c r="AX530" t="s">
        <v>74</v>
      </c>
      <c r="AY530" t="s">
        <v>74</v>
      </c>
      <c r="AZ530" t="s">
        <v>74</v>
      </c>
      <c r="BA530" t="s">
        <v>74</v>
      </c>
      <c r="BB530" t="s">
        <v>74</v>
      </c>
      <c r="BC530" t="s">
        <v>74</v>
      </c>
      <c r="BD530">
        <v>2225</v>
      </c>
      <c r="BE530" t="s">
        <v>10415</v>
      </c>
      <c r="BF530" t="str">
        <f>HYPERLINK("http://dx.doi.org/10.3390/healthcare11152225","http://dx.doi.org/10.3390/healthcare11152225")</f>
        <v>http://dx.doi.org/10.3390/healthcare11152225</v>
      </c>
      <c r="BG530" t="s">
        <v>74</v>
      </c>
      <c r="BH530" t="s">
        <v>74</v>
      </c>
      <c r="BI530">
        <v>17</v>
      </c>
      <c r="BJ530" t="s">
        <v>422</v>
      </c>
      <c r="BK530" t="s">
        <v>102</v>
      </c>
      <c r="BL530" t="s">
        <v>423</v>
      </c>
      <c r="BM530" t="s">
        <v>10416</v>
      </c>
      <c r="BN530">
        <v>37570466</v>
      </c>
      <c r="BO530" t="s">
        <v>131</v>
      </c>
      <c r="BP530" t="s">
        <v>74</v>
      </c>
      <c r="BQ530" t="s">
        <v>74</v>
      </c>
      <c r="BR530" t="s">
        <v>105</v>
      </c>
      <c r="BS530" t="s">
        <v>10417</v>
      </c>
      <c r="BT530" t="str">
        <f>HYPERLINK("https%3A%2F%2Fwww.webofscience.com%2Fwos%2Fwoscc%2Ffull-record%2FWOS:001046167200001","View Full Record in Web of Science")</f>
        <v>View Full Record in Web of Science</v>
      </c>
    </row>
    <row r="531" spans="1:72" x14ac:dyDescent="0.25">
      <c r="A531" t="s">
        <v>72</v>
      </c>
      <c r="B531" t="s">
        <v>10418</v>
      </c>
      <c r="C531" t="s">
        <v>74</v>
      </c>
      <c r="D531" t="s">
        <v>74</v>
      </c>
      <c r="E531" t="s">
        <v>74</v>
      </c>
      <c r="F531" t="s">
        <v>10419</v>
      </c>
      <c r="G531" t="s">
        <v>74</v>
      </c>
      <c r="H531" t="s">
        <v>74</v>
      </c>
      <c r="I531" t="s">
        <v>10420</v>
      </c>
      <c r="J531" t="s">
        <v>10421</v>
      </c>
      <c r="K531" t="s">
        <v>74</v>
      </c>
      <c r="L531" t="s">
        <v>74</v>
      </c>
      <c r="M531" t="s">
        <v>78</v>
      </c>
      <c r="N531" t="s">
        <v>79</v>
      </c>
      <c r="O531" t="s">
        <v>74</v>
      </c>
      <c r="P531" t="s">
        <v>74</v>
      </c>
      <c r="Q531" t="s">
        <v>74</v>
      </c>
      <c r="R531" t="s">
        <v>74</v>
      </c>
      <c r="S531" t="s">
        <v>74</v>
      </c>
      <c r="T531" t="s">
        <v>10422</v>
      </c>
      <c r="U531" t="s">
        <v>10423</v>
      </c>
      <c r="V531" t="s">
        <v>10424</v>
      </c>
      <c r="W531" t="s">
        <v>10425</v>
      </c>
      <c r="X531" t="s">
        <v>10426</v>
      </c>
      <c r="Y531" t="s">
        <v>10427</v>
      </c>
      <c r="Z531" t="s">
        <v>10428</v>
      </c>
      <c r="AA531" t="s">
        <v>74</v>
      </c>
      <c r="AB531" t="s">
        <v>74</v>
      </c>
      <c r="AC531" t="s">
        <v>74</v>
      </c>
      <c r="AD531" t="s">
        <v>74</v>
      </c>
      <c r="AE531" t="s">
        <v>74</v>
      </c>
      <c r="AF531" t="s">
        <v>74</v>
      </c>
      <c r="AG531">
        <v>97</v>
      </c>
      <c r="AH531">
        <v>3</v>
      </c>
      <c r="AI531">
        <v>3</v>
      </c>
      <c r="AJ531">
        <v>1</v>
      </c>
      <c r="AK531">
        <v>4</v>
      </c>
      <c r="AL531" t="s">
        <v>297</v>
      </c>
      <c r="AM531" t="s">
        <v>298</v>
      </c>
      <c r="AN531" t="s">
        <v>299</v>
      </c>
      <c r="AO531" t="s">
        <v>10429</v>
      </c>
      <c r="AP531" t="s">
        <v>10430</v>
      </c>
      <c r="AQ531" t="s">
        <v>74</v>
      </c>
      <c r="AR531" t="s">
        <v>10431</v>
      </c>
      <c r="AS531" t="s">
        <v>10432</v>
      </c>
      <c r="AT531" t="s">
        <v>126</v>
      </c>
      <c r="AU531">
        <v>2023</v>
      </c>
      <c r="AV531">
        <v>30</v>
      </c>
      <c r="AW531">
        <v>11</v>
      </c>
      <c r="AX531" t="s">
        <v>74</v>
      </c>
      <c r="AY531" t="s">
        <v>74</v>
      </c>
      <c r="AZ531" t="s">
        <v>74</v>
      </c>
      <c r="BA531" t="s">
        <v>74</v>
      </c>
      <c r="BB531">
        <v>959</v>
      </c>
      <c r="BC531">
        <v>967</v>
      </c>
      <c r="BD531" t="s">
        <v>74</v>
      </c>
      <c r="BE531" t="s">
        <v>10433</v>
      </c>
      <c r="BF531" t="str">
        <f>HYPERLINK("http://dx.doi.org/10.1111/iju.15264","http://dx.doi.org/10.1111/iju.15264")</f>
        <v>http://dx.doi.org/10.1111/iju.15264</v>
      </c>
      <c r="BG531" t="s">
        <v>74</v>
      </c>
      <c r="BH531" t="s">
        <v>961</v>
      </c>
      <c r="BI531">
        <v>9</v>
      </c>
      <c r="BJ531" t="s">
        <v>2739</v>
      </c>
      <c r="BK531" t="s">
        <v>182</v>
      </c>
      <c r="BL531" t="s">
        <v>2739</v>
      </c>
      <c r="BM531" t="s">
        <v>10434</v>
      </c>
      <c r="BN531">
        <v>37526397</v>
      </c>
      <c r="BO531" t="s">
        <v>1052</v>
      </c>
      <c r="BP531" t="s">
        <v>74</v>
      </c>
      <c r="BQ531" t="s">
        <v>74</v>
      </c>
      <c r="BR531" t="s">
        <v>105</v>
      </c>
      <c r="BS531" t="s">
        <v>10435</v>
      </c>
      <c r="BT531" t="str">
        <f>HYPERLINK("https%3A%2F%2Fwww.webofscience.com%2Fwos%2Fwoscc%2Ffull-record%2FWOS:001040527300001","View Full Record in Web of Science")</f>
        <v>View Full Record in Web of Science</v>
      </c>
    </row>
    <row r="532" spans="1:72" x14ac:dyDescent="0.25">
      <c r="A532" t="s">
        <v>72</v>
      </c>
      <c r="B532" t="s">
        <v>10436</v>
      </c>
      <c r="C532" t="s">
        <v>74</v>
      </c>
      <c r="D532" t="s">
        <v>74</v>
      </c>
      <c r="E532" t="s">
        <v>74</v>
      </c>
      <c r="F532" t="s">
        <v>10437</v>
      </c>
      <c r="G532" t="s">
        <v>74</v>
      </c>
      <c r="H532" t="s">
        <v>74</v>
      </c>
      <c r="I532" t="s">
        <v>10438</v>
      </c>
      <c r="J532" t="s">
        <v>2117</v>
      </c>
      <c r="K532" t="s">
        <v>74</v>
      </c>
      <c r="L532" t="s">
        <v>74</v>
      </c>
      <c r="M532" t="s">
        <v>78</v>
      </c>
      <c r="N532" t="s">
        <v>79</v>
      </c>
      <c r="O532" t="s">
        <v>74</v>
      </c>
      <c r="P532" t="s">
        <v>74</v>
      </c>
      <c r="Q532" t="s">
        <v>74</v>
      </c>
      <c r="R532" t="s">
        <v>74</v>
      </c>
      <c r="S532" t="s">
        <v>74</v>
      </c>
      <c r="T532" t="s">
        <v>10439</v>
      </c>
      <c r="U532" t="s">
        <v>10440</v>
      </c>
      <c r="V532" t="s">
        <v>10441</v>
      </c>
      <c r="W532" t="s">
        <v>10442</v>
      </c>
      <c r="X532" t="s">
        <v>10443</v>
      </c>
      <c r="Y532" t="s">
        <v>10444</v>
      </c>
      <c r="Z532" t="s">
        <v>10445</v>
      </c>
      <c r="AA532" t="s">
        <v>10446</v>
      </c>
      <c r="AB532" t="s">
        <v>10447</v>
      </c>
      <c r="AC532" t="s">
        <v>74</v>
      </c>
      <c r="AD532" t="s">
        <v>74</v>
      </c>
      <c r="AE532" t="s">
        <v>74</v>
      </c>
      <c r="AF532" t="s">
        <v>74</v>
      </c>
      <c r="AG532">
        <v>116</v>
      </c>
      <c r="AH532">
        <v>8</v>
      </c>
      <c r="AI532">
        <v>8</v>
      </c>
      <c r="AJ532">
        <v>6</v>
      </c>
      <c r="AK532">
        <v>24</v>
      </c>
      <c r="AL532" t="s">
        <v>120</v>
      </c>
      <c r="AM532" t="s">
        <v>121</v>
      </c>
      <c r="AN532" t="s">
        <v>122</v>
      </c>
      <c r="AO532" t="s">
        <v>74</v>
      </c>
      <c r="AP532" t="s">
        <v>2129</v>
      </c>
      <c r="AQ532" t="s">
        <v>74</v>
      </c>
      <c r="AR532" t="s">
        <v>2117</v>
      </c>
      <c r="AS532" t="s">
        <v>714</v>
      </c>
      <c r="AT532" t="s">
        <v>634</v>
      </c>
      <c r="AU532">
        <v>2023</v>
      </c>
      <c r="AV532">
        <v>12</v>
      </c>
      <c r="AW532">
        <v>4</v>
      </c>
      <c r="AX532" t="s">
        <v>74</v>
      </c>
      <c r="AY532" t="s">
        <v>74</v>
      </c>
      <c r="AZ532" t="s">
        <v>74</v>
      </c>
      <c r="BA532" t="s">
        <v>74</v>
      </c>
      <c r="BB532" t="s">
        <v>74</v>
      </c>
      <c r="BC532" t="s">
        <v>74</v>
      </c>
      <c r="BD532">
        <v>106</v>
      </c>
      <c r="BE532" t="s">
        <v>10448</v>
      </c>
      <c r="BF532" t="str">
        <f>HYPERLINK("http://dx.doi.org/10.3390/robotics12040106","http://dx.doi.org/10.3390/robotics12040106")</f>
        <v>http://dx.doi.org/10.3390/robotics12040106</v>
      </c>
      <c r="BG532" t="s">
        <v>74</v>
      </c>
      <c r="BH532" t="s">
        <v>74</v>
      </c>
      <c r="BI532">
        <v>25</v>
      </c>
      <c r="BJ532" t="s">
        <v>714</v>
      </c>
      <c r="BK532" t="s">
        <v>155</v>
      </c>
      <c r="BL532" t="s">
        <v>714</v>
      </c>
      <c r="BM532" t="s">
        <v>10449</v>
      </c>
      <c r="BN532" t="s">
        <v>74</v>
      </c>
      <c r="BO532" t="s">
        <v>185</v>
      </c>
      <c r="BP532" t="s">
        <v>74</v>
      </c>
      <c r="BQ532" t="s">
        <v>74</v>
      </c>
      <c r="BR532" t="s">
        <v>105</v>
      </c>
      <c r="BS532" t="s">
        <v>10450</v>
      </c>
      <c r="BT532" t="str">
        <f>HYPERLINK("https%3A%2F%2Fwww.webofscience.com%2Fwos%2Fwoscc%2Ffull-record%2FWOS:001057439400001","View Full Record in Web of Science")</f>
        <v>View Full Record in Web of Science</v>
      </c>
    </row>
    <row r="533" spans="1:72" x14ac:dyDescent="0.25">
      <c r="A533" t="s">
        <v>72</v>
      </c>
      <c r="B533" t="s">
        <v>10451</v>
      </c>
      <c r="C533" t="s">
        <v>74</v>
      </c>
      <c r="D533" t="s">
        <v>74</v>
      </c>
      <c r="E533" t="s">
        <v>74</v>
      </c>
      <c r="F533" t="s">
        <v>10452</v>
      </c>
      <c r="G533" t="s">
        <v>74</v>
      </c>
      <c r="H533" t="s">
        <v>74</v>
      </c>
      <c r="I533" t="s">
        <v>10453</v>
      </c>
      <c r="J533" t="s">
        <v>265</v>
      </c>
      <c r="K533" t="s">
        <v>74</v>
      </c>
      <c r="L533" t="s">
        <v>74</v>
      </c>
      <c r="M533" t="s">
        <v>78</v>
      </c>
      <c r="N533" t="s">
        <v>79</v>
      </c>
      <c r="O533" t="s">
        <v>74</v>
      </c>
      <c r="P533" t="s">
        <v>74</v>
      </c>
      <c r="Q533" t="s">
        <v>74</v>
      </c>
      <c r="R533" t="s">
        <v>74</v>
      </c>
      <c r="S533" t="s">
        <v>74</v>
      </c>
      <c r="T533" t="s">
        <v>10454</v>
      </c>
      <c r="U533" t="s">
        <v>10455</v>
      </c>
      <c r="V533" t="s">
        <v>10456</v>
      </c>
      <c r="W533" t="s">
        <v>10457</v>
      </c>
      <c r="X533" t="s">
        <v>10458</v>
      </c>
      <c r="Y533" t="s">
        <v>10459</v>
      </c>
      <c r="Z533" t="s">
        <v>10460</v>
      </c>
      <c r="AA533" t="s">
        <v>10461</v>
      </c>
      <c r="AB533" t="s">
        <v>74</v>
      </c>
      <c r="AC533" t="s">
        <v>10462</v>
      </c>
      <c r="AD533" t="s">
        <v>10463</v>
      </c>
      <c r="AE533" t="s">
        <v>10464</v>
      </c>
      <c r="AF533" t="s">
        <v>74</v>
      </c>
      <c r="AG533">
        <v>75</v>
      </c>
      <c r="AH533">
        <v>19</v>
      </c>
      <c r="AI533">
        <v>19</v>
      </c>
      <c r="AJ533">
        <v>18</v>
      </c>
      <c r="AK533">
        <v>75</v>
      </c>
      <c r="AL533" t="s">
        <v>274</v>
      </c>
      <c r="AM533" t="s">
        <v>275</v>
      </c>
      <c r="AN533" t="s">
        <v>276</v>
      </c>
      <c r="AO533" t="s">
        <v>74</v>
      </c>
      <c r="AP533" t="s">
        <v>277</v>
      </c>
      <c r="AQ533" t="s">
        <v>74</v>
      </c>
      <c r="AR533" t="s">
        <v>278</v>
      </c>
      <c r="AS533" t="s">
        <v>279</v>
      </c>
      <c r="AT533" t="s">
        <v>10465</v>
      </c>
      <c r="AU533">
        <v>2023</v>
      </c>
      <c r="AV533">
        <v>22</v>
      </c>
      <c r="AW533">
        <v>1</v>
      </c>
      <c r="AX533" t="s">
        <v>74</v>
      </c>
      <c r="AY533" t="s">
        <v>74</v>
      </c>
      <c r="AZ533" t="s">
        <v>74</v>
      </c>
      <c r="BA533" t="s">
        <v>74</v>
      </c>
      <c r="BB533" t="s">
        <v>74</v>
      </c>
      <c r="BC533" t="s">
        <v>74</v>
      </c>
      <c r="BD533">
        <v>76</v>
      </c>
      <c r="BE533" t="s">
        <v>10466</v>
      </c>
      <c r="BF533" t="str">
        <f>HYPERLINK("http://dx.doi.org/10.1186/s12938-023-01138-3","http://dx.doi.org/10.1186/s12938-023-01138-3")</f>
        <v>http://dx.doi.org/10.1186/s12938-023-01138-3</v>
      </c>
      <c r="BG533" t="s">
        <v>74</v>
      </c>
      <c r="BH533" t="s">
        <v>74</v>
      </c>
      <c r="BI533">
        <v>25</v>
      </c>
      <c r="BJ533" t="s">
        <v>282</v>
      </c>
      <c r="BK533" t="s">
        <v>182</v>
      </c>
      <c r="BL533" t="s">
        <v>183</v>
      </c>
      <c r="BM533" t="s">
        <v>10467</v>
      </c>
      <c r="BN533">
        <v>37525193</v>
      </c>
      <c r="BO533" t="s">
        <v>131</v>
      </c>
      <c r="BP533" t="s">
        <v>74</v>
      </c>
      <c r="BQ533" t="s">
        <v>74</v>
      </c>
      <c r="BR533" t="s">
        <v>105</v>
      </c>
      <c r="BS533" t="s">
        <v>10468</v>
      </c>
      <c r="BT533" t="str">
        <f>HYPERLINK("https%3A%2F%2Fwww.webofscience.com%2Fwos%2Fwoscc%2Ffull-record%2FWOS:001040951400001","View Full Record in Web of Science")</f>
        <v>View Full Record in Web of Science</v>
      </c>
    </row>
    <row r="534" spans="1:72" x14ac:dyDescent="0.25">
      <c r="A534" t="s">
        <v>72</v>
      </c>
      <c r="B534" t="s">
        <v>10469</v>
      </c>
      <c r="C534" t="s">
        <v>74</v>
      </c>
      <c r="D534" t="s">
        <v>74</v>
      </c>
      <c r="E534" t="s">
        <v>74</v>
      </c>
      <c r="F534" t="s">
        <v>10470</v>
      </c>
      <c r="G534" t="s">
        <v>74</v>
      </c>
      <c r="H534" t="s">
        <v>74</v>
      </c>
      <c r="I534" t="s">
        <v>10471</v>
      </c>
      <c r="J534" t="s">
        <v>4060</v>
      </c>
      <c r="K534" t="s">
        <v>74</v>
      </c>
      <c r="L534" t="s">
        <v>74</v>
      </c>
      <c r="M534" t="s">
        <v>78</v>
      </c>
      <c r="N534" t="s">
        <v>79</v>
      </c>
      <c r="O534" t="s">
        <v>74</v>
      </c>
      <c r="P534" t="s">
        <v>74</v>
      </c>
      <c r="Q534" t="s">
        <v>74</v>
      </c>
      <c r="R534" t="s">
        <v>74</v>
      </c>
      <c r="S534" t="s">
        <v>74</v>
      </c>
      <c r="T534" t="s">
        <v>74</v>
      </c>
      <c r="U534" t="s">
        <v>10472</v>
      </c>
      <c r="V534" t="s">
        <v>10473</v>
      </c>
      <c r="W534" t="s">
        <v>10474</v>
      </c>
      <c r="X534" t="s">
        <v>10475</v>
      </c>
      <c r="Y534" t="s">
        <v>10476</v>
      </c>
      <c r="Z534" t="s">
        <v>10477</v>
      </c>
      <c r="AA534" t="s">
        <v>10478</v>
      </c>
      <c r="AB534" t="s">
        <v>10479</v>
      </c>
      <c r="AC534" t="s">
        <v>10480</v>
      </c>
      <c r="AD534" t="s">
        <v>10481</v>
      </c>
      <c r="AE534" t="s">
        <v>10482</v>
      </c>
      <c r="AF534" t="s">
        <v>74</v>
      </c>
      <c r="AG534">
        <v>76</v>
      </c>
      <c r="AH534">
        <v>28</v>
      </c>
      <c r="AI534">
        <v>29</v>
      </c>
      <c r="AJ534">
        <v>6</v>
      </c>
      <c r="AK534">
        <v>24</v>
      </c>
      <c r="AL534" t="s">
        <v>4072</v>
      </c>
      <c r="AM534" t="s">
        <v>4073</v>
      </c>
      <c r="AN534" t="s">
        <v>4074</v>
      </c>
      <c r="AO534" t="s">
        <v>74</v>
      </c>
      <c r="AP534" t="s">
        <v>4075</v>
      </c>
      <c r="AQ534" t="s">
        <v>74</v>
      </c>
      <c r="AR534" t="s">
        <v>4076</v>
      </c>
      <c r="AS534" t="s">
        <v>4077</v>
      </c>
      <c r="AT534" t="s">
        <v>10483</v>
      </c>
      <c r="AU534">
        <v>2023</v>
      </c>
      <c r="AV534">
        <v>4</v>
      </c>
      <c r="AW534" t="s">
        <v>74</v>
      </c>
      <c r="AX534" t="s">
        <v>74</v>
      </c>
      <c r="AY534" t="s">
        <v>74</v>
      </c>
      <c r="AZ534" t="s">
        <v>74</v>
      </c>
      <c r="BA534" t="s">
        <v>74</v>
      </c>
      <c r="BB534" t="s">
        <v>74</v>
      </c>
      <c r="BC534" t="s">
        <v>74</v>
      </c>
      <c r="BD534">
        <v>44</v>
      </c>
      <c r="BE534" t="s">
        <v>10484</v>
      </c>
      <c r="BF534" t="str">
        <f>HYPERLINK("http://dx.doi.org/10.34133/cbsystems.0044","http://dx.doi.org/10.34133/cbsystems.0044")</f>
        <v>http://dx.doi.org/10.34133/cbsystems.0044</v>
      </c>
      <c r="BG534" t="s">
        <v>74</v>
      </c>
      <c r="BH534" t="s">
        <v>74</v>
      </c>
      <c r="BI534">
        <v>12</v>
      </c>
      <c r="BJ534" t="s">
        <v>1937</v>
      </c>
      <c r="BK534" t="s">
        <v>182</v>
      </c>
      <c r="BL534" t="s">
        <v>1938</v>
      </c>
      <c r="BM534" t="s">
        <v>10485</v>
      </c>
      <c r="BN534">
        <v>37519930</v>
      </c>
      <c r="BO534" t="s">
        <v>131</v>
      </c>
      <c r="BP534" t="s">
        <v>74</v>
      </c>
      <c r="BQ534" t="s">
        <v>74</v>
      </c>
      <c r="BR534" t="s">
        <v>105</v>
      </c>
      <c r="BS534" t="s">
        <v>10486</v>
      </c>
      <c r="BT534" t="str">
        <f>HYPERLINK("https%3A%2F%2Fwww.webofscience.com%2Fwos%2Fwoscc%2Ffull-record%2FWOS:001047849200001","View Full Record in Web of Science")</f>
        <v>View Full Record in Web of Science</v>
      </c>
    </row>
    <row r="535" spans="1:72" x14ac:dyDescent="0.25">
      <c r="A535" t="s">
        <v>72</v>
      </c>
      <c r="B535" t="s">
        <v>10487</v>
      </c>
      <c r="C535" t="s">
        <v>74</v>
      </c>
      <c r="D535" t="s">
        <v>74</v>
      </c>
      <c r="E535" t="s">
        <v>74</v>
      </c>
      <c r="F535" t="s">
        <v>10488</v>
      </c>
      <c r="G535" t="s">
        <v>74</v>
      </c>
      <c r="H535" t="s">
        <v>74</v>
      </c>
      <c r="I535" t="s">
        <v>10489</v>
      </c>
      <c r="J535" t="s">
        <v>10490</v>
      </c>
      <c r="K535" t="s">
        <v>74</v>
      </c>
      <c r="L535" t="s">
        <v>74</v>
      </c>
      <c r="M535" t="s">
        <v>78</v>
      </c>
      <c r="N535" t="s">
        <v>79</v>
      </c>
      <c r="O535" t="s">
        <v>74</v>
      </c>
      <c r="P535" t="s">
        <v>74</v>
      </c>
      <c r="Q535" t="s">
        <v>74</v>
      </c>
      <c r="R535" t="s">
        <v>74</v>
      </c>
      <c r="S535" t="s">
        <v>74</v>
      </c>
      <c r="T535" t="s">
        <v>10491</v>
      </c>
      <c r="U535" t="s">
        <v>10492</v>
      </c>
      <c r="V535" t="s">
        <v>10493</v>
      </c>
      <c r="W535" t="s">
        <v>10494</v>
      </c>
      <c r="X535" t="s">
        <v>10495</v>
      </c>
      <c r="Y535" t="s">
        <v>10496</v>
      </c>
      <c r="Z535" t="s">
        <v>10497</v>
      </c>
      <c r="AA535" t="s">
        <v>10498</v>
      </c>
      <c r="AB535" t="s">
        <v>10499</v>
      </c>
      <c r="AC535" t="s">
        <v>10500</v>
      </c>
      <c r="AD535" t="s">
        <v>10501</v>
      </c>
      <c r="AE535" t="s">
        <v>10502</v>
      </c>
      <c r="AF535" t="s">
        <v>74</v>
      </c>
      <c r="AG535">
        <v>136</v>
      </c>
      <c r="AH535">
        <v>22</v>
      </c>
      <c r="AI535">
        <v>22</v>
      </c>
      <c r="AJ535">
        <v>21</v>
      </c>
      <c r="AK535">
        <v>109</v>
      </c>
      <c r="AL535" t="s">
        <v>1605</v>
      </c>
      <c r="AM535" t="s">
        <v>1606</v>
      </c>
      <c r="AN535" t="s">
        <v>1607</v>
      </c>
      <c r="AO535" t="s">
        <v>10503</v>
      </c>
      <c r="AP535" t="s">
        <v>10504</v>
      </c>
      <c r="AQ535" t="s">
        <v>74</v>
      </c>
      <c r="AR535" t="s">
        <v>10490</v>
      </c>
      <c r="AS535" t="s">
        <v>10505</v>
      </c>
      <c r="AT535" t="s">
        <v>1888</v>
      </c>
      <c r="AU535">
        <v>2023</v>
      </c>
      <c r="AV535">
        <v>115</v>
      </c>
      <c r="AW535" t="s">
        <v>74</v>
      </c>
      <c r="AX535" t="s">
        <v>74</v>
      </c>
      <c r="AY535" t="s">
        <v>74</v>
      </c>
      <c r="AZ535" t="s">
        <v>74</v>
      </c>
      <c r="BA535" t="s">
        <v>74</v>
      </c>
      <c r="BB535" t="s">
        <v>74</v>
      </c>
      <c r="BC535" t="s">
        <v>74</v>
      </c>
      <c r="BD535">
        <v>108712</v>
      </c>
      <c r="BE535" t="s">
        <v>10506</v>
      </c>
      <c r="BF535" t="str">
        <f>HYPERLINK("http://dx.doi.org/10.1016/j.nanoen.2023.108712","http://dx.doi.org/10.1016/j.nanoen.2023.108712")</f>
        <v>http://dx.doi.org/10.1016/j.nanoen.2023.108712</v>
      </c>
      <c r="BG535" t="s">
        <v>74</v>
      </c>
      <c r="BH535" t="s">
        <v>2941</v>
      </c>
      <c r="BI535">
        <v>21</v>
      </c>
      <c r="BJ535" t="s">
        <v>10507</v>
      </c>
      <c r="BK535" t="s">
        <v>182</v>
      </c>
      <c r="BL535" t="s">
        <v>3703</v>
      </c>
      <c r="BM535" t="s">
        <v>10508</v>
      </c>
      <c r="BN535" t="s">
        <v>74</v>
      </c>
      <c r="BO535" t="s">
        <v>8816</v>
      </c>
      <c r="BP535" t="s">
        <v>74</v>
      </c>
      <c r="BQ535" t="s">
        <v>74</v>
      </c>
      <c r="BR535" t="s">
        <v>105</v>
      </c>
      <c r="BS535" t="s">
        <v>10509</v>
      </c>
      <c r="BT535" t="str">
        <f>HYPERLINK("https%3A%2F%2Fwww.webofscience.com%2Fwos%2Fwoscc%2Ffull-record%2FWOS:001058311300001","View Full Record in Web of Science")</f>
        <v>View Full Record in Web of Science</v>
      </c>
    </row>
    <row r="536" spans="1:72" x14ac:dyDescent="0.25">
      <c r="A536" t="s">
        <v>72</v>
      </c>
      <c r="B536" t="s">
        <v>10510</v>
      </c>
      <c r="C536" t="s">
        <v>74</v>
      </c>
      <c r="D536" t="s">
        <v>74</v>
      </c>
      <c r="E536" t="s">
        <v>74</v>
      </c>
      <c r="F536" t="s">
        <v>10511</v>
      </c>
      <c r="G536" t="s">
        <v>74</v>
      </c>
      <c r="H536" t="s">
        <v>74</v>
      </c>
      <c r="I536" t="s">
        <v>10512</v>
      </c>
      <c r="J536" t="s">
        <v>10513</v>
      </c>
      <c r="K536" t="s">
        <v>74</v>
      </c>
      <c r="L536" t="s">
        <v>74</v>
      </c>
      <c r="M536" t="s">
        <v>78</v>
      </c>
      <c r="N536" t="s">
        <v>79</v>
      </c>
      <c r="O536" t="s">
        <v>74</v>
      </c>
      <c r="P536" t="s">
        <v>74</v>
      </c>
      <c r="Q536" t="s">
        <v>74</v>
      </c>
      <c r="R536" t="s">
        <v>74</v>
      </c>
      <c r="S536" t="s">
        <v>74</v>
      </c>
      <c r="T536" t="s">
        <v>10514</v>
      </c>
      <c r="U536" t="s">
        <v>10515</v>
      </c>
      <c r="V536" t="s">
        <v>10516</v>
      </c>
      <c r="W536" t="s">
        <v>10517</v>
      </c>
      <c r="X536" t="s">
        <v>10518</v>
      </c>
      <c r="Y536" t="s">
        <v>10519</v>
      </c>
      <c r="Z536" t="s">
        <v>10520</v>
      </c>
      <c r="AA536" t="s">
        <v>10521</v>
      </c>
      <c r="AB536" t="s">
        <v>10522</v>
      </c>
      <c r="AC536" t="s">
        <v>10523</v>
      </c>
      <c r="AD536" t="s">
        <v>10524</v>
      </c>
      <c r="AE536" t="s">
        <v>10525</v>
      </c>
      <c r="AF536" t="s">
        <v>74</v>
      </c>
      <c r="AG536">
        <v>116</v>
      </c>
      <c r="AH536">
        <v>16</v>
      </c>
      <c r="AI536">
        <v>16</v>
      </c>
      <c r="AJ536">
        <v>10</v>
      </c>
      <c r="AK536">
        <v>28</v>
      </c>
      <c r="AL536" t="s">
        <v>1605</v>
      </c>
      <c r="AM536" t="s">
        <v>1606</v>
      </c>
      <c r="AN536" t="s">
        <v>1607</v>
      </c>
      <c r="AO536" t="s">
        <v>10526</v>
      </c>
      <c r="AP536" t="s">
        <v>74</v>
      </c>
      <c r="AQ536" t="s">
        <v>74</v>
      </c>
      <c r="AR536" t="s">
        <v>10527</v>
      </c>
      <c r="AS536" t="s">
        <v>10528</v>
      </c>
      <c r="AT536" t="s">
        <v>420</v>
      </c>
      <c r="AU536">
        <v>2023</v>
      </c>
      <c r="AV536">
        <v>19</v>
      </c>
      <c r="AW536" t="s">
        <v>74</v>
      </c>
      <c r="AX536" t="s">
        <v>74</v>
      </c>
      <c r="AY536" t="s">
        <v>74</v>
      </c>
      <c r="AZ536" t="s">
        <v>74</v>
      </c>
      <c r="BA536" t="s">
        <v>74</v>
      </c>
      <c r="BB536" t="s">
        <v>74</v>
      </c>
      <c r="BC536" t="s">
        <v>74</v>
      </c>
      <c r="BD536">
        <v>101306</v>
      </c>
      <c r="BE536" t="s">
        <v>10529</v>
      </c>
      <c r="BF536" t="str">
        <f>HYPERLINK("http://dx.doi.org/10.1016/j.rineng.2023.101306","http://dx.doi.org/10.1016/j.rineng.2023.101306")</f>
        <v>http://dx.doi.org/10.1016/j.rineng.2023.101306</v>
      </c>
      <c r="BG536" t="s">
        <v>74</v>
      </c>
      <c r="BH536" t="s">
        <v>2941</v>
      </c>
      <c r="BI536">
        <v>14</v>
      </c>
      <c r="BJ536" t="s">
        <v>1202</v>
      </c>
      <c r="BK536" t="s">
        <v>155</v>
      </c>
      <c r="BL536" t="s">
        <v>183</v>
      </c>
      <c r="BM536" t="s">
        <v>10530</v>
      </c>
      <c r="BN536" t="s">
        <v>74</v>
      </c>
      <c r="BO536" t="s">
        <v>185</v>
      </c>
      <c r="BP536" t="s">
        <v>74</v>
      </c>
      <c r="BQ536" t="s">
        <v>74</v>
      </c>
      <c r="BR536" t="s">
        <v>105</v>
      </c>
      <c r="BS536" t="s">
        <v>10531</v>
      </c>
      <c r="BT536" t="str">
        <f>HYPERLINK("https%3A%2F%2Fwww.webofscience.com%2Fwos%2Fwoscc%2Ffull-record%2FWOS:001050796400001","View Full Record in Web of Science")</f>
        <v>View Full Record in Web of Science</v>
      </c>
    </row>
    <row r="537" spans="1:72" x14ac:dyDescent="0.25">
      <c r="A537" t="s">
        <v>72</v>
      </c>
      <c r="B537" t="s">
        <v>10532</v>
      </c>
      <c r="C537" t="s">
        <v>74</v>
      </c>
      <c r="D537" t="s">
        <v>74</v>
      </c>
      <c r="E537" t="s">
        <v>74</v>
      </c>
      <c r="F537" t="s">
        <v>10533</v>
      </c>
      <c r="G537" t="s">
        <v>74</v>
      </c>
      <c r="H537" t="s">
        <v>74</v>
      </c>
      <c r="I537" t="s">
        <v>10534</v>
      </c>
      <c r="J537" t="s">
        <v>1759</v>
      </c>
      <c r="K537" t="s">
        <v>74</v>
      </c>
      <c r="L537" t="s">
        <v>74</v>
      </c>
      <c r="M537" t="s">
        <v>78</v>
      </c>
      <c r="N537" t="s">
        <v>79</v>
      </c>
      <c r="O537" t="s">
        <v>74</v>
      </c>
      <c r="P537" t="s">
        <v>74</v>
      </c>
      <c r="Q537" t="s">
        <v>74</v>
      </c>
      <c r="R537" t="s">
        <v>74</v>
      </c>
      <c r="S537" t="s">
        <v>74</v>
      </c>
      <c r="T537" t="s">
        <v>10535</v>
      </c>
      <c r="U537" t="s">
        <v>10536</v>
      </c>
      <c r="V537" t="s">
        <v>10537</v>
      </c>
      <c r="W537" t="s">
        <v>10538</v>
      </c>
      <c r="X537" t="s">
        <v>6629</v>
      </c>
      <c r="Y537" t="s">
        <v>10539</v>
      </c>
      <c r="Z537" t="s">
        <v>10540</v>
      </c>
      <c r="AA537" t="s">
        <v>10541</v>
      </c>
      <c r="AB537" t="s">
        <v>74</v>
      </c>
      <c r="AC537" t="s">
        <v>74</v>
      </c>
      <c r="AD537" t="s">
        <v>74</v>
      </c>
      <c r="AE537" t="s">
        <v>74</v>
      </c>
      <c r="AF537" t="s">
        <v>74</v>
      </c>
      <c r="AG537">
        <v>41</v>
      </c>
      <c r="AH537">
        <v>8</v>
      </c>
      <c r="AI537">
        <v>8</v>
      </c>
      <c r="AJ537">
        <v>3</v>
      </c>
      <c r="AK537">
        <v>29</v>
      </c>
      <c r="AL537" t="s">
        <v>1769</v>
      </c>
      <c r="AM537" t="s">
        <v>1770</v>
      </c>
      <c r="AN537" t="s">
        <v>1771</v>
      </c>
      <c r="AO537" t="s">
        <v>1772</v>
      </c>
      <c r="AP537" t="s">
        <v>1773</v>
      </c>
      <c r="AQ537" t="s">
        <v>74</v>
      </c>
      <c r="AR537" t="s">
        <v>1774</v>
      </c>
      <c r="AS537" t="s">
        <v>1775</v>
      </c>
      <c r="AT537" t="s">
        <v>126</v>
      </c>
      <c r="AU537">
        <v>2023</v>
      </c>
      <c r="AV537">
        <v>44</v>
      </c>
      <c r="AW537">
        <v>11</v>
      </c>
      <c r="AX537" t="s">
        <v>74</v>
      </c>
      <c r="AY537" t="s">
        <v>74</v>
      </c>
      <c r="AZ537" t="s">
        <v>74</v>
      </c>
      <c r="BA537" t="s">
        <v>74</v>
      </c>
      <c r="BB537">
        <v>3863</v>
      </c>
      <c r="BC537">
        <v>3875</v>
      </c>
      <c r="BD537" t="s">
        <v>74</v>
      </c>
      <c r="BE537" t="s">
        <v>10542</v>
      </c>
      <c r="BF537" t="str">
        <f>HYPERLINK("http://dx.doi.org/10.1007/s10072-023-06964-w","http://dx.doi.org/10.1007/s10072-023-06964-w")</f>
        <v>http://dx.doi.org/10.1007/s10072-023-06964-w</v>
      </c>
      <c r="BG537" t="s">
        <v>74</v>
      </c>
      <c r="BH537" t="s">
        <v>2941</v>
      </c>
      <c r="BI537">
        <v>13</v>
      </c>
      <c r="BJ537" t="s">
        <v>400</v>
      </c>
      <c r="BK537" t="s">
        <v>182</v>
      </c>
      <c r="BL537" t="s">
        <v>375</v>
      </c>
      <c r="BM537" t="s">
        <v>10543</v>
      </c>
      <c r="BN537">
        <v>37495708</v>
      </c>
      <c r="BO537" t="s">
        <v>309</v>
      </c>
      <c r="BP537" t="s">
        <v>74</v>
      </c>
      <c r="BQ537" t="s">
        <v>74</v>
      </c>
      <c r="BR537" t="s">
        <v>105</v>
      </c>
      <c r="BS537" t="s">
        <v>10544</v>
      </c>
      <c r="BT537" t="str">
        <f>HYPERLINK("https%3A%2F%2Fwww.webofscience.com%2Fwos%2Fwoscc%2Ffull-record%2FWOS:001037118800001","View Full Record in Web of Science")</f>
        <v>View Full Record in Web of Science</v>
      </c>
    </row>
    <row r="538" spans="1:72" x14ac:dyDescent="0.25">
      <c r="A538" t="s">
        <v>72</v>
      </c>
      <c r="B538" t="s">
        <v>10545</v>
      </c>
      <c r="C538" t="s">
        <v>74</v>
      </c>
      <c r="D538" t="s">
        <v>74</v>
      </c>
      <c r="E538" t="s">
        <v>74</v>
      </c>
      <c r="F538" t="s">
        <v>10546</v>
      </c>
      <c r="G538" t="s">
        <v>74</v>
      </c>
      <c r="H538" t="s">
        <v>74</v>
      </c>
      <c r="I538" t="s">
        <v>10547</v>
      </c>
      <c r="J538" t="s">
        <v>10548</v>
      </c>
      <c r="K538" t="s">
        <v>74</v>
      </c>
      <c r="L538" t="s">
        <v>74</v>
      </c>
      <c r="M538" t="s">
        <v>78</v>
      </c>
      <c r="N538" t="s">
        <v>79</v>
      </c>
      <c r="O538" t="s">
        <v>74</v>
      </c>
      <c r="P538" t="s">
        <v>74</v>
      </c>
      <c r="Q538" t="s">
        <v>74</v>
      </c>
      <c r="R538" t="s">
        <v>74</v>
      </c>
      <c r="S538" t="s">
        <v>74</v>
      </c>
      <c r="T538" t="s">
        <v>10549</v>
      </c>
      <c r="U538" t="s">
        <v>10550</v>
      </c>
      <c r="V538" t="s">
        <v>10551</v>
      </c>
      <c r="W538" t="s">
        <v>10552</v>
      </c>
      <c r="X538" t="s">
        <v>10553</v>
      </c>
      <c r="Y538" t="s">
        <v>10554</v>
      </c>
      <c r="Z538" t="s">
        <v>10555</v>
      </c>
      <c r="AA538" t="s">
        <v>10556</v>
      </c>
      <c r="AB538" t="s">
        <v>10557</v>
      </c>
      <c r="AC538" t="s">
        <v>74</v>
      </c>
      <c r="AD538" t="s">
        <v>74</v>
      </c>
      <c r="AE538" t="s">
        <v>74</v>
      </c>
      <c r="AF538" t="s">
        <v>74</v>
      </c>
      <c r="AG538">
        <v>92</v>
      </c>
      <c r="AH538">
        <v>8</v>
      </c>
      <c r="AI538">
        <v>9</v>
      </c>
      <c r="AJ538">
        <v>14</v>
      </c>
      <c r="AK538">
        <v>106</v>
      </c>
      <c r="AL538" t="s">
        <v>4113</v>
      </c>
      <c r="AM538" t="s">
        <v>4114</v>
      </c>
      <c r="AN538" t="s">
        <v>4115</v>
      </c>
      <c r="AO538" t="s">
        <v>74</v>
      </c>
      <c r="AP538" t="s">
        <v>10558</v>
      </c>
      <c r="AQ538" t="s">
        <v>74</v>
      </c>
      <c r="AR538" t="s">
        <v>10548</v>
      </c>
      <c r="AS538" t="s">
        <v>10559</v>
      </c>
      <c r="AT538" t="s">
        <v>634</v>
      </c>
      <c r="AU538">
        <v>2023</v>
      </c>
      <c r="AV538">
        <v>9</v>
      </c>
      <c r="AW538">
        <v>8</v>
      </c>
      <c r="AX538" t="s">
        <v>74</v>
      </c>
      <c r="AY538" t="s">
        <v>74</v>
      </c>
      <c r="AZ538" t="s">
        <v>74</v>
      </c>
      <c r="BA538" t="s">
        <v>74</v>
      </c>
      <c r="BB538" t="s">
        <v>74</v>
      </c>
      <c r="BC538" t="s">
        <v>74</v>
      </c>
      <c r="BD538" t="s">
        <v>10560</v>
      </c>
      <c r="BE538" t="s">
        <v>10561</v>
      </c>
      <c r="BF538" t="str">
        <f>HYPERLINK("http://dx.doi.org/10.1016/j.heliyon.2023.e18308","http://dx.doi.org/10.1016/j.heliyon.2023.e18308")</f>
        <v>http://dx.doi.org/10.1016/j.heliyon.2023.e18308</v>
      </c>
      <c r="BG538" t="s">
        <v>74</v>
      </c>
      <c r="BH538" t="s">
        <v>2941</v>
      </c>
      <c r="BI538">
        <v>16</v>
      </c>
      <c r="BJ538" t="s">
        <v>936</v>
      </c>
      <c r="BK538" t="s">
        <v>182</v>
      </c>
      <c r="BL538" t="s">
        <v>937</v>
      </c>
      <c r="BM538" t="s">
        <v>10562</v>
      </c>
      <c r="BN538">
        <v>37533980</v>
      </c>
      <c r="BO538" t="s">
        <v>355</v>
      </c>
      <c r="BP538" t="s">
        <v>74</v>
      </c>
      <c r="BQ538" t="s">
        <v>74</v>
      </c>
      <c r="BR538" t="s">
        <v>105</v>
      </c>
      <c r="BS538" t="s">
        <v>10563</v>
      </c>
      <c r="BT538" t="str">
        <f>HYPERLINK("https%3A%2F%2Fwww.webofscience.com%2Fwos%2Fwoscc%2Ffull-record%2FWOS:001055725800001","View Full Record in Web of Science")</f>
        <v>View Full Record in Web of Science</v>
      </c>
    </row>
    <row r="539" spans="1:72" x14ac:dyDescent="0.25">
      <c r="A539" t="s">
        <v>72</v>
      </c>
      <c r="B539" t="s">
        <v>10564</v>
      </c>
      <c r="C539" t="s">
        <v>74</v>
      </c>
      <c r="D539" t="s">
        <v>74</v>
      </c>
      <c r="E539" t="s">
        <v>74</v>
      </c>
      <c r="F539" t="s">
        <v>10565</v>
      </c>
      <c r="G539" t="s">
        <v>74</v>
      </c>
      <c r="H539" t="s">
        <v>74</v>
      </c>
      <c r="I539" t="s">
        <v>10566</v>
      </c>
      <c r="J539" t="s">
        <v>642</v>
      </c>
      <c r="K539" t="s">
        <v>74</v>
      </c>
      <c r="L539" t="s">
        <v>74</v>
      </c>
      <c r="M539" t="s">
        <v>78</v>
      </c>
      <c r="N539" t="s">
        <v>79</v>
      </c>
      <c r="O539" t="s">
        <v>74</v>
      </c>
      <c r="P539" t="s">
        <v>74</v>
      </c>
      <c r="Q539" t="s">
        <v>74</v>
      </c>
      <c r="R539" t="s">
        <v>74</v>
      </c>
      <c r="S539" t="s">
        <v>74</v>
      </c>
      <c r="T539" t="s">
        <v>10567</v>
      </c>
      <c r="U539" t="s">
        <v>10568</v>
      </c>
      <c r="V539" t="s">
        <v>10569</v>
      </c>
      <c r="W539" t="s">
        <v>10570</v>
      </c>
      <c r="X539" t="s">
        <v>10571</v>
      </c>
      <c r="Y539" t="s">
        <v>10572</v>
      </c>
      <c r="Z539" t="s">
        <v>10573</v>
      </c>
      <c r="AA539" t="s">
        <v>10574</v>
      </c>
      <c r="AB539" t="s">
        <v>10575</v>
      </c>
      <c r="AC539" t="s">
        <v>10576</v>
      </c>
      <c r="AD539" t="s">
        <v>10576</v>
      </c>
      <c r="AE539" t="s">
        <v>10577</v>
      </c>
      <c r="AF539" t="s">
        <v>74</v>
      </c>
      <c r="AG539">
        <v>103</v>
      </c>
      <c r="AH539">
        <v>6</v>
      </c>
      <c r="AI539">
        <v>6</v>
      </c>
      <c r="AJ539">
        <v>5</v>
      </c>
      <c r="AK539">
        <v>30</v>
      </c>
      <c r="AL539" t="s">
        <v>557</v>
      </c>
      <c r="AM539" t="s">
        <v>275</v>
      </c>
      <c r="AN539" t="s">
        <v>558</v>
      </c>
      <c r="AO539" t="s">
        <v>655</v>
      </c>
      <c r="AP539" t="s">
        <v>656</v>
      </c>
      <c r="AQ539" t="s">
        <v>74</v>
      </c>
      <c r="AR539" t="s">
        <v>657</v>
      </c>
      <c r="AS539" t="s">
        <v>658</v>
      </c>
      <c r="AT539" t="s">
        <v>538</v>
      </c>
      <c r="AU539">
        <v>2024</v>
      </c>
      <c r="AV539">
        <v>38</v>
      </c>
      <c r="AW539">
        <v>1</v>
      </c>
      <c r="AX539" t="s">
        <v>74</v>
      </c>
      <c r="AY539" t="s">
        <v>74</v>
      </c>
      <c r="AZ539" t="s">
        <v>74</v>
      </c>
      <c r="BA539" t="s">
        <v>74</v>
      </c>
      <c r="BB539">
        <v>60</v>
      </c>
      <c r="BC539">
        <v>71</v>
      </c>
      <c r="BD539" t="s">
        <v>74</v>
      </c>
      <c r="BE539" t="s">
        <v>10578</v>
      </c>
      <c r="BF539" t="str">
        <f>HYPERLINK("http://dx.doi.org/10.1177/02692155231189257","http://dx.doi.org/10.1177/02692155231189257")</f>
        <v>http://dx.doi.org/10.1177/02692155231189257</v>
      </c>
      <c r="BG539" t="s">
        <v>74</v>
      </c>
      <c r="BH539" t="s">
        <v>2941</v>
      </c>
      <c r="BI539">
        <v>12</v>
      </c>
      <c r="BJ539" t="s">
        <v>101</v>
      </c>
      <c r="BK539" t="s">
        <v>182</v>
      </c>
      <c r="BL539" t="s">
        <v>101</v>
      </c>
      <c r="BM539" t="s">
        <v>10579</v>
      </c>
      <c r="BN539">
        <v>37469176</v>
      </c>
      <c r="BO539" t="s">
        <v>238</v>
      </c>
      <c r="BP539" t="s">
        <v>74</v>
      </c>
      <c r="BQ539" t="s">
        <v>74</v>
      </c>
      <c r="BR539" t="s">
        <v>105</v>
      </c>
      <c r="BS539" t="s">
        <v>10580</v>
      </c>
      <c r="BT539" t="str">
        <f>HYPERLINK("https%3A%2F%2Fwww.webofscience.com%2Fwos%2Fwoscc%2Ffull-record%2FWOS:001032278800001","View Full Record in Web of Science")</f>
        <v>View Full Record in Web of Science</v>
      </c>
    </row>
    <row r="540" spans="1:72" x14ac:dyDescent="0.25">
      <c r="A540" t="s">
        <v>72</v>
      </c>
      <c r="B540" t="s">
        <v>10581</v>
      </c>
      <c r="C540" t="s">
        <v>74</v>
      </c>
      <c r="D540" t="s">
        <v>74</v>
      </c>
      <c r="E540" t="s">
        <v>74</v>
      </c>
      <c r="F540" t="s">
        <v>10582</v>
      </c>
      <c r="G540" t="s">
        <v>74</v>
      </c>
      <c r="H540" t="s">
        <v>74</v>
      </c>
      <c r="I540" t="s">
        <v>10583</v>
      </c>
      <c r="J540" t="s">
        <v>2198</v>
      </c>
      <c r="K540" t="s">
        <v>74</v>
      </c>
      <c r="L540" t="s">
        <v>74</v>
      </c>
      <c r="M540" t="s">
        <v>78</v>
      </c>
      <c r="N540" t="s">
        <v>79</v>
      </c>
      <c r="O540" t="s">
        <v>74</v>
      </c>
      <c r="P540" t="s">
        <v>74</v>
      </c>
      <c r="Q540" t="s">
        <v>74</v>
      </c>
      <c r="R540" t="s">
        <v>74</v>
      </c>
      <c r="S540" t="s">
        <v>74</v>
      </c>
      <c r="T540" t="s">
        <v>10584</v>
      </c>
      <c r="U540" t="s">
        <v>10585</v>
      </c>
      <c r="V540" t="s">
        <v>10586</v>
      </c>
      <c r="W540" t="s">
        <v>10587</v>
      </c>
      <c r="X540" t="s">
        <v>10588</v>
      </c>
      <c r="Y540" t="s">
        <v>10589</v>
      </c>
      <c r="Z540" t="s">
        <v>10590</v>
      </c>
      <c r="AA540" t="s">
        <v>74</v>
      </c>
      <c r="AB540" t="s">
        <v>74</v>
      </c>
      <c r="AC540" t="s">
        <v>10591</v>
      </c>
      <c r="AD540" t="s">
        <v>8904</v>
      </c>
      <c r="AE540" t="s">
        <v>10592</v>
      </c>
      <c r="AF540" t="s">
        <v>74</v>
      </c>
      <c r="AG540">
        <v>143</v>
      </c>
      <c r="AH540">
        <v>3</v>
      </c>
      <c r="AI540">
        <v>3</v>
      </c>
      <c r="AJ540">
        <v>3</v>
      </c>
      <c r="AK540">
        <v>27</v>
      </c>
      <c r="AL540" t="s">
        <v>392</v>
      </c>
      <c r="AM540" t="s">
        <v>393</v>
      </c>
      <c r="AN540" t="s">
        <v>394</v>
      </c>
      <c r="AO540" t="s">
        <v>2206</v>
      </c>
      <c r="AP540" t="s">
        <v>74</v>
      </c>
      <c r="AQ540" t="s">
        <v>74</v>
      </c>
      <c r="AR540" t="s">
        <v>2207</v>
      </c>
      <c r="AS540" t="s">
        <v>2208</v>
      </c>
      <c r="AT540" t="s">
        <v>3842</v>
      </c>
      <c r="AU540">
        <v>2023</v>
      </c>
      <c r="AV540">
        <v>17</v>
      </c>
      <c r="AW540" t="s">
        <v>74</v>
      </c>
      <c r="AX540" t="s">
        <v>74</v>
      </c>
      <c r="AY540" t="s">
        <v>74</v>
      </c>
      <c r="AZ540" t="s">
        <v>74</v>
      </c>
      <c r="BA540" t="s">
        <v>74</v>
      </c>
      <c r="BB540" t="s">
        <v>74</v>
      </c>
      <c r="BC540" t="s">
        <v>74</v>
      </c>
      <c r="BD540">
        <v>1121481</v>
      </c>
      <c r="BE540" t="s">
        <v>10593</v>
      </c>
      <c r="BF540" t="str">
        <f>HYPERLINK("http://dx.doi.org/10.3389/fnhum.2023.1121481","http://dx.doi.org/10.3389/fnhum.2023.1121481")</f>
        <v>http://dx.doi.org/10.3389/fnhum.2023.1121481</v>
      </c>
      <c r="BG540" t="s">
        <v>74</v>
      </c>
      <c r="BH540" t="s">
        <v>74</v>
      </c>
      <c r="BI540">
        <v>20</v>
      </c>
      <c r="BJ540" t="s">
        <v>2211</v>
      </c>
      <c r="BK540" t="s">
        <v>182</v>
      </c>
      <c r="BL540" t="s">
        <v>2212</v>
      </c>
      <c r="BM540" t="s">
        <v>10594</v>
      </c>
      <c r="BN540">
        <v>37484920</v>
      </c>
      <c r="BO540" t="s">
        <v>131</v>
      </c>
      <c r="BP540" t="s">
        <v>74</v>
      </c>
      <c r="BQ540" t="s">
        <v>74</v>
      </c>
      <c r="BR540" t="s">
        <v>105</v>
      </c>
      <c r="BS540" t="s">
        <v>10595</v>
      </c>
      <c r="BT540" t="str">
        <f>HYPERLINK("https%3A%2F%2Fwww.webofscience.com%2Fwos%2Fwoscc%2Ffull-record%2FWOS:001030692800001","View Full Record in Web of Science")</f>
        <v>View Full Record in Web of Science</v>
      </c>
    </row>
    <row r="541" spans="1:72" x14ac:dyDescent="0.25">
      <c r="A541" t="s">
        <v>72</v>
      </c>
      <c r="B541" t="s">
        <v>10596</v>
      </c>
      <c r="C541" t="s">
        <v>74</v>
      </c>
      <c r="D541" t="s">
        <v>74</v>
      </c>
      <c r="E541" t="s">
        <v>74</v>
      </c>
      <c r="F541" t="s">
        <v>10597</v>
      </c>
      <c r="G541" t="s">
        <v>74</v>
      </c>
      <c r="H541" t="s">
        <v>74</v>
      </c>
      <c r="I541" t="s">
        <v>10598</v>
      </c>
      <c r="J541" t="s">
        <v>1231</v>
      </c>
      <c r="K541" t="s">
        <v>74</v>
      </c>
      <c r="L541" t="s">
        <v>74</v>
      </c>
      <c r="M541" t="s">
        <v>78</v>
      </c>
      <c r="N541" t="s">
        <v>79</v>
      </c>
      <c r="O541" t="s">
        <v>74</v>
      </c>
      <c r="P541" t="s">
        <v>74</v>
      </c>
      <c r="Q541" t="s">
        <v>74</v>
      </c>
      <c r="R541" t="s">
        <v>74</v>
      </c>
      <c r="S541" t="s">
        <v>74</v>
      </c>
      <c r="T541" t="s">
        <v>10599</v>
      </c>
      <c r="U541" t="s">
        <v>10600</v>
      </c>
      <c r="V541" t="s">
        <v>10601</v>
      </c>
      <c r="W541" t="s">
        <v>10602</v>
      </c>
      <c r="X541" t="s">
        <v>10603</v>
      </c>
      <c r="Y541" t="s">
        <v>10604</v>
      </c>
      <c r="Z541" t="s">
        <v>10605</v>
      </c>
      <c r="AA541" t="s">
        <v>10606</v>
      </c>
      <c r="AB541" t="s">
        <v>74</v>
      </c>
      <c r="AC541" t="s">
        <v>10607</v>
      </c>
      <c r="AD541" t="s">
        <v>10608</v>
      </c>
      <c r="AE541" t="s">
        <v>10609</v>
      </c>
      <c r="AF541" t="s">
        <v>74</v>
      </c>
      <c r="AG541">
        <v>157</v>
      </c>
      <c r="AH541">
        <v>18</v>
      </c>
      <c r="AI541">
        <v>20</v>
      </c>
      <c r="AJ541">
        <v>86</v>
      </c>
      <c r="AK541">
        <v>413</v>
      </c>
      <c r="AL541" t="s">
        <v>392</v>
      </c>
      <c r="AM541" t="s">
        <v>393</v>
      </c>
      <c r="AN541" t="s">
        <v>394</v>
      </c>
      <c r="AO541" t="s">
        <v>1244</v>
      </c>
      <c r="AP541" t="s">
        <v>74</v>
      </c>
      <c r="AQ541" t="s">
        <v>74</v>
      </c>
      <c r="AR541" t="s">
        <v>1245</v>
      </c>
      <c r="AS541" t="s">
        <v>1246</v>
      </c>
      <c r="AT541" t="s">
        <v>2939</v>
      </c>
      <c r="AU541">
        <v>2023</v>
      </c>
      <c r="AV541">
        <v>17</v>
      </c>
      <c r="AW541" t="s">
        <v>74</v>
      </c>
      <c r="AX541" t="s">
        <v>74</v>
      </c>
      <c r="AY541" t="s">
        <v>74</v>
      </c>
      <c r="AZ541" t="s">
        <v>74</v>
      </c>
      <c r="BA541" t="s">
        <v>74</v>
      </c>
      <c r="BB541" t="s">
        <v>74</v>
      </c>
      <c r="BC541" t="s">
        <v>74</v>
      </c>
      <c r="BD541">
        <v>1186175</v>
      </c>
      <c r="BE541" t="s">
        <v>10610</v>
      </c>
      <c r="BF541" t="str">
        <f>HYPERLINK("http://dx.doi.org/10.3389/fnbot.2023.1186175","http://dx.doi.org/10.3389/fnbot.2023.1186175")</f>
        <v>http://dx.doi.org/10.3389/fnbot.2023.1186175</v>
      </c>
      <c r="BG541" t="s">
        <v>74</v>
      </c>
      <c r="BH541" t="s">
        <v>74</v>
      </c>
      <c r="BI541">
        <v>21</v>
      </c>
      <c r="BJ541" t="s">
        <v>1249</v>
      </c>
      <c r="BK541" t="s">
        <v>182</v>
      </c>
      <c r="BL541" t="s">
        <v>1250</v>
      </c>
      <c r="BM541" t="s">
        <v>10611</v>
      </c>
      <c r="BN541">
        <v>37465413</v>
      </c>
      <c r="BO541" t="s">
        <v>131</v>
      </c>
      <c r="BP541" t="s">
        <v>74</v>
      </c>
      <c r="BQ541" t="s">
        <v>74</v>
      </c>
      <c r="BR541" t="s">
        <v>105</v>
      </c>
      <c r="BS541" t="s">
        <v>10612</v>
      </c>
      <c r="BT541" t="str">
        <f>HYPERLINK("https%3A%2F%2Fwww.webofscience.com%2Fwos%2Fwoscc%2Ffull-record%2FWOS:001031240600001","View Full Record in Web of Science")</f>
        <v>View Full Record in Web of Science</v>
      </c>
    </row>
    <row r="542" spans="1:72" x14ac:dyDescent="0.25">
      <c r="A542" t="s">
        <v>72</v>
      </c>
      <c r="B542" t="s">
        <v>10613</v>
      </c>
      <c r="C542" t="s">
        <v>74</v>
      </c>
      <c r="D542" t="s">
        <v>74</v>
      </c>
      <c r="E542" t="s">
        <v>74</v>
      </c>
      <c r="F542" t="s">
        <v>10614</v>
      </c>
      <c r="G542" t="s">
        <v>74</v>
      </c>
      <c r="H542" t="s">
        <v>74</v>
      </c>
      <c r="I542" t="s">
        <v>10615</v>
      </c>
      <c r="J542" t="s">
        <v>10616</v>
      </c>
      <c r="K542" t="s">
        <v>74</v>
      </c>
      <c r="L542" t="s">
        <v>74</v>
      </c>
      <c r="M542" t="s">
        <v>78</v>
      </c>
      <c r="N542" t="s">
        <v>79</v>
      </c>
      <c r="O542" t="s">
        <v>74</v>
      </c>
      <c r="P542" t="s">
        <v>74</v>
      </c>
      <c r="Q542" t="s">
        <v>74</v>
      </c>
      <c r="R542" t="s">
        <v>74</v>
      </c>
      <c r="S542" t="s">
        <v>74</v>
      </c>
      <c r="T542" t="s">
        <v>10617</v>
      </c>
      <c r="U542" t="s">
        <v>10618</v>
      </c>
      <c r="V542" t="s">
        <v>10619</v>
      </c>
      <c r="W542" t="s">
        <v>10620</v>
      </c>
      <c r="X542" t="s">
        <v>10621</v>
      </c>
      <c r="Y542" t="s">
        <v>10622</v>
      </c>
      <c r="Z542" t="s">
        <v>10623</v>
      </c>
      <c r="AA542" t="s">
        <v>10624</v>
      </c>
      <c r="AB542" t="s">
        <v>74</v>
      </c>
      <c r="AC542" t="s">
        <v>10625</v>
      </c>
      <c r="AD542" t="s">
        <v>8904</v>
      </c>
      <c r="AE542" t="s">
        <v>10626</v>
      </c>
      <c r="AF542" t="s">
        <v>74</v>
      </c>
      <c r="AG542">
        <v>206</v>
      </c>
      <c r="AH542">
        <v>17</v>
      </c>
      <c r="AI542">
        <v>17</v>
      </c>
      <c r="AJ542">
        <v>19</v>
      </c>
      <c r="AK542">
        <v>133</v>
      </c>
      <c r="AL542" t="s">
        <v>5927</v>
      </c>
      <c r="AM542" t="s">
        <v>5928</v>
      </c>
      <c r="AN542" t="s">
        <v>5929</v>
      </c>
      <c r="AO542" t="s">
        <v>74</v>
      </c>
      <c r="AP542" t="s">
        <v>10627</v>
      </c>
      <c r="AQ542" t="s">
        <v>74</v>
      </c>
      <c r="AR542" t="s">
        <v>10628</v>
      </c>
      <c r="AS542" t="s">
        <v>10629</v>
      </c>
      <c r="AT542" t="s">
        <v>2107</v>
      </c>
      <c r="AU542">
        <v>2023</v>
      </c>
      <c r="AV542">
        <v>5</v>
      </c>
      <c r="AW542">
        <v>3</v>
      </c>
      <c r="AX542" t="s">
        <v>74</v>
      </c>
      <c r="AY542" t="s">
        <v>74</v>
      </c>
      <c r="AZ542" t="s">
        <v>74</v>
      </c>
      <c r="BA542" t="s">
        <v>74</v>
      </c>
      <c r="BB542" t="s">
        <v>74</v>
      </c>
      <c r="BC542" t="s">
        <v>74</v>
      </c>
      <c r="BD542">
        <v>32003</v>
      </c>
      <c r="BE542" t="s">
        <v>10630</v>
      </c>
      <c r="BF542" t="str">
        <f>HYPERLINK("http://dx.doi.org/10.1088/2516-1091/acc70a","http://dx.doi.org/10.1088/2516-1091/acc70a")</f>
        <v>http://dx.doi.org/10.1088/2516-1091/acc70a</v>
      </c>
      <c r="BG542" t="s">
        <v>74</v>
      </c>
      <c r="BH542" t="s">
        <v>74</v>
      </c>
      <c r="BI542">
        <v>23</v>
      </c>
      <c r="BJ542" t="s">
        <v>282</v>
      </c>
      <c r="BK542" t="s">
        <v>155</v>
      </c>
      <c r="BL542" t="s">
        <v>183</v>
      </c>
      <c r="BM542" t="s">
        <v>10631</v>
      </c>
      <c r="BN542" t="s">
        <v>74</v>
      </c>
      <c r="BO542" t="s">
        <v>309</v>
      </c>
      <c r="BP542" t="s">
        <v>74</v>
      </c>
      <c r="BQ542" t="s">
        <v>74</v>
      </c>
      <c r="BR542" t="s">
        <v>105</v>
      </c>
      <c r="BS542" t="s">
        <v>10632</v>
      </c>
      <c r="BT542" t="str">
        <f>HYPERLINK("https%3A%2F%2Fwww.webofscience.com%2Fwos%2Fwoscc%2Ffull-record%2FWOS:000988991500001","View Full Record in Web of Science")</f>
        <v>View Full Record in Web of Science</v>
      </c>
    </row>
    <row r="543" spans="1:72" x14ac:dyDescent="0.25">
      <c r="A543" t="s">
        <v>72</v>
      </c>
      <c r="B543" t="s">
        <v>10633</v>
      </c>
      <c r="C543" t="s">
        <v>74</v>
      </c>
      <c r="D543" t="s">
        <v>74</v>
      </c>
      <c r="E543" t="s">
        <v>74</v>
      </c>
      <c r="F543" t="s">
        <v>10634</v>
      </c>
      <c r="G543" t="s">
        <v>74</v>
      </c>
      <c r="H543" t="s">
        <v>74</v>
      </c>
      <c r="I543" t="s">
        <v>10635</v>
      </c>
      <c r="J543" t="s">
        <v>2040</v>
      </c>
      <c r="K543" t="s">
        <v>74</v>
      </c>
      <c r="L543" t="s">
        <v>74</v>
      </c>
      <c r="M543" t="s">
        <v>78</v>
      </c>
      <c r="N543" t="s">
        <v>79</v>
      </c>
      <c r="O543" t="s">
        <v>74</v>
      </c>
      <c r="P543" t="s">
        <v>74</v>
      </c>
      <c r="Q543" t="s">
        <v>74</v>
      </c>
      <c r="R543" t="s">
        <v>74</v>
      </c>
      <c r="S543" t="s">
        <v>74</v>
      </c>
      <c r="T543" t="s">
        <v>10636</v>
      </c>
      <c r="U543" t="s">
        <v>10637</v>
      </c>
      <c r="V543" t="s">
        <v>10638</v>
      </c>
      <c r="W543" t="s">
        <v>10639</v>
      </c>
      <c r="X543" t="s">
        <v>10640</v>
      </c>
      <c r="Y543" t="s">
        <v>10641</v>
      </c>
      <c r="Z543" t="s">
        <v>10642</v>
      </c>
      <c r="AA543" t="s">
        <v>10643</v>
      </c>
      <c r="AB543" t="s">
        <v>10644</v>
      </c>
      <c r="AC543" t="s">
        <v>10645</v>
      </c>
      <c r="AD543" t="s">
        <v>10646</v>
      </c>
      <c r="AE543" t="s">
        <v>10647</v>
      </c>
      <c r="AF543" t="s">
        <v>74</v>
      </c>
      <c r="AG543">
        <v>409</v>
      </c>
      <c r="AH543">
        <v>6</v>
      </c>
      <c r="AI543">
        <v>6</v>
      </c>
      <c r="AJ543">
        <v>4</v>
      </c>
      <c r="AK543">
        <v>52</v>
      </c>
      <c r="AL543" t="s">
        <v>120</v>
      </c>
      <c r="AM543" t="s">
        <v>121</v>
      </c>
      <c r="AN543" t="s">
        <v>122</v>
      </c>
      <c r="AO543" t="s">
        <v>74</v>
      </c>
      <c r="AP543" t="s">
        <v>2050</v>
      </c>
      <c r="AQ543" t="s">
        <v>74</v>
      </c>
      <c r="AR543" t="s">
        <v>2051</v>
      </c>
      <c r="AS543" t="s">
        <v>2052</v>
      </c>
      <c r="AT543" t="s">
        <v>1734</v>
      </c>
      <c r="AU543">
        <v>2023</v>
      </c>
      <c r="AV543">
        <v>23</v>
      </c>
      <c r="AW543">
        <v>13</v>
      </c>
      <c r="AX543" t="s">
        <v>74</v>
      </c>
      <c r="AY543" t="s">
        <v>74</v>
      </c>
      <c r="AZ543" t="s">
        <v>74</v>
      </c>
      <c r="BA543" t="s">
        <v>74</v>
      </c>
      <c r="BB543" t="s">
        <v>74</v>
      </c>
      <c r="BC543" t="s">
        <v>74</v>
      </c>
      <c r="BD543">
        <v>6237</v>
      </c>
      <c r="BE543" t="s">
        <v>10648</v>
      </c>
      <c r="BF543" t="str">
        <f>HYPERLINK("http://dx.doi.org/10.3390/s23136237","http://dx.doi.org/10.3390/s23136237")</f>
        <v>http://dx.doi.org/10.3390/s23136237</v>
      </c>
      <c r="BG543" t="s">
        <v>74</v>
      </c>
      <c r="BH543" t="s">
        <v>74</v>
      </c>
      <c r="BI543">
        <v>38</v>
      </c>
      <c r="BJ543" t="s">
        <v>2054</v>
      </c>
      <c r="BK543" t="s">
        <v>182</v>
      </c>
      <c r="BL543" t="s">
        <v>2055</v>
      </c>
      <c r="BM543" t="s">
        <v>10649</v>
      </c>
      <c r="BN543">
        <v>37448084</v>
      </c>
      <c r="BO543" t="s">
        <v>355</v>
      </c>
      <c r="BP543" t="s">
        <v>74</v>
      </c>
      <c r="BQ543" t="s">
        <v>74</v>
      </c>
      <c r="BR543" t="s">
        <v>105</v>
      </c>
      <c r="BS543" t="s">
        <v>10650</v>
      </c>
      <c r="BT543" t="str">
        <f>HYPERLINK("https%3A%2F%2Fwww.webofscience.com%2Fwos%2Fwoscc%2Ffull-record%2FWOS:001031060600001","View Full Record in Web of Science")</f>
        <v>View Full Record in Web of Science</v>
      </c>
    </row>
    <row r="544" spans="1:72" x14ac:dyDescent="0.25">
      <c r="A544" t="s">
        <v>72</v>
      </c>
      <c r="B544" t="s">
        <v>10651</v>
      </c>
      <c r="C544" t="s">
        <v>74</v>
      </c>
      <c r="D544" t="s">
        <v>74</v>
      </c>
      <c r="E544" t="s">
        <v>74</v>
      </c>
      <c r="F544" t="s">
        <v>10652</v>
      </c>
      <c r="G544" t="s">
        <v>74</v>
      </c>
      <c r="H544" t="s">
        <v>74</v>
      </c>
      <c r="I544" t="s">
        <v>10653</v>
      </c>
      <c r="J544" t="s">
        <v>10654</v>
      </c>
      <c r="K544" t="s">
        <v>74</v>
      </c>
      <c r="L544" t="s">
        <v>74</v>
      </c>
      <c r="M544" t="s">
        <v>78</v>
      </c>
      <c r="N544" t="s">
        <v>79</v>
      </c>
      <c r="O544" t="s">
        <v>74</v>
      </c>
      <c r="P544" t="s">
        <v>74</v>
      </c>
      <c r="Q544" t="s">
        <v>74</v>
      </c>
      <c r="R544" t="s">
        <v>74</v>
      </c>
      <c r="S544" t="s">
        <v>74</v>
      </c>
      <c r="T544" t="s">
        <v>10655</v>
      </c>
      <c r="U544" t="s">
        <v>10656</v>
      </c>
      <c r="V544" t="s">
        <v>10657</v>
      </c>
      <c r="W544" t="s">
        <v>10658</v>
      </c>
      <c r="X544" t="s">
        <v>10659</v>
      </c>
      <c r="Y544" t="s">
        <v>10660</v>
      </c>
      <c r="Z544" t="s">
        <v>10661</v>
      </c>
      <c r="AA544" t="s">
        <v>74</v>
      </c>
      <c r="AB544" t="s">
        <v>74</v>
      </c>
      <c r="AC544" t="s">
        <v>74</v>
      </c>
      <c r="AD544" t="s">
        <v>74</v>
      </c>
      <c r="AE544" t="s">
        <v>74</v>
      </c>
      <c r="AF544" t="s">
        <v>74</v>
      </c>
      <c r="AG544">
        <v>44</v>
      </c>
      <c r="AH544">
        <v>4</v>
      </c>
      <c r="AI544">
        <v>4</v>
      </c>
      <c r="AJ544">
        <v>5</v>
      </c>
      <c r="AK544">
        <v>21</v>
      </c>
      <c r="AL544" t="s">
        <v>1267</v>
      </c>
      <c r="AM544" t="s">
        <v>275</v>
      </c>
      <c r="AN544" t="s">
        <v>1268</v>
      </c>
      <c r="AO544" t="s">
        <v>10662</v>
      </c>
      <c r="AP544" t="s">
        <v>74</v>
      </c>
      <c r="AQ544" t="s">
        <v>74</v>
      </c>
      <c r="AR544" t="s">
        <v>10663</v>
      </c>
      <c r="AS544" t="s">
        <v>10664</v>
      </c>
      <c r="AT544" t="s">
        <v>10665</v>
      </c>
      <c r="AU544">
        <v>2023</v>
      </c>
      <c r="AV544">
        <v>10</v>
      </c>
      <c r="AW544">
        <v>6</v>
      </c>
      <c r="AX544" t="s">
        <v>74</v>
      </c>
      <c r="AY544" t="s">
        <v>74</v>
      </c>
      <c r="AZ544" t="s">
        <v>74</v>
      </c>
      <c r="BA544" t="s">
        <v>74</v>
      </c>
      <c r="BB544" t="s">
        <v>74</v>
      </c>
      <c r="BC544" t="s">
        <v>74</v>
      </c>
      <c r="BD544">
        <v>221617</v>
      </c>
      <c r="BE544" t="s">
        <v>10666</v>
      </c>
      <c r="BF544" t="str">
        <f>HYPERLINK("http://dx.doi.org/10.1098/rsos.221617","http://dx.doi.org/10.1098/rsos.221617")</f>
        <v>http://dx.doi.org/10.1098/rsos.221617</v>
      </c>
      <c r="BG544" t="s">
        <v>74</v>
      </c>
      <c r="BH544" t="s">
        <v>74</v>
      </c>
      <c r="BI544">
        <v>15</v>
      </c>
      <c r="BJ544" t="s">
        <v>936</v>
      </c>
      <c r="BK544" t="s">
        <v>182</v>
      </c>
      <c r="BL544" t="s">
        <v>937</v>
      </c>
      <c r="BM544" t="s">
        <v>10667</v>
      </c>
      <c r="BN544">
        <v>37388317</v>
      </c>
      <c r="BO544" t="s">
        <v>355</v>
      </c>
      <c r="BP544" t="s">
        <v>74</v>
      </c>
      <c r="BQ544" t="s">
        <v>74</v>
      </c>
      <c r="BR544" t="s">
        <v>105</v>
      </c>
      <c r="BS544" t="s">
        <v>10668</v>
      </c>
      <c r="BT544" t="str">
        <f>HYPERLINK("https%3A%2F%2Fwww.webofscience.com%2Fwos%2Fwoscc%2Ffull-record%2FWOS:001017681200011","View Full Record in Web of Science")</f>
        <v>View Full Record in Web of Science</v>
      </c>
    </row>
    <row r="545" spans="1:72" x14ac:dyDescent="0.25">
      <c r="A545" t="s">
        <v>72</v>
      </c>
      <c r="B545" t="s">
        <v>10669</v>
      </c>
      <c r="C545" t="s">
        <v>74</v>
      </c>
      <c r="D545" t="s">
        <v>74</v>
      </c>
      <c r="E545" t="s">
        <v>74</v>
      </c>
      <c r="F545" t="s">
        <v>10670</v>
      </c>
      <c r="G545" t="s">
        <v>74</v>
      </c>
      <c r="H545" t="s">
        <v>74</v>
      </c>
      <c r="I545" t="s">
        <v>10671</v>
      </c>
      <c r="J545" t="s">
        <v>10672</v>
      </c>
      <c r="K545" t="s">
        <v>74</v>
      </c>
      <c r="L545" t="s">
        <v>74</v>
      </c>
      <c r="M545" t="s">
        <v>78</v>
      </c>
      <c r="N545" t="s">
        <v>79</v>
      </c>
      <c r="O545" t="s">
        <v>74</v>
      </c>
      <c r="P545" t="s">
        <v>74</v>
      </c>
      <c r="Q545" t="s">
        <v>74</v>
      </c>
      <c r="R545" t="s">
        <v>74</v>
      </c>
      <c r="S545" t="s">
        <v>74</v>
      </c>
      <c r="T545" t="s">
        <v>10673</v>
      </c>
      <c r="U545" t="s">
        <v>10674</v>
      </c>
      <c r="V545" t="s">
        <v>10675</v>
      </c>
      <c r="W545" t="s">
        <v>10676</v>
      </c>
      <c r="X545" t="s">
        <v>10677</v>
      </c>
      <c r="Y545" t="s">
        <v>10678</v>
      </c>
      <c r="Z545" t="s">
        <v>10679</v>
      </c>
      <c r="AA545" t="s">
        <v>10680</v>
      </c>
      <c r="AB545" t="s">
        <v>74</v>
      </c>
      <c r="AC545" t="s">
        <v>10681</v>
      </c>
      <c r="AD545" t="s">
        <v>10682</v>
      </c>
      <c r="AE545" t="s">
        <v>10683</v>
      </c>
      <c r="AF545" t="s">
        <v>74</v>
      </c>
      <c r="AG545">
        <v>68</v>
      </c>
      <c r="AH545">
        <v>6</v>
      </c>
      <c r="AI545">
        <v>6</v>
      </c>
      <c r="AJ545">
        <v>3</v>
      </c>
      <c r="AK545">
        <v>23</v>
      </c>
      <c r="AL545" t="s">
        <v>1040</v>
      </c>
      <c r="AM545" t="s">
        <v>1041</v>
      </c>
      <c r="AN545" t="s">
        <v>1042</v>
      </c>
      <c r="AO545" t="s">
        <v>10684</v>
      </c>
      <c r="AP545" t="s">
        <v>74</v>
      </c>
      <c r="AQ545" t="s">
        <v>74</v>
      </c>
      <c r="AR545" t="s">
        <v>10685</v>
      </c>
      <c r="AS545" t="s">
        <v>10686</v>
      </c>
      <c r="AT545" t="s">
        <v>10687</v>
      </c>
      <c r="AU545">
        <v>2023</v>
      </c>
      <c r="AV545">
        <v>10</v>
      </c>
      <c r="AW545" t="s">
        <v>74</v>
      </c>
      <c r="AX545" t="s">
        <v>74</v>
      </c>
      <c r="AY545" t="s">
        <v>74</v>
      </c>
      <c r="AZ545" t="s">
        <v>74</v>
      </c>
      <c r="BA545" t="s">
        <v>74</v>
      </c>
      <c r="BB545" t="s">
        <v>74</v>
      </c>
      <c r="BC545" t="s">
        <v>74</v>
      </c>
      <c r="BD545">
        <v>2.055668323118364E+16</v>
      </c>
      <c r="BE545" t="s">
        <v>10688</v>
      </c>
      <c r="BF545" t="str">
        <f>HYPERLINK("http://dx.doi.org/10.1177/20556683231183639","http://dx.doi.org/10.1177/20556683231183639")</f>
        <v>http://dx.doi.org/10.1177/20556683231183639</v>
      </c>
      <c r="BG545" t="s">
        <v>74</v>
      </c>
      <c r="BH545" t="s">
        <v>74</v>
      </c>
      <c r="BI545">
        <v>18</v>
      </c>
      <c r="BJ545" t="s">
        <v>282</v>
      </c>
      <c r="BK545" t="s">
        <v>155</v>
      </c>
      <c r="BL545" t="s">
        <v>183</v>
      </c>
      <c r="BM545" t="s">
        <v>10689</v>
      </c>
      <c r="BN545">
        <v>37426037</v>
      </c>
      <c r="BO545" t="s">
        <v>355</v>
      </c>
      <c r="BP545" t="s">
        <v>74</v>
      </c>
      <c r="BQ545" t="s">
        <v>74</v>
      </c>
      <c r="BR545" t="s">
        <v>105</v>
      </c>
      <c r="BS545" t="s">
        <v>10690</v>
      </c>
      <c r="BT545" t="str">
        <f>HYPERLINK("https%3A%2F%2Fwww.webofscience.com%2Fwos%2Fwoscc%2Ffull-record%2FWOS:001016806300001","View Full Record in Web of Science")</f>
        <v>View Full Record in Web of Science</v>
      </c>
    </row>
    <row r="546" spans="1:72" x14ac:dyDescent="0.25">
      <c r="A546" t="s">
        <v>72</v>
      </c>
      <c r="B546" t="s">
        <v>10691</v>
      </c>
      <c r="C546" t="s">
        <v>74</v>
      </c>
      <c r="D546" t="s">
        <v>74</v>
      </c>
      <c r="E546" t="s">
        <v>74</v>
      </c>
      <c r="F546" t="s">
        <v>10692</v>
      </c>
      <c r="G546" t="s">
        <v>74</v>
      </c>
      <c r="H546" t="s">
        <v>74</v>
      </c>
      <c r="I546" t="s">
        <v>10693</v>
      </c>
      <c r="J546" t="s">
        <v>2543</v>
      </c>
      <c r="K546" t="s">
        <v>74</v>
      </c>
      <c r="L546" t="s">
        <v>74</v>
      </c>
      <c r="M546" t="s">
        <v>78</v>
      </c>
      <c r="N546" t="s">
        <v>79</v>
      </c>
      <c r="O546" t="s">
        <v>74</v>
      </c>
      <c r="P546" t="s">
        <v>74</v>
      </c>
      <c r="Q546" t="s">
        <v>74</v>
      </c>
      <c r="R546" t="s">
        <v>74</v>
      </c>
      <c r="S546" t="s">
        <v>74</v>
      </c>
      <c r="T546" t="s">
        <v>10694</v>
      </c>
      <c r="U546" t="s">
        <v>10695</v>
      </c>
      <c r="V546" t="s">
        <v>10696</v>
      </c>
      <c r="W546" t="s">
        <v>10697</v>
      </c>
      <c r="X546" t="s">
        <v>10698</v>
      </c>
      <c r="Y546" t="s">
        <v>10699</v>
      </c>
      <c r="Z546" t="s">
        <v>10700</v>
      </c>
      <c r="AA546" t="s">
        <v>10701</v>
      </c>
      <c r="AB546" t="s">
        <v>10702</v>
      </c>
      <c r="AC546" t="s">
        <v>74</v>
      </c>
      <c r="AD546" t="s">
        <v>74</v>
      </c>
      <c r="AE546" t="s">
        <v>74</v>
      </c>
      <c r="AF546" t="s">
        <v>74</v>
      </c>
      <c r="AG546">
        <v>29</v>
      </c>
      <c r="AH546">
        <v>6</v>
      </c>
      <c r="AI546">
        <v>7</v>
      </c>
      <c r="AJ546">
        <v>2</v>
      </c>
      <c r="AK546">
        <v>13</v>
      </c>
      <c r="AL546" t="s">
        <v>120</v>
      </c>
      <c r="AM546" t="s">
        <v>121</v>
      </c>
      <c r="AN546" t="s">
        <v>122</v>
      </c>
      <c r="AO546" t="s">
        <v>74</v>
      </c>
      <c r="AP546" t="s">
        <v>2553</v>
      </c>
      <c r="AQ546" t="s">
        <v>74</v>
      </c>
      <c r="AR546" t="s">
        <v>2554</v>
      </c>
      <c r="AS546" t="s">
        <v>2555</v>
      </c>
      <c r="AT546" t="s">
        <v>1070</v>
      </c>
      <c r="AU546">
        <v>2023</v>
      </c>
      <c r="AV546">
        <v>13</v>
      </c>
      <c r="AW546">
        <v>6</v>
      </c>
      <c r="AX546" t="s">
        <v>74</v>
      </c>
      <c r="AY546" t="s">
        <v>74</v>
      </c>
      <c r="AZ546" t="s">
        <v>74</v>
      </c>
      <c r="BA546" t="s">
        <v>74</v>
      </c>
      <c r="BB546" t="s">
        <v>74</v>
      </c>
      <c r="BC546" t="s">
        <v>74</v>
      </c>
      <c r="BD546">
        <v>900</v>
      </c>
      <c r="BE546" t="s">
        <v>10703</v>
      </c>
      <c r="BF546" t="str">
        <f>HYPERLINK("http://dx.doi.org/10.3390/brainsci13060900","http://dx.doi.org/10.3390/brainsci13060900")</f>
        <v>http://dx.doi.org/10.3390/brainsci13060900</v>
      </c>
      <c r="BG546" t="s">
        <v>74</v>
      </c>
      <c r="BH546" t="s">
        <v>74</v>
      </c>
      <c r="BI546">
        <v>14</v>
      </c>
      <c r="BJ546" t="s">
        <v>374</v>
      </c>
      <c r="BK546" t="s">
        <v>182</v>
      </c>
      <c r="BL546" t="s">
        <v>375</v>
      </c>
      <c r="BM546" t="s">
        <v>10704</v>
      </c>
      <c r="BN546">
        <v>37371378</v>
      </c>
      <c r="BO546" t="s">
        <v>131</v>
      </c>
      <c r="BP546" t="s">
        <v>74</v>
      </c>
      <c r="BQ546" t="s">
        <v>74</v>
      </c>
      <c r="BR546" t="s">
        <v>105</v>
      </c>
      <c r="BS546" t="s">
        <v>10705</v>
      </c>
      <c r="BT546" t="str">
        <f>HYPERLINK("https%3A%2F%2Fwww.webofscience.com%2Fwos%2Fwoscc%2Ffull-record%2FWOS:001014202900001","View Full Record in Web of Science")</f>
        <v>View Full Record in Web of Science</v>
      </c>
    </row>
    <row r="547" spans="1:72" x14ac:dyDescent="0.25">
      <c r="A547" t="s">
        <v>72</v>
      </c>
      <c r="B547" t="s">
        <v>10706</v>
      </c>
      <c r="C547" t="s">
        <v>74</v>
      </c>
      <c r="D547" t="s">
        <v>74</v>
      </c>
      <c r="E547" t="s">
        <v>74</v>
      </c>
      <c r="F547" t="s">
        <v>10707</v>
      </c>
      <c r="G547" t="s">
        <v>74</v>
      </c>
      <c r="H547" t="s">
        <v>74</v>
      </c>
      <c r="I547" t="s">
        <v>10708</v>
      </c>
      <c r="J547" t="s">
        <v>10709</v>
      </c>
      <c r="K547" t="s">
        <v>74</v>
      </c>
      <c r="L547" t="s">
        <v>74</v>
      </c>
      <c r="M547" t="s">
        <v>78</v>
      </c>
      <c r="N547" t="s">
        <v>79</v>
      </c>
      <c r="O547" t="s">
        <v>74</v>
      </c>
      <c r="P547" t="s">
        <v>74</v>
      </c>
      <c r="Q547" t="s">
        <v>74</v>
      </c>
      <c r="R547" t="s">
        <v>74</v>
      </c>
      <c r="S547" t="s">
        <v>74</v>
      </c>
      <c r="T547" t="s">
        <v>10710</v>
      </c>
      <c r="U547" t="s">
        <v>10711</v>
      </c>
      <c r="V547" t="s">
        <v>10712</v>
      </c>
      <c r="W547" t="s">
        <v>10713</v>
      </c>
      <c r="X547" t="s">
        <v>10714</v>
      </c>
      <c r="Y547" t="s">
        <v>10715</v>
      </c>
      <c r="Z547" t="s">
        <v>10716</v>
      </c>
      <c r="AA547" t="s">
        <v>10717</v>
      </c>
      <c r="AB547" t="s">
        <v>10718</v>
      </c>
      <c r="AC547" t="s">
        <v>74</v>
      </c>
      <c r="AD547" t="s">
        <v>74</v>
      </c>
      <c r="AE547" t="s">
        <v>74</v>
      </c>
      <c r="AF547" t="s">
        <v>74</v>
      </c>
      <c r="AG547">
        <v>77</v>
      </c>
      <c r="AH547">
        <v>2</v>
      </c>
      <c r="AI547">
        <v>2</v>
      </c>
      <c r="AJ547">
        <v>0</v>
      </c>
      <c r="AK547">
        <v>1</v>
      </c>
      <c r="AL547" t="s">
        <v>1521</v>
      </c>
      <c r="AM547" t="s">
        <v>1522</v>
      </c>
      <c r="AN547" t="s">
        <v>1523</v>
      </c>
      <c r="AO547" t="s">
        <v>10719</v>
      </c>
      <c r="AP547" t="s">
        <v>74</v>
      </c>
      <c r="AQ547" t="s">
        <v>74</v>
      </c>
      <c r="AR547" t="s">
        <v>10720</v>
      </c>
      <c r="AS547" t="s">
        <v>10721</v>
      </c>
      <c r="AT547" t="s">
        <v>6014</v>
      </c>
      <c r="AU547">
        <v>2023</v>
      </c>
      <c r="AV547">
        <v>15</v>
      </c>
      <c r="AW547">
        <v>5</v>
      </c>
      <c r="AX547" t="s">
        <v>74</v>
      </c>
      <c r="AY547" t="s">
        <v>74</v>
      </c>
      <c r="AZ547" t="s">
        <v>74</v>
      </c>
      <c r="BA547" t="s">
        <v>74</v>
      </c>
      <c r="BB547">
        <v>776</v>
      </c>
      <c r="BC547">
        <v>787</v>
      </c>
      <c r="BD547" t="s">
        <v>74</v>
      </c>
      <c r="BE547" t="s">
        <v>10722</v>
      </c>
      <c r="BF547" t="str">
        <f>HYPERLINK("http://dx.doi.org/10.4240/wjgs.v15.i5.776","http://dx.doi.org/10.4240/wjgs.v15.i5.776")</f>
        <v>http://dx.doi.org/10.4240/wjgs.v15.i5.776</v>
      </c>
      <c r="BG547" t="s">
        <v>74</v>
      </c>
      <c r="BH547" t="s">
        <v>74</v>
      </c>
      <c r="BI547">
        <v>12</v>
      </c>
      <c r="BJ547" t="s">
        <v>10723</v>
      </c>
      <c r="BK547" t="s">
        <v>182</v>
      </c>
      <c r="BL547" t="s">
        <v>10723</v>
      </c>
      <c r="BM547" t="s">
        <v>10724</v>
      </c>
      <c r="BN547">
        <v>37342850</v>
      </c>
      <c r="BO547" t="s">
        <v>355</v>
      </c>
      <c r="BP547" t="s">
        <v>74</v>
      </c>
      <c r="BQ547" t="s">
        <v>74</v>
      </c>
      <c r="BR547" t="s">
        <v>105</v>
      </c>
      <c r="BS547" t="s">
        <v>10725</v>
      </c>
      <c r="BT547" t="str">
        <f>HYPERLINK("https%3A%2F%2Fwww.webofscience.com%2Fwos%2Fwoscc%2Ffull-record%2FWOS:001015306400003","View Full Record in Web of Science")</f>
        <v>View Full Record in Web of Science</v>
      </c>
    </row>
    <row r="548" spans="1:72" x14ac:dyDescent="0.25">
      <c r="A548" t="s">
        <v>72</v>
      </c>
      <c r="B548" t="s">
        <v>10726</v>
      </c>
      <c r="C548" t="s">
        <v>74</v>
      </c>
      <c r="D548" t="s">
        <v>74</v>
      </c>
      <c r="E548" t="s">
        <v>74</v>
      </c>
      <c r="F548" t="s">
        <v>10727</v>
      </c>
      <c r="G548" t="s">
        <v>74</v>
      </c>
      <c r="H548" t="s">
        <v>74</v>
      </c>
      <c r="I548" t="s">
        <v>10728</v>
      </c>
      <c r="J548" t="s">
        <v>2040</v>
      </c>
      <c r="K548" t="s">
        <v>74</v>
      </c>
      <c r="L548" t="s">
        <v>74</v>
      </c>
      <c r="M548" t="s">
        <v>78</v>
      </c>
      <c r="N548" t="s">
        <v>79</v>
      </c>
      <c r="O548" t="s">
        <v>74</v>
      </c>
      <c r="P548" t="s">
        <v>74</v>
      </c>
      <c r="Q548" t="s">
        <v>74</v>
      </c>
      <c r="R548" t="s">
        <v>74</v>
      </c>
      <c r="S548" t="s">
        <v>74</v>
      </c>
      <c r="T548" t="s">
        <v>10729</v>
      </c>
      <c r="U548" t="s">
        <v>10730</v>
      </c>
      <c r="V548" t="s">
        <v>10731</v>
      </c>
      <c r="W548" t="s">
        <v>10732</v>
      </c>
      <c r="X548" t="s">
        <v>10733</v>
      </c>
      <c r="Y548" t="s">
        <v>10734</v>
      </c>
      <c r="Z548" t="s">
        <v>10735</v>
      </c>
      <c r="AA548" t="s">
        <v>10736</v>
      </c>
      <c r="AB548" t="s">
        <v>10737</v>
      </c>
      <c r="AC548" t="s">
        <v>74</v>
      </c>
      <c r="AD548" t="s">
        <v>74</v>
      </c>
      <c r="AE548" t="s">
        <v>74</v>
      </c>
      <c r="AF548" t="s">
        <v>74</v>
      </c>
      <c r="AG548">
        <v>158</v>
      </c>
      <c r="AH548">
        <v>21</v>
      </c>
      <c r="AI548">
        <v>22</v>
      </c>
      <c r="AJ548">
        <v>17</v>
      </c>
      <c r="AK548">
        <v>83</v>
      </c>
      <c r="AL548" t="s">
        <v>120</v>
      </c>
      <c r="AM548" t="s">
        <v>121</v>
      </c>
      <c r="AN548" t="s">
        <v>122</v>
      </c>
      <c r="AO548" t="s">
        <v>74</v>
      </c>
      <c r="AP548" t="s">
        <v>2050</v>
      </c>
      <c r="AQ548" t="s">
        <v>74</v>
      </c>
      <c r="AR548" t="s">
        <v>2051</v>
      </c>
      <c r="AS548" t="s">
        <v>2052</v>
      </c>
      <c r="AT548" t="s">
        <v>10738</v>
      </c>
      <c r="AU548">
        <v>2023</v>
      </c>
      <c r="AV548">
        <v>23</v>
      </c>
      <c r="AW548">
        <v>11</v>
      </c>
      <c r="AX548" t="s">
        <v>74</v>
      </c>
      <c r="AY548" t="s">
        <v>74</v>
      </c>
      <c r="AZ548" t="s">
        <v>74</v>
      </c>
      <c r="BA548" t="s">
        <v>74</v>
      </c>
      <c r="BB548" t="s">
        <v>74</v>
      </c>
      <c r="BC548" t="s">
        <v>74</v>
      </c>
      <c r="BD548">
        <v>5054</v>
      </c>
      <c r="BE548" t="s">
        <v>10739</v>
      </c>
      <c r="BF548" t="str">
        <f>HYPERLINK("http://dx.doi.org/10.3390/s23115054","http://dx.doi.org/10.3390/s23115054")</f>
        <v>http://dx.doi.org/10.3390/s23115054</v>
      </c>
      <c r="BG548" t="s">
        <v>74</v>
      </c>
      <c r="BH548" t="s">
        <v>74</v>
      </c>
      <c r="BI548">
        <v>31</v>
      </c>
      <c r="BJ548" t="s">
        <v>2054</v>
      </c>
      <c r="BK548" t="s">
        <v>182</v>
      </c>
      <c r="BL548" t="s">
        <v>2055</v>
      </c>
      <c r="BM548" t="s">
        <v>10740</v>
      </c>
      <c r="BN548">
        <v>37299781</v>
      </c>
      <c r="BO548" t="s">
        <v>131</v>
      </c>
      <c r="BP548" t="s">
        <v>74</v>
      </c>
      <c r="BQ548" t="s">
        <v>74</v>
      </c>
      <c r="BR548" t="s">
        <v>105</v>
      </c>
      <c r="BS548" t="s">
        <v>10741</v>
      </c>
      <c r="BT548" t="str">
        <f>HYPERLINK("https%3A%2F%2Fwww.webofscience.com%2Fwos%2Fwoscc%2Ffull-record%2FWOS:001004773600001","View Full Record in Web of Science")</f>
        <v>View Full Record in Web of Science</v>
      </c>
    </row>
    <row r="549" spans="1:72" x14ac:dyDescent="0.25">
      <c r="A549" t="s">
        <v>72</v>
      </c>
      <c r="B549" t="s">
        <v>10742</v>
      </c>
      <c r="C549" t="s">
        <v>74</v>
      </c>
      <c r="D549" t="s">
        <v>74</v>
      </c>
      <c r="E549" t="s">
        <v>74</v>
      </c>
      <c r="F549" t="s">
        <v>10743</v>
      </c>
      <c r="G549" t="s">
        <v>74</v>
      </c>
      <c r="H549" t="s">
        <v>74</v>
      </c>
      <c r="I549" t="s">
        <v>10744</v>
      </c>
      <c r="J549" t="s">
        <v>1231</v>
      </c>
      <c r="K549" t="s">
        <v>74</v>
      </c>
      <c r="L549" t="s">
        <v>74</v>
      </c>
      <c r="M549" t="s">
        <v>78</v>
      </c>
      <c r="N549" t="s">
        <v>79</v>
      </c>
      <c r="O549" t="s">
        <v>74</v>
      </c>
      <c r="P549" t="s">
        <v>74</v>
      </c>
      <c r="Q549" t="s">
        <v>74</v>
      </c>
      <c r="R549" t="s">
        <v>74</v>
      </c>
      <c r="S549" t="s">
        <v>74</v>
      </c>
      <c r="T549" t="s">
        <v>10745</v>
      </c>
      <c r="U549" t="s">
        <v>10746</v>
      </c>
      <c r="V549" t="s">
        <v>10747</v>
      </c>
      <c r="W549" t="s">
        <v>10748</v>
      </c>
      <c r="X549" t="s">
        <v>10749</v>
      </c>
      <c r="Y549" t="s">
        <v>10750</v>
      </c>
      <c r="Z549" t="s">
        <v>10751</v>
      </c>
      <c r="AA549" t="s">
        <v>10752</v>
      </c>
      <c r="AB549" t="s">
        <v>10753</v>
      </c>
      <c r="AC549" t="s">
        <v>74</v>
      </c>
      <c r="AD549" t="s">
        <v>74</v>
      </c>
      <c r="AE549" t="s">
        <v>74</v>
      </c>
      <c r="AF549" t="s">
        <v>74</v>
      </c>
      <c r="AG549">
        <v>114</v>
      </c>
      <c r="AH549">
        <v>7</v>
      </c>
      <c r="AI549">
        <v>7</v>
      </c>
      <c r="AJ549">
        <v>4</v>
      </c>
      <c r="AK549">
        <v>28</v>
      </c>
      <c r="AL549" t="s">
        <v>392</v>
      </c>
      <c r="AM549" t="s">
        <v>393</v>
      </c>
      <c r="AN549" t="s">
        <v>394</v>
      </c>
      <c r="AO549" t="s">
        <v>1244</v>
      </c>
      <c r="AP549" t="s">
        <v>74</v>
      </c>
      <c r="AQ549" t="s">
        <v>74</v>
      </c>
      <c r="AR549" t="s">
        <v>1245</v>
      </c>
      <c r="AS549" t="s">
        <v>1246</v>
      </c>
      <c r="AT549" t="s">
        <v>10738</v>
      </c>
      <c r="AU549">
        <v>2023</v>
      </c>
      <c r="AV549">
        <v>17</v>
      </c>
      <c r="AW549" t="s">
        <v>74</v>
      </c>
      <c r="AX549" t="s">
        <v>74</v>
      </c>
      <c r="AY549" t="s">
        <v>74</v>
      </c>
      <c r="AZ549" t="s">
        <v>74</v>
      </c>
      <c r="BA549" t="s">
        <v>74</v>
      </c>
      <c r="BB549" t="s">
        <v>74</v>
      </c>
      <c r="BC549" t="s">
        <v>74</v>
      </c>
      <c r="BD549">
        <v>1014616</v>
      </c>
      <c r="BE549" t="s">
        <v>10754</v>
      </c>
      <c r="BF549" t="str">
        <f>HYPERLINK("http://dx.doi.org/10.3389/fnbot.2023.1014616","http://dx.doi.org/10.3389/fnbot.2023.1014616")</f>
        <v>http://dx.doi.org/10.3389/fnbot.2023.1014616</v>
      </c>
      <c r="BG549" t="s">
        <v>74</v>
      </c>
      <c r="BH549" t="s">
        <v>74</v>
      </c>
      <c r="BI549">
        <v>29</v>
      </c>
      <c r="BJ549" t="s">
        <v>1249</v>
      </c>
      <c r="BK549" t="s">
        <v>182</v>
      </c>
      <c r="BL549" t="s">
        <v>1250</v>
      </c>
      <c r="BM549" t="s">
        <v>10755</v>
      </c>
      <c r="BN549">
        <v>37304666</v>
      </c>
      <c r="BO549" t="s">
        <v>355</v>
      </c>
      <c r="BP549" t="s">
        <v>74</v>
      </c>
      <c r="BQ549" t="s">
        <v>74</v>
      </c>
      <c r="BR549" t="s">
        <v>105</v>
      </c>
      <c r="BS549" t="s">
        <v>10756</v>
      </c>
      <c r="BT549" t="str">
        <f>HYPERLINK("https%3A%2F%2Fwww.webofscience.com%2Fwos%2Fwoscc%2Ffull-record%2FWOS:001003019500001","View Full Record in Web of Science")</f>
        <v>View Full Record in Web of Science</v>
      </c>
    </row>
    <row r="550" spans="1:72" x14ac:dyDescent="0.25">
      <c r="A550" t="s">
        <v>72</v>
      </c>
      <c r="B550" t="s">
        <v>10757</v>
      </c>
      <c r="C550" t="s">
        <v>74</v>
      </c>
      <c r="D550" t="s">
        <v>74</v>
      </c>
      <c r="E550" t="s">
        <v>74</v>
      </c>
      <c r="F550" t="s">
        <v>10758</v>
      </c>
      <c r="G550" t="s">
        <v>74</v>
      </c>
      <c r="H550" t="s">
        <v>74</v>
      </c>
      <c r="I550" t="s">
        <v>10759</v>
      </c>
      <c r="J550" t="s">
        <v>382</v>
      </c>
      <c r="K550" t="s">
        <v>74</v>
      </c>
      <c r="L550" t="s">
        <v>74</v>
      </c>
      <c r="M550" t="s">
        <v>78</v>
      </c>
      <c r="N550" t="s">
        <v>79</v>
      </c>
      <c r="O550" t="s">
        <v>74</v>
      </c>
      <c r="P550" t="s">
        <v>74</v>
      </c>
      <c r="Q550" t="s">
        <v>74</v>
      </c>
      <c r="R550" t="s">
        <v>74</v>
      </c>
      <c r="S550" t="s">
        <v>74</v>
      </c>
      <c r="T550" t="s">
        <v>10760</v>
      </c>
      <c r="U550" t="s">
        <v>10761</v>
      </c>
      <c r="V550" t="s">
        <v>10762</v>
      </c>
      <c r="W550" t="s">
        <v>10763</v>
      </c>
      <c r="X550" t="s">
        <v>10764</v>
      </c>
      <c r="Y550" t="s">
        <v>10765</v>
      </c>
      <c r="Z550" t="s">
        <v>10766</v>
      </c>
      <c r="AA550" t="s">
        <v>10767</v>
      </c>
      <c r="AB550" t="s">
        <v>74</v>
      </c>
      <c r="AC550" t="s">
        <v>10768</v>
      </c>
      <c r="AD550" t="s">
        <v>10769</v>
      </c>
      <c r="AE550" t="s">
        <v>10770</v>
      </c>
      <c r="AF550" t="s">
        <v>74</v>
      </c>
      <c r="AG550">
        <v>57</v>
      </c>
      <c r="AH550">
        <v>2</v>
      </c>
      <c r="AI550">
        <v>2</v>
      </c>
      <c r="AJ550">
        <v>2</v>
      </c>
      <c r="AK550">
        <v>13</v>
      </c>
      <c r="AL550" t="s">
        <v>392</v>
      </c>
      <c r="AM550" t="s">
        <v>393</v>
      </c>
      <c r="AN550" t="s">
        <v>394</v>
      </c>
      <c r="AO550" t="s">
        <v>395</v>
      </c>
      <c r="AP550" t="s">
        <v>74</v>
      </c>
      <c r="AQ550" t="s">
        <v>74</v>
      </c>
      <c r="AR550" t="s">
        <v>396</v>
      </c>
      <c r="AS550" t="s">
        <v>397</v>
      </c>
      <c r="AT550" t="s">
        <v>10738</v>
      </c>
      <c r="AU550">
        <v>2023</v>
      </c>
      <c r="AV550">
        <v>14</v>
      </c>
      <c r="AW550" t="s">
        <v>74</v>
      </c>
      <c r="AX550" t="s">
        <v>74</v>
      </c>
      <c r="AY550" t="s">
        <v>74</v>
      </c>
      <c r="AZ550" t="s">
        <v>74</v>
      </c>
      <c r="BA550" t="s">
        <v>74</v>
      </c>
      <c r="BB550" t="s">
        <v>74</v>
      </c>
      <c r="BC550" t="s">
        <v>74</v>
      </c>
      <c r="BD550">
        <v>1180664</v>
      </c>
      <c r="BE550" t="s">
        <v>10771</v>
      </c>
      <c r="BF550" t="str">
        <f>HYPERLINK("http://dx.doi.org/10.3389/fneur.2023.1180664","http://dx.doi.org/10.3389/fneur.2023.1180664")</f>
        <v>http://dx.doi.org/10.3389/fneur.2023.1180664</v>
      </c>
      <c r="BG550" t="s">
        <v>74</v>
      </c>
      <c r="BH550" t="s">
        <v>74</v>
      </c>
      <c r="BI550">
        <v>12</v>
      </c>
      <c r="BJ550" t="s">
        <v>400</v>
      </c>
      <c r="BK550" t="s">
        <v>182</v>
      </c>
      <c r="BL550" t="s">
        <v>375</v>
      </c>
      <c r="BM550" t="s">
        <v>10772</v>
      </c>
      <c r="BN550">
        <v>37305744</v>
      </c>
      <c r="BO550" t="s">
        <v>131</v>
      </c>
      <c r="BP550" t="s">
        <v>74</v>
      </c>
      <c r="BQ550" t="s">
        <v>74</v>
      </c>
      <c r="BR550" t="s">
        <v>105</v>
      </c>
      <c r="BS550" t="s">
        <v>10773</v>
      </c>
      <c r="BT550" t="str">
        <f>HYPERLINK("https%3A%2F%2Fwww.webofscience.com%2Fwos%2Fwoscc%2Ffull-record%2FWOS:001004561400001","View Full Record in Web of Science")</f>
        <v>View Full Record in Web of Science</v>
      </c>
    </row>
    <row r="551" spans="1:72" x14ac:dyDescent="0.25">
      <c r="A551" t="s">
        <v>72</v>
      </c>
      <c r="B551" t="s">
        <v>10774</v>
      </c>
      <c r="C551" t="s">
        <v>74</v>
      </c>
      <c r="D551" t="s">
        <v>74</v>
      </c>
      <c r="E551" t="s">
        <v>74</v>
      </c>
      <c r="F551" t="s">
        <v>10775</v>
      </c>
      <c r="G551" t="s">
        <v>74</v>
      </c>
      <c r="H551" t="s">
        <v>74</v>
      </c>
      <c r="I551" t="s">
        <v>10776</v>
      </c>
      <c r="J551" t="s">
        <v>10777</v>
      </c>
      <c r="K551" t="s">
        <v>74</v>
      </c>
      <c r="L551" t="s">
        <v>74</v>
      </c>
      <c r="M551" t="s">
        <v>78</v>
      </c>
      <c r="N551" t="s">
        <v>79</v>
      </c>
      <c r="O551" t="s">
        <v>74</v>
      </c>
      <c r="P551" t="s">
        <v>74</v>
      </c>
      <c r="Q551" t="s">
        <v>74</v>
      </c>
      <c r="R551" t="s">
        <v>74</v>
      </c>
      <c r="S551" t="s">
        <v>74</v>
      </c>
      <c r="T551" t="s">
        <v>10778</v>
      </c>
      <c r="U551" t="s">
        <v>10779</v>
      </c>
      <c r="V551" t="s">
        <v>10780</v>
      </c>
      <c r="W551" t="s">
        <v>10781</v>
      </c>
      <c r="X551" t="s">
        <v>10782</v>
      </c>
      <c r="Y551" t="s">
        <v>10783</v>
      </c>
      <c r="Z551" t="s">
        <v>10784</v>
      </c>
      <c r="AA551" t="s">
        <v>10785</v>
      </c>
      <c r="AB551" t="s">
        <v>10786</v>
      </c>
      <c r="AC551" t="s">
        <v>10787</v>
      </c>
      <c r="AD551" t="s">
        <v>10788</v>
      </c>
      <c r="AE551" t="s">
        <v>10789</v>
      </c>
      <c r="AF551" t="s">
        <v>74</v>
      </c>
      <c r="AG551">
        <v>137</v>
      </c>
      <c r="AH551">
        <v>28</v>
      </c>
      <c r="AI551">
        <v>29</v>
      </c>
      <c r="AJ551">
        <v>9</v>
      </c>
      <c r="AK551">
        <v>36</v>
      </c>
      <c r="AL551" t="s">
        <v>1605</v>
      </c>
      <c r="AM551" t="s">
        <v>1606</v>
      </c>
      <c r="AN551" t="s">
        <v>1607</v>
      </c>
      <c r="AO551" t="s">
        <v>10790</v>
      </c>
      <c r="AP551" t="s">
        <v>74</v>
      </c>
      <c r="AQ551" t="s">
        <v>74</v>
      </c>
      <c r="AR551" t="s">
        <v>10791</v>
      </c>
      <c r="AS551" t="s">
        <v>10792</v>
      </c>
      <c r="AT551" t="s">
        <v>1070</v>
      </c>
      <c r="AU551">
        <v>2023</v>
      </c>
      <c r="AV551">
        <v>5</v>
      </c>
      <c r="AW551" t="s">
        <v>74</v>
      </c>
      <c r="AX551" t="s">
        <v>74</v>
      </c>
      <c r="AY551" t="s">
        <v>74</v>
      </c>
      <c r="AZ551" t="s">
        <v>74</v>
      </c>
      <c r="BA551" t="s">
        <v>74</v>
      </c>
      <c r="BB551" t="s">
        <v>74</v>
      </c>
      <c r="BC551" t="s">
        <v>74</v>
      </c>
      <c r="BD551">
        <v>100160</v>
      </c>
      <c r="BE551" t="s">
        <v>10793</v>
      </c>
      <c r="BF551" t="str">
        <f>HYPERLINK("http://dx.doi.org/10.1016/j.snr.2023.100160","http://dx.doi.org/10.1016/j.snr.2023.100160")</f>
        <v>http://dx.doi.org/10.1016/j.snr.2023.100160</v>
      </c>
      <c r="BG551" t="s">
        <v>74</v>
      </c>
      <c r="BH551" t="s">
        <v>563</v>
      </c>
      <c r="BI551">
        <v>23</v>
      </c>
      <c r="BJ551" t="s">
        <v>10794</v>
      </c>
      <c r="BK551" t="s">
        <v>155</v>
      </c>
      <c r="BL551" t="s">
        <v>10795</v>
      </c>
      <c r="BM551" t="s">
        <v>10796</v>
      </c>
      <c r="BN551" t="s">
        <v>74</v>
      </c>
      <c r="BO551" t="s">
        <v>185</v>
      </c>
      <c r="BP551" t="s">
        <v>74</v>
      </c>
      <c r="BQ551" t="s">
        <v>74</v>
      </c>
      <c r="BR551" t="s">
        <v>105</v>
      </c>
      <c r="BS551" t="s">
        <v>10797</v>
      </c>
      <c r="BT551" t="str">
        <f>HYPERLINK("https%3A%2F%2Fwww.webofscience.com%2Fwos%2Fwoscc%2Ffull-record%2FWOS:001004958600001","View Full Record in Web of Science")</f>
        <v>View Full Record in Web of Science</v>
      </c>
    </row>
    <row r="552" spans="1:72" x14ac:dyDescent="0.25">
      <c r="A552" t="s">
        <v>72</v>
      </c>
      <c r="B552" t="s">
        <v>10798</v>
      </c>
      <c r="C552" t="s">
        <v>74</v>
      </c>
      <c r="D552" t="s">
        <v>74</v>
      </c>
      <c r="E552" t="s">
        <v>74</v>
      </c>
      <c r="F552" t="s">
        <v>10799</v>
      </c>
      <c r="G552" t="s">
        <v>74</v>
      </c>
      <c r="H552" t="s">
        <v>74</v>
      </c>
      <c r="I552" t="s">
        <v>10800</v>
      </c>
      <c r="J552" t="s">
        <v>10801</v>
      </c>
      <c r="K552" t="s">
        <v>74</v>
      </c>
      <c r="L552" t="s">
        <v>74</v>
      </c>
      <c r="M552" t="s">
        <v>78</v>
      </c>
      <c r="N552" t="s">
        <v>79</v>
      </c>
      <c r="O552" t="s">
        <v>74</v>
      </c>
      <c r="P552" t="s">
        <v>74</v>
      </c>
      <c r="Q552" t="s">
        <v>74</v>
      </c>
      <c r="R552" t="s">
        <v>74</v>
      </c>
      <c r="S552" t="s">
        <v>74</v>
      </c>
      <c r="T552" t="s">
        <v>10802</v>
      </c>
      <c r="U552" t="s">
        <v>10803</v>
      </c>
      <c r="V552" t="s">
        <v>10804</v>
      </c>
      <c r="W552" t="s">
        <v>10805</v>
      </c>
      <c r="X552" t="s">
        <v>10806</v>
      </c>
      <c r="Y552" t="s">
        <v>10807</v>
      </c>
      <c r="Z552" t="s">
        <v>10808</v>
      </c>
      <c r="AA552" t="s">
        <v>10809</v>
      </c>
      <c r="AB552" t="s">
        <v>74</v>
      </c>
      <c r="AC552" t="s">
        <v>74</v>
      </c>
      <c r="AD552" t="s">
        <v>74</v>
      </c>
      <c r="AE552" t="s">
        <v>74</v>
      </c>
      <c r="AF552" t="s">
        <v>74</v>
      </c>
      <c r="AG552">
        <v>127</v>
      </c>
      <c r="AH552">
        <v>18</v>
      </c>
      <c r="AI552">
        <v>18</v>
      </c>
      <c r="AJ552">
        <v>11</v>
      </c>
      <c r="AK552">
        <v>68</v>
      </c>
      <c r="AL552" t="s">
        <v>274</v>
      </c>
      <c r="AM552" t="s">
        <v>275</v>
      </c>
      <c r="AN552" t="s">
        <v>276</v>
      </c>
      <c r="AO552" t="s">
        <v>10810</v>
      </c>
      <c r="AP552" t="s">
        <v>10811</v>
      </c>
      <c r="AQ552" t="s">
        <v>74</v>
      </c>
      <c r="AR552" t="s">
        <v>10812</v>
      </c>
      <c r="AS552" t="s">
        <v>10813</v>
      </c>
      <c r="AT552" t="s">
        <v>6186</v>
      </c>
      <c r="AU552">
        <v>2023</v>
      </c>
      <c r="AV552">
        <v>81</v>
      </c>
      <c r="AW552">
        <v>1</v>
      </c>
      <c r="AX552" t="s">
        <v>74</v>
      </c>
      <c r="AY552" t="s">
        <v>74</v>
      </c>
      <c r="AZ552" t="s">
        <v>74</v>
      </c>
      <c r="BA552" t="s">
        <v>74</v>
      </c>
      <c r="BB552" t="s">
        <v>74</v>
      </c>
      <c r="BC552" t="s">
        <v>74</v>
      </c>
      <c r="BD552">
        <v>84</v>
      </c>
      <c r="BE552" t="s">
        <v>10814</v>
      </c>
      <c r="BF552" t="str">
        <f>HYPERLINK("http://dx.doi.org/10.1186/s13690-023-01100-8","http://dx.doi.org/10.1186/s13690-023-01100-8")</f>
        <v>http://dx.doi.org/10.1186/s13690-023-01100-8</v>
      </c>
      <c r="BG552" t="s">
        <v>74</v>
      </c>
      <c r="BH552" t="s">
        <v>74</v>
      </c>
      <c r="BI552">
        <v>21</v>
      </c>
      <c r="BJ552" t="s">
        <v>2512</v>
      </c>
      <c r="BK552" t="s">
        <v>102</v>
      </c>
      <c r="BL552" t="s">
        <v>2512</v>
      </c>
      <c r="BM552" t="s">
        <v>10815</v>
      </c>
      <c r="BN552">
        <v>37158979</v>
      </c>
      <c r="BO552" t="s">
        <v>131</v>
      </c>
      <c r="BP552" t="s">
        <v>74</v>
      </c>
      <c r="BQ552" t="s">
        <v>74</v>
      </c>
      <c r="BR552" t="s">
        <v>105</v>
      </c>
      <c r="BS552" t="s">
        <v>10816</v>
      </c>
      <c r="BT552" t="str">
        <f>HYPERLINK("https%3A%2F%2Fwww.webofscience.com%2Fwos%2Fwoscc%2Ffull-record%2FWOS:000983059500001","View Full Record in Web of Science")</f>
        <v>View Full Record in Web of Science</v>
      </c>
    </row>
    <row r="553" spans="1:72" x14ac:dyDescent="0.25">
      <c r="A553" t="s">
        <v>72</v>
      </c>
      <c r="B553" t="s">
        <v>10817</v>
      </c>
      <c r="C553" t="s">
        <v>74</v>
      </c>
      <c r="D553" t="s">
        <v>74</v>
      </c>
      <c r="E553" t="s">
        <v>74</v>
      </c>
      <c r="F553" t="s">
        <v>10818</v>
      </c>
      <c r="G553" t="s">
        <v>74</v>
      </c>
      <c r="H553" t="s">
        <v>74</v>
      </c>
      <c r="I553" t="s">
        <v>10819</v>
      </c>
      <c r="J553" t="s">
        <v>6115</v>
      </c>
      <c r="K553" t="s">
        <v>74</v>
      </c>
      <c r="L553" t="s">
        <v>74</v>
      </c>
      <c r="M553" t="s">
        <v>78</v>
      </c>
      <c r="N553" t="s">
        <v>79</v>
      </c>
      <c r="O553" t="s">
        <v>74</v>
      </c>
      <c r="P553" t="s">
        <v>74</v>
      </c>
      <c r="Q553" t="s">
        <v>74</v>
      </c>
      <c r="R553" t="s">
        <v>74</v>
      </c>
      <c r="S553" t="s">
        <v>74</v>
      </c>
      <c r="T553" t="s">
        <v>10820</v>
      </c>
      <c r="U553" t="s">
        <v>10821</v>
      </c>
      <c r="V553" t="s">
        <v>10822</v>
      </c>
      <c r="W553" t="s">
        <v>10823</v>
      </c>
      <c r="X553" t="s">
        <v>10824</v>
      </c>
      <c r="Y553" t="s">
        <v>10825</v>
      </c>
      <c r="Z553" t="s">
        <v>10826</v>
      </c>
      <c r="AA553" t="s">
        <v>10827</v>
      </c>
      <c r="AB553" t="s">
        <v>10828</v>
      </c>
      <c r="AC553" t="s">
        <v>74</v>
      </c>
      <c r="AD553" t="s">
        <v>74</v>
      </c>
      <c r="AE553" t="s">
        <v>74</v>
      </c>
      <c r="AF553" t="s">
        <v>74</v>
      </c>
      <c r="AG553">
        <v>58</v>
      </c>
      <c r="AH553">
        <v>3</v>
      </c>
      <c r="AI553">
        <v>3</v>
      </c>
      <c r="AJ553">
        <v>0</v>
      </c>
      <c r="AK553">
        <v>1</v>
      </c>
      <c r="AL553" t="s">
        <v>120</v>
      </c>
      <c r="AM553" t="s">
        <v>121</v>
      </c>
      <c r="AN553" t="s">
        <v>122</v>
      </c>
      <c r="AO553" t="s">
        <v>74</v>
      </c>
      <c r="AP553" t="s">
        <v>6124</v>
      </c>
      <c r="AQ553" t="s">
        <v>74</v>
      </c>
      <c r="AR553" t="s">
        <v>6115</v>
      </c>
      <c r="AS553" t="s">
        <v>6125</v>
      </c>
      <c r="AT553" t="s">
        <v>8419</v>
      </c>
      <c r="AU553">
        <v>2023</v>
      </c>
      <c r="AV553">
        <v>15</v>
      </c>
      <c r="AW553">
        <v>9</v>
      </c>
      <c r="AX553" t="s">
        <v>74</v>
      </c>
      <c r="AY553" t="s">
        <v>74</v>
      </c>
      <c r="AZ553" t="s">
        <v>74</v>
      </c>
      <c r="BA553" t="s">
        <v>74</v>
      </c>
      <c r="BB553" t="s">
        <v>74</v>
      </c>
      <c r="BC553" t="s">
        <v>74</v>
      </c>
      <c r="BD553">
        <v>2625</v>
      </c>
      <c r="BE553" t="s">
        <v>10829</v>
      </c>
      <c r="BF553" t="str">
        <f>HYPERLINK("http://dx.doi.org/10.3390/cancers15092625","http://dx.doi.org/10.3390/cancers15092625")</f>
        <v>http://dx.doi.org/10.3390/cancers15092625</v>
      </c>
      <c r="BG553" t="s">
        <v>74</v>
      </c>
      <c r="BH553" t="s">
        <v>74</v>
      </c>
      <c r="BI553">
        <v>13</v>
      </c>
      <c r="BJ553" t="s">
        <v>4032</v>
      </c>
      <c r="BK553" t="s">
        <v>182</v>
      </c>
      <c r="BL553" t="s">
        <v>4032</v>
      </c>
      <c r="BM553" t="s">
        <v>10830</v>
      </c>
      <c r="BN553">
        <v>37174091</v>
      </c>
      <c r="BO553" t="s">
        <v>131</v>
      </c>
      <c r="BP553" t="s">
        <v>74</v>
      </c>
      <c r="BQ553" t="s">
        <v>74</v>
      </c>
      <c r="BR553" t="s">
        <v>105</v>
      </c>
      <c r="BS553" t="s">
        <v>10831</v>
      </c>
      <c r="BT553" t="str">
        <f>HYPERLINK("https%3A%2F%2Fwww.webofscience.com%2Fwos%2Fwoscc%2Ffull-record%2FWOS:000986927200001","View Full Record in Web of Science")</f>
        <v>View Full Record in Web of Science</v>
      </c>
    </row>
    <row r="554" spans="1:72" x14ac:dyDescent="0.25">
      <c r="A554" t="s">
        <v>72</v>
      </c>
      <c r="B554" t="s">
        <v>10832</v>
      </c>
      <c r="C554" t="s">
        <v>74</v>
      </c>
      <c r="D554" t="s">
        <v>74</v>
      </c>
      <c r="E554" t="s">
        <v>74</v>
      </c>
      <c r="F554" t="s">
        <v>10833</v>
      </c>
      <c r="G554" t="s">
        <v>74</v>
      </c>
      <c r="H554" t="s">
        <v>74</v>
      </c>
      <c r="I554" t="s">
        <v>10834</v>
      </c>
      <c r="J554" t="s">
        <v>110</v>
      </c>
      <c r="K554" t="s">
        <v>74</v>
      </c>
      <c r="L554" t="s">
        <v>74</v>
      </c>
      <c r="M554" t="s">
        <v>78</v>
      </c>
      <c r="N554" t="s">
        <v>79</v>
      </c>
      <c r="O554" t="s">
        <v>74</v>
      </c>
      <c r="P554" t="s">
        <v>74</v>
      </c>
      <c r="Q554" t="s">
        <v>74</v>
      </c>
      <c r="R554" t="s">
        <v>74</v>
      </c>
      <c r="S554" t="s">
        <v>74</v>
      </c>
      <c r="T554" t="s">
        <v>10835</v>
      </c>
      <c r="U554" t="s">
        <v>10836</v>
      </c>
      <c r="V554" t="s">
        <v>10837</v>
      </c>
      <c r="W554" t="s">
        <v>10838</v>
      </c>
      <c r="X554" t="s">
        <v>10839</v>
      </c>
      <c r="Y554" t="s">
        <v>10840</v>
      </c>
      <c r="Z554" t="s">
        <v>10841</v>
      </c>
      <c r="AA554" t="s">
        <v>10842</v>
      </c>
      <c r="AB554" t="s">
        <v>10843</v>
      </c>
      <c r="AC554" t="s">
        <v>7754</v>
      </c>
      <c r="AD554" t="s">
        <v>7755</v>
      </c>
      <c r="AE554" t="s">
        <v>10844</v>
      </c>
      <c r="AF554" t="s">
        <v>74</v>
      </c>
      <c r="AG554">
        <v>57</v>
      </c>
      <c r="AH554">
        <v>9</v>
      </c>
      <c r="AI554">
        <v>10</v>
      </c>
      <c r="AJ554">
        <v>3</v>
      </c>
      <c r="AK554">
        <v>7</v>
      </c>
      <c r="AL554" t="s">
        <v>120</v>
      </c>
      <c r="AM554" t="s">
        <v>121</v>
      </c>
      <c r="AN554" t="s">
        <v>122</v>
      </c>
      <c r="AO554" t="s">
        <v>74</v>
      </c>
      <c r="AP554" t="s">
        <v>123</v>
      </c>
      <c r="AQ554" t="s">
        <v>74</v>
      </c>
      <c r="AR554" t="s">
        <v>124</v>
      </c>
      <c r="AS554" t="s">
        <v>125</v>
      </c>
      <c r="AT554" t="s">
        <v>10845</v>
      </c>
      <c r="AU554">
        <v>2023</v>
      </c>
      <c r="AV554">
        <v>12</v>
      </c>
      <c r="AW554">
        <v>9</v>
      </c>
      <c r="AX554" t="s">
        <v>74</v>
      </c>
      <c r="AY554" t="s">
        <v>74</v>
      </c>
      <c r="AZ554" t="s">
        <v>74</v>
      </c>
      <c r="BA554" t="s">
        <v>74</v>
      </c>
      <c r="BB554" t="s">
        <v>74</v>
      </c>
      <c r="BC554" t="s">
        <v>74</v>
      </c>
      <c r="BD554">
        <v>3278</v>
      </c>
      <c r="BE554" t="s">
        <v>10846</v>
      </c>
      <c r="BF554" t="str">
        <f>HYPERLINK("http://dx.doi.org/10.3390/jcm12093278","http://dx.doi.org/10.3390/jcm12093278")</f>
        <v>http://dx.doi.org/10.3390/jcm12093278</v>
      </c>
      <c r="BG554" t="s">
        <v>74</v>
      </c>
      <c r="BH554" t="s">
        <v>74</v>
      </c>
      <c r="BI554">
        <v>13</v>
      </c>
      <c r="BJ554" t="s">
        <v>128</v>
      </c>
      <c r="BK554" t="s">
        <v>182</v>
      </c>
      <c r="BL554" t="s">
        <v>129</v>
      </c>
      <c r="BM554" t="s">
        <v>10847</v>
      </c>
      <c r="BN554">
        <v>37176718</v>
      </c>
      <c r="BO554" t="s">
        <v>131</v>
      </c>
      <c r="BP554" t="s">
        <v>74</v>
      </c>
      <c r="BQ554" t="s">
        <v>74</v>
      </c>
      <c r="BR554" t="s">
        <v>105</v>
      </c>
      <c r="BS554" t="s">
        <v>10848</v>
      </c>
      <c r="BT554" t="str">
        <f>HYPERLINK("https%3A%2F%2Fwww.webofscience.com%2Fwos%2Fwoscc%2Ffull-record%2FWOS:000987625900001","View Full Record in Web of Science")</f>
        <v>View Full Record in Web of Science</v>
      </c>
    </row>
    <row r="555" spans="1:72" x14ac:dyDescent="0.25">
      <c r="A555" t="s">
        <v>72</v>
      </c>
      <c r="B555" t="s">
        <v>10849</v>
      </c>
      <c r="C555" t="s">
        <v>74</v>
      </c>
      <c r="D555" t="s">
        <v>74</v>
      </c>
      <c r="E555" t="s">
        <v>74</v>
      </c>
      <c r="F555" t="s">
        <v>10850</v>
      </c>
      <c r="G555" t="s">
        <v>74</v>
      </c>
      <c r="H555" t="s">
        <v>74</v>
      </c>
      <c r="I555" t="s">
        <v>10851</v>
      </c>
      <c r="J555" t="s">
        <v>10852</v>
      </c>
      <c r="K555" t="s">
        <v>74</v>
      </c>
      <c r="L555" t="s">
        <v>74</v>
      </c>
      <c r="M555" t="s">
        <v>78</v>
      </c>
      <c r="N555" t="s">
        <v>79</v>
      </c>
      <c r="O555" t="s">
        <v>74</v>
      </c>
      <c r="P555" t="s">
        <v>74</v>
      </c>
      <c r="Q555" t="s">
        <v>74</v>
      </c>
      <c r="R555" t="s">
        <v>74</v>
      </c>
      <c r="S555" t="s">
        <v>74</v>
      </c>
      <c r="T555" t="s">
        <v>10853</v>
      </c>
      <c r="U555" t="s">
        <v>10854</v>
      </c>
      <c r="V555" t="s">
        <v>10855</v>
      </c>
      <c r="W555" t="s">
        <v>10856</v>
      </c>
      <c r="X555" t="s">
        <v>10857</v>
      </c>
      <c r="Y555" t="s">
        <v>10858</v>
      </c>
      <c r="Z555" t="s">
        <v>10859</v>
      </c>
      <c r="AA555" t="s">
        <v>10860</v>
      </c>
      <c r="AB555" t="s">
        <v>10861</v>
      </c>
      <c r="AC555" t="s">
        <v>10862</v>
      </c>
      <c r="AD555" t="s">
        <v>10863</v>
      </c>
      <c r="AE555" t="s">
        <v>10864</v>
      </c>
      <c r="AF555" t="s">
        <v>74</v>
      </c>
      <c r="AG555">
        <v>77</v>
      </c>
      <c r="AH555">
        <v>7</v>
      </c>
      <c r="AI555">
        <v>8</v>
      </c>
      <c r="AJ555">
        <v>10</v>
      </c>
      <c r="AK555">
        <v>52</v>
      </c>
      <c r="AL555" t="s">
        <v>392</v>
      </c>
      <c r="AM555" t="s">
        <v>393</v>
      </c>
      <c r="AN555" t="s">
        <v>394</v>
      </c>
      <c r="AO555" t="s">
        <v>74</v>
      </c>
      <c r="AP555" t="s">
        <v>10865</v>
      </c>
      <c r="AQ555" t="s">
        <v>74</v>
      </c>
      <c r="AR555" t="s">
        <v>10866</v>
      </c>
      <c r="AS555" t="s">
        <v>10867</v>
      </c>
      <c r="AT555" t="s">
        <v>959</v>
      </c>
      <c r="AU555">
        <v>2023</v>
      </c>
      <c r="AV555">
        <v>14</v>
      </c>
      <c r="AW555" t="s">
        <v>74</v>
      </c>
      <c r="AX555" t="s">
        <v>74</v>
      </c>
      <c r="AY555" t="s">
        <v>74</v>
      </c>
      <c r="AZ555" t="s">
        <v>74</v>
      </c>
      <c r="BA555" t="s">
        <v>74</v>
      </c>
      <c r="BB555" t="s">
        <v>74</v>
      </c>
      <c r="BC555" t="s">
        <v>74</v>
      </c>
      <c r="BD555">
        <v>1172958</v>
      </c>
      <c r="BE555" t="s">
        <v>10868</v>
      </c>
      <c r="BF555" t="str">
        <f>HYPERLINK("http://dx.doi.org/10.3389/fphys.2023.1172958","http://dx.doi.org/10.3389/fphys.2023.1172958")</f>
        <v>http://dx.doi.org/10.3389/fphys.2023.1172958</v>
      </c>
      <c r="BG555" t="s">
        <v>74</v>
      </c>
      <c r="BH555" t="s">
        <v>74</v>
      </c>
      <c r="BI555">
        <v>13</v>
      </c>
      <c r="BJ555" t="s">
        <v>10869</v>
      </c>
      <c r="BK555" t="s">
        <v>182</v>
      </c>
      <c r="BL555" t="s">
        <v>10869</v>
      </c>
      <c r="BM555" t="s">
        <v>10870</v>
      </c>
      <c r="BN555">
        <v>37256069</v>
      </c>
      <c r="BO555" t="s">
        <v>131</v>
      </c>
      <c r="BP555" t="s">
        <v>74</v>
      </c>
      <c r="BQ555" t="s">
        <v>74</v>
      </c>
      <c r="BR555" t="s">
        <v>105</v>
      </c>
      <c r="BS555" t="s">
        <v>10871</v>
      </c>
      <c r="BT555" t="str">
        <f>HYPERLINK("https%3A%2F%2Fwww.webofscience.com%2Fwos%2Fwoscc%2Ffull-record%2FWOS:001000453500001","View Full Record in Web of Science")</f>
        <v>View Full Record in Web of Science</v>
      </c>
    </row>
    <row r="556" spans="1:72" x14ac:dyDescent="0.25">
      <c r="A556" t="s">
        <v>72</v>
      </c>
      <c r="B556" t="s">
        <v>10872</v>
      </c>
      <c r="C556" t="s">
        <v>74</v>
      </c>
      <c r="D556" t="s">
        <v>74</v>
      </c>
      <c r="E556" t="s">
        <v>74</v>
      </c>
      <c r="F556" t="s">
        <v>10873</v>
      </c>
      <c r="G556" t="s">
        <v>74</v>
      </c>
      <c r="H556" t="s">
        <v>74</v>
      </c>
      <c r="I556" t="s">
        <v>10874</v>
      </c>
      <c r="J556" t="s">
        <v>77</v>
      </c>
      <c r="K556" t="s">
        <v>74</v>
      </c>
      <c r="L556" t="s">
        <v>74</v>
      </c>
      <c r="M556" t="s">
        <v>78</v>
      </c>
      <c r="N556" t="s">
        <v>79</v>
      </c>
      <c r="O556" t="s">
        <v>74</v>
      </c>
      <c r="P556" t="s">
        <v>74</v>
      </c>
      <c r="Q556" t="s">
        <v>74</v>
      </c>
      <c r="R556" t="s">
        <v>74</v>
      </c>
      <c r="S556" t="s">
        <v>74</v>
      </c>
      <c r="T556" t="s">
        <v>10875</v>
      </c>
      <c r="U556" t="s">
        <v>10876</v>
      </c>
      <c r="V556" t="s">
        <v>10877</v>
      </c>
      <c r="W556" t="s">
        <v>10878</v>
      </c>
      <c r="X556" t="s">
        <v>10879</v>
      </c>
      <c r="Y556" t="s">
        <v>10880</v>
      </c>
      <c r="Z556" t="s">
        <v>10881</v>
      </c>
      <c r="AA556" t="s">
        <v>10882</v>
      </c>
      <c r="AB556" t="s">
        <v>10883</v>
      </c>
      <c r="AC556" t="s">
        <v>74</v>
      </c>
      <c r="AD556" t="s">
        <v>74</v>
      </c>
      <c r="AE556" t="s">
        <v>74</v>
      </c>
      <c r="AF556" t="s">
        <v>74</v>
      </c>
      <c r="AG556">
        <v>116</v>
      </c>
      <c r="AH556">
        <v>2</v>
      </c>
      <c r="AI556">
        <v>2</v>
      </c>
      <c r="AJ556">
        <v>2</v>
      </c>
      <c r="AK556">
        <v>7</v>
      </c>
      <c r="AL556" t="s">
        <v>92</v>
      </c>
      <c r="AM556" t="s">
        <v>93</v>
      </c>
      <c r="AN556" t="s">
        <v>94</v>
      </c>
      <c r="AO556" t="s">
        <v>95</v>
      </c>
      <c r="AP556" t="s">
        <v>96</v>
      </c>
      <c r="AQ556" t="s">
        <v>74</v>
      </c>
      <c r="AR556" t="s">
        <v>97</v>
      </c>
      <c r="AS556" t="s">
        <v>98</v>
      </c>
      <c r="AT556" t="s">
        <v>8553</v>
      </c>
      <c r="AU556">
        <v>2024</v>
      </c>
      <c r="AV556">
        <v>46</v>
      </c>
      <c r="AW556">
        <v>9</v>
      </c>
      <c r="AX556" t="s">
        <v>74</v>
      </c>
      <c r="AY556" t="s">
        <v>74</v>
      </c>
      <c r="AZ556" t="s">
        <v>74</v>
      </c>
      <c r="BA556" t="s">
        <v>74</v>
      </c>
      <c r="BB556">
        <v>1662</v>
      </c>
      <c r="BC556">
        <v>1672</v>
      </c>
      <c r="BD556" t="s">
        <v>74</v>
      </c>
      <c r="BE556" t="s">
        <v>10884</v>
      </c>
      <c r="BF556" t="str">
        <f>HYPERLINK("http://dx.doi.org/10.1080/09638288.2023.2201514","http://dx.doi.org/10.1080/09638288.2023.2201514")</f>
        <v>http://dx.doi.org/10.1080/09638288.2023.2201514</v>
      </c>
      <c r="BG556" t="s">
        <v>74</v>
      </c>
      <c r="BH556" t="s">
        <v>563</v>
      </c>
      <c r="BI556">
        <v>11</v>
      </c>
      <c r="BJ556" t="s">
        <v>101</v>
      </c>
      <c r="BK556" t="s">
        <v>102</v>
      </c>
      <c r="BL556" t="s">
        <v>101</v>
      </c>
      <c r="BM556" t="s">
        <v>10885</v>
      </c>
      <c r="BN556">
        <v>37132669</v>
      </c>
      <c r="BO556" t="s">
        <v>309</v>
      </c>
      <c r="BP556" t="s">
        <v>74</v>
      </c>
      <c r="BQ556" t="s">
        <v>74</v>
      </c>
      <c r="BR556" t="s">
        <v>105</v>
      </c>
      <c r="BS556" t="s">
        <v>10886</v>
      </c>
      <c r="BT556" t="str">
        <f>HYPERLINK("https%3A%2F%2Fwww.webofscience.com%2Fwos%2Fwoscc%2Ffull-record%2FWOS:000979851000001","View Full Record in Web of Science")</f>
        <v>View Full Record in Web of Science</v>
      </c>
    </row>
    <row r="557" spans="1:72" x14ac:dyDescent="0.25">
      <c r="A557" t="s">
        <v>72</v>
      </c>
      <c r="B557" t="s">
        <v>10887</v>
      </c>
      <c r="C557" t="s">
        <v>74</v>
      </c>
      <c r="D557" t="s">
        <v>74</v>
      </c>
      <c r="E557" t="s">
        <v>74</v>
      </c>
      <c r="F557" t="s">
        <v>10888</v>
      </c>
      <c r="G557" t="s">
        <v>74</v>
      </c>
      <c r="H557" t="s">
        <v>74</v>
      </c>
      <c r="I557" t="s">
        <v>10889</v>
      </c>
      <c r="J557" t="s">
        <v>10890</v>
      </c>
      <c r="K557" t="s">
        <v>74</v>
      </c>
      <c r="L557" t="s">
        <v>74</v>
      </c>
      <c r="M557" t="s">
        <v>78</v>
      </c>
      <c r="N557" t="s">
        <v>79</v>
      </c>
      <c r="O557" t="s">
        <v>74</v>
      </c>
      <c r="P557" t="s">
        <v>74</v>
      </c>
      <c r="Q557" t="s">
        <v>74</v>
      </c>
      <c r="R557" t="s">
        <v>74</v>
      </c>
      <c r="S557" t="s">
        <v>74</v>
      </c>
      <c r="T557" t="s">
        <v>10891</v>
      </c>
      <c r="U557" t="s">
        <v>10892</v>
      </c>
      <c r="V557" t="s">
        <v>10893</v>
      </c>
      <c r="W557" t="s">
        <v>10894</v>
      </c>
      <c r="X557" t="s">
        <v>10895</v>
      </c>
      <c r="Y557" t="s">
        <v>10807</v>
      </c>
      <c r="Z557" t="s">
        <v>10808</v>
      </c>
      <c r="AA557" t="s">
        <v>10896</v>
      </c>
      <c r="AB557" t="s">
        <v>10897</v>
      </c>
      <c r="AC557" t="s">
        <v>10898</v>
      </c>
      <c r="AD557" t="s">
        <v>10899</v>
      </c>
      <c r="AE557" t="s">
        <v>10900</v>
      </c>
      <c r="AF557" t="s">
        <v>74</v>
      </c>
      <c r="AG557">
        <v>75</v>
      </c>
      <c r="AH557">
        <v>2</v>
      </c>
      <c r="AI557">
        <v>2</v>
      </c>
      <c r="AJ557">
        <v>5</v>
      </c>
      <c r="AK557">
        <v>26</v>
      </c>
      <c r="AL557" t="s">
        <v>297</v>
      </c>
      <c r="AM557" t="s">
        <v>298</v>
      </c>
      <c r="AN557" t="s">
        <v>299</v>
      </c>
      <c r="AO557" t="s">
        <v>74</v>
      </c>
      <c r="AP557" t="s">
        <v>10901</v>
      </c>
      <c r="AQ557" t="s">
        <v>74</v>
      </c>
      <c r="AR557" t="s">
        <v>10902</v>
      </c>
      <c r="AS557" t="s">
        <v>10903</v>
      </c>
      <c r="AT557" t="s">
        <v>326</v>
      </c>
      <c r="AU557">
        <v>2023</v>
      </c>
      <c r="AV557">
        <v>6</v>
      </c>
      <c r="AW557">
        <v>5</v>
      </c>
      <c r="AX557" t="s">
        <v>74</v>
      </c>
      <c r="AY557" t="s">
        <v>74</v>
      </c>
      <c r="AZ557" t="s">
        <v>74</v>
      </c>
      <c r="BA557" t="s">
        <v>74</v>
      </c>
      <c r="BB557" t="s">
        <v>74</v>
      </c>
      <c r="BC557" t="s">
        <v>74</v>
      </c>
      <c r="BD557" t="s">
        <v>10904</v>
      </c>
      <c r="BE557" t="s">
        <v>10905</v>
      </c>
      <c r="BF557" t="str">
        <f>HYPERLINK("http://dx.doi.org/10.1002/hsr2.1255","http://dx.doi.org/10.1002/hsr2.1255")</f>
        <v>http://dx.doi.org/10.1002/hsr2.1255</v>
      </c>
      <c r="BG557" t="s">
        <v>74</v>
      </c>
      <c r="BH557" t="s">
        <v>74</v>
      </c>
      <c r="BI557">
        <v>17</v>
      </c>
      <c r="BJ557" t="s">
        <v>10906</v>
      </c>
      <c r="BK557" t="s">
        <v>155</v>
      </c>
      <c r="BL557" t="s">
        <v>10907</v>
      </c>
      <c r="BM557" t="s">
        <v>10908</v>
      </c>
      <c r="BN557">
        <v>37187505</v>
      </c>
      <c r="BO557" t="s">
        <v>355</v>
      </c>
      <c r="BP557" t="s">
        <v>74</v>
      </c>
      <c r="BQ557" t="s">
        <v>74</v>
      </c>
      <c r="BR557" t="s">
        <v>105</v>
      </c>
      <c r="BS557" t="s">
        <v>10909</v>
      </c>
      <c r="BT557" t="str">
        <f>HYPERLINK("https%3A%2F%2Fwww.webofscience.com%2Fwos%2Fwoscc%2Ffull-record%2FWOS:000986001700001","View Full Record in Web of Science")</f>
        <v>View Full Record in Web of Science</v>
      </c>
    </row>
    <row r="558" spans="1:72" x14ac:dyDescent="0.25">
      <c r="A558" t="s">
        <v>72</v>
      </c>
      <c r="B558" t="s">
        <v>10910</v>
      </c>
      <c r="C558" t="s">
        <v>74</v>
      </c>
      <c r="D558" t="s">
        <v>74</v>
      </c>
      <c r="E558" t="s">
        <v>74</v>
      </c>
      <c r="F558" t="s">
        <v>10911</v>
      </c>
      <c r="G558" t="s">
        <v>74</v>
      </c>
      <c r="H558" t="s">
        <v>74</v>
      </c>
      <c r="I558" t="s">
        <v>10912</v>
      </c>
      <c r="J558" t="s">
        <v>2543</v>
      </c>
      <c r="K558" t="s">
        <v>74</v>
      </c>
      <c r="L558" t="s">
        <v>74</v>
      </c>
      <c r="M558" t="s">
        <v>78</v>
      </c>
      <c r="N558" t="s">
        <v>79</v>
      </c>
      <c r="O558" t="s">
        <v>74</v>
      </c>
      <c r="P558" t="s">
        <v>74</v>
      </c>
      <c r="Q558" t="s">
        <v>74</v>
      </c>
      <c r="R558" t="s">
        <v>74</v>
      </c>
      <c r="S558" t="s">
        <v>74</v>
      </c>
      <c r="T558" t="s">
        <v>10913</v>
      </c>
      <c r="U558" t="s">
        <v>10914</v>
      </c>
      <c r="V558" t="s">
        <v>10915</v>
      </c>
      <c r="W558" t="s">
        <v>10916</v>
      </c>
      <c r="X558" t="s">
        <v>7751</v>
      </c>
      <c r="Y558" t="s">
        <v>10917</v>
      </c>
      <c r="Z558" t="s">
        <v>10918</v>
      </c>
      <c r="AA558" t="s">
        <v>10919</v>
      </c>
      <c r="AB558" t="s">
        <v>10920</v>
      </c>
      <c r="AC558" t="s">
        <v>74</v>
      </c>
      <c r="AD558" t="s">
        <v>74</v>
      </c>
      <c r="AE558" t="s">
        <v>74</v>
      </c>
      <c r="AF558" t="s">
        <v>74</v>
      </c>
      <c r="AG558">
        <v>70</v>
      </c>
      <c r="AH558">
        <v>6</v>
      </c>
      <c r="AI558">
        <v>6</v>
      </c>
      <c r="AJ558">
        <v>0</v>
      </c>
      <c r="AK558">
        <v>4</v>
      </c>
      <c r="AL558" t="s">
        <v>120</v>
      </c>
      <c r="AM558" t="s">
        <v>121</v>
      </c>
      <c r="AN558" t="s">
        <v>1221</v>
      </c>
      <c r="AO558" t="s">
        <v>74</v>
      </c>
      <c r="AP558" t="s">
        <v>2553</v>
      </c>
      <c r="AQ558" t="s">
        <v>74</v>
      </c>
      <c r="AR558" t="s">
        <v>2554</v>
      </c>
      <c r="AS558" t="s">
        <v>2555</v>
      </c>
      <c r="AT558" t="s">
        <v>10921</v>
      </c>
      <c r="AU558">
        <v>2023</v>
      </c>
      <c r="AV558">
        <v>13</v>
      </c>
      <c r="AW558">
        <v>5</v>
      </c>
      <c r="AX558" t="s">
        <v>74</v>
      </c>
      <c r="AY558" t="s">
        <v>74</v>
      </c>
      <c r="AZ558" t="s">
        <v>74</v>
      </c>
      <c r="BA558" t="s">
        <v>74</v>
      </c>
      <c r="BB558" t="s">
        <v>74</v>
      </c>
      <c r="BC558" t="s">
        <v>74</v>
      </c>
      <c r="BD558">
        <v>703</v>
      </c>
      <c r="BE558" t="s">
        <v>10922</v>
      </c>
      <c r="BF558" t="str">
        <f>HYPERLINK("http://dx.doi.org/10.3390/brainsci13050703","http://dx.doi.org/10.3390/brainsci13050703")</f>
        <v>http://dx.doi.org/10.3390/brainsci13050703</v>
      </c>
      <c r="BG558" t="s">
        <v>74</v>
      </c>
      <c r="BH558" t="s">
        <v>74</v>
      </c>
      <c r="BI558">
        <v>17</v>
      </c>
      <c r="BJ558" t="s">
        <v>374</v>
      </c>
      <c r="BK558" t="s">
        <v>182</v>
      </c>
      <c r="BL558" t="s">
        <v>375</v>
      </c>
      <c r="BM558" t="s">
        <v>10923</v>
      </c>
      <c r="BN558">
        <v>37239175</v>
      </c>
      <c r="BO558" t="s">
        <v>131</v>
      </c>
      <c r="BP558" t="s">
        <v>74</v>
      </c>
      <c r="BQ558" t="s">
        <v>74</v>
      </c>
      <c r="BR558" t="s">
        <v>105</v>
      </c>
      <c r="BS558" t="s">
        <v>10924</v>
      </c>
      <c r="BT558" t="str">
        <f>HYPERLINK("https%3A%2F%2Fwww.webofscience.com%2Fwos%2Fwoscc%2Ffull-record%2FWOS:000993671300001","View Full Record in Web of Science")</f>
        <v>View Full Record in Web of Science</v>
      </c>
    </row>
    <row r="559" spans="1:72" x14ac:dyDescent="0.25">
      <c r="A559" t="s">
        <v>72</v>
      </c>
      <c r="B559" t="s">
        <v>10925</v>
      </c>
      <c r="C559" t="s">
        <v>74</v>
      </c>
      <c r="D559" t="s">
        <v>74</v>
      </c>
      <c r="E559" t="s">
        <v>74</v>
      </c>
      <c r="F559" t="s">
        <v>10926</v>
      </c>
      <c r="G559" t="s">
        <v>74</v>
      </c>
      <c r="H559" t="s">
        <v>74</v>
      </c>
      <c r="I559" t="s">
        <v>10927</v>
      </c>
      <c r="J559" t="s">
        <v>10928</v>
      </c>
      <c r="K559" t="s">
        <v>74</v>
      </c>
      <c r="L559" t="s">
        <v>74</v>
      </c>
      <c r="M559" t="s">
        <v>78</v>
      </c>
      <c r="N559" t="s">
        <v>79</v>
      </c>
      <c r="O559" t="s">
        <v>74</v>
      </c>
      <c r="P559" t="s">
        <v>74</v>
      </c>
      <c r="Q559" t="s">
        <v>74</v>
      </c>
      <c r="R559" t="s">
        <v>74</v>
      </c>
      <c r="S559" t="s">
        <v>74</v>
      </c>
      <c r="T559" t="s">
        <v>10929</v>
      </c>
      <c r="U559" t="s">
        <v>10930</v>
      </c>
      <c r="V559" t="s">
        <v>10931</v>
      </c>
      <c r="W559" t="s">
        <v>10932</v>
      </c>
      <c r="X559" t="s">
        <v>74</v>
      </c>
      <c r="Y559" t="s">
        <v>10933</v>
      </c>
      <c r="Z559" t="s">
        <v>10934</v>
      </c>
      <c r="AA559" t="s">
        <v>74</v>
      </c>
      <c r="AB559" t="s">
        <v>10935</v>
      </c>
      <c r="AC559" t="s">
        <v>74</v>
      </c>
      <c r="AD559" t="s">
        <v>74</v>
      </c>
      <c r="AE559" t="s">
        <v>74</v>
      </c>
      <c r="AF559" t="s">
        <v>74</v>
      </c>
      <c r="AG559">
        <v>31</v>
      </c>
      <c r="AH559">
        <v>0</v>
      </c>
      <c r="AI559">
        <v>1</v>
      </c>
      <c r="AJ559">
        <v>0</v>
      </c>
      <c r="AK559">
        <v>0</v>
      </c>
      <c r="AL559" t="s">
        <v>3545</v>
      </c>
      <c r="AM559" t="s">
        <v>3546</v>
      </c>
      <c r="AN559" t="s">
        <v>3547</v>
      </c>
      <c r="AO559" t="s">
        <v>74</v>
      </c>
      <c r="AP559" t="s">
        <v>10936</v>
      </c>
      <c r="AQ559" t="s">
        <v>74</v>
      </c>
      <c r="AR559" t="s">
        <v>10937</v>
      </c>
      <c r="AS559" t="s">
        <v>10938</v>
      </c>
      <c r="AT559" t="s">
        <v>10939</v>
      </c>
      <c r="AU559">
        <v>2023</v>
      </c>
      <c r="AV559">
        <v>24</v>
      </c>
      <c r="AW559" t="s">
        <v>74</v>
      </c>
      <c r="AX559" t="s">
        <v>74</v>
      </c>
      <c r="AY559" t="s">
        <v>74</v>
      </c>
      <c r="AZ559" t="s">
        <v>74</v>
      </c>
      <c r="BA559" t="s">
        <v>74</v>
      </c>
      <c r="BB559" t="s">
        <v>74</v>
      </c>
      <c r="BC559" t="s">
        <v>74</v>
      </c>
      <c r="BD559" t="s">
        <v>10940</v>
      </c>
      <c r="BE559" t="s">
        <v>10941</v>
      </c>
      <c r="BF559" t="str">
        <f>HYPERLINK("http://dx.doi.org/10.12659/AJCR.938650","http://dx.doi.org/10.12659/AJCR.938650")</f>
        <v>http://dx.doi.org/10.12659/AJCR.938650</v>
      </c>
      <c r="BG559" t="s">
        <v>74</v>
      </c>
      <c r="BH559" t="s">
        <v>74</v>
      </c>
      <c r="BI559">
        <v>6</v>
      </c>
      <c r="BJ559" t="s">
        <v>128</v>
      </c>
      <c r="BK559" t="s">
        <v>155</v>
      </c>
      <c r="BL559" t="s">
        <v>129</v>
      </c>
      <c r="BM559" t="s">
        <v>10942</v>
      </c>
      <c r="BN559">
        <v>37081753</v>
      </c>
      <c r="BO559" t="s">
        <v>662</v>
      </c>
      <c r="BP559" t="s">
        <v>74</v>
      </c>
      <c r="BQ559" t="s">
        <v>74</v>
      </c>
      <c r="BR559" t="s">
        <v>105</v>
      </c>
      <c r="BS559" t="s">
        <v>10943</v>
      </c>
      <c r="BT559" t="str">
        <f>HYPERLINK("https%3A%2F%2Fwww.webofscience.com%2Fwos%2Fwoscc%2Ffull-record%2FWOS:000976120200001","View Full Record in Web of Science")</f>
        <v>View Full Record in Web of Science</v>
      </c>
    </row>
    <row r="560" spans="1:72" x14ac:dyDescent="0.25">
      <c r="A560" t="s">
        <v>72</v>
      </c>
      <c r="B560" t="s">
        <v>10944</v>
      </c>
      <c r="C560" t="s">
        <v>74</v>
      </c>
      <c r="D560" t="s">
        <v>74</v>
      </c>
      <c r="E560" t="s">
        <v>74</v>
      </c>
      <c r="F560" t="s">
        <v>10945</v>
      </c>
      <c r="G560" t="s">
        <v>74</v>
      </c>
      <c r="H560" t="s">
        <v>74</v>
      </c>
      <c r="I560" t="s">
        <v>10946</v>
      </c>
      <c r="J560" t="s">
        <v>1032</v>
      </c>
      <c r="K560" t="s">
        <v>74</v>
      </c>
      <c r="L560" t="s">
        <v>74</v>
      </c>
      <c r="M560" t="s">
        <v>78</v>
      </c>
      <c r="N560" t="s">
        <v>79</v>
      </c>
      <c r="O560" t="s">
        <v>74</v>
      </c>
      <c r="P560" t="s">
        <v>74</v>
      </c>
      <c r="Q560" t="s">
        <v>74</v>
      </c>
      <c r="R560" t="s">
        <v>74</v>
      </c>
      <c r="S560" t="s">
        <v>74</v>
      </c>
      <c r="T560" t="s">
        <v>10947</v>
      </c>
      <c r="U560" t="s">
        <v>10948</v>
      </c>
      <c r="V560" t="s">
        <v>10949</v>
      </c>
      <c r="W560" t="s">
        <v>10950</v>
      </c>
      <c r="X560" t="s">
        <v>10951</v>
      </c>
      <c r="Y560" t="s">
        <v>10952</v>
      </c>
      <c r="Z560" t="s">
        <v>10953</v>
      </c>
      <c r="AA560" t="s">
        <v>10954</v>
      </c>
      <c r="AB560" t="s">
        <v>10955</v>
      </c>
      <c r="AC560" t="s">
        <v>74</v>
      </c>
      <c r="AD560" t="s">
        <v>74</v>
      </c>
      <c r="AE560" t="s">
        <v>74</v>
      </c>
      <c r="AF560" t="s">
        <v>74</v>
      </c>
      <c r="AG560">
        <v>63</v>
      </c>
      <c r="AH560">
        <v>6</v>
      </c>
      <c r="AI560">
        <v>6</v>
      </c>
      <c r="AJ560">
        <v>1</v>
      </c>
      <c r="AK560">
        <v>9</v>
      </c>
      <c r="AL560" t="s">
        <v>1040</v>
      </c>
      <c r="AM560" t="s">
        <v>1041</v>
      </c>
      <c r="AN560" t="s">
        <v>1042</v>
      </c>
      <c r="AO560" t="s">
        <v>1043</v>
      </c>
      <c r="AP560" t="s">
        <v>1044</v>
      </c>
      <c r="AQ560" t="s">
        <v>74</v>
      </c>
      <c r="AR560" t="s">
        <v>1045</v>
      </c>
      <c r="AS560" t="s">
        <v>1046</v>
      </c>
      <c r="AT560" t="s">
        <v>487</v>
      </c>
      <c r="AU560">
        <v>2023</v>
      </c>
      <c r="AV560">
        <v>37</v>
      </c>
      <c r="AW560">
        <v>4</v>
      </c>
      <c r="AX560" t="s">
        <v>74</v>
      </c>
      <c r="AY560" t="s">
        <v>74</v>
      </c>
      <c r="AZ560" t="s">
        <v>74</v>
      </c>
      <c r="BA560" t="s">
        <v>74</v>
      </c>
      <c r="BB560">
        <v>228</v>
      </c>
      <c r="BC560">
        <v>239</v>
      </c>
      <c r="BD560" t="s">
        <v>74</v>
      </c>
      <c r="BE560" t="s">
        <v>10956</v>
      </c>
      <c r="BF560" t="str">
        <f>HYPERLINK("http://dx.doi.org/10.1177/15459683231167850","http://dx.doi.org/10.1177/15459683231167850")</f>
        <v>http://dx.doi.org/10.1177/15459683231167850</v>
      </c>
      <c r="BG560" t="s">
        <v>74</v>
      </c>
      <c r="BH560" t="s">
        <v>10957</v>
      </c>
      <c r="BI560">
        <v>12</v>
      </c>
      <c r="BJ560" t="s">
        <v>1049</v>
      </c>
      <c r="BK560" t="s">
        <v>182</v>
      </c>
      <c r="BL560" t="s">
        <v>1050</v>
      </c>
      <c r="BM560" t="s">
        <v>10958</v>
      </c>
      <c r="BN560">
        <v>37078621</v>
      </c>
      <c r="BO560" t="s">
        <v>74</v>
      </c>
      <c r="BP560" t="s">
        <v>74</v>
      </c>
      <c r="BQ560" t="s">
        <v>74</v>
      </c>
      <c r="BR560" t="s">
        <v>105</v>
      </c>
      <c r="BS560" t="s">
        <v>10959</v>
      </c>
      <c r="BT560" t="str">
        <f>HYPERLINK("https%3A%2F%2Fwww.webofscience.com%2Fwos%2Fwoscc%2Ffull-record%2FWOS:000971417100001","View Full Record in Web of Science")</f>
        <v>View Full Record in Web of Science</v>
      </c>
    </row>
    <row r="561" spans="1:72" x14ac:dyDescent="0.25">
      <c r="A561" t="s">
        <v>72</v>
      </c>
      <c r="B561" t="s">
        <v>10960</v>
      </c>
      <c r="C561" t="s">
        <v>74</v>
      </c>
      <c r="D561" t="s">
        <v>74</v>
      </c>
      <c r="E561" t="s">
        <v>74</v>
      </c>
      <c r="F561" t="s">
        <v>10961</v>
      </c>
      <c r="G561" t="s">
        <v>74</v>
      </c>
      <c r="H561" t="s">
        <v>74</v>
      </c>
      <c r="I561" t="s">
        <v>10962</v>
      </c>
      <c r="J561" t="s">
        <v>594</v>
      </c>
      <c r="K561" t="s">
        <v>74</v>
      </c>
      <c r="L561" t="s">
        <v>74</v>
      </c>
      <c r="M561" t="s">
        <v>78</v>
      </c>
      <c r="N561" t="s">
        <v>79</v>
      </c>
      <c r="O561" t="s">
        <v>74</v>
      </c>
      <c r="P561" t="s">
        <v>74</v>
      </c>
      <c r="Q561" t="s">
        <v>74</v>
      </c>
      <c r="R561" t="s">
        <v>74</v>
      </c>
      <c r="S561" t="s">
        <v>74</v>
      </c>
      <c r="T561" t="s">
        <v>10963</v>
      </c>
      <c r="U561" t="s">
        <v>10964</v>
      </c>
      <c r="V561" t="s">
        <v>10965</v>
      </c>
      <c r="W561" t="s">
        <v>10966</v>
      </c>
      <c r="X561" t="s">
        <v>10967</v>
      </c>
      <c r="Y561" t="s">
        <v>10968</v>
      </c>
      <c r="Z561" t="s">
        <v>10969</v>
      </c>
      <c r="AA561" t="s">
        <v>10970</v>
      </c>
      <c r="AB561" t="s">
        <v>10971</v>
      </c>
      <c r="AC561" t="s">
        <v>10972</v>
      </c>
      <c r="AD561" t="s">
        <v>10972</v>
      </c>
      <c r="AE561" t="s">
        <v>10973</v>
      </c>
      <c r="AF561" t="s">
        <v>74</v>
      </c>
      <c r="AG561">
        <v>82</v>
      </c>
      <c r="AH561">
        <v>10</v>
      </c>
      <c r="AI561">
        <v>10</v>
      </c>
      <c r="AJ561">
        <v>4</v>
      </c>
      <c r="AK561">
        <v>20</v>
      </c>
      <c r="AL561" t="s">
        <v>274</v>
      </c>
      <c r="AM561" t="s">
        <v>275</v>
      </c>
      <c r="AN561" t="s">
        <v>276</v>
      </c>
      <c r="AO561" t="s">
        <v>74</v>
      </c>
      <c r="AP561" t="s">
        <v>606</v>
      </c>
      <c r="AQ561" t="s">
        <v>74</v>
      </c>
      <c r="AR561" t="s">
        <v>607</v>
      </c>
      <c r="AS561" t="s">
        <v>608</v>
      </c>
      <c r="AT561" t="s">
        <v>10974</v>
      </c>
      <c r="AU561">
        <v>2023</v>
      </c>
      <c r="AV561">
        <v>20</v>
      </c>
      <c r="AW561">
        <v>1</v>
      </c>
      <c r="AX561" t="s">
        <v>74</v>
      </c>
      <c r="AY561" t="s">
        <v>74</v>
      </c>
      <c r="AZ561" t="s">
        <v>74</v>
      </c>
      <c r="BA561" t="s">
        <v>74</v>
      </c>
      <c r="BB561" t="s">
        <v>74</v>
      </c>
      <c r="BC561" t="s">
        <v>74</v>
      </c>
      <c r="BD561">
        <v>47</v>
      </c>
      <c r="BE561" t="s">
        <v>10975</v>
      </c>
      <c r="BF561" t="str">
        <f>HYPERLINK("http://dx.doi.org/10.1186/s12984-023-01161-4","http://dx.doi.org/10.1186/s12984-023-01161-4")</f>
        <v>http://dx.doi.org/10.1186/s12984-023-01161-4</v>
      </c>
      <c r="BG561" t="s">
        <v>74</v>
      </c>
      <c r="BH561" t="s">
        <v>74</v>
      </c>
      <c r="BI561">
        <v>15</v>
      </c>
      <c r="BJ561" t="s">
        <v>611</v>
      </c>
      <c r="BK561" t="s">
        <v>182</v>
      </c>
      <c r="BL561" t="s">
        <v>612</v>
      </c>
      <c r="BM561" t="s">
        <v>10976</v>
      </c>
      <c r="BN561">
        <v>37072823</v>
      </c>
      <c r="BO561" t="s">
        <v>131</v>
      </c>
      <c r="BP561" t="s">
        <v>74</v>
      </c>
      <c r="BQ561" t="s">
        <v>74</v>
      </c>
      <c r="BR561" t="s">
        <v>105</v>
      </c>
      <c r="BS561" t="s">
        <v>10977</v>
      </c>
      <c r="BT561" t="str">
        <f>HYPERLINK("https%3A%2F%2Fwww.webofscience.com%2Fwos%2Fwoscc%2Ffull-record%2FWOS:000974826200001","View Full Record in Web of Science")</f>
        <v>View Full Record in Web of Science</v>
      </c>
    </row>
    <row r="562" spans="1:72" x14ac:dyDescent="0.25">
      <c r="A562" t="s">
        <v>72</v>
      </c>
      <c r="B562" t="s">
        <v>10978</v>
      </c>
      <c r="C562" t="s">
        <v>74</v>
      </c>
      <c r="D562" t="s">
        <v>74</v>
      </c>
      <c r="E562" t="s">
        <v>74</v>
      </c>
      <c r="F562" t="s">
        <v>10979</v>
      </c>
      <c r="G562" t="s">
        <v>74</v>
      </c>
      <c r="H562" t="s">
        <v>74</v>
      </c>
      <c r="I562" t="s">
        <v>10980</v>
      </c>
      <c r="J562" t="s">
        <v>10981</v>
      </c>
      <c r="K562" t="s">
        <v>74</v>
      </c>
      <c r="L562" t="s">
        <v>74</v>
      </c>
      <c r="M562" t="s">
        <v>78</v>
      </c>
      <c r="N562" t="s">
        <v>79</v>
      </c>
      <c r="O562" t="s">
        <v>74</v>
      </c>
      <c r="P562" t="s">
        <v>74</v>
      </c>
      <c r="Q562" t="s">
        <v>74</v>
      </c>
      <c r="R562" t="s">
        <v>74</v>
      </c>
      <c r="S562" t="s">
        <v>74</v>
      </c>
      <c r="T562" t="s">
        <v>10982</v>
      </c>
      <c r="U562" t="s">
        <v>10983</v>
      </c>
      <c r="V562" t="s">
        <v>10984</v>
      </c>
      <c r="W562" t="s">
        <v>10985</v>
      </c>
      <c r="X562" t="s">
        <v>10986</v>
      </c>
      <c r="Y562" t="s">
        <v>1950</v>
      </c>
      <c r="Z562" t="s">
        <v>1951</v>
      </c>
      <c r="AA562" t="s">
        <v>10987</v>
      </c>
      <c r="AB562" t="s">
        <v>1953</v>
      </c>
      <c r="AC562" t="s">
        <v>10988</v>
      </c>
      <c r="AD562" t="s">
        <v>10989</v>
      </c>
      <c r="AE562" t="s">
        <v>10990</v>
      </c>
      <c r="AF562" t="s">
        <v>74</v>
      </c>
      <c r="AG562">
        <v>82</v>
      </c>
      <c r="AH562">
        <v>2</v>
      </c>
      <c r="AI562">
        <v>2</v>
      </c>
      <c r="AJ562">
        <v>2</v>
      </c>
      <c r="AK562">
        <v>16</v>
      </c>
      <c r="AL562" t="s">
        <v>10991</v>
      </c>
      <c r="AM562" t="s">
        <v>1349</v>
      </c>
      <c r="AN562" t="s">
        <v>10992</v>
      </c>
      <c r="AO562" t="s">
        <v>10993</v>
      </c>
      <c r="AP562" t="s">
        <v>74</v>
      </c>
      <c r="AQ562" t="s">
        <v>74</v>
      </c>
      <c r="AR562" t="s">
        <v>10994</v>
      </c>
      <c r="AS562" t="s">
        <v>10995</v>
      </c>
      <c r="AT562" t="s">
        <v>74</v>
      </c>
      <c r="AU562">
        <v>2023</v>
      </c>
      <c r="AV562">
        <v>10</v>
      </c>
      <c r="AW562">
        <v>3</v>
      </c>
      <c r="AX562" t="s">
        <v>74</v>
      </c>
      <c r="AY562" t="s">
        <v>74</v>
      </c>
      <c r="AZ562" t="s">
        <v>74</v>
      </c>
      <c r="BA562" t="s">
        <v>74</v>
      </c>
      <c r="BB562" t="s">
        <v>74</v>
      </c>
      <c r="BC562" t="s">
        <v>74</v>
      </c>
      <c r="BD562" t="s">
        <v>74</v>
      </c>
      <c r="BE562" t="s">
        <v>10996</v>
      </c>
      <c r="BF562" t="str">
        <f>HYPERLINK("http://dx.doi.org/10.1299/mej.22-00450","http://dx.doi.org/10.1299/mej.22-00450")</f>
        <v>http://dx.doi.org/10.1299/mej.22-00450</v>
      </c>
      <c r="BG562" t="s">
        <v>74</v>
      </c>
      <c r="BH562" t="s">
        <v>10957</v>
      </c>
      <c r="BI562">
        <v>14</v>
      </c>
      <c r="BJ562" t="s">
        <v>181</v>
      </c>
      <c r="BK562" t="s">
        <v>155</v>
      </c>
      <c r="BL562" t="s">
        <v>183</v>
      </c>
      <c r="BM562" t="s">
        <v>10997</v>
      </c>
      <c r="BN562" t="s">
        <v>74</v>
      </c>
      <c r="BO562" t="s">
        <v>185</v>
      </c>
      <c r="BP562" t="s">
        <v>74</v>
      </c>
      <c r="BQ562" t="s">
        <v>74</v>
      </c>
      <c r="BR562" t="s">
        <v>105</v>
      </c>
      <c r="BS562" t="s">
        <v>10998</v>
      </c>
      <c r="BT562" t="str">
        <f>HYPERLINK("https%3A%2F%2Fwww.webofscience.com%2Fwos%2Fwoscc%2Ffull-record%2FWOS:000972305200001","View Full Record in Web of Science")</f>
        <v>View Full Record in Web of Science</v>
      </c>
    </row>
    <row r="563" spans="1:72" x14ac:dyDescent="0.25">
      <c r="A563" t="s">
        <v>72</v>
      </c>
      <c r="B563" t="s">
        <v>10999</v>
      </c>
      <c r="C563" t="s">
        <v>74</v>
      </c>
      <c r="D563" t="s">
        <v>74</v>
      </c>
      <c r="E563" t="s">
        <v>74</v>
      </c>
      <c r="F563" t="s">
        <v>11000</v>
      </c>
      <c r="G563" t="s">
        <v>74</v>
      </c>
      <c r="H563" t="s">
        <v>74</v>
      </c>
      <c r="I563" t="s">
        <v>11001</v>
      </c>
      <c r="J563" t="s">
        <v>642</v>
      </c>
      <c r="K563" t="s">
        <v>74</v>
      </c>
      <c r="L563" t="s">
        <v>74</v>
      </c>
      <c r="M563" t="s">
        <v>78</v>
      </c>
      <c r="N563" t="s">
        <v>79</v>
      </c>
      <c r="O563" t="s">
        <v>74</v>
      </c>
      <c r="P563" t="s">
        <v>74</v>
      </c>
      <c r="Q563" t="s">
        <v>74</v>
      </c>
      <c r="R563" t="s">
        <v>74</v>
      </c>
      <c r="S563" t="s">
        <v>74</v>
      </c>
      <c r="T563" t="s">
        <v>11002</v>
      </c>
      <c r="U563" t="s">
        <v>11003</v>
      </c>
      <c r="V563" t="s">
        <v>11004</v>
      </c>
      <c r="W563" t="s">
        <v>11005</v>
      </c>
      <c r="X563" t="s">
        <v>11006</v>
      </c>
      <c r="Y563" t="s">
        <v>11007</v>
      </c>
      <c r="Z563" t="s">
        <v>11008</v>
      </c>
      <c r="AA563" t="s">
        <v>11009</v>
      </c>
      <c r="AB563" t="s">
        <v>11010</v>
      </c>
      <c r="AC563" t="s">
        <v>11011</v>
      </c>
      <c r="AD563" t="s">
        <v>11012</v>
      </c>
      <c r="AE563" t="s">
        <v>11013</v>
      </c>
      <c r="AF563" t="s">
        <v>74</v>
      </c>
      <c r="AG563">
        <v>88</v>
      </c>
      <c r="AH563">
        <v>9</v>
      </c>
      <c r="AI563">
        <v>9</v>
      </c>
      <c r="AJ563">
        <v>3</v>
      </c>
      <c r="AK563">
        <v>9</v>
      </c>
      <c r="AL563" t="s">
        <v>557</v>
      </c>
      <c r="AM563" t="s">
        <v>275</v>
      </c>
      <c r="AN563" t="s">
        <v>558</v>
      </c>
      <c r="AO563" t="s">
        <v>655</v>
      </c>
      <c r="AP563" t="s">
        <v>656</v>
      </c>
      <c r="AQ563" t="s">
        <v>74</v>
      </c>
      <c r="AR563" t="s">
        <v>657</v>
      </c>
      <c r="AS563" t="s">
        <v>658</v>
      </c>
      <c r="AT563" t="s">
        <v>634</v>
      </c>
      <c r="AU563">
        <v>2023</v>
      </c>
      <c r="AV563">
        <v>37</v>
      </c>
      <c r="AW563">
        <v>8</v>
      </c>
      <c r="AX563" t="s">
        <v>74</v>
      </c>
      <c r="AY563" t="s">
        <v>74</v>
      </c>
      <c r="AZ563" t="s">
        <v>74</v>
      </c>
      <c r="BA563" t="s">
        <v>74</v>
      </c>
      <c r="BB563">
        <v>1119</v>
      </c>
      <c r="BC563">
        <v>1138</v>
      </c>
      <c r="BD563" t="s">
        <v>74</v>
      </c>
      <c r="BE563" t="s">
        <v>11014</v>
      </c>
      <c r="BF563" t="str">
        <f>HYPERLINK("http://dx.doi.org/10.1177/02692155231164092","http://dx.doi.org/10.1177/02692155231164092")</f>
        <v>http://dx.doi.org/10.1177/02692155231164092</v>
      </c>
      <c r="BG563" t="s">
        <v>74</v>
      </c>
      <c r="BH563" t="s">
        <v>10957</v>
      </c>
      <c r="BI563">
        <v>20</v>
      </c>
      <c r="BJ563" t="s">
        <v>101</v>
      </c>
      <c r="BK563" t="s">
        <v>182</v>
      </c>
      <c r="BL563" t="s">
        <v>101</v>
      </c>
      <c r="BM563" t="s">
        <v>11015</v>
      </c>
      <c r="BN563">
        <v>37036438</v>
      </c>
      <c r="BO563" t="s">
        <v>238</v>
      </c>
      <c r="BP563" t="s">
        <v>74</v>
      </c>
      <c r="BQ563" t="s">
        <v>74</v>
      </c>
      <c r="BR563" t="s">
        <v>105</v>
      </c>
      <c r="BS563" t="s">
        <v>11016</v>
      </c>
      <c r="BT563" t="str">
        <f>HYPERLINK("https%3A%2F%2Fwww.webofscience.com%2Fwos%2Fwoscc%2Ffull-record%2FWOS:000969282500001","View Full Record in Web of Science")</f>
        <v>View Full Record in Web of Science</v>
      </c>
    </row>
    <row r="564" spans="1:72" x14ac:dyDescent="0.25">
      <c r="A564" t="s">
        <v>72</v>
      </c>
      <c r="B564" t="s">
        <v>11017</v>
      </c>
      <c r="C564" t="s">
        <v>74</v>
      </c>
      <c r="D564" t="s">
        <v>74</v>
      </c>
      <c r="E564" t="s">
        <v>74</v>
      </c>
      <c r="F564" t="s">
        <v>11018</v>
      </c>
      <c r="G564" t="s">
        <v>74</v>
      </c>
      <c r="H564" t="s">
        <v>74</v>
      </c>
      <c r="I564" t="s">
        <v>11019</v>
      </c>
      <c r="J564" t="s">
        <v>11020</v>
      </c>
      <c r="K564" t="s">
        <v>74</v>
      </c>
      <c r="L564" t="s">
        <v>74</v>
      </c>
      <c r="M564" t="s">
        <v>78</v>
      </c>
      <c r="N564" t="s">
        <v>79</v>
      </c>
      <c r="O564" t="s">
        <v>74</v>
      </c>
      <c r="P564" t="s">
        <v>74</v>
      </c>
      <c r="Q564" t="s">
        <v>74</v>
      </c>
      <c r="R564" t="s">
        <v>74</v>
      </c>
      <c r="S564" t="s">
        <v>74</v>
      </c>
      <c r="T564" t="s">
        <v>11021</v>
      </c>
      <c r="U564" t="s">
        <v>11022</v>
      </c>
      <c r="V564" t="s">
        <v>11023</v>
      </c>
      <c r="W564" t="s">
        <v>11024</v>
      </c>
      <c r="X564" t="s">
        <v>8599</v>
      </c>
      <c r="Y564" t="s">
        <v>11025</v>
      </c>
      <c r="Z564" t="s">
        <v>11026</v>
      </c>
      <c r="AA564" t="s">
        <v>11027</v>
      </c>
      <c r="AB564" t="s">
        <v>74</v>
      </c>
      <c r="AC564" t="s">
        <v>74</v>
      </c>
      <c r="AD564" t="s">
        <v>74</v>
      </c>
      <c r="AE564" t="s">
        <v>74</v>
      </c>
      <c r="AF564" t="s">
        <v>74</v>
      </c>
      <c r="AG564">
        <v>74</v>
      </c>
      <c r="AH564">
        <v>14</v>
      </c>
      <c r="AI564">
        <v>16</v>
      </c>
      <c r="AJ564">
        <v>11</v>
      </c>
      <c r="AK564">
        <v>30</v>
      </c>
      <c r="AL564" t="s">
        <v>392</v>
      </c>
      <c r="AM564" t="s">
        <v>393</v>
      </c>
      <c r="AN564" t="s">
        <v>394</v>
      </c>
      <c r="AO564" t="s">
        <v>11028</v>
      </c>
      <c r="AP564" t="s">
        <v>74</v>
      </c>
      <c r="AQ564" t="s">
        <v>74</v>
      </c>
      <c r="AR564" t="s">
        <v>11029</v>
      </c>
      <c r="AS564" t="s">
        <v>11030</v>
      </c>
      <c r="AT564" t="s">
        <v>4749</v>
      </c>
      <c r="AU564">
        <v>2023</v>
      </c>
      <c r="AV564">
        <v>14</v>
      </c>
      <c r="AW564" t="s">
        <v>74</v>
      </c>
      <c r="AX564" t="s">
        <v>74</v>
      </c>
      <c r="AY564" t="s">
        <v>74</v>
      </c>
      <c r="AZ564" t="s">
        <v>74</v>
      </c>
      <c r="BA564" t="s">
        <v>74</v>
      </c>
      <c r="BB564" t="s">
        <v>74</v>
      </c>
      <c r="BC564" t="s">
        <v>74</v>
      </c>
      <c r="BD564">
        <v>1168821</v>
      </c>
      <c r="BE564" t="s">
        <v>11031</v>
      </c>
      <c r="BF564" t="str">
        <f>HYPERLINK("http://dx.doi.org/10.3389/fimmu.2023.1168821","http://dx.doi.org/10.3389/fimmu.2023.1168821")</f>
        <v>http://dx.doi.org/10.3389/fimmu.2023.1168821</v>
      </c>
      <c r="BG564" t="s">
        <v>74</v>
      </c>
      <c r="BH564" t="s">
        <v>74</v>
      </c>
      <c r="BI564">
        <v>9</v>
      </c>
      <c r="BJ564" t="s">
        <v>11032</v>
      </c>
      <c r="BK564" t="s">
        <v>182</v>
      </c>
      <c r="BL564" t="s">
        <v>11032</v>
      </c>
      <c r="BM564" t="s">
        <v>11033</v>
      </c>
      <c r="BN564">
        <v>37090712</v>
      </c>
      <c r="BO564" t="s">
        <v>131</v>
      </c>
      <c r="BP564" t="s">
        <v>74</v>
      </c>
      <c r="BQ564" t="s">
        <v>74</v>
      </c>
      <c r="BR564" t="s">
        <v>105</v>
      </c>
      <c r="BS564" t="s">
        <v>11034</v>
      </c>
      <c r="BT564" t="str">
        <f>HYPERLINK("https%3A%2F%2Fwww.webofscience.com%2Fwos%2Fwoscc%2Ffull-record%2FWOS:000970637500001","View Full Record in Web of Science")</f>
        <v>View Full Record in Web of Science</v>
      </c>
    </row>
    <row r="565" spans="1:72" x14ac:dyDescent="0.25">
      <c r="A565" t="s">
        <v>72</v>
      </c>
      <c r="B565" t="s">
        <v>11035</v>
      </c>
      <c r="C565" t="s">
        <v>74</v>
      </c>
      <c r="D565" t="s">
        <v>74</v>
      </c>
      <c r="E565" t="s">
        <v>74</v>
      </c>
      <c r="F565" t="s">
        <v>11036</v>
      </c>
      <c r="G565" t="s">
        <v>74</v>
      </c>
      <c r="H565" t="s">
        <v>74</v>
      </c>
      <c r="I565" t="s">
        <v>11037</v>
      </c>
      <c r="J565" t="s">
        <v>9167</v>
      </c>
      <c r="K565" t="s">
        <v>74</v>
      </c>
      <c r="L565" t="s">
        <v>74</v>
      </c>
      <c r="M565" t="s">
        <v>78</v>
      </c>
      <c r="N565" t="s">
        <v>79</v>
      </c>
      <c r="O565" t="s">
        <v>74</v>
      </c>
      <c r="P565" t="s">
        <v>74</v>
      </c>
      <c r="Q565" t="s">
        <v>74</v>
      </c>
      <c r="R565" t="s">
        <v>74</v>
      </c>
      <c r="S565" t="s">
        <v>74</v>
      </c>
      <c r="T565" t="s">
        <v>11038</v>
      </c>
      <c r="U565" t="s">
        <v>11039</v>
      </c>
      <c r="V565" t="s">
        <v>11040</v>
      </c>
      <c r="W565" t="s">
        <v>11041</v>
      </c>
      <c r="X565" t="s">
        <v>11042</v>
      </c>
      <c r="Y565" t="s">
        <v>11043</v>
      </c>
      <c r="Z565" t="s">
        <v>11044</v>
      </c>
      <c r="AA565" t="s">
        <v>74</v>
      </c>
      <c r="AB565" t="s">
        <v>11045</v>
      </c>
      <c r="AC565" t="s">
        <v>74</v>
      </c>
      <c r="AD565" t="s">
        <v>74</v>
      </c>
      <c r="AE565" t="s">
        <v>74</v>
      </c>
      <c r="AF565" t="s">
        <v>74</v>
      </c>
      <c r="AG565">
        <v>66</v>
      </c>
      <c r="AH565">
        <v>8</v>
      </c>
      <c r="AI565">
        <v>8</v>
      </c>
      <c r="AJ565">
        <v>2</v>
      </c>
      <c r="AK565">
        <v>16</v>
      </c>
      <c r="AL565" t="s">
        <v>9179</v>
      </c>
      <c r="AM565" t="s">
        <v>9180</v>
      </c>
      <c r="AN565" t="s">
        <v>9181</v>
      </c>
      <c r="AO565" t="s">
        <v>9182</v>
      </c>
      <c r="AP565" t="s">
        <v>9183</v>
      </c>
      <c r="AQ565" t="s">
        <v>74</v>
      </c>
      <c r="AR565" t="s">
        <v>9184</v>
      </c>
      <c r="AS565" t="s">
        <v>9185</v>
      </c>
      <c r="AT565" t="s">
        <v>6403</v>
      </c>
      <c r="AU565">
        <v>2023</v>
      </c>
      <c r="AV565">
        <v>103</v>
      </c>
      <c r="AW565">
        <v>4</v>
      </c>
      <c r="AX565" t="s">
        <v>74</v>
      </c>
      <c r="AY565" t="s">
        <v>74</v>
      </c>
      <c r="AZ565" t="s">
        <v>74</v>
      </c>
      <c r="BA565" t="s">
        <v>74</v>
      </c>
      <c r="BB565" t="s">
        <v>74</v>
      </c>
      <c r="BC565" t="s">
        <v>74</v>
      </c>
      <c r="BD565" t="s">
        <v>11046</v>
      </c>
      <c r="BE565" t="s">
        <v>11047</v>
      </c>
      <c r="BF565" t="str">
        <f>HYPERLINK("http://dx.doi.org/10.1093/ptj/pzad002","http://dx.doi.org/10.1093/ptj/pzad002")</f>
        <v>http://dx.doi.org/10.1093/ptj/pzad002</v>
      </c>
      <c r="BG565" t="s">
        <v>74</v>
      </c>
      <c r="BH565" t="s">
        <v>74</v>
      </c>
      <c r="BI565">
        <v>11</v>
      </c>
      <c r="BJ565" t="s">
        <v>3977</v>
      </c>
      <c r="BK565" t="s">
        <v>182</v>
      </c>
      <c r="BL565" t="s">
        <v>3977</v>
      </c>
      <c r="BM565" t="s">
        <v>11048</v>
      </c>
      <c r="BN565">
        <v>37014279</v>
      </c>
      <c r="BO565" t="s">
        <v>2246</v>
      </c>
      <c r="BP565" t="s">
        <v>74</v>
      </c>
      <c r="BQ565" t="s">
        <v>74</v>
      </c>
      <c r="BR565" t="s">
        <v>105</v>
      </c>
      <c r="BS565" t="s">
        <v>11049</v>
      </c>
      <c r="BT565" t="str">
        <f>HYPERLINK("https%3A%2F%2Fwww.webofscience.com%2Fwos%2Fwoscc%2Ffull-record%2FWOS:000962978500002","View Full Record in Web of Science")</f>
        <v>View Full Record in Web of Science</v>
      </c>
    </row>
    <row r="566" spans="1:72" x14ac:dyDescent="0.25">
      <c r="A566" t="s">
        <v>72</v>
      </c>
      <c r="B566" t="s">
        <v>11050</v>
      </c>
      <c r="C566" t="s">
        <v>74</v>
      </c>
      <c r="D566" t="s">
        <v>74</v>
      </c>
      <c r="E566" t="s">
        <v>74</v>
      </c>
      <c r="F566" t="s">
        <v>11051</v>
      </c>
      <c r="G566" t="s">
        <v>74</v>
      </c>
      <c r="H566" t="s">
        <v>74</v>
      </c>
      <c r="I566" t="s">
        <v>11052</v>
      </c>
      <c r="J566" t="s">
        <v>382</v>
      </c>
      <c r="K566" t="s">
        <v>74</v>
      </c>
      <c r="L566" t="s">
        <v>74</v>
      </c>
      <c r="M566" t="s">
        <v>78</v>
      </c>
      <c r="N566" t="s">
        <v>79</v>
      </c>
      <c r="O566" t="s">
        <v>74</v>
      </c>
      <c r="P566" t="s">
        <v>74</v>
      </c>
      <c r="Q566" t="s">
        <v>74</v>
      </c>
      <c r="R566" t="s">
        <v>74</v>
      </c>
      <c r="S566" t="s">
        <v>74</v>
      </c>
      <c r="T566" t="s">
        <v>11053</v>
      </c>
      <c r="U566" t="s">
        <v>11054</v>
      </c>
      <c r="V566" t="s">
        <v>11055</v>
      </c>
      <c r="W566" t="s">
        <v>11056</v>
      </c>
      <c r="X566" t="s">
        <v>11057</v>
      </c>
      <c r="Y566" t="s">
        <v>11058</v>
      </c>
      <c r="Z566" t="s">
        <v>11059</v>
      </c>
      <c r="AA566" t="s">
        <v>11060</v>
      </c>
      <c r="AB566" t="s">
        <v>74</v>
      </c>
      <c r="AC566" t="s">
        <v>11061</v>
      </c>
      <c r="AD566" t="s">
        <v>11062</v>
      </c>
      <c r="AE566" t="s">
        <v>11063</v>
      </c>
      <c r="AF566" t="s">
        <v>74</v>
      </c>
      <c r="AG566">
        <v>101</v>
      </c>
      <c r="AH566">
        <v>9</v>
      </c>
      <c r="AI566">
        <v>10</v>
      </c>
      <c r="AJ566">
        <v>6</v>
      </c>
      <c r="AK566">
        <v>32</v>
      </c>
      <c r="AL566" t="s">
        <v>392</v>
      </c>
      <c r="AM566" t="s">
        <v>393</v>
      </c>
      <c r="AN566" t="s">
        <v>394</v>
      </c>
      <c r="AO566" t="s">
        <v>395</v>
      </c>
      <c r="AP566" t="s">
        <v>74</v>
      </c>
      <c r="AQ566" t="s">
        <v>74</v>
      </c>
      <c r="AR566" t="s">
        <v>396</v>
      </c>
      <c r="AS566" t="s">
        <v>397</v>
      </c>
      <c r="AT566" t="s">
        <v>2907</v>
      </c>
      <c r="AU566">
        <v>2023</v>
      </c>
      <c r="AV566">
        <v>14</v>
      </c>
      <c r="AW566" t="s">
        <v>74</v>
      </c>
      <c r="AX566" t="s">
        <v>74</v>
      </c>
      <c r="AY566" t="s">
        <v>74</v>
      </c>
      <c r="AZ566" t="s">
        <v>74</v>
      </c>
      <c r="BA566" t="s">
        <v>74</v>
      </c>
      <c r="BB566" t="s">
        <v>74</v>
      </c>
      <c r="BC566" t="s">
        <v>74</v>
      </c>
      <c r="BD566">
        <v>1093779</v>
      </c>
      <c r="BE566" t="s">
        <v>11064</v>
      </c>
      <c r="BF566" t="str">
        <f>HYPERLINK("http://dx.doi.org/10.3389/fneur.2023.1093779","http://dx.doi.org/10.3389/fneur.2023.1093779")</f>
        <v>http://dx.doi.org/10.3389/fneur.2023.1093779</v>
      </c>
      <c r="BG566" t="s">
        <v>74</v>
      </c>
      <c r="BH566" t="s">
        <v>74</v>
      </c>
      <c r="BI566">
        <v>11</v>
      </c>
      <c r="BJ566" t="s">
        <v>400</v>
      </c>
      <c r="BK566" t="s">
        <v>182</v>
      </c>
      <c r="BL566" t="s">
        <v>375</v>
      </c>
      <c r="BM566" t="s">
        <v>11065</v>
      </c>
      <c r="BN566">
        <v>37077566</v>
      </c>
      <c r="BO566" t="s">
        <v>185</v>
      </c>
      <c r="BP566" t="s">
        <v>74</v>
      </c>
      <c r="BQ566" t="s">
        <v>74</v>
      </c>
      <c r="BR566" t="s">
        <v>105</v>
      </c>
      <c r="BS566" t="s">
        <v>11066</v>
      </c>
      <c r="BT566" t="str">
        <f>HYPERLINK("https%3A%2F%2Fwww.webofscience.com%2Fwos%2Fwoscc%2Ffull-record%2FWOS:000969223500001","View Full Record in Web of Science")</f>
        <v>View Full Record in Web of Science</v>
      </c>
    </row>
    <row r="567" spans="1:72" x14ac:dyDescent="0.25">
      <c r="A567" t="s">
        <v>72</v>
      </c>
      <c r="B567" t="s">
        <v>11067</v>
      </c>
      <c r="C567" t="s">
        <v>74</v>
      </c>
      <c r="D567" t="s">
        <v>74</v>
      </c>
      <c r="E567" t="s">
        <v>74</v>
      </c>
      <c r="F567" t="s">
        <v>11068</v>
      </c>
      <c r="G567" t="s">
        <v>74</v>
      </c>
      <c r="H567" t="s">
        <v>74</v>
      </c>
      <c r="I567" t="s">
        <v>11069</v>
      </c>
      <c r="J567" t="s">
        <v>110</v>
      </c>
      <c r="K567" t="s">
        <v>74</v>
      </c>
      <c r="L567" t="s">
        <v>74</v>
      </c>
      <c r="M567" t="s">
        <v>78</v>
      </c>
      <c r="N567" t="s">
        <v>79</v>
      </c>
      <c r="O567" t="s">
        <v>74</v>
      </c>
      <c r="P567" t="s">
        <v>74</v>
      </c>
      <c r="Q567" t="s">
        <v>74</v>
      </c>
      <c r="R567" t="s">
        <v>74</v>
      </c>
      <c r="S567" t="s">
        <v>74</v>
      </c>
      <c r="T567" t="s">
        <v>11070</v>
      </c>
      <c r="U567" t="s">
        <v>11071</v>
      </c>
      <c r="V567" t="s">
        <v>11072</v>
      </c>
      <c r="W567" t="s">
        <v>11073</v>
      </c>
      <c r="X567" t="s">
        <v>11074</v>
      </c>
      <c r="Y567" t="s">
        <v>11075</v>
      </c>
      <c r="Z567" t="s">
        <v>11076</v>
      </c>
      <c r="AA567" t="s">
        <v>74</v>
      </c>
      <c r="AB567" t="s">
        <v>11077</v>
      </c>
      <c r="AC567" t="s">
        <v>11078</v>
      </c>
      <c r="AD567" t="s">
        <v>11079</v>
      </c>
      <c r="AE567" t="s">
        <v>11080</v>
      </c>
      <c r="AF567" t="s">
        <v>74</v>
      </c>
      <c r="AG567">
        <v>29</v>
      </c>
      <c r="AH567">
        <v>6</v>
      </c>
      <c r="AI567">
        <v>6</v>
      </c>
      <c r="AJ567">
        <v>3</v>
      </c>
      <c r="AK567">
        <v>26</v>
      </c>
      <c r="AL567" t="s">
        <v>120</v>
      </c>
      <c r="AM567" t="s">
        <v>121</v>
      </c>
      <c r="AN567" t="s">
        <v>122</v>
      </c>
      <c r="AO567" t="s">
        <v>74</v>
      </c>
      <c r="AP567" t="s">
        <v>123</v>
      </c>
      <c r="AQ567" t="s">
        <v>74</v>
      </c>
      <c r="AR567" t="s">
        <v>124</v>
      </c>
      <c r="AS567" t="s">
        <v>125</v>
      </c>
      <c r="AT567" t="s">
        <v>487</v>
      </c>
      <c r="AU567">
        <v>2023</v>
      </c>
      <c r="AV567">
        <v>12</v>
      </c>
      <c r="AW567">
        <v>7</v>
      </c>
      <c r="AX567" t="s">
        <v>74</v>
      </c>
      <c r="AY567" t="s">
        <v>74</v>
      </c>
      <c r="AZ567" t="s">
        <v>74</v>
      </c>
      <c r="BA567" t="s">
        <v>74</v>
      </c>
      <c r="BB567" t="s">
        <v>74</v>
      </c>
      <c r="BC567" t="s">
        <v>74</v>
      </c>
      <c r="BD567">
        <v>2668</v>
      </c>
      <c r="BE567" t="s">
        <v>11081</v>
      </c>
      <c r="BF567" t="str">
        <f>HYPERLINK("http://dx.doi.org/10.3390/jcm12072668","http://dx.doi.org/10.3390/jcm12072668")</f>
        <v>http://dx.doi.org/10.3390/jcm12072668</v>
      </c>
      <c r="BG567" t="s">
        <v>74</v>
      </c>
      <c r="BH567" t="s">
        <v>74</v>
      </c>
      <c r="BI567">
        <v>12</v>
      </c>
      <c r="BJ567" t="s">
        <v>128</v>
      </c>
      <c r="BK567" t="s">
        <v>182</v>
      </c>
      <c r="BL567" t="s">
        <v>129</v>
      </c>
      <c r="BM567" t="s">
        <v>11082</v>
      </c>
      <c r="BN567">
        <v>37048751</v>
      </c>
      <c r="BO567" t="s">
        <v>131</v>
      </c>
      <c r="BP567" t="s">
        <v>74</v>
      </c>
      <c r="BQ567" t="s">
        <v>74</v>
      </c>
      <c r="BR567" t="s">
        <v>105</v>
      </c>
      <c r="BS567" t="s">
        <v>11083</v>
      </c>
      <c r="BT567" t="str">
        <f>HYPERLINK("https%3A%2F%2Fwww.webofscience.com%2Fwos%2Fwoscc%2Ffull-record%2FWOS:000968961900001","View Full Record in Web of Science")</f>
        <v>View Full Record in Web of Science</v>
      </c>
    </row>
    <row r="568" spans="1:72" x14ac:dyDescent="0.25">
      <c r="A568" t="s">
        <v>72</v>
      </c>
      <c r="B568" t="s">
        <v>11084</v>
      </c>
      <c r="C568" t="s">
        <v>74</v>
      </c>
      <c r="D568" t="s">
        <v>74</v>
      </c>
      <c r="E568" t="s">
        <v>74</v>
      </c>
      <c r="F568" t="s">
        <v>11085</v>
      </c>
      <c r="G568" t="s">
        <v>74</v>
      </c>
      <c r="H568" t="s">
        <v>74</v>
      </c>
      <c r="I568" t="s">
        <v>11086</v>
      </c>
      <c r="J568" t="s">
        <v>11087</v>
      </c>
      <c r="K568" t="s">
        <v>74</v>
      </c>
      <c r="L568" t="s">
        <v>74</v>
      </c>
      <c r="M568" t="s">
        <v>78</v>
      </c>
      <c r="N568" t="s">
        <v>79</v>
      </c>
      <c r="O568" t="s">
        <v>74</v>
      </c>
      <c r="P568" t="s">
        <v>74</v>
      </c>
      <c r="Q568" t="s">
        <v>74</v>
      </c>
      <c r="R568" t="s">
        <v>74</v>
      </c>
      <c r="S568" t="s">
        <v>74</v>
      </c>
      <c r="T568" t="s">
        <v>11088</v>
      </c>
      <c r="U568" t="s">
        <v>11089</v>
      </c>
      <c r="V568" t="s">
        <v>11090</v>
      </c>
      <c r="W568" t="s">
        <v>11091</v>
      </c>
      <c r="X568" t="s">
        <v>11092</v>
      </c>
      <c r="Y568" t="s">
        <v>11093</v>
      </c>
      <c r="Z568" t="s">
        <v>11094</v>
      </c>
      <c r="AA568" t="s">
        <v>11095</v>
      </c>
      <c r="AB568" t="s">
        <v>11096</v>
      </c>
      <c r="AC568" t="s">
        <v>11097</v>
      </c>
      <c r="AD568" t="s">
        <v>11098</v>
      </c>
      <c r="AE568" t="s">
        <v>11099</v>
      </c>
      <c r="AF568" t="s">
        <v>74</v>
      </c>
      <c r="AG568">
        <v>254</v>
      </c>
      <c r="AH568">
        <v>24</v>
      </c>
      <c r="AI568">
        <v>24</v>
      </c>
      <c r="AJ568">
        <v>19</v>
      </c>
      <c r="AK568">
        <v>108</v>
      </c>
      <c r="AL568" t="s">
        <v>1114</v>
      </c>
      <c r="AM568" t="s">
        <v>1115</v>
      </c>
      <c r="AN568" t="s">
        <v>1116</v>
      </c>
      <c r="AO568" t="s">
        <v>11100</v>
      </c>
      <c r="AP568" t="s">
        <v>11101</v>
      </c>
      <c r="AQ568" t="s">
        <v>74</v>
      </c>
      <c r="AR568" t="s">
        <v>11102</v>
      </c>
      <c r="AS568" t="s">
        <v>11103</v>
      </c>
      <c r="AT568" t="s">
        <v>487</v>
      </c>
      <c r="AU568">
        <v>2023</v>
      </c>
      <c r="AV568">
        <v>39</v>
      </c>
      <c r="AW568">
        <v>2</v>
      </c>
      <c r="AX568" t="s">
        <v>74</v>
      </c>
      <c r="AY568" t="s">
        <v>74</v>
      </c>
      <c r="AZ568" t="s">
        <v>74</v>
      </c>
      <c r="BA568" t="s">
        <v>74</v>
      </c>
      <c r="BB568">
        <v>862</v>
      </c>
      <c r="BC568">
        <v>884</v>
      </c>
      <c r="BD568" t="s">
        <v>74</v>
      </c>
      <c r="BE568" t="s">
        <v>11104</v>
      </c>
      <c r="BF568" t="str">
        <f>HYPERLINK("http://dx.doi.org/10.1109/TRO.2022.3212626","http://dx.doi.org/10.1109/TRO.2022.3212626")</f>
        <v>http://dx.doi.org/10.1109/TRO.2022.3212626</v>
      </c>
      <c r="BG568" t="s">
        <v>74</v>
      </c>
      <c r="BH568" t="s">
        <v>74</v>
      </c>
      <c r="BI568">
        <v>23</v>
      </c>
      <c r="BJ568" t="s">
        <v>714</v>
      </c>
      <c r="BK568" t="s">
        <v>182</v>
      </c>
      <c r="BL568" t="s">
        <v>714</v>
      </c>
      <c r="BM568" t="s">
        <v>11105</v>
      </c>
      <c r="BN568" t="s">
        <v>74</v>
      </c>
      <c r="BO568" t="s">
        <v>1052</v>
      </c>
      <c r="BP568" t="s">
        <v>74</v>
      </c>
      <c r="BQ568" t="s">
        <v>74</v>
      </c>
      <c r="BR568" t="s">
        <v>105</v>
      </c>
      <c r="BS568" t="s">
        <v>11106</v>
      </c>
      <c r="BT568" t="str">
        <f>HYPERLINK("https%3A%2F%2Fwww.webofscience.com%2Fwos%2Fwoscc%2Ffull-record%2FWOS:000970104700002","View Full Record in Web of Science")</f>
        <v>View Full Record in Web of Science</v>
      </c>
    </row>
    <row r="569" spans="1:72" x14ac:dyDescent="0.25">
      <c r="A569" t="s">
        <v>72</v>
      </c>
      <c r="B569" t="s">
        <v>11107</v>
      </c>
      <c r="C569" t="s">
        <v>74</v>
      </c>
      <c r="D569" t="s">
        <v>74</v>
      </c>
      <c r="E569" t="s">
        <v>74</v>
      </c>
      <c r="F569" t="s">
        <v>11108</v>
      </c>
      <c r="G569" t="s">
        <v>74</v>
      </c>
      <c r="H569" t="s">
        <v>74</v>
      </c>
      <c r="I569" t="s">
        <v>11109</v>
      </c>
      <c r="J569" t="s">
        <v>2690</v>
      </c>
      <c r="K569" t="s">
        <v>74</v>
      </c>
      <c r="L569" t="s">
        <v>74</v>
      </c>
      <c r="M569" t="s">
        <v>78</v>
      </c>
      <c r="N569" t="s">
        <v>79</v>
      </c>
      <c r="O569" t="s">
        <v>74</v>
      </c>
      <c r="P569" t="s">
        <v>74</v>
      </c>
      <c r="Q569" t="s">
        <v>74</v>
      </c>
      <c r="R569" t="s">
        <v>74</v>
      </c>
      <c r="S569" t="s">
        <v>74</v>
      </c>
      <c r="T569" t="s">
        <v>11110</v>
      </c>
      <c r="U569" t="s">
        <v>11111</v>
      </c>
      <c r="V569" t="s">
        <v>11112</v>
      </c>
      <c r="W569" t="s">
        <v>11113</v>
      </c>
      <c r="X569" t="s">
        <v>11114</v>
      </c>
      <c r="Y569" t="s">
        <v>11115</v>
      </c>
      <c r="Z569" t="s">
        <v>11116</v>
      </c>
      <c r="AA569" t="s">
        <v>11117</v>
      </c>
      <c r="AB569" t="s">
        <v>11118</v>
      </c>
      <c r="AC569" t="s">
        <v>11119</v>
      </c>
      <c r="AD569" t="s">
        <v>11120</v>
      </c>
      <c r="AE569" t="s">
        <v>11121</v>
      </c>
      <c r="AF569" t="s">
        <v>74</v>
      </c>
      <c r="AG569">
        <v>58</v>
      </c>
      <c r="AH569">
        <v>6</v>
      </c>
      <c r="AI569">
        <v>7</v>
      </c>
      <c r="AJ569">
        <v>6</v>
      </c>
      <c r="AK569">
        <v>41</v>
      </c>
      <c r="AL569" t="s">
        <v>120</v>
      </c>
      <c r="AM569" t="s">
        <v>121</v>
      </c>
      <c r="AN569" t="s">
        <v>122</v>
      </c>
      <c r="AO569" t="s">
        <v>74</v>
      </c>
      <c r="AP569" t="s">
        <v>2698</v>
      </c>
      <c r="AQ569" t="s">
        <v>74</v>
      </c>
      <c r="AR569" t="s">
        <v>2690</v>
      </c>
      <c r="AS569" t="s">
        <v>2699</v>
      </c>
      <c r="AT569" t="s">
        <v>487</v>
      </c>
      <c r="AU569">
        <v>2023</v>
      </c>
      <c r="AV569">
        <v>12</v>
      </c>
      <c r="AW569">
        <v>4</v>
      </c>
      <c r="AX569" t="s">
        <v>74</v>
      </c>
      <c r="AY569" t="s">
        <v>74</v>
      </c>
      <c r="AZ569" t="s">
        <v>74</v>
      </c>
      <c r="BA569" t="s">
        <v>74</v>
      </c>
      <c r="BB569" t="s">
        <v>74</v>
      </c>
      <c r="BC569" t="s">
        <v>74</v>
      </c>
      <c r="BD569">
        <v>178</v>
      </c>
      <c r="BE569" t="s">
        <v>11122</v>
      </c>
      <c r="BF569" t="str">
        <f>HYPERLINK("http://dx.doi.org/10.3390/act12040178","http://dx.doi.org/10.3390/act12040178")</f>
        <v>http://dx.doi.org/10.3390/act12040178</v>
      </c>
      <c r="BG569" t="s">
        <v>74</v>
      </c>
      <c r="BH569" t="s">
        <v>74</v>
      </c>
      <c r="BI569">
        <v>14</v>
      </c>
      <c r="BJ569" t="s">
        <v>2701</v>
      </c>
      <c r="BK569" t="s">
        <v>182</v>
      </c>
      <c r="BL569" t="s">
        <v>2702</v>
      </c>
      <c r="BM569" t="s">
        <v>11123</v>
      </c>
      <c r="BN569" t="s">
        <v>74</v>
      </c>
      <c r="BO569" t="s">
        <v>131</v>
      </c>
      <c r="BP569" t="s">
        <v>74</v>
      </c>
      <c r="BQ569" t="s">
        <v>74</v>
      </c>
      <c r="BR569" t="s">
        <v>105</v>
      </c>
      <c r="BS569" t="s">
        <v>11124</v>
      </c>
      <c r="BT569" t="str">
        <f>HYPERLINK("https%3A%2F%2Fwww.webofscience.com%2Fwos%2Fwoscc%2Ffull-record%2FWOS:000983105700001","View Full Record in Web of Science")</f>
        <v>View Full Record in Web of Science</v>
      </c>
    </row>
    <row r="570" spans="1:72" x14ac:dyDescent="0.25">
      <c r="A570" t="s">
        <v>72</v>
      </c>
      <c r="B570" t="s">
        <v>9493</v>
      </c>
      <c r="C570" t="s">
        <v>74</v>
      </c>
      <c r="D570" t="s">
        <v>74</v>
      </c>
      <c r="E570" t="s">
        <v>74</v>
      </c>
      <c r="F570" t="s">
        <v>11125</v>
      </c>
      <c r="G570" t="s">
        <v>74</v>
      </c>
      <c r="H570" t="s">
        <v>74</v>
      </c>
      <c r="I570" t="s">
        <v>11126</v>
      </c>
      <c r="J570" t="s">
        <v>1208</v>
      </c>
      <c r="K570" t="s">
        <v>74</v>
      </c>
      <c r="L570" t="s">
        <v>74</v>
      </c>
      <c r="M570" t="s">
        <v>78</v>
      </c>
      <c r="N570" t="s">
        <v>79</v>
      </c>
      <c r="O570" t="s">
        <v>74</v>
      </c>
      <c r="P570" t="s">
        <v>74</v>
      </c>
      <c r="Q570" t="s">
        <v>74</v>
      </c>
      <c r="R570" t="s">
        <v>74</v>
      </c>
      <c r="S570" t="s">
        <v>74</v>
      </c>
      <c r="T570" t="s">
        <v>11127</v>
      </c>
      <c r="U570" t="s">
        <v>11128</v>
      </c>
      <c r="V570" t="s">
        <v>11129</v>
      </c>
      <c r="W570" t="s">
        <v>11130</v>
      </c>
      <c r="X570" t="s">
        <v>9500</v>
      </c>
      <c r="Y570" t="s">
        <v>9501</v>
      </c>
      <c r="Z570" t="s">
        <v>11131</v>
      </c>
      <c r="AA570" t="s">
        <v>11132</v>
      </c>
      <c r="AB570" t="s">
        <v>11133</v>
      </c>
      <c r="AC570" t="s">
        <v>11134</v>
      </c>
      <c r="AD570" t="s">
        <v>11134</v>
      </c>
      <c r="AE570" t="s">
        <v>11135</v>
      </c>
      <c r="AF570" t="s">
        <v>74</v>
      </c>
      <c r="AG570">
        <v>89</v>
      </c>
      <c r="AH570">
        <v>8</v>
      </c>
      <c r="AI570">
        <v>8</v>
      </c>
      <c r="AJ570">
        <v>6</v>
      </c>
      <c r="AK570">
        <v>52</v>
      </c>
      <c r="AL570" t="s">
        <v>120</v>
      </c>
      <c r="AM570" t="s">
        <v>121</v>
      </c>
      <c r="AN570" t="s">
        <v>1221</v>
      </c>
      <c r="AO570" t="s">
        <v>74</v>
      </c>
      <c r="AP570" t="s">
        <v>1222</v>
      </c>
      <c r="AQ570" t="s">
        <v>74</v>
      </c>
      <c r="AR570" t="s">
        <v>1208</v>
      </c>
      <c r="AS570" t="s">
        <v>1223</v>
      </c>
      <c r="AT570" t="s">
        <v>487</v>
      </c>
      <c r="AU570">
        <v>2023</v>
      </c>
      <c r="AV570">
        <v>11</v>
      </c>
      <c r="AW570">
        <v>4</v>
      </c>
      <c r="AX570" t="s">
        <v>74</v>
      </c>
      <c r="AY570" t="s">
        <v>74</v>
      </c>
      <c r="AZ570" t="s">
        <v>74</v>
      </c>
      <c r="BA570" t="s">
        <v>74</v>
      </c>
      <c r="BB570" t="s">
        <v>74</v>
      </c>
      <c r="BC570" t="s">
        <v>74</v>
      </c>
      <c r="BD570">
        <v>458</v>
      </c>
      <c r="BE570" t="s">
        <v>11136</v>
      </c>
      <c r="BF570" t="str">
        <f>HYPERLINK("http://dx.doi.org/10.3390/machines11040458","http://dx.doi.org/10.3390/machines11040458")</f>
        <v>http://dx.doi.org/10.3390/machines11040458</v>
      </c>
      <c r="BG570" t="s">
        <v>74</v>
      </c>
      <c r="BH570" t="s">
        <v>74</v>
      </c>
      <c r="BI570">
        <v>30</v>
      </c>
      <c r="BJ570" t="s">
        <v>1225</v>
      </c>
      <c r="BK570" t="s">
        <v>182</v>
      </c>
      <c r="BL570" t="s">
        <v>183</v>
      </c>
      <c r="BM570" t="s">
        <v>11137</v>
      </c>
      <c r="BN570" t="s">
        <v>74</v>
      </c>
      <c r="BO570" t="s">
        <v>355</v>
      </c>
      <c r="BP570" t="s">
        <v>74</v>
      </c>
      <c r="BQ570" t="s">
        <v>74</v>
      </c>
      <c r="BR570" t="s">
        <v>105</v>
      </c>
      <c r="BS570" t="s">
        <v>11138</v>
      </c>
      <c r="BT570" t="str">
        <f>HYPERLINK("https%3A%2F%2Fwww.webofscience.com%2Fwos%2Fwoscc%2Ffull-record%2FWOS:000979323600001","View Full Record in Web of Science")</f>
        <v>View Full Record in Web of Science</v>
      </c>
    </row>
    <row r="571" spans="1:72" x14ac:dyDescent="0.25">
      <c r="A571" t="s">
        <v>72</v>
      </c>
      <c r="B571" t="s">
        <v>11139</v>
      </c>
      <c r="C571" t="s">
        <v>74</v>
      </c>
      <c r="D571" t="s">
        <v>74</v>
      </c>
      <c r="E571" t="s">
        <v>74</v>
      </c>
      <c r="F571" t="s">
        <v>11140</v>
      </c>
      <c r="G571" t="s">
        <v>74</v>
      </c>
      <c r="H571" t="s">
        <v>74</v>
      </c>
      <c r="I571" t="s">
        <v>11141</v>
      </c>
      <c r="J571" t="s">
        <v>11142</v>
      </c>
      <c r="K571" t="s">
        <v>74</v>
      </c>
      <c r="L571" t="s">
        <v>74</v>
      </c>
      <c r="M571" t="s">
        <v>78</v>
      </c>
      <c r="N571" t="s">
        <v>79</v>
      </c>
      <c r="O571" t="s">
        <v>74</v>
      </c>
      <c r="P571" t="s">
        <v>74</v>
      </c>
      <c r="Q571" t="s">
        <v>74</v>
      </c>
      <c r="R571" t="s">
        <v>74</v>
      </c>
      <c r="S571" t="s">
        <v>74</v>
      </c>
      <c r="T571" t="s">
        <v>74</v>
      </c>
      <c r="U571" t="s">
        <v>11143</v>
      </c>
      <c r="V571" t="s">
        <v>11144</v>
      </c>
      <c r="W571" t="s">
        <v>11145</v>
      </c>
      <c r="X571" t="s">
        <v>2434</v>
      </c>
      <c r="Y571" t="s">
        <v>11146</v>
      </c>
      <c r="Z571" t="s">
        <v>2436</v>
      </c>
      <c r="AA571" t="s">
        <v>74</v>
      </c>
      <c r="AB571" t="s">
        <v>74</v>
      </c>
      <c r="AC571" t="s">
        <v>11147</v>
      </c>
      <c r="AD571" t="s">
        <v>11148</v>
      </c>
      <c r="AE571" t="s">
        <v>11149</v>
      </c>
      <c r="AF571" t="s">
        <v>74</v>
      </c>
      <c r="AG571">
        <v>83</v>
      </c>
      <c r="AH571">
        <v>1</v>
      </c>
      <c r="AI571">
        <v>1</v>
      </c>
      <c r="AJ571">
        <v>9</v>
      </c>
      <c r="AK571">
        <v>26</v>
      </c>
      <c r="AL571" t="s">
        <v>8865</v>
      </c>
      <c r="AM571" t="s">
        <v>3546</v>
      </c>
      <c r="AN571" t="s">
        <v>8866</v>
      </c>
      <c r="AO571" t="s">
        <v>11150</v>
      </c>
      <c r="AP571" t="s">
        <v>11151</v>
      </c>
      <c r="AQ571" t="s">
        <v>74</v>
      </c>
      <c r="AR571" t="s">
        <v>11152</v>
      </c>
      <c r="AS571" t="s">
        <v>11153</v>
      </c>
      <c r="AT571" t="s">
        <v>6472</v>
      </c>
      <c r="AU571">
        <v>2023</v>
      </c>
      <c r="AV571">
        <v>94</v>
      </c>
      <c r="AW571">
        <v>4</v>
      </c>
      <c r="AX571" t="s">
        <v>74</v>
      </c>
      <c r="AY571" t="s">
        <v>74</v>
      </c>
      <c r="AZ571" t="s">
        <v>74</v>
      </c>
      <c r="BA571" t="s">
        <v>74</v>
      </c>
      <c r="BB571" t="s">
        <v>74</v>
      </c>
      <c r="BC571" t="s">
        <v>74</v>
      </c>
      <c r="BD571">
        <v>41501</v>
      </c>
      <c r="BE571" t="s">
        <v>11154</v>
      </c>
      <c r="BF571" t="str">
        <f>HYPERLINK("http://dx.doi.org/10.1063/5.0140319","http://dx.doi.org/10.1063/5.0140319")</f>
        <v>http://dx.doi.org/10.1063/5.0140319</v>
      </c>
      <c r="BG571" t="s">
        <v>74</v>
      </c>
      <c r="BH571" t="s">
        <v>74</v>
      </c>
      <c r="BI571">
        <v>10</v>
      </c>
      <c r="BJ571" t="s">
        <v>11155</v>
      </c>
      <c r="BK571" t="s">
        <v>182</v>
      </c>
      <c r="BL571" t="s">
        <v>11156</v>
      </c>
      <c r="BM571" t="s">
        <v>11157</v>
      </c>
      <c r="BN571">
        <v>38081284</v>
      </c>
      <c r="BO571" t="s">
        <v>309</v>
      </c>
      <c r="BP571" t="s">
        <v>74</v>
      </c>
      <c r="BQ571" t="s">
        <v>74</v>
      </c>
      <c r="BR571" t="s">
        <v>105</v>
      </c>
      <c r="BS571" t="s">
        <v>11158</v>
      </c>
      <c r="BT571" t="str">
        <f>HYPERLINK("https%3A%2F%2Fwww.webofscience.com%2Fwos%2Fwoscc%2Ffull-record%2FWOS:000975223900005","View Full Record in Web of Science")</f>
        <v>View Full Record in Web of Science</v>
      </c>
    </row>
    <row r="572" spans="1:72" x14ac:dyDescent="0.25">
      <c r="A572" t="s">
        <v>72</v>
      </c>
      <c r="B572" t="s">
        <v>11159</v>
      </c>
      <c r="C572" t="s">
        <v>74</v>
      </c>
      <c r="D572" t="s">
        <v>74</v>
      </c>
      <c r="E572" t="s">
        <v>74</v>
      </c>
      <c r="F572" t="s">
        <v>11160</v>
      </c>
      <c r="G572" t="s">
        <v>74</v>
      </c>
      <c r="H572" t="s">
        <v>74</v>
      </c>
      <c r="I572" t="s">
        <v>11161</v>
      </c>
      <c r="J572" t="s">
        <v>3219</v>
      </c>
      <c r="K572" t="s">
        <v>74</v>
      </c>
      <c r="L572" t="s">
        <v>74</v>
      </c>
      <c r="M572" t="s">
        <v>78</v>
      </c>
      <c r="N572" t="s">
        <v>79</v>
      </c>
      <c r="O572" t="s">
        <v>74</v>
      </c>
      <c r="P572" t="s">
        <v>74</v>
      </c>
      <c r="Q572" t="s">
        <v>74</v>
      </c>
      <c r="R572" t="s">
        <v>74</v>
      </c>
      <c r="S572" t="s">
        <v>74</v>
      </c>
      <c r="T572" t="s">
        <v>11162</v>
      </c>
      <c r="U572" t="s">
        <v>11163</v>
      </c>
      <c r="V572" t="s">
        <v>11164</v>
      </c>
      <c r="W572" t="s">
        <v>11165</v>
      </c>
      <c r="X572" t="s">
        <v>8344</v>
      </c>
      <c r="Y572" t="s">
        <v>11166</v>
      </c>
      <c r="Z572" t="s">
        <v>11167</v>
      </c>
      <c r="AA572" t="s">
        <v>74</v>
      </c>
      <c r="AB572" t="s">
        <v>74</v>
      </c>
      <c r="AC572" t="s">
        <v>11168</v>
      </c>
      <c r="AD572" t="s">
        <v>11169</v>
      </c>
      <c r="AE572" t="s">
        <v>11170</v>
      </c>
      <c r="AF572" t="s">
        <v>74</v>
      </c>
      <c r="AG572">
        <v>50</v>
      </c>
      <c r="AH572">
        <v>3</v>
      </c>
      <c r="AI572">
        <v>4</v>
      </c>
      <c r="AJ572">
        <v>3</v>
      </c>
      <c r="AK572">
        <v>20</v>
      </c>
      <c r="AL572" t="s">
        <v>346</v>
      </c>
      <c r="AM572" t="s">
        <v>227</v>
      </c>
      <c r="AN572" t="s">
        <v>347</v>
      </c>
      <c r="AO572" t="s">
        <v>3228</v>
      </c>
      <c r="AP572" t="s">
        <v>3229</v>
      </c>
      <c r="AQ572" t="s">
        <v>74</v>
      </c>
      <c r="AR572" t="s">
        <v>3230</v>
      </c>
      <c r="AS572" t="s">
        <v>3231</v>
      </c>
      <c r="AT572" t="s">
        <v>487</v>
      </c>
      <c r="AU572">
        <v>2023</v>
      </c>
      <c r="AV572">
        <v>102</v>
      </c>
      <c r="AW572">
        <v>4</v>
      </c>
      <c r="AX572" t="s">
        <v>74</v>
      </c>
      <c r="AY572" t="s">
        <v>74</v>
      </c>
      <c r="AZ572" t="s">
        <v>74</v>
      </c>
      <c r="BA572" t="s">
        <v>74</v>
      </c>
      <c r="BB572">
        <v>331</v>
      </c>
      <c r="BC572">
        <v>339</v>
      </c>
      <c r="BD572" t="s">
        <v>74</v>
      </c>
      <c r="BE572" t="s">
        <v>11171</v>
      </c>
      <c r="BF572" t="str">
        <f>HYPERLINK("http://dx.doi.org/10.1097/PHM.0000000000002098","http://dx.doi.org/10.1097/PHM.0000000000002098")</f>
        <v>http://dx.doi.org/10.1097/PHM.0000000000002098</v>
      </c>
      <c r="BG572" t="s">
        <v>74</v>
      </c>
      <c r="BH572" t="s">
        <v>74</v>
      </c>
      <c r="BI572">
        <v>9</v>
      </c>
      <c r="BJ572" t="s">
        <v>236</v>
      </c>
      <c r="BK572" t="s">
        <v>182</v>
      </c>
      <c r="BL572" t="s">
        <v>236</v>
      </c>
      <c r="BM572" t="s">
        <v>11172</v>
      </c>
      <c r="BN572">
        <v>36075885</v>
      </c>
      <c r="BO572" t="s">
        <v>74</v>
      </c>
      <c r="BP572" t="s">
        <v>74</v>
      </c>
      <c r="BQ572" t="s">
        <v>74</v>
      </c>
      <c r="BR572" t="s">
        <v>105</v>
      </c>
      <c r="BS572" t="s">
        <v>11173</v>
      </c>
      <c r="BT572" t="str">
        <f>HYPERLINK("https%3A%2F%2Fwww.webofscience.com%2Fwos%2Fwoscc%2Ffull-record%2FWOS:000952505600012","View Full Record in Web of Science")</f>
        <v>View Full Record in Web of Science</v>
      </c>
    </row>
    <row r="573" spans="1:72" x14ac:dyDescent="0.25">
      <c r="A573" t="s">
        <v>72</v>
      </c>
      <c r="B573" t="s">
        <v>11174</v>
      </c>
      <c r="C573" t="s">
        <v>74</v>
      </c>
      <c r="D573" t="s">
        <v>74</v>
      </c>
      <c r="E573" t="s">
        <v>74</v>
      </c>
      <c r="F573" t="s">
        <v>11175</v>
      </c>
      <c r="G573" t="s">
        <v>74</v>
      </c>
      <c r="H573" t="s">
        <v>74</v>
      </c>
      <c r="I573" t="s">
        <v>11176</v>
      </c>
      <c r="J573" t="s">
        <v>11177</v>
      </c>
      <c r="K573" t="s">
        <v>74</v>
      </c>
      <c r="L573" t="s">
        <v>74</v>
      </c>
      <c r="M573" t="s">
        <v>78</v>
      </c>
      <c r="N573" t="s">
        <v>79</v>
      </c>
      <c r="O573" t="s">
        <v>74</v>
      </c>
      <c r="P573" t="s">
        <v>74</v>
      </c>
      <c r="Q573" t="s">
        <v>74</v>
      </c>
      <c r="R573" t="s">
        <v>74</v>
      </c>
      <c r="S573" t="s">
        <v>74</v>
      </c>
      <c r="T573" t="s">
        <v>11178</v>
      </c>
      <c r="U573" t="s">
        <v>11179</v>
      </c>
      <c r="V573" t="s">
        <v>11180</v>
      </c>
      <c r="W573" t="s">
        <v>11181</v>
      </c>
      <c r="X573" t="s">
        <v>11182</v>
      </c>
      <c r="Y573" t="s">
        <v>11183</v>
      </c>
      <c r="Z573" t="s">
        <v>11184</v>
      </c>
      <c r="AA573" t="s">
        <v>11185</v>
      </c>
      <c r="AB573" t="s">
        <v>11186</v>
      </c>
      <c r="AC573" t="s">
        <v>74</v>
      </c>
      <c r="AD573" t="s">
        <v>74</v>
      </c>
      <c r="AE573" t="s">
        <v>74</v>
      </c>
      <c r="AF573" t="s">
        <v>74</v>
      </c>
      <c r="AG573">
        <v>64</v>
      </c>
      <c r="AH573">
        <v>13</v>
      </c>
      <c r="AI573">
        <v>14</v>
      </c>
      <c r="AJ573">
        <v>7</v>
      </c>
      <c r="AK573">
        <v>62</v>
      </c>
      <c r="AL573" t="s">
        <v>297</v>
      </c>
      <c r="AM573" t="s">
        <v>298</v>
      </c>
      <c r="AN573" t="s">
        <v>299</v>
      </c>
      <c r="AO573" t="s">
        <v>11187</v>
      </c>
      <c r="AP573" t="s">
        <v>11188</v>
      </c>
      <c r="AQ573" t="s">
        <v>74</v>
      </c>
      <c r="AR573" t="s">
        <v>11189</v>
      </c>
      <c r="AS573" t="s">
        <v>11190</v>
      </c>
      <c r="AT573" t="s">
        <v>326</v>
      </c>
      <c r="AU573">
        <v>2023</v>
      </c>
      <c r="AV573">
        <v>39</v>
      </c>
      <c r="AW573">
        <v>5</v>
      </c>
      <c r="AX573" t="s">
        <v>74</v>
      </c>
      <c r="AY573" t="s">
        <v>74</v>
      </c>
      <c r="AZ573" t="s">
        <v>74</v>
      </c>
      <c r="BA573" t="s">
        <v>74</v>
      </c>
      <c r="BB573">
        <v>435</v>
      </c>
      <c r="BC573">
        <v>445</v>
      </c>
      <c r="BD573" t="s">
        <v>74</v>
      </c>
      <c r="BE573" t="s">
        <v>11191</v>
      </c>
      <c r="BF573" t="str">
        <f>HYPERLINK("http://dx.doi.org/10.1002/kjm2.12679","http://dx.doi.org/10.1002/kjm2.12679")</f>
        <v>http://dx.doi.org/10.1002/kjm2.12679</v>
      </c>
      <c r="BG573" t="s">
        <v>74</v>
      </c>
      <c r="BH573" t="s">
        <v>3172</v>
      </c>
      <c r="BI573">
        <v>11</v>
      </c>
      <c r="BJ573" t="s">
        <v>738</v>
      </c>
      <c r="BK573" t="s">
        <v>182</v>
      </c>
      <c r="BL573" t="s">
        <v>739</v>
      </c>
      <c r="BM573" t="s">
        <v>11192</v>
      </c>
      <c r="BN573">
        <v>36999894</v>
      </c>
      <c r="BO573" t="s">
        <v>185</v>
      </c>
      <c r="BP573" t="s">
        <v>74</v>
      </c>
      <c r="BQ573" t="s">
        <v>74</v>
      </c>
      <c r="BR573" t="s">
        <v>105</v>
      </c>
      <c r="BS573" t="s">
        <v>11193</v>
      </c>
      <c r="BT573" t="str">
        <f>HYPERLINK("https%3A%2F%2Fwww.webofscience.com%2Fwos%2Fwoscc%2Ffull-record%2FWOS:000961679100001","View Full Record in Web of Science")</f>
        <v>View Full Record in Web of Science</v>
      </c>
    </row>
    <row r="574" spans="1:72" x14ac:dyDescent="0.25">
      <c r="A574" t="s">
        <v>72</v>
      </c>
      <c r="B574" t="s">
        <v>11194</v>
      </c>
      <c r="C574" t="s">
        <v>74</v>
      </c>
      <c r="D574" t="s">
        <v>74</v>
      </c>
      <c r="E574" t="s">
        <v>74</v>
      </c>
      <c r="F574" t="s">
        <v>11195</v>
      </c>
      <c r="G574" t="s">
        <v>74</v>
      </c>
      <c r="H574" t="s">
        <v>74</v>
      </c>
      <c r="I574" t="s">
        <v>11196</v>
      </c>
      <c r="J574" t="s">
        <v>11197</v>
      </c>
      <c r="K574" t="s">
        <v>74</v>
      </c>
      <c r="L574" t="s">
        <v>74</v>
      </c>
      <c r="M574" t="s">
        <v>78</v>
      </c>
      <c r="N574" t="s">
        <v>79</v>
      </c>
      <c r="O574" t="s">
        <v>74</v>
      </c>
      <c r="P574" t="s">
        <v>74</v>
      </c>
      <c r="Q574" t="s">
        <v>74</v>
      </c>
      <c r="R574" t="s">
        <v>74</v>
      </c>
      <c r="S574" t="s">
        <v>74</v>
      </c>
      <c r="T574" t="s">
        <v>11198</v>
      </c>
      <c r="U574" t="s">
        <v>11199</v>
      </c>
      <c r="V574" t="s">
        <v>11200</v>
      </c>
      <c r="W574" t="s">
        <v>11201</v>
      </c>
      <c r="X574" t="s">
        <v>11202</v>
      </c>
      <c r="Y574" t="s">
        <v>11203</v>
      </c>
      <c r="Z574" t="s">
        <v>11204</v>
      </c>
      <c r="AA574" t="s">
        <v>11205</v>
      </c>
      <c r="AB574" t="s">
        <v>74</v>
      </c>
      <c r="AC574" t="s">
        <v>74</v>
      </c>
      <c r="AD574" t="s">
        <v>74</v>
      </c>
      <c r="AE574" t="s">
        <v>74</v>
      </c>
      <c r="AF574" t="s">
        <v>74</v>
      </c>
      <c r="AG574">
        <v>47</v>
      </c>
      <c r="AH574">
        <v>0</v>
      </c>
      <c r="AI574">
        <v>0</v>
      </c>
      <c r="AJ574">
        <v>0</v>
      </c>
      <c r="AK574">
        <v>0</v>
      </c>
      <c r="AL574" t="s">
        <v>172</v>
      </c>
      <c r="AM574" t="s">
        <v>173</v>
      </c>
      <c r="AN574" t="s">
        <v>174</v>
      </c>
      <c r="AO574" t="s">
        <v>11206</v>
      </c>
      <c r="AP574" t="s">
        <v>74</v>
      </c>
      <c r="AQ574" t="s">
        <v>74</v>
      </c>
      <c r="AR574" t="s">
        <v>11207</v>
      </c>
      <c r="AS574" t="s">
        <v>11208</v>
      </c>
      <c r="AT574" t="s">
        <v>6489</v>
      </c>
      <c r="AU574">
        <v>2023</v>
      </c>
      <c r="AV574">
        <v>59</v>
      </c>
      <c r="AW574">
        <v>1</v>
      </c>
      <c r="AX574" t="s">
        <v>74</v>
      </c>
      <c r="AY574" t="s">
        <v>74</v>
      </c>
      <c r="AZ574" t="s">
        <v>74</v>
      </c>
      <c r="BA574" t="s">
        <v>74</v>
      </c>
      <c r="BB574" t="s">
        <v>74</v>
      </c>
      <c r="BC574" t="s">
        <v>74</v>
      </c>
      <c r="BD574">
        <v>41</v>
      </c>
      <c r="BE574" t="s">
        <v>11209</v>
      </c>
      <c r="BF574" t="str">
        <f>HYPERLINK("http://dx.doi.org/10.1186/s41983-023-00640-8","http://dx.doi.org/10.1186/s41983-023-00640-8")</f>
        <v>http://dx.doi.org/10.1186/s41983-023-00640-8</v>
      </c>
      <c r="BG574" t="s">
        <v>74</v>
      </c>
      <c r="BH574" t="s">
        <v>74</v>
      </c>
      <c r="BI574">
        <v>9</v>
      </c>
      <c r="BJ574" t="s">
        <v>374</v>
      </c>
      <c r="BK574" t="s">
        <v>155</v>
      </c>
      <c r="BL574" t="s">
        <v>375</v>
      </c>
      <c r="BM574" t="s">
        <v>11210</v>
      </c>
      <c r="BN574" t="s">
        <v>74</v>
      </c>
      <c r="BO574" t="s">
        <v>185</v>
      </c>
      <c r="BP574" t="s">
        <v>74</v>
      </c>
      <c r="BQ574" t="s">
        <v>74</v>
      </c>
      <c r="BR574" t="s">
        <v>105</v>
      </c>
      <c r="BS574" t="s">
        <v>11211</v>
      </c>
      <c r="BT574" t="str">
        <f>HYPERLINK("https%3A%2F%2Fwww.webofscience.com%2Fwos%2Fwoscc%2Ffull-record%2FWOS:001453664600001","View Full Record in Web of Science")</f>
        <v>View Full Record in Web of Science</v>
      </c>
    </row>
    <row r="575" spans="1:72" x14ac:dyDescent="0.25">
      <c r="A575" t="s">
        <v>72</v>
      </c>
      <c r="B575" t="s">
        <v>11212</v>
      </c>
      <c r="C575" t="s">
        <v>74</v>
      </c>
      <c r="D575" t="s">
        <v>74</v>
      </c>
      <c r="E575" t="s">
        <v>74</v>
      </c>
      <c r="F575" t="s">
        <v>11213</v>
      </c>
      <c r="G575" t="s">
        <v>74</v>
      </c>
      <c r="H575" t="s">
        <v>74</v>
      </c>
      <c r="I575" t="s">
        <v>11214</v>
      </c>
      <c r="J575" t="s">
        <v>9935</v>
      </c>
      <c r="K575" t="s">
        <v>74</v>
      </c>
      <c r="L575" t="s">
        <v>74</v>
      </c>
      <c r="M575" t="s">
        <v>78</v>
      </c>
      <c r="N575" t="s">
        <v>79</v>
      </c>
      <c r="O575" t="s">
        <v>74</v>
      </c>
      <c r="P575" t="s">
        <v>74</v>
      </c>
      <c r="Q575" t="s">
        <v>74</v>
      </c>
      <c r="R575" t="s">
        <v>74</v>
      </c>
      <c r="S575" t="s">
        <v>74</v>
      </c>
      <c r="T575" t="s">
        <v>11215</v>
      </c>
      <c r="U575" t="s">
        <v>11216</v>
      </c>
      <c r="V575" t="s">
        <v>11217</v>
      </c>
      <c r="W575" t="s">
        <v>11218</v>
      </c>
      <c r="X575" t="s">
        <v>11219</v>
      </c>
      <c r="Y575" t="s">
        <v>11220</v>
      </c>
      <c r="Z575" t="s">
        <v>11221</v>
      </c>
      <c r="AA575" t="s">
        <v>11222</v>
      </c>
      <c r="AB575" t="s">
        <v>11223</v>
      </c>
      <c r="AC575" t="s">
        <v>11224</v>
      </c>
      <c r="AD575" t="s">
        <v>11225</v>
      </c>
      <c r="AE575" t="s">
        <v>11226</v>
      </c>
      <c r="AF575" t="s">
        <v>74</v>
      </c>
      <c r="AG575">
        <v>64</v>
      </c>
      <c r="AH575">
        <v>3</v>
      </c>
      <c r="AI575">
        <v>3</v>
      </c>
      <c r="AJ575">
        <v>5</v>
      </c>
      <c r="AK575">
        <v>48</v>
      </c>
      <c r="AL575" t="s">
        <v>92</v>
      </c>
      <c r="AM575" t="s">
        <v>93</v>
      </c>
      <c r="AN575" t="s">
        <v>94</v>
      </c>
      <c r="AO575" t="s">
        <v>9945</v>
      </c>
      <c r="AP575" t="s">
        <v>9946</v>
      </c>
      <c r="AQ575" t="s">
        <v>74</v>
      </c>
      <c r="AR575" t="s">
        <v>9947</v>
      </c>
      <c r="AS575" t="s">
        <v>9948</v>
      </c>
      <c r="AT575" t="s">
        <v>863</v>
      </c>
      <c r="AU575">
        <v>2024</v>
      </c>
      <c r="AV575">
        <v>41</v>
      </c>
      <c r="AW575">
        <v>1</v>
      </c>
      <c r="AX575" t="s">
        <v>74</v>
      </c>
      <c r="AY575" t="s">
        <v>74</v>
      </c>
      <c r="AZ575" t="s">
        <v>74</v>
      </c>
      <c r="BA575" t="s">
        <v>74</v>
      </c>
      <c r="BB575">
        <v>98</v>
      </c>
      <c r="BC575">
        <v>109</v>
      </c>
      <c r="BD575" t="s">
        <v>74</v>
      </c>
      <c r="BE575" t="s">
        <v>11227</v>
      </c>
      <c r="BF575" t="str">
        <f>HYPERLINK("http://dx.doi.org/10.1080/02564602.2023.2185691","http://dx.doi.org/10.1080/02564602.2023.2185691")</f>
        <v>http://dx.doi.org/10.1080/02564602.2023.2185691</v>
      </c>
      <c r="BG575" t="s">
        <v>74</v>
      </c>
      <c r="BH575" t="s">
        <v>3172</v>
      </c>
      <c r="BI575">
        <v>12</v>
      </c>
      <c r="BJ575" t="s">
        <v>9950</v>
      </c>
      <c r="BK575" t="s">
        <v>182</v>
      </c>
      <c r="BL575" t="s">
        <v>9951</v>
      </c>
      <c r="BM575" t="s">
        <v>11228</v>
      </c>
      <c r="BN575" t="s">
        <v>74</v>
      </c>
      <c r="BO575" t="s">
        <v>74</v>
      </c>
      <c r="BP575" t="s">
        <v>74</v>
      </c>
      <c r="BQ575" t="s">
        <v>74</v>
      </c>
      <c r="BR575" t="s">
        <v>105</v>
      </c>
      <c r="BS575" t="s">
        <v>11229</v>
      </c>
      <c r="BT575" t="str">
        <f>HYPERLINK("https%3A%2F%2Fwww.webofscience.com%2Fwos%2Fwoscc%2Ffull-record%2FWOS:000954219600001","View Full Record in Web of Science")</f>
        <v>View Full Record in Web of Science</v>
      </c>
    </row>
    <row r="576" spans="1:72" x14ac:dyDescent="0.25">
      <c r="A576" t="s">
        <v>72</v>
      </c>
      <c r="B576" t="s">
        <v>11230</v>
      </c>
      <c r="C576" t="s">
        <v>74</v>
      </c>
      <c r="D576" t="s">
        <v>74</v>
      </c>
      <c r="E576" t="s">
        <v>74</v>
      </c>
      <c r="F576" t="s">
        <v>11231</v>
      </c>
      <c r="G576" t="s">
        <v>74</v>
      </c>
      <c r="H576" t="s">
        <v>74</v>
      </c>
      <c r="I576" t="s">
        <v>11232</v>
      </c>
      <c r="J576" t="s">
        <v>11233</v>
      </c>
      <c r="K576" t="s">
        <v>74</v>
      </c>
      <c r="L576" t="s">
        <v>74</v>
      </c>
      <c r="M576" t="s">
        <v>78</v>
      </c>
      <c r="N576" t="s">
        <v>79</v>
      </c>
      <c r="O576" t="s">
        <v>74</v>
      </c>
      <c r="P576" t="s">
        <v>74</v>
      </c>
      <c r="Q576" t="s">
        <v>74</v>
      </c>
      <c r="R576" t="s">
        <v>74</v>
      </c>
      <c r="S576" t="s">
        <v>74</v>
      </c>
      <c r="T576" t="s">
        <v>11234</v>
      </c>
      <c r="U576" t="s">
        <v>11235</v>
      </c>
      <c r="V576" t="s">
        <v>11236</v>
      </c>
      <c r="W576" t="s">
        <v>11237</v>
      </c>
      <c r="X576" t="s">
        <v>270</v>
      </c>
      <c r="Y576" t="s">
        <v>11238</v>
      </c>
      <c r="Z576" t="s">
        <v>272</v>
      </c>
      <c r="AA576" t="s">
        <v>74</v>
      </c>
      <c r="AB576" t="s">
        <v>273</v>
      </c>
      <c r="AC576" t="s">
        <v>11239</v>
      </c>
      <c r="AD576" t="s">
        <v>11240</v>
      </c>
      <c r="AE576" t="s">
        <v>11241</v>
      </c>
      <c r="AF576" t="s">
        <v>74</v>
      </c>
      <c r="AG576">
        <v>150</v>
      </c>
      <c r="AH576">
        <v>20</v>
      </c>
      <c r="AI576">
        <v>20</v>
      </c>
      <c r="AJ576">
        <v>16</v>
      </c>
      <c r="AK576">
        <v>144</v>
      </c>
      <c r="AL576" t="s">
        <v>297</v>
      </c>
      <c r="AM576" t="s">
        <v>298</v>
      </c>
      <c r="AN576" t="s">
        <v>299</v>
      </c>
      <c r="AO576" t="s">
        <v>74</v>
      </c>
      <c r="AP576" t="s">
        <v>11242</v>
      </c>
      <c r="AQ576" t="s">
        <v>74</v>
      </c>
      <c r="AR576" t="s">
        <v>11243</v>
      </c>
      <c r="AS576" t="s">
        <v>11244</v>
      </c>
      <c r="AT576" t="s">
        <v>487</v>
      </c>
      <c r="AU576">
        <v>2023</v>
      </c>
      <c r="AV576">
        <v>5</v>
      </c>
      <c r="AW576">
        <v>4</v>
      </c>
      <c r="AX576" t="s">
        <v>74</v>
      </c>
      <c r="AY576" t="s">
        <v>74</v>
      </c>
      <c r="AZ576" t="s">
        <v>74</v>
      </c>
      <c r="BA576" t="s">
        <v>74</v>
      </c>
      <c r="BB576" t="s">
        <v>74</v>
      </c>
      <c r="BC576" t="s">
        <v>74</v>
      </c>
      <c r="BD576" t="s">
        <v>74</v>
      </c>
      <c r="BE576" t="s">
        <v>11245</v>
      </c>
      <c r="BF576" t="str">
        <f>HYPERLINK("http://dx.doi.org/10.1002/aisy.202200159","http://dx.doi.org/10.1002/aisy.202200159")</f>
        <v>http://dx.doi.org/10.1002/aisy.202200159</v>
      </c>
      <c r="BG576" t="s">
        <v>74</v>
      </c>
      <c r="BH576" t="s">
        <v>3172</v>
      </c>
      <c r="BI576">
        <v>21</v>
      </c>
      <c r="BJ576" t="s">
        <v>2657</v>
      </c>
      <c r="BK576" t="s">
        <v>182</v>
      </c>
      <c r="BL576" t="s">
        <v>2658</v>
      </c>
      <c r="BM576" t="s">
        <v>11246</v>
      </c>
      <c r="BN576" t="s">
        <v>74</v>
      </c>
      <c r="BO576" t="s">
        <v>185</v>
      </c>
      <c r="BP576" t="s">
        <v>74</v>
      </c>
      <c r="BQ576" t="s">
        <v>74</v>
      </c>
      <c r="BR576" t="s">
        <v>105</v>
      </c>
      <c r="BS576" t="s">
        <v>11247</v>
      </c>
      <c r="BT576" t="str">
        <f>HYPERLINK("https%3A%2F%2Fwww.webofscience.com%2Fwos%2Fwoscc%2Ffull-record%2FWOS:000943279000001","View Full Record in Web of Science")</f>
        <v>View Full Record in Web of Science</v>
      </c>
    </row>
    <row r="577" spans="1:72" x14ac:dyDescent="0.25">
      <c r="A577" t="s">
        <v>72</v>
      </c>
      <c r="B577" t="s">
        <v>11248</v>
      </c>
      <c r="C577" t="s">
        <v>74</v>
      </c>
      <c r="D577" t="s">
        <v>74</v>
      </c>
      <c r="E577" t="s">
        <v>74</v>
      </c>
      <c r="F577" t="s">
        <v>11249</v>
      </c>
      <c r="G577" t="s">
        <v>74</v>
      </c>
      <c r="H577" t="s">
        <v>74</v>
      </c>
      <c r="I577" t="s">
        <v>11250</v>
      </c>
      <c r="J577" t="s">
        <v>5880</v>
      </c>
      <c r="K577" t="s">
        <v>74</v>
      </c>
      <c r="L577" t="s">
        <v>74</v>
      </c>
      <c r="M577" t="s">
        <v>78</v>
      </c>
      <c r="N577" t="s">
        <v>79</v>
      </c>
      <c r="O577" t="s">
        <v>74</v>
      </c>
      <c r="P577" t="s">
        <v>74</v>
      </c>
      <c r="Q577" t="s">
        <v>74</v>
      </c>
      <c r="R577" t="s">
        <v>74</v>
      </c>
      <c r="S577" t="s">
        <v>74</v>
      </c>
      <c r="T577" t="s">
        <v>11251</v>
      </c>
      <c r="U577" t="s">
        <v>11252</v>
      </c>
      <c r="V577" t="s">
        <v>11253</v>
      </c>
      <c r="W577" t="s">
        <v>11254</v>
      </c>
      <c r="X577" t="s">
        <v>11255</v>
      </c>
      <c r="Y577" t="s">
        <v>11256</v>
      </c>
      <c r="Z577" t="s">
        <v>11257</v>
      </c>
      <c r="AA577" t="s">
        <v>11258</v>
      </c>
      <c r="AB577" t="s">
        <v>11259</v>
      </c>
      <c r="AC577" t="s">
        <v>74</v>
      </c>
      <c r="AD577" t="s">
        <v>74</v>
      </c>
      <c r="AE577" t="s">
        <v>74</v>
      </c>
      <c r="AF577" t="s">
        <v>74</v>
      </c>
      <c r="AG577">
        <v>65</v>
      </c>
      <c r="AH577">
        <v>1</v>
      </c>
      <c r="AI577">
        <v>2</v>
      </c>
      <c r="AJ577">
        <v>1</v>
      </c>
      <c r="AK577">
        <v>3</v>
      </c>
      <c r="AL577" t="s">
        <v>172</v>
      </c>
      <c r="AM577" t="s">
        <v>173</v>
      </c>
      <c r="AN577" t="s">
        <v>174</v>
      </c>
      <c r="AO577" t="s">
        <v>5891</v>
      </c>
      <c r="AP577" t="s">
        <v>5892</v>
      </c>
      <c r="AQ577" t="s">
        <v>74</v>
      </c>
      <c r="AR577" t="s">
        <v>5893</v>
      </c>
      <c r="AS577" t="s">
        <v>5894</v>
      </c>
      <c r="AT577" t="s">
        <v>1471</v>
      </c>
      <c r="AU577">
        <v>2023</v>
      </c>
      <c r="AV577">
        <v>23</v>
      </c>
      <c r="AW577">
        <v>3</v>
      </c>
      <c r="AX577" t="s">
        <v>74</v>
      </c>
      <c r="AY577" t="s">
        <v>74</v>
      </c>
      <c r="AZ577" t="s">
        <v>74</v>
      </c>
      <c r="BA577" t="s">
        <v>74</v>
      </c>
      <c r="BB577">
        <v>33</v>
      </c>
      <c r="BC577">
        <v>48</v>
      </c>
      <c r="BD577" t="s">
        <v>74</v>
      </c>
      <c r="BE577" t="s">
        <v>11260</v>
      </c>
      <c r="BF577" t="str">
        <f>HYPERLINK("http://dx.doi.org/10.1007/s11910-023-01252-8","http://dx.doi.org/10.1007/s11910-023-01252-8")</f>
        <v>http://dx.doi.org/10.1007/s11910-023-01252-8</v>
      </c>
      <c r="BG577" t="s">
        <v>74</v>
      </c>
      <c r="BH577" t="s">
        <v>3172</v>
      </c>
      <c r="BI577">
        <v>16</v>
      </c>
      <c r="BJ577" t="s">
        <v>400</v>
      </c>
      <c r="BK577" t="s">
        <v>182</v>
      </c>
      <c r="BL577" t="s">
        <v>375</v>
      </c>
      <c r="BM577" t="s">
        <v>11261</v>
      </c>
      <c r="BN577">
        <v>36869185</v>
      </c>
      <c r="BO577" t="s">
        <v>662</v>
      </c>
      <c r="BP577" t="s">
        <v>74</v>
      </c>
      <c r="BQ577" t="s">
        <v>74</v>
      </c>
      <c r="BR577" t="s">
        <v>105</v>
      </c>
      <c r="BS577" t="s">
        <v>11262</v>
      </c>
      <c r="BT577" t="str">
        <f>HYPERLINK("https%3A%2F%2Fwww.webofscience.com%2Fwos%2Fwoscc%2Ffull-record%2FWOS:000943118900001","View Full Record in Web of Science")</f>
        <v>View Full Record in Web of Science</v>
      </c>
    </row>
    <row r="578" spans="1:72" x14ac:dyDescent="0.25">
      <c r="A578" t="s">
        <v>72</v>
      </c>
      <c r="B578" t="s">
        <v>11263</v>
      </c>
      <c r="C578" t="s">
        <v>74</v>
      </c>
      <c r="D578" t="s">
        <v>74</v>
      </c>
      <c r="E578" t="s">
        <v>74</v>
      </c>
      <c r="F578" t="s">
        <v>11264</v>
      </c>
      <c r="G578" t="s">
        <v>74</v>
      </c>
      <c r="H578" t="s">
        <v>74</v>
      </c>
      <c r="I578" t="s">
        <v>11265</v>
      </c>
      <c r="J578" t="s">
        <v>2040</v>
      </c>
      <c r="K578" t="s">
        <v>74</v>
      </c>
      <c r="L578" t="s">
        <v>74</v>
      </c>
      <c r="M578" t="s">
        <v>78</v>
      </c>
      <c r="N578" t="s">
        <v>79</v>
      </c>
      <c r="O578" t="s">
        <v>74</v>
      </c>
      <c r="P578" t="s">
        <v>74</v>
      </c>
      <c r="Q578" t="s">
        <v>74</v>
      </c>
      <c r="R578" t="s">
        <v>74</v>
      </c>
      <c r="S578" t="s">
        <v>74</v>
      </c>
      <c r="T578" t="s">
        <v>11266</v>
      </c>
      <c r="U578" t="s">
        <v>11267</v>
      </c>
      <c r="V578" t="s">
        <v>11268</v>
      </c>
      <c r="W578" t="s">
        <v>11269</v>
      </c>
      <c r="X578" t="s">
        <v>11270</v>
      </c>
      <c r="Y578" t="s">
        <v>11271</v>
      </c>
      <c r="Z578" t="s">
        <v>11272</v>
      </c>
      <c r="AA578" t="s">
        <v>11273</v>
      </c>
      <c r="AB578" t="s">
        <v>11274</v>
      </c>
      <c r="AC578" t="s">
        <v>11275</v>
      </c>
      <c r="AD578" t="s">
        <v>11276</v>
      </c>
      <c r="AE578" t="s">
        <v>11277</v>
      </c>
      <c r="AF578" t="s">
        <v>74</v>
      </c>
      <c r="AG578">
        <v>166</v>
      </c>
      <c r="AH578">
        <v>9</v>
      </c>
      <c r="AI578">
        <v>10</v>
      </c>
      <c r="AJ578">
        <v>17</v>
      </c>
      <c r="AK578">
        <v>112</v>
      </c>
      <c r="AL578" t="s">
        <v>120</v>
      </c>
      <c r="AM578" t="s">
        <v>121</v>
      </c>
      <c r="AN578" t="s">
        <v>1221</v>
      </c>
      <c r="AO578" t="s">
        <v>74</v>
      </c>
      <c r="AP578" t="s">
        <v>2050</v>
      </c>
      <c r="AQ578" t="s">
        <v>74</v>
      </c>
      <c r="AR578" t="s">
        <v>2051</v>
      </c>
      <c r="AS578" t="s">
        <v>2052</v>
      </c>
      <c r="AT578" t="s">
        <v>1471</v>
      </c>
      <c r="AU578">
        <v>2023</v>
      </c>
      <c r="AV578">
        <v>23</v>
      </c>
      <c r="AW578">
        <v>6</v>
      </c>
      <c r="AX578" t="s">
        <v>74</v>
      </c>
      <c r="AY578" t="s">
        <v>74</v>
      </c>
      <c r="AZ578" t="s">
        <v>74</v>
      </c>
      <c r="BA578" t="s">
        <v>74</v>
      </c>
      <c r="BB578" t="s">
        <v>74</v>
      </c>
      <c r="BC578" t="s">
        <v>74</v>
      </c>
      <c r="BD578">
        <v>3263</v>
      </c>
      <c r="BE578" t="s">
        <v>11278</v>
      </c>
      <c r="BF578" t="str">
        <f>HYPERLINK("http://dx.doi.org/10.3390/s23063263","http://dx.doi.org/10.3390/s23063263")</f>
        <v>http://dx.doi.org/10.3390/s23063263</v>
      </c>
      <c r="BG578" t="s">
        <v>74</v>
      </c>
      <c r="BH578" t="s">
        <v>74</v>
      </c>
      <c r="BI578">
        <v>22</v>
      </c>
      <c r="BJ578" t="s">
        <v>2054</v>
      </c>
      <c r="BK578" t="s">
        <v>182</v>
      </c>
      <c r="BL578" t="s">
        <v>2055</v>
      </c>
      <c r="BM578" t="s">
        <v>11279</v>
      </c>
      <c r="BN578">
        <v>36991974</v>
      </c>
      <c r="BO578" t="s">
        <v>355</v>
      </c>
      <c r="BP578" t="s">
        <v>74</v>
      </c>
      <c r="BQ578" t="s">
        <v>74</v>
      </c>
      <c r="BR578" t="s">
        <v>105</v>
      </c>
      <c r="BS578" t="s">
        <v>11280</v>
      </c>
      <c r="BT578" t="str">
        <f>HYPERLINK("https%3A%2F%2Fwww.webofscience.com%2Fwos%2Fwoscc%2Ffull-record%2FWOS:000958151400001","View Full Record in Web of Science")</f>
        <v>View Full Record in Web of Science</v>
      </c>
    </row>
    <row r="579" spans="1:72" x14ac:dyDescent="0.25">
      <c r="A579" t="s">
        <v>72</v>
      </c>
      <c r="B579" t="s">
        <v>11281</v>
      </c>
      <c r="C579" t="s">
        <v>74</v>
      </c>
      <c r="D579" t="s">
        <v>74</v>
      </c>
      <c r="E579" t="s">
        <v>74</v>
      </c>
      <c r="F579" t="s">
        <v>11282</v>
      </c>
      <c r="G579" t="s">
        <v>74</v>
      </c>
      <c r="H579" t="s">
        <v>74</v>
      </c>
      <c r="I579" t="s">
        <v>11283</v>
      </c>
      <c r="J579" t="s">
        <v>2040</v>
      </c>
      <c r="K579" t="s">
        <v>74</v>
      </c>
      <c r="L579" t="s">
        <v>74</v>
      </c>
      <c r="M579" t="s">
        <v>78</v>
      </c>
      <c r="N579" t="s">
        <v>79</v>
      </c>
      <c r="O579" t="s">
        <v>74</v>
      </c>
      <c r="P579" t="s">
        <v>74</v>
      </c>
      <c r="Q579" t="s">
        <v>74</v>
      </c>
      <c r="R579" t="s">
        <v>74</v>
      </c>
      <c r="S579" t="s">
        <v>74</v>
      </c>
      <c r="T579" t="s">
        <v>11284</v>
      </c>
      <c r="U579" t="s">
        <v>11285</v>
      </c>
      <c r="V579" t="s">
        <v>11286</v>
      </c>
      <c r="W579" t="s">
        <v>11287</v>
      </c>
      <c r="X579" t="s">
        <v>11288</v>
      </c>
      <c r="Y579" t="s">
        <v>11289</v>
      </c>
      <c r="Z579" t="s">
        <v>11290</v>
      </c>
      <c r="AA579" t="s">
        <v>11291</v>
      </c>
      <c r="AB579" t="s">
        <v>11292</v>
      </c>
      <c r="AC579" t="s">
        <v>74</v>
      </c>
      <c r="AD579" t="s">
        <v>74</v>
      </c>
      <c r="AE579" t="s">
        <v>74</v>
      </c>
      <c r="AF579" t="s">
        <v>74</v>
      </c>
      <c r="AG579">
        <v>93</v>
      </c>
      <c r="AH579">
        <v>56</v>
      </c>
      <c r="AI579">
        <v>58</v>
      </c>
      <c r="AJ579">
        <v>15</v>
      </c>
      <c r="AK579">
        <v>74</v>
      </c>
      <c r="AL579" t="s">
        <v>120</v>
      </c>
      <c r="AM579" t="s">
        <v>121</v>
      </c>
      <c r="AN579" t="s">
        <v>122</v>
      </c>
      <c r="AO579" t="s">
        <v>74</v>
      </c>
      <c r="AP579" t="s">
        <v>2050</v>
      </c>
      <c r="AQ579" t="s">
        <v>74</v>
      </c>
      <c r="AR579" t="s">
        <v>2051</v>
      </c>
      <c r="AS579" t="s">
        <v>2052</v>
      </c>
      <c r="AT579" t="s">
        <v>1471</v>
      </c>
      <c r="AU579">
        <v>2023</v>
      </c>
      <c r="AV579">
        <v>23</v>
      </c>
      <c r="AW579">
        <v>5</v>
      </c>
      <c r="AX579" t="s">
        <v>74</v>
      </c>
      <c r="AY579" t="s">
        <v>74</v>
      </c>
      <c r="AZ579" t="s">
        <v>74</v>
      </c>
      <c r="BA579" t="s">
        <v>74</v>
      </c>
      <c r="BB579" t="s">
        <v>74</v>
      </c>
      <c r="BC579" t="s">
        <v>74</v>
      </c>
      <c r="BD579">
        <v>2519</v>
      </c>
      <c r="BE579" t="s">
        <v>11293</v>
      </c>
      <c r="BF579" t="str">
        <f>HYPERLINK("http://dx.doi.org/10.3390/s23052519","http://dx.doi.org/10.3390/s23052519")</f>
        <v>http://dx.doi.org/10.3390/s23052519</v>
      </c>
      <c r="BG579" t="s">
        <v>74</v>
      </c>
      <c r="BH579" t="s">
        <v>74</v>
      </c>
      <c r="BI579">
        <v>21</v>
      </c>
      <c r="BJ579" t="s">
        <v>2054</v>
      </c>
      <c r="BK579" t="s">
        <v>182</v>
      </c>
      <c r="BL579" t="s">
        <v>2055</v>
      </c>
      <c r="BM579" t="s">
        <v>11294</v>
      </c>
      <c r="BN579">
        <v>36904721</v>
      </c>
      <c r="BO579" t="s">
        <v>355</v>
      </c>
      <c r="BP579" t="s">
        <v>74</v>
      </c>
      <c r="BQ579" t="s">
        <v>74</v>
      </c>
      <c r="BR579" t="s">
        <v>105</v>
      </c>
      <c r="BS579" t="s">
        <v>11295</v>
      </c>
      <c r="BT579" t="str">
        <f>HYPERLINK("https%3A%2F%2Fwww.webofscience.com%2Fwos%2Fwoscc%2Ffull-record%2FWOS:000947420500001","View Full Record in Web of Science")</f>
        <v>View Full Record in Web of Science</v>
      </c>
    </row>
    <row r="580" spans="1:72" x14ac:dyDescent="0.25">
      <c r="A580" t="s">
        <v>72</v>
      </c>
      <c r="B580" t="s">
        <v>11296</v>
      </c>
      <c r="C580" t="s">
        <v>74</v>
      </c>
      <c r="D580" t="s">
        <v>74</v>
      </c>
      <c r="E580" t="s">
        <v>74</v>
      </c>
      <c r="F580" t="s">
        <v>11297</v>
      </c>
      <c r="G580" t="s">
        <v>74</v>
      </c>
      <c r="H580" t="s">
        <v>74</v>
      </c>
      <c r="I580" t="s">
        <v>11298</v>
      </c>
      <c r="J580" t="s">
        <v>11299</v>
      </c>
      <c r="K580" t="s">
        <v>74</v>
      </c>
      <c r="L580" t="s">
        <v>74</v>
      </c>
      <c r="M580" t="s">
        <v>78</v>
      </c>
      <c r="N580" t="s">
        <v>79</v>
      </c>
      <c r="O580" t="s">
        <v>74</v>
      </c>
      <c r="P580" t="s">
        <v>74</v>
      </c>
      <c r="Q580" t="s">
        <v>74</v>
      </c>
      <c r="R580" t="s">
        <v>74</v>
      </c>
      <c r="S580" t="s">
        <v>74</v>
      </c>
      <c r="T580" t="s">
        <v>74</v>
      </c>
      <c r="U580" t="s">
        <v>11300</v>
      </c>
      <c r="V580" t="s">
        <v>11301</v>
      </c>
      <c r="W580" t="s">
        <v>11302</v>
      </c>
      <c r="X580" t="s">
        <v>11303</v>
      </c>
      <c r="Y580" t="s">
        <v>11304</v>
      </c>
      <c r="Z580" t="s">
        <v>74</v>
      </c>
      <c r="AA580" t="s">
        <v>11305</v>
      </c>
      <c r="AB580" t="s">
        <v>11306</v>
      </c>
      <c r="AC580" t="s">
        <v>74</v>
      </c>
      <c r="AD580" t="s">
        <v>74</v>
      </c>
      <c r="AE580" t="s">
        <v>74</v>
      </c>
      <c r="AF580" t="s">
        <v>74</v>
      </c>
      <c r="AG580">
        <v>36</v>
      </c>
      <c r="AH580">
        <v>1</v>
      </c>
      <c r="AI580">
        <v>1</v>
      </c>
      <c r="AJ580">
        <v>2</v>
      </c>
      <c r="AK580">
        <v>12</v>
      </c>
      <c r="AL580" t="s">
        <v>11307</v>
      </c>
      <c r="AM580" t="s">
        <v>11308</v>
      </c>
      <c r="AN580" t="s">
        <v>11309</v>
      </c>
      <c r="AO580" t="s">
        <v>11310</v>
      </c>
      <c r="AP580" t="s">
        <v>11311</v>
      </c>
      <c r="AQ580" t="s">
        <v>74</v>
      </c>
      <c r="AR580" t="s">
        <v>11312</v>
      </c>
      <c r="AS580" t="s">
        <v>11313</v>
      </c>
      <c r="AT580" t="s">
        <v>11314</v>
      </c>
      <c r="AU580">
        <v>2023</v>
      </c>
      <c r="AV580">
        <v>77</v>
      </c>
      <c r="AW580" t="s">
        <v>74</v>
      </c>
      <c r="AX580" t="s">
        <v>74</v>
      </c>
      <c r="AY580">
        <v>1</v>
      </c>
      <c r="AZ580" t="s">
        <v>74</v>
      </c>
      <c r="BA580" t="s">
        <v>74</v>
      </c>
      <c r="BB580" t="s">
        <v>74</v>
      </c>
      <c r="BC580" t="s">
        <v>74</v>
      </c>
      <c r="BD580">
        <v>7710393020</v>
      </c>
      <c r="BE580" t="s">
        <v>11315</v>
      </c>
      <c r="BF580" t="str">
        <f>HYPERLINK("http://dx.doi.org/10.5014/ajot.2022.77S10002","http://dx.doi.org/10.5014/ajot.2022.77S10002")</f>
        <v>http://dx.doi.org/10.5014/ajot.2022.77S10002</v>
      </c>
      <c r="BG580" t="s">
        <v>74</v>
      </c>
      <c r="BH580" t="s">
        <v>74</v>
      </c>
      <c r="BI580">
        <v>9</v>
      </c>
      <c r="BJ580" t="s">
        <v>101</v>
      </c>
      <c r="BK580" t="s">
        <v>462</v>
      </c>
      <c r="BL580" t="s">
        <v>101</v>
      </c>
      <c r="BM580" t="s">
        <v>11316</v>
      </c>
      <c r="BN580">
        <v>37068214</v>
      </c>
      <c r="BO580" t="s">
        <v>74</v>
      </c>
      <c r="BP580" t="s">
        <v>74</v>
      </c>
      <c r="BQ580" t="s">
        <v>74</v>
      </c>
      <c r="BR580" t="s">
        <v>105</v>
      </c>
      <c r="BS580" t="s">
        <v>11317</v>
      </c>
      <c r="BT580" t="str">
        <f>HYPERLINK("https%3A%2F%2Fwww.webofscience.com%2Fwos%2Fwoscc%2Ffull-record%2FWOS:000993955500002","View Full Record in Web of Science")</f>
        <v>View Full Record in Web of Science</v>
      </c>
    </row>
    <row r="581" spans="1:72" x14ac:dyDescent="0.25">
      <c r="A581" t="s">
        <v>72</v>
      </c>
      <c r="B581" t="s">
        <v>11318</v>
      </c>
      <c r="C581" t="s">
        <v>74</v>
      </c>
      <c r="D581" t="s">
        <v>74</v>
      </c>
      <c r="E581" t="s">
        <v>74</v>
      </c>
      <c r="F581" t="s">
        <v>11319</v>
      </c>
      <c r="G581" t="s">
        <v>74</v>
      </c>
      <c r="H581" t="s">
        <v>74</v>
      </c>
      <c r="I581" t="s">
        <v>11320</v>
      </c>
      <c r="J581" t="s">
        <v>2040</v>
      </c>
      <c r="K581" t="s">
        <v>74</v>
      </c>
      <c r="L581" t="s">
        <v>74</v>
      </c>
      <c r="M581" t="s">
        <v>78</v>
      </c>
      <c r="N581" t="s">
        <v>79</v>
      </c>
      <c r="O581" t="s">
        <v>74</v>
      </c>
      <c r="P581" t="s">
        <v>74</v>
      </c>
      <c r="Q581" t="s">
        <v>74</v>
      </c>
      <c r="R581" t="s">
        <v>74</v>
      </c>
      <c r="S581" t="s">
        <v>74</v>
      </c>
      <c r="T581" t="s">
        <v>11321</v>
      </c>
      <c r="U581" t="s">
        <v>11322</v>
      </c>
      <c r="V581" t="s">
        <v>11323</v>
      </c>
      <c r="W581" t="s">
        <v>11324</v>
      </c>
      <c r="X581" t="s">
        <v>11325</v>
      </c>
      <c r="Y581" t="s">
        <v>11326</v>
      </c>
      <c r="Z581" t="s">
        <v>11327</v>
      </c>
      <c r="AA581" t="s">
        <v>11328</v>
      </c>
      <c r="AB581" t="s">
        <v>11329</v>
      </c>
      <c r="AC581" t="s">
        <v>74</v>
      </c>
      <c r="AD581" t="s">
        <v>74</v>
      </c>
      <c r="AE581" t="s">
        <v>74</v>
      </c>
      <c r="AF581" t="s">
        <v>74</v>
      </c>
      <c r="AG581">
        <v>109</v>
      </c>
      <c r="AH581">
        <v>9</v>
      </c>
      <c r="AI581">
        <v>9</v>
      </c>
      <c r="AJ581">
        <v>6</v>
      </c>
      <c r="AK581">
        <v>63</v>
      </c>
      <c r="AL581" t="s">
        <v>120</v>
      </c>
      <c r="AM581" t="s">
        <v>121</v>
      </c>
      <c r="AN581" t="s">
        <v>122</v>
      </c>
      <c r="AO581" t="s">
        <v>74</v>
      </c>
      <c r="AP581" t="s">
        <v>2050</v>
      </c>
      <c r="AQ581" t="s">
        <v>74</v>
      </c>
      <c r="AR581" t="s">
        <v>2051</v>
      </c>
      <c r="AS581" t="s">
        <v>2052</v>
      </c>
      <c r="AT581" t="s">
        <v>1471</v>
      </c>
      <c r="AU581">
        <v>2023</v>
      </c>
      <c r="AV581">
        <v>23</v>
      </c>
      <c r="AW581">
        <v>6</v>
      </c>
      <c r="AX581" t="s">
        <v>74</v>
      </c>
      <c r="AY581" t="s">
        <v>74</v>
      </c>
      <c r="AZ581" t="s">
        <v>74</v>
      </c>
      <c r="BA581" t="s">
        <v>74</v>
      </c>
      <c r="BB581" t="s">
        <v>74</v>
      </c>
      <c r="BC581" t="s">
        <v>74</v>
      </c>
      <c r="BD581">
        <v>3032</v>
      </c>
      <c r="BE581" t="s">
        <v>11330</v>
      </c>
      <c r="BF581" t="str">
        <f>HYPERLINK("http://dx.doi.org/10.3390/s23063032","http://dx.doi.org/10.3390/s23063032")</f>
        <v>http://dx.doi.org/10.3390/s23063032</v>
      </c>
      <c r="BG581" t="s">
        <v>74</v>
      </c>
      <c r="BH581" t="s">
        <v>74</v>
      </c>
      <c r="BI581">
        <v>40</v>
      </c>
      <c r="BJ581" t="s">
        <v>2054</v>
      </c>
      <c r="BK581" t="s">
        <v>182</v>
      </c>
      <c r="BL581" t="s">
        <v>2055</v>
      </c>
      <c r="BM581" t="s">
        <v>11331</v>
      </c>
      <c r="BN581">
        <v>36991743</v>
      </c>
      <c r="BO581" t="s">
        <v>131</v>
      </c>
      <c r="BP581" t="s">
        <v>74</v>
      </c>
      <c r="BQ581" t="s">
        <v>74</v>
      </c>
      <c r="BR581" t="s">
        <v>105</v>
      </c>
      <c r="BS581" t="s">
        <v>11332</v>
      </c>
      <c r="BT581" t="str">
        <f>HYPERLINK("https%3A%2F%2Fwww.webofscience.com%2Fwos%2Fwoscc%2Ffull-record%2FWOS:000958027800001","View Full Record in Web of Science")</f>
        <v>View Full Record in Web of Science</v>
      </c>
    </row>
    <row r="582" spans="1:72" x14ac:dyDescent="0.25">
      <c r="A582" t="s">
        <v>72</v>
      </c>
      <c r="B582" t="s">
        <v>11333</v>
      </c>
      <c r="C582" t="s">
        <v>74</v>
      </c>
      <c r="D582" t="s">
        <v>74</v>
      </c>
      <c r="E582" t="s">
        <v>74</v>
      </c>
      <c r="F582" t="s">
        <v>11334</v>
      </c>
      <c r="G582" t="s">
        <v>74</v>
      </c>
      <c r="H582" t="s">
        <v>74</v>
      </c>
      <c r="I582" t="s">
        <v>11335</v>
      </c>
      <c r="J582" t="s">
        <v>11336</v>
      </c>
      <c r="K582" t="s">
        <v>74</v>
      </c>
      <c r="L582" t="s">
        <v>74</v>
      </c>
      <c r="M582" t="s">
        <v>78</v>
      </c>
      <c r="N582" t="s">
        <v>79</v>
      </c>
      <c r="O582" t="s">
        <v>74</v>
      </c>
      <c r="P582" t="s">
        <v>74</v>
      </c>
      <c r="Q582" t="s">
        <v>74</v>
      </c>
      <c r="R582" t="s">
        <v>74</v>
      </c>
      <c r="S582" t="s">
        <v>74</v>
      </c>
      <c r="T582" t="s">
        <v>11337</v>
      </c>
      <c r="U582" t="s">
        <v>11338</v>
      </c>
      <c r="V582" t="s">
        <v>11339</v>
      </c>
      <c r="W582" t="s">
        <v>11340</v>
      </c>
      <c r="X582" t="s">
        <v>11341</v>
      </c>
      <c r="Y582" t="s">
        <v>11342</v>
      </c>
      <c r="Z582" t="s">
        <v>11343</v>
      </c>
      <c r="AA582" t="s">
        <v>11344</v>
      </c>
      <c r="AB582" t="s">
        <v>11345</v>
      </c>
      <c r="AC582" t="s">
        <v>11346</v>
      </c>
      <c r="AD582" t="s">
        <v>11347</v>
      </c>
      <c r="AE582" t="s">
        <v>11348</v>
      </c>
      <c r="AF582" t="s">
        <v>74</v>
      </c>
      <c r="AG582">
        <v>110</v>
      </c>
      <c r="AH582">
        <v>61</v>
      </c>
      <c r="AI582">
        <v>63</v>
      </c>
      <c r="AJ582">
        <v>11</v>
      </c>
      <c r="AK582">
        <v>11</v>
      </c>
      <c r="AL582" t="s">
        <v>1605</v>
      </c>
      <c r="AM582" t="s">
        <v>1606</v>
      </c>
      <c r="AN582" t="s">
        <v>1607</v>
      </c>
      <c r="AO582" t="s">
        <v>11349</v>
      </c>
      <c r="AP582" t="s">
        <v>11350</v>
      </c>
      <c r="AQ582" t="s">
        <v>74</v>
      </c>
      <c r="AR582" t="s">
        <v>11351</v>
      </c>
      <c r="AS582" t="s">
        <v>11352</v>
      </c>
      <c r="AT582" t="s">
        <v>1471</v>
      </c>
      <c r="AU582">
        <v>2023</v>
      </c>
      <c r="AV582">
        <v>3</v>
      </c>
      <c r="AW582">
        <v>1</v>
      </c>
      <c r="AX582" t="s">
        <v>74</v>
      </c>
      <c r="AY582" t="s">
        <v>74</v>
      </c>
      <c r="AZ582" t="s">
        <v>74</v>
      </c>
      <c r="BA582" t="s">
        <v>74</v>
      </c>
      <c r="BB582" t="s">
        <v>74</v>
      </c>
      <c r="BC582" t="s">
        <v>74</v>
      </c>
      <c r="BD582">
        <v>100089</v>
      </c>
      <c r="BE582" t="s">
        <v>11353</v>
      </c>
      <c r="BF582" t="str">
        <f>HYPERLINK("http://dx.doi.org/10.1016/j.birob.2023.100089","http://dx.doi.org/10.1016/j.birob.2023.100089")</f>
        <v>http://dx.doi.org/10.1016/j.birob.2023.100089</v>
      </c>
      <c r="BG582" t="s">
        <v>74</v>
      </c>
      <c r="BH582" t="s">
        <v>74</v>
      </c>
      <c r="BI582">
        <v>10</v>
      </c>
      <c r="BJ582" t="s">
        <v>714</v>
      </c>
      <c r="BK582" t="s">
        <v>155</v>
      </c>
      <c r="BL582" t="s">
        <v>714</v>
      </c>
      <c r="BM582" t="s">
        <v>11354</v>
      </c>
      <c r="BN582" t="s">
        <v>74</v>
      </c>
      <c r="BO582" t="s">
        <v>131</v>
      </c>
      <c r="BP582" t="s">
        <v>74</v>
      </c>
      <c r="BQ582" t="s">
        <v>74</v>
      </c>
      <c r="BR582" t="s">
        <v>105</v>
      </c>
      <c r="BS582" t="s">
        <v>11355</v>
      </c>
      <c r="BT582" t="str">
        <f>HYPERLINK("https%3A%2F%2Fwww.webofscience.com%2Fwos%2Fwoscc%2Ffull-record%2FWOS:001354598600007","View Full Record in Web of Science")</f>
        <v>View Full Record in Web of Science</v>
      </c>
    </row>
    <row r="583" spans="1:72" x14ac:dyDescent="0.25">
      <c r="A583" t="s">
        <v>72</v>
      </c>
      <c r="B583" t="s">
        <v>11356</v>
      </c>
      <c r="C583" t="s">
        <v>74</v>
      </c>
      <c r="D583" t="s">
        <v>74</v>
      </c>
      <c r="E583" t="s">
        <v>74</v>
      </c>
      <c r="F583" t="s">
        <v>11357</v>
      </c>
      <c r="G583" t="s">
        <v>74</v>
      </c>
      <c r="H583" t="s">
        <v>74</v>
      </c>
      <c r="I583" t="s">
        <v>11358</v>
      </c>
      <c r="J583" t="s">
        <v>11359</v>
      </c>
      <c r="K583" t="s">
        <v>74</v>
      </c>
      <c r="L583" t="s">
        <v>74</v>
      </c>
      <c r="M583" t="s">
        <v>78</v>
      </c>
      <c r="N583" t="s">
        <v>79</v>
      </c>
      <c r="O583" t="s">
        <v>74</v>
      </c>
      <c r="P583" t="s">
        <v>74</v>
      </c>
      <c r="Q583" t="s">
        <v>74</v>
      </c>
      <c r="R583" t="s">
        <v>74</v>
      </c>
      <c r="S583" t="s">
        <v>74</v>
      </c>
      <c r="T583" t="s">
        <v>11360</v>
      </c>
      <c r="U583" t="s">
        <v>11361</v>
      </c>
      <c r="V583" t="s">
        <v>11362</v>
      </c>
      <c r="W583" t="s">
        <v>11363</v>
      </c>
      <c r="X583" t="s">
        <v>11364</v>
      </c>
      <c r="Y583" t="s">
        <v>11365</v>
      </c>
      <c r="Z583" t="s">
        <v>11366</v>
      </c>
      <c r="AA583" t="s">
        <v>74</v>
      </c>
      <c r="AB583" t="s">
        <v>74</v>
      </c>
      <c r="AC583" t="s">
        <v>11367</v>
      </c>
      <c r="AD583" t="s">
        <v>11367</v>
      </c>
      <c r="AE583" t="s">
        <v>11368</v>
      </c>
      <c r="AF583" t="s">
        <v>74</v>
      </c>
      <c r="AG583">
        <v>81</v>
      </c>
      <c r="AH583">
        <v>2</v>
      </c>
      <c r="AI583">
        <v>2</v>
      </c>
      <c r="AJ583">
        <v>1</v>
      </c>
      <c r="AK583">
        <v>1</v>
      </c>
      <c r="AL583" t="s">
        <v>6443</v>
      </c>
      <c r="AM583" t="s">
        <v>4114</v>
      </c>
      <c r="AN583" t="s">
        <v>6444</v>
      </c>
      <c r="AO583" t="s">
        <v>74</v>
      </c>
      <c r="AP583" t="s">
        <v>11369</v>
      </c>
      <c r="AQ583" t="s">
        <v>74</v>
      </c>
      <c r="AR583" t="s">
        <v>11370</v>
      </c>
      <c r="AS583" t="s">
        <v>11371</v>
      </c>
      <c r="AT583" t="s">
        <v>11372</v>
      </c>
      <c r="AU583">
        <v>2023</v>
      </c>
      <c r="AV583">
        <v>4</v>
      </c>
      <c r="AW583" t="s">
        <v>74</v>
      </c>
      <c r="AX583" t="s">
        <v>74</v>
      </c>
      <c r="AY583" t="s">
        <v>74</v>
      </c>
      <c r="AZ583" t="s">
        <v>74</v>
      </c>
      <c r="BA583" t="s">
        <v>74</v>
      </c>
      <c r="BB583" t="s">
        <v>74</v>
      </c>
      <c r="BC583" t="s">
        <v>74</v>
      </c>
      <c r="BD583" t="s">
        <v>11373</v>
      </c>
      <c r="BE583" t="s">
        <v>11374</v>
      </c>
      <c r="BF583" t="str">
        <f>HYPERLINK("http://dx.doi.org/10.1017/wtc.2022.26","http://dx.doi.org/10.1017/wtc.2022.26")</f>
        <v>http://dx.doi.org/10.1017/wtc.2022.26</v>
      </c>
      <c r="BG583" t="s">
        <v>74</v>
      </c>
      <c r="BH583" t="s">
        <v>74</v>
      </c>
      <c r="BI583">
        <v>15</v>
      </c>
      <c r="BJ583" t="s">
        <v>11375</v>
      </c>
      <c r="BK583" t="s">
        <v>155</v>
      </c>
      <c r="BL583" t="s">
        <v>11376</v>
      </c>
      <c r="BM583" t="s">
        <v>11377</v>
      </c>
      <c r="BN583">
        <v>38487779</v>
      </c>
      <c r="BO583" t="s">
        <v>355</v>
      </c>
      <c r="BP583" t="s">
        <v>74</v>
      </c>
      <c r="BQ583" t="s">
        <v>74</v>
      </c>
      <c r="BR583" t="s">
        <v>105</v>
      </c>
      <c r="BS583" t="s">
        <v>11378</v>
      </c>
      <c r="BT583" t="str">
        <f>HYPERLINK("https%3A%2F%2Fwww.webofscience.com%2Fwos%2Fwoscc%2Ffull-record%2FWOS:001192404100001","View Full Record in Web of Science")</f>
        <v>View Full Record in Web of Science</v>
      </c>
    </row>
    <row r="584" spans="1:72" x14ac:dyDescent="0.25">
      <c r="A584" t="s">
        <v>72</v>
      </c>
      <c r="B584" t="s">
        <v>11379</v>
      </c>
      <c r="C584" t="s">
        <v>74</v>
      </c>
      <c r="D584" t="s">
        <v>74</v>
      </c>
      <c r="E584" t="s">
        <v>74</v>
      </c>
      <c r="F584" t="s">
        <v>11380</v>
      </c>
      <c r="G584" t="s">
        <v>74</v>
      </c>
      <c r="H584" t="s">
        <v>74</v>
      </c>
      <c r="I584" t="s">
        <v>11381</v>
      </c>
      <c r="J584" t="s">
        <v>11382</v>
      </c>
      <c r="K584" t="s">
        <v>74</v>
      </c>
      <c r="L584" t="s">
        <v>74</v>
      </c>
      <c r="M584" t="s">
        <v>78</v>
      </c>
      <c r="N584" t="s">
        <v>79</v>
      </c>
      <c r="O584" t="s">
        <v>74</v>
      </c>
      <c r="P584" t="s">
        <v>74</v>
      </c>
      <c r="Q584" t="s">
        <v>74</v>
      </c>
      <c r="R584" t="s">
        <v>74</v>
      </c>
      <c r="S584" t="s">
        <v>74</v>
      </c>
      <c r="T584" t="s">
        <v>11383</v>
      </c>
      <c r="U584" t="s">
        <v>11384</v>
      </c>
      <c r="V584" t="s">
        <v>11385</v>
      </c>
      <c r="W584" t="s">
        <v>11386</v>
      </c>
      <c r="X584" t="s">
        <v>11387</v>
      </c>
      <c r="Y584" t="s">
        <v>11388</v>
      </c>
      <c r="Z584" t="s">
        <v>11389</v>
      </c>
      <c r="AA584" t="s">
        <v>11390</v>
      </c>
      <c r="AB584" t="s">
        <v>11391</v>
      </c>
      <c r="AC584" t="s">
        <v>74</v>
      </c>
      <c r="AD584" t="s">
        <v>74</v>
      </c>
      <c r="AE584" t="s">
        <v>74</v>
      </c>
      <c r="AF584" t="s">
        <v>74</v>
      </c>
      <c r="AG584">
        <v>103</v>
      </c>
      <c r="AH584">
        <v>18</v>
      </c>
      <c r="AI584">
        <v>20</v>
      </c>
      <c r="AJ584">
        <v>5</v>
      </c>
      <c r="AK584">
        <v>40</v>
      </c>
      <c r="AL584" t="s">
        <v>274</v>
      </c>
      <c r="AM584" t="s">
        <v>275</v>
      </c>
      <c r="AN584" t="s">
        <v>276</v>
      </c>
      <c r="AO584" t="s">
        <v>74</v>
      </c>
      <c r="AP584" t="s">
        <v>11392</v>
      </c>
      <c r="AQ584" t="s">
        <v>74</v>
      </c>
      <c r="AR584" t="s">
        <v>11393</v>
      </c>
      <c r="AS584" t="s">
        <v>11394</v>
      </c>
      <c r="AT584" t="s">
        <v>6746</v>
      </c>
      <c r="AU584">
        <v>2023</v>
      </c>
      <c r="AV584">
        <v>21</v>
      </c>
      <c r="AW584">
        <v>1</v>
      </c>
      <c r="AX584" t="s">
        <v>74</v>
      </c>
      <c r="AY584" t="s">
        <v>74</v>
      </c>
      <c r="AZ584" t="s">
        <v>74</v>
      </c>
      <c r="BA584" t="s">
        <v>74</v>
      </c>
      <c r="BB584" t="s">
        <v>74</v>
      </c>
      <c r="BC584" t="s">
        <v>74</v>
      </c>
      <c r="BD584">
        <v>18</v>
      </c>
      <c r="BE584" t="s">
        <v>11395</v>
      </c>
      <c r="BF584" t="str">
        <f>HYPERLINK("http://dx.doi.org/10.1186/s12955-023-02097-y","http://dx.doi.org/10.1186/s12955-023-02097-y")</f>
        <v>http://dx.doi.org/10.1186/s12955-023-02097-y</v>
      </c>
      <c r="BG584" t="s">
        <v>74</v>
      </c>
      <c r="BH584" t="s">
        <v>74</v>
      </c>
      <c r="BI584">
        <v>13</v>
      </c>
      <c r="BJ584" t="s">
        <v>422</v>
      </c>
      <c r="BK584" t="s">
        <v>102</v>
      </c>
      <c r="BL584" t="s">
        <v>423</v>
      </c>
      <c r="BM584" t="s">
        <v>11396</v>
      </c>
      <c r="BN584">
        <v>36810124</v>
      </c>
      <c r="BO584" t="s">
        <v>131</v>
      </c>
      <c r="BP584" t="s">
        <v>74</v>
      </c>
      <c r="BQ584" t="s">
        <v>74</v>
      </c>
      <c r="BR584" t="s">
        <v>105</v>
      </c>
      <c r="BS584" t="s">
        <v>11397</v>
      </c>
      <c r="BT584" t="str">
        <f>HYPERLINK("https%3A%2F%2Fwww.webofscience.com%2Fwos%2Fwoscc%2Ffull-record%2FWOS:000934681900001","View Full Record in Web of Science")</f>
        <v>View Full Record in Web of Science</v>
      </c>
    </row>
    <row r="585" spans="1:72" x14ac:dyDescent="0.25">
      <c r="A585" t="s">
        <v>72</v>
      </c>
      <c r="B585" t="s">
        <v>11398</v>
      </c>
      <c r="C585" t="s">
        <v>74</v>
      </c>
      <c r="D585" t="s">
        <v>74</v>
      </c>
      <c r="E585" t="s">
        <v>74</v>
      </c>
      <c r="F585" t="s">
        <v>11399</v>
      </c>
      <c r="G585" t="s">
        <v>74</v>
      </c>
      <c r="H585" t="s">
        <v>74</v>
      </c>
      <c r="I585" t="s">
        <v>11400</v>
      </c>
      <c r="J585" t="s">
        <v>594</v>
      </c>
      <c r="K585" t="s">
        <v>74</v>
      </c>
      <c r="L585" t="s">
        <v>74</v>
      </c>
      <c r="M585" t="s">
        <v>78</v>
      </c>
      <c r="N585" t="s">
        <v>79</v>
      </c>
      <c r="O585" t="s">
        <v>74</v>
      </c>
      <c r="P585" t="s">
        <v>74</v>
      </c>
      <c r="Q585" t="s">
        <v>74</v>
      </c>
      <c r="R585" t="s">
        <v>74</v>
      </c>
      <c r="S585" t="s">
        <v>74</v>
      </c>
      <c r="T585" t="s">
        <v>11401</v>
      </c>
      <c r="U585" t="s">
        <v>11402</v>
      </c>
      <c r="V585" t="s">
        <v>11403</v>
      </c>
      <c r="W585" t="s">
        <v>11404</v>
      </c>
      <c r="X585" t="s">
        <v>11405</v>
      </c>
      <c r="Y585" t="s">
        <v>11406</v>
      </c>
      <c r="Z585" t="s">
        <v>11407</v>
      </c>
      <c r="AA585" t="s">
        <v>11408</v>
      </c>
      <c r="AB585" t="s">
        <v>11409</v>
      </c>
      <c r="AC585" t="s">
        <v>74</v>
      </c>
      <c r="AD585" t="s">
        <v>74</v>
      </c>
      <c r="AE585" t="s">
        <v>74</v>
      </c>
      <c r="AF585" t="s">
        <v>74</v>
      </c>
      <c r="AG585">
        <v>276</v>
      </c>
      <c r="AH585">
        <v>51</v>
      </c>
      <c r="AI585">
        <v>51</v>
      </c>
      <c r="AJ585">
        <v>13</v>
      </c>
      <c r="AK585">
        <v>206</v>
      </c>
      <c r="AL585" t="s">
        <v>274</v>
      </c>
      <c r="AM585" t="s">
        <v>275</v>
      </c>
      <c r="AN585" t="s">
        <v>276</v>
      </c>
      <c r="AO585" t="s">
        <v>74</v>
      </c>
      <c r="AP585" t="s">
        <v>606</v>
      </c>
      <c r="AQ585" t="s">
        <v>74</v>
      </c>
      <c r="AR585" t="s">
        <v>607</v>
      </c>
      <c r="AS585" t="s">
        <v>608</v>
      </c>
      <c r="AT585" t="s">
        <v>11410</v>
      </c>
      <c r="AU585">
        <v>2023</v>
      </c>
      <c r="AV585">
        <v>20</v>
      </c>
      <c r="AW585">
        <v>1</v>
      </c>
      <c r="AX585" t="s">
        <v>74</v>
      </c>
      <c r="AY585" t="s">
        <v>74</v>
      </c>
      <c r="AZ585" t="s">
        <v>74</v>
      </c>
      <c r="BA585" t="s">
        <v>74</v>
      </c>
      <c r="BB585" t="s">
        <v>74</v>
      </c>
      <c r="BC585" t="s">
        <v>74</v>
      </c>
      <c r="BD585">
        <v>23</v>
      </c>
      <c r="BE585" t="s">
        <v>11411</v>
      </c>
      <c r="BF585" t="str">
        <f>HYPERLINK("http://dx.doi.org/10.1186/s12984-023-01144-5","http://dx.doi.org/10.1186/s12984-023-01144-5")</f>
        <v>http://dx.doi.org/10.1186/s12984-023-01144-5</v>
      </c>
      <c r="BG585" t="s">
        <v>74</v>
      </c>
      <c r="BH585" t="s">
        <v>74</v>
      </c>
      <c r="BI585">
        <v>28</v>
      </c>
      <c r="BJ585" t="s">
        <v>611</v>
      </c>
      <c r="BK585" t="s">
        <v>182</v>
      </c>
      <c r="BL585" t="s">
        <v>612</v>
      </c>
      <c r="BM585" t="s">
        <v>11412</v>
      </c>
      <c r="BN585">
        <v>36805777</v>
      </c>
      <c r="BO585" t="s">
        <v>1573</v>
      </c>
      <c r="BP585" t="s">
        <v>74</v>
      </c>
      <c r="BQ585" t="s">
        <v>74</v>
      </c>
      <c r="BR585" t="s">
        <v>105</v>
      </c>
      <c r="BS585" t="s">
        <v>11413</v>
      </c>
      <c r="BT585" t="str">
        <f>HYPERLINK("https%3A%2F%2Fwww.webofscience.com%2Fwos%2Fwoscc%2Ffull-record%2FWOS:000934515400001","View Full Record in Web of Science")</f>
        <v>View Full Record in Web of Science</v>
      </c>
    </row>
    <row r="586" spans="1:72" x14ac:dyDescent="0.25">
      <c r="A586" t="s">
        <v>72</v>
      </c>
      <c r="B586" t="s">
        <v>11414</v>
      </c>
      <c r="C586" t="s">
        <v>74</v>
      </c>
      <c r="D586" t="s">
        <v>74</v>
      </c>
      <c r="E586" t="s">
        <v>74</v>
      </c>
      <c r="F586" t="s">
        <v>11415</v>
      </c>
      <c r="G586" t="s">
        <v>74</v>
      </c>
      <c r="H586" t="s">
        <v>74</v>
      </c>
      <c r="I586" t="s">
        <v>11416</v>
      </c>
      <c r="J586" t="s">
        <v>2091</v>
      </c>
      <c r="K586" t="s">
        <v>74</v>
      </c>
      <c r="L586" t="s">
        <v>74</v>
      </c>
      <c r="M586" t="s">
        <v>78</v>
      </c>
      <c r="N586" t="s">
        <v>79</v>
      </c>
      <c r="O586" t="s">
        <v>74</v>
      </c>
      <c r="P586" t="s">
        <v>74</v>
      </c>
      <c r="Q586" t="s">
        <v>74</v>
      </c>
      <c r="R586" t="s">
        <v>74</v>
      </c>
      <c r="S586" t="s">
        <v>74</v>
      </c>
      <c r="T586" t="s">
        <v>11417</v>
      </c>
      <c r="U586" t="s">
        <v>11418</v>
      </c>
      <c r="V586" t="s">
        <v>11419</v>
      </c>
      <c r="W586" t="s">
        <v>11420</v>
      </c>
      <c r="X586" t="s">
        <v>11421</v>
      </c>
      <c r="Y586" t="s">
        <v>11422</v>
      </c>
      <c r="Z586" t="s">
        <v>11423</v>
      </c>
      <c r="AA586" t="s">
        <v>74</v>
      </c>
      <c r="AB586" t="s">
        <v>11424</v>
      </c>
      <c r="AC586" t="s">
        <v>11425</v>
      </c>
      <c r="AD586" t="s">
        <v>11425</v>
      </c>
      <c r="AE586" t="s">
        <v>11426</v>
      </c>
      <c r="AF586" t="s">
        <v>74</v>
      </c>
      <c r="AG586">
        <v>31</v>
      </c>
      <c r="AH586">
        <v>5</v>
      </c>
      <c r="AI586">
        <v>5</v>
      </c>
      <c r="AJ586">
        <v>1</v>
      </c>
      <c r="AK586">
        <v>12</v>
      </c>
      <c r="AL586" t="s">
        <v>120</v>
      </c>
      <c r="AM586" t="s">
        <v>121</v>
      </c>
      <c r="AN586" t="s">
        <v>1221</v>
      </c>
      <c r="AO586" t="s">
        <v>74</v>
      </c>
      <c r="AP586" t="s">
        <v>2104</v>
      </c>
      <c r="AQ586" t="s">
        <v>74</v>
      </c>
      <c r="AR586" t="s">
        <v>2105</v>
      </c>
      <c r="AS586" t="s">
        <v>2106</v>
      </c>
      <c r="AT586" t="s">
        <v>351</v>
      </c>
      <c r="AU586">
        <v>2023</v>
      </c>
      <c r="AV586">
        <v>13</v>
      </c>
      <c r="AW586">
        <v>3</v>
      </c>
      <c r="AX586" t="s">
        <v>74</v>
      </c>
      <c r="AY586" t="s">
        <v>74</v>
      </c>
      <c r="AZ586" t="s">
        <v>74</v>
      </c>
      <c r="BA586" t="s">
        <v>74</v>
      </c>
      <c r="BB586" t="s">
        <v>74</v>
      </c>
      <c r="BC586" t="s">
        <v>74</v>
      </c>
      <c r="BD586">
        <v>1369</v>
      </c>
      <c r="BE586" t="s">
        <v>11427</v>
      </c>
      <c r="BF586" t="str">
        <f>HYPERLINK("http://dx.doi.org/10.3390/app13031369","http://dx.doi.org/10.3390/app13031369")</f>
        <v>http://dx.doi.org/10.3390/app13031369</v>
      </c>
      <c r="BG586" t="s">
        <v>74</v>
      </c>
      <c r="BH586" t="s">
        <v>74</v>
      </c>
      <c r="BI586">
        <v>17</v>
      </c>
      <c r="BJ586" t="s">
        <v>2109</v>
      </c>
      <c r="BK586" t="s">
        <v>182</v>
      </c>
      <c r="BL586" t="s">
        <v>2110</v>
      </c>
      <c r="BM586" t="s">
        <v>11428</v>
      </c>
      <c r="BN586" t="s">
        <v>74</v>
      </c>
      <c r="BO586" t="s">
        <v>185</v>
      </c>
      <c r="BP586" t="s">
        <v>74</v>
      </c>
      <c r="BQ586" t="s">
        <v>74</v>
      </c>
      <c r="BR586" t="s">
        <v>105</v>
      </c>
      <c r="BS586" t="s">
        <v>11429</v>
      </c>
      <c r="BT586" t="str">
        <f>HYPERLINK("https%3A%2F%2Fwww.webofscience.com%2Fwos%2Fwoscc%2Ffull-record%2FWOS:000933790000001","View Full Record in Web of Science")</f>
        <v>View Full Record in Web of Science</v>
      </c>
    </row>
    <row r="587" spans="1:72" x14ac:dyDescent="0.25">
      <c r="A587" t="s">
        <v>72</v>
      </c>
      <c r="B587" t="s">
        <v>11430</v>
      </c>
      <c r="C587" t="s">
        <v>74</v>
      </c>
      <c r="D587" t="s">
        <v>74</v>
      </c>
      <c r="E587" t="s">
        <v>74</v>
      </c>
      <c r="F587" t="s">
        <v>11431</v>
      </c>
      <c r="G587" t="s">
        <v>74</v>
      </c>
      <c r="H587" t="s">
        <v>74</v>
      </c>
      <c r="I587" t="s">
        <v>11432</v>
      </c>
      <c r="J587" t="s">
        <v>2091</v>
      </c>
      <c r="K587" t="s">
        <v>74</v>
      </c>
      <c r="L587" t="s">
        <v>74</v>
      </c>
      <c r="M587" t="s">
        <v>78</v>
      </c>
      <c r="N587" t="s">
        <v>79</v>
      </c>
      <c r="O587" t="s">
        <v>74</v>
      </c>
      <c r="P587" t="s">
        <v>74</v>
      </c>
      <c r="Q587" t="s">
        <v>74</v>
      </c>
      <c r="R587" t="s">
        <v>74</v>
      </c>
      <c r="S587" t="s">
        <v>74</v>
      </c>
      <c r="T587" t="s">
        <v>11433</v>
      </c>
      <c r="U587" t="s">
        <v>11434</v>
      </c>
      <c r="V587" t="s">
        <v>11435</v>
      </c>
      <c r="W587" t="s">
        <v>11436</v>
      </c>
      <c r="X587" t="s">
        <v>11437</v>
      </c>
      <c r="Y587" t="s">
        <v>11438</v>
      </c>
      <c r="Z587" t="s">
        <v>11439</v>
      </c>
      <c r="AA587" t="s">
        <v>11440</v>
      </c>
      <c r="AB587" t="s">
        <v>11441</v>
      </c>
      <c r="AC587" t="s">
        <v>11442</v>
      </c>
      <c r="AD587" t="s">
        <v>11443</v>
      </c>
      <c r="AE587" t="s">
        <v>11444</v>
      </c>
      <c r="AF587" t="s">
        <v>74</v>
      </c>
      <c r="AG587">
        <v>94</v>
      </c>
      <c r="AH587">
        <v>0</v>
      </c>
      <c r="AI587">
        <v>1</v>
      </c>
      <c r="AJ587">
        <v>2</v>
      </c>
      <c r="AK587">
        <v>49</v>
      </c>
      <c r="AL587" t="s">
        <v>120</v>
      </c>
      <c r="AM587" t="s">
        <v>121</v>
      </c>
      <c r="AN587" t="s">
        <v>1221</v>
      </c>
      <c r="AO587" t="s">
        <v>74</v>
      </c>
      <c r="AP587" t="s">
        <v>2104</v>
      </c>
      <c r="AQ587" t="s">
        <v>74</v>
      </c>
      <c r="AR587" t="s">
        <v>2105</v>
      </c>
      <c r="AS587" t="s">
        <v>2106</v>
      </c>
      <c r="AT587" t="s">
        <v>351</v>
      </c>
      <c r="AU587">
        <v>2023</v>
      </c>
      <c r="AV587">
        <v>13</v>
      </c>
      <c r="AW587">
        <v>3</v>
      </c>
      <c r="AX587" t="s">
        <v>74</v>
      </c>
      <c r="AY587" t="s">
        <v>74</v>
      </c>
      <c r="AZ587" t="s">
        <v>74</v>
      </c>
      <c r="BA587" t="s">
        <v>74</v>
      </c>
      <c r="BB587" t="s">
        <v>74</v>
      </c>
      <c r="BC587" t="s">
        <v>74</v>
      </c>
      <c r="BD587">
        <v>1992</v>
      </c>
      <c r="BE587" t="s">
        <v>11445</v>
      </c>
      <c r="BF587" t="str">
        <f>HYPERLINK("http://dx.doi.org/10.3390/app13031992","http://dx.doi.org/10.3390/app13031992")</f>
        <v>http://dx.doi.org/10.3390/app13031992</v>
      </c>
      <c r="BG587" t="s">
        <v>74</v>
      </c>
      <c r="BH587" t="s">
        <v>74</v>
      </c>
      <c r="BI587">
        <v>20</v>
      </c>
      <c r="BJ587" t="s">
        <v>2109</v>
      </c>
      <c r="BK587" t="s">
        <v>182</v>
      </c>
      <c r="BL587" t="s">
        <v>2110</v>
      </c>
      <c r="BM587" t="s">
        <v>11446</v>
      </c>
      <c r="BN587" t="s">
        <v>74</v>
      </c>
      <c r="BO587" t="s">
        <v>185</v>
      </c>
      <c r="BP587" t="s">
        <v>74</v>
      </c>
      <c r="BQ587" t="s">
        <v>74</v>
      </c>
      <c r="BR587" t="s">
        <v>105</v>
      </c>
      <c r="BS587" t="s">
        <v>11447</v>
      </c>
      <c r="BT587" t="str">
        <f>HYPERLINK("https%3A%2F%2Fwww.webofscience.com%2Fwos%2Fwoscc%2Ffull-record%2FWOS:000933778100001","View Full Record in Web of Science")</f>
        <v>View Full Record in Web of Science</v>
      </c>
    </row>
    <row r="588" spans="1:72" x14ac:dyDescent="0.25">
      <c r="A588" t="s">
        <v>72</v>
      </c>
      <c r="B588" t="s">
        <v>11448</v>
      </c>
      <c r="C588" t="s">
        <v>74</v>
      </c>
      <c r="D588" t="s">
        <v>74</v>
      </c>
      <c r="E588" t="s">
        <v>74</v>
      </c>
      <c r="F588" t="s">
        <v>11449</v>
      </c>
      <c r="G588" t="s">
        <v>74</v>
      </c>
      <c r="H588" t="s">
        <v>74</v>
      </c>
      <c r="I588" t="s">
        <v>11450</v>
      </c>
      <c r="J588" t="s">
        <v>6514</v>
      </c>
      <c r="K588" t="s">
        <v>74</v>
      </c>
      <c r="L588" t="s">
        <v>74</v>
      </c>
      <c r="M588" t="s">
        <v>78</v>
      </c>
      <c r="N588" t="s">
        <v>79</v>
      </c>
      <c r="O588" t="s">
        <v>74</v>
      </c>
      <c r="P588" t="s">
        <v>74</v>
      </c>
      <c r="Q588" t="s">
        <v>74</v>
      </c>
      <c r="R588" t="s">
        <v>74</v>
      </c>
      <c r="S588" t="s">
        <v>74</v>
      </c>
      <c r="T588" t="s">
        <v>11451</v>
      </c>
      <c r="U588" t="s">
        <v>11452</v>
      </c>
      <c r="V588" t="s">
        <v>11453</v>
      </c>
      <c r="W588" t="s">
        <v>11454</v>
      </c>
      <c r="X588" t="s">
        <v>11455</v>
      </c>
      <c r="Y588" t="s">
        <v>11456</v>
      </c>
      <c r="Z588" t="s">
        <v>11457</v>
      </c>
      <c r="AA588" t="s">
        <v>11458</v>
      </c>
      <c r="AB588" t="s">
        <v>11459</v>
      </c>
      <c r="AC588" t="s">
        <v>11460</v>
      </c>
      <c r="AD588" t="s">
        <v>11461</v>
      </c>
      <c r="AE588" t="s">
        <v>11462</v>
      </c>
      <c r="AF588" t="s">
        <v>74</v>
      </c>
      <c r="AG588">
        <v>39</v>
      </c>
      <c r="AH588">
        <v>2</v>
      </c>
      <c r="AI588">
        <v>3</v>
      </c>
      <c r="AJ588">
        <v>1</v>
      </c>
      <c r="AK588">
        <v>17</v>
      </c>
      <c r="AL588" t="s">
        <v>120</v>
      </c>
      <c r="AM588" t="s">
        <v>121</v>
      </c>
      <c r="AN588" t="s">
        <v>1221</v>
      </c>
      <c r="AO588" t="s">
        <v>74</v>
      </c>
      <c r="AP588" t="s">
        <v>6525</v>
      </c>
      <c r="AQ588" t="s">
        <v>74</v>
      </c>
      <c r="AR588" t="s">
        <v>6514</v>
      </c>
      <c r="AS588" t="s">
        <v>6526</v>
      </c>
      <c r="AT588" t="s">
        <v>351</v>
      </c>
      <c r="AU588">
        <v>2023</v>
      </c>
      <c r="AV588">
        <v>13</v>
      </c>
      <c r="AW588">
        <v>2</v>
      </c>
      <c r="AX588" t="s">
        <v>74</v>
      </c>
      <c r="AY588" t="s">
        <v>74</v>
      </c>
      <c r="AZ588" t="s">
        <v>74</v>
      </c>
      <c r="BA588" t="s">
        <v>74</v>
      </c>
      <c r="BB588" t="s">
        <v>74</v>
      </c>
      <c r="BC588" t="s">
        <v>74</v>
      </c>
      <c r="BD588">
        <v>252</v>
      </c>
      <c r="BE588" t="s">
        <v>11463</v>
      </c>
      <c r="BF588" t="str">
        <f>HYPERLINK("http://dx.doi.org/10.3390/life13020252","http://dx.doi.org/10.3390/life13020252")</f>
        <v>http://dx.doi.org/10.3390/life13020252</v>
      </c>
      <c r="BG588" t="s">
        <v>74</v>
      </c>
      <c r="BH588" t="s">
        <v>74</v>
      </c>
      <c r="BI588">
        <v>13</v>
      </c>
      <c r="BJ588" t="s">
        <v>6529</v>
      </c>
      <c r="BK588" t="s">
        <v>182</v>
      </c>
      <c r="BL588" t="s">
        <v>6530</v>
      </c>
      <c r="BM588" t="s">
        <v>11464</v>
      </c>
      <c r="BN588">
        <v>36836610</v>
      </c>
      <c r="BO588" t="s">
        <v>355</v>
      </c>
      <c r="BP588" t="s">
        <v>74</v>
      </c>
      <c r="BQ588" t="s">
        <v>74</v>
      </c>
      <c r="BR588" t="s">
        <v>105</v>
      </c>
      <c r="BS588" t="s">
        <v>11465</v>
      </c>
      <c r="BT588" t="str">
        <f>HYPERLINK("https%3A%2F%2Fwww.webofscience.com%2Fwos%2Fwoscc%2Ffull-record%2FWOS:000940470100001","View Full Record in Web of Science")</f>
        <v>View Full Record in Web of Science</v>
      </c>
    </row>
    <row r="589" spans="1:72" x14ac:dyDescent="0.25">
      <c r="A589" t="s">
        <v>72</v>
      </c>
      <c r="B589" t="s">
        <v>11466</v>
      </c>
      <c r="C589" t="s">
        <v>74</v>
      </c>
      <c r="D589" t="s">
        <v>74</v>
      </c>
      <c r="E589" t="s">
        <v>74</v>
      </c>
      <c r="F589" t="s">
        <v>11467</v>
      </c>
      <c r="G589" t="s">
        <v>74</v>
      </c>
      <c r="H589" t="s">
        <v>74</v>
      </c>
      <c r="I589" t="s">
        <v>11468</v>
      </c>
      <c r="J589" t="s">
        <v>594</v>
      </c>
      <c r="K589" t="s">
        <v>74</v>
      </c>
      <c r="L589" t="s">
        <v>74</v>
      </c>
      <c r="M589" t="s">
        <v>78</v>
      </c>
      <c r="N589" t="s">
        <v>79</v>
      </c>
      <c r="O589" t="s">
        <v>74</v>
      </c>
      <c r="P589" t="s">
        <v>74</v>
      </c>
      <c r="Q589" t="s">
        <v>74</v>
      </c>
      <c r="R589" t="s">
        <v>74</v>
      </c>
      <c r="S589" t="s">
        <v>74</v>
      </c>
      <c r="T589" t="s">
        <v>11469</v>
      </c>
      <c r="U589" t="s">
        <v>11470</v>
      </c>
      <c r="V589" t="s">
        <v>11471</v>
      </c>
      <c r="W589" t="s">
        <v>11472</v>
      </c>
      <c r="X589" t="s">
        <v>11473</v>
      </c>
      <c r="Y589" t="s">
        <v>11474</v>
      </c>
      <c r="Z589" t="s">
        <v>11475</v>
      </c>
      <c r="AA589" t="s">
        <v>11476</v>
      </c>
      <c r="AB589" t="s">
        <v>11477</v>
      </c>
      <c r="AC589" t="s">
        <v>74</v>
      </c>
      <c r="AD589" t="s">
        <v>74</v>
      </c>
      <c r="AE589" t="s">
        <v>74</v>
      </c>
      <c r="AF589" t="s">
        <v>74</v>
      </c>
      <c r="AG589">
        <v>121</v>
      </c>
      <c r="AH589">
        <v>32</v>
      </c>
      <c r="AI589">
        <v>34</v>
      </c>
      <c r="AJ589">
        <v>12</v>
      </c>
      <c r="AK589">
        <v>77</v>
      </c>
      <c r="AL589" t="s">
        <v>274</v>
      </c>
      <c r="AM589" t="s">
        <v>275</v>
      </c>
      <c r="AN589" t="s">
        <v>276</v>
      </c>
      <c r="AO589" t="s">
        <v>74</v>
      </c>
      <c r="AP589" t="s">
        <v>606</v>
      </c>
      <c r="AQ589" t="s">
        <v>74</v>
      </c>
      <c r="AR589" t="s">
        <v>607</v>
      </c>
      <c r="AS589" t="s">
        <v>608</v>
      </c>
      <c r="AT589" t="s">
        <v>11478</v>
      </c>
      <c r="AU589">
        <v>2023</v>
      </c>
      <c r="AV589">
        <v>20</v>
      </c>
      <c r="AW589">
        <v>1</v>
      </c>
      <c r="AX589" t="s">
        <v>74</v>
      </c>
      <c r="AY589" t="s">
        <v>74</v>
      </c>
      <c r="AZ589" t="s">
        <v>74</v>
      </c>
      <c r="BA589" t="s">
        <v>74</v>
      </c>
      <c r="BB589" t="s">
        <v>74</v>
      </c>
      <c r="BC589" t="s">
        <v>74</v>
      </c>
      <c r="BD589">
        <v>18</v>
      </c>
      <c r="BE589" t="s">
        <v>11479</v>
      </c>
      <c r="BF589" t="str">
        <f>HYPERLINK("http://dx.doi.org/10.1186/s12984-022-01122-3","http://dx.doi.org/10.1186/s12984-022-01122-3")</f>
        <v>http://dx.doi.org/10.1186/s12984-022-01122-3</v>
      </c>
      <c r="BG589" t="s">
        <v>74</v>
      </c>
      <c r="BH589" t="s">
        <v>74</v>
      </c>
      <c r="BI589">
        <v>15</v>
      </c>
      <c r="BJ589" t="s">
        <v>611</v>
      </c>
      <c r="BK589" t="s">
        <v>182</v>
      </c>
      <c r="BL589" t="s">
        <v>612</v>
      </c>
      <c r="BM589" t="s">
        <v>11480</v>
      </c>
      <c r="BN589">
        <v>36717869</v>
      </c>
      <c r="BO589" t="s">
        <v>131</v>
      </c>
      <c r="BP589" t="s">
        <v>74</v>
      </c>
      <c r="BQ589" t="s">
        <v>74</v>
      </c>
      <c r="BR589" t="s">
        <v>105</v>
      </c>
      <c r="BS589" t="s">
        <v>11481</v>
      </c>
      <c r="BT589" t="str">
        <f>HYPERLINK("https%3A%2F%2Fwww.webofscience.com%2Fwos%2Fwoscc%2Ffull-record%2FWOS:000919643100001","View Full Record in Web of Science")</f>
        <v>View Full Record in Web of Science</v>
      </c>
    </row>
    <row r="590" spans="1:72" x14ac:dyDescent="0.25">
      <c r="A590" t="s">
        <v>72</v>
      </c>
      <c r="B590" t="s">
        <v>11482</v>
      </c>
      <c r="C590" t="s">
        <v>74</v>
      </c>
      <c r="D590" t="s">
        <v>74</v>
      </c>
      <c r="E590" t="s">
        <v>74</v>
      </c>
      <c r="F590" t="s">
        <v>11483</v>
      </c>
      <c r="G590" t="s">
        <v>74</v>
      </c>
      <c r="H590" t="s">
        <v>74</v>
      </c>
      <c r="I590" t="s">
        <v>11484</v>
      </c>
      <c r="J590" t="s">
        <v>2157</v>
      </c>
      <c r="K590" t="s">
        <v>74</v>
      </c>
      <c r="L590" t="s">
        <v>74</v>
      </c>
      <c r="M590" t="s">
        <v>78</v>
      </c>
      <c r="N590" t="s">
        <v>79</v>
      </c>
      <c r="O590" t="s">
        <v>74</v>
      </c>
      <c r="P590" t="s">
        <v>74</v>
      </c>
      <c r="Q590" t="s">
        <v>74</v>
      </c>
      <c r="R590" t="s">
        <v>74</v>
      </c>
      <c r="S590" t="s">
        <v>74</v>
      </c>
      <c r="T590" t="s">
        <v>11485</v>
      </c>
      <c r="U590" t="s">
        <v>11486</v>
      </c>
      <c r="V590" t="s">
        <v>11487</v>
      </c>
      <c r="W590" t="s">
        <v>11488</v>
      </c>
      <c r="X590" t="s">
        <v>11489</v>
      </c>
      <c r="Y590" t="s">
        <v>11490</v>
      </c>
      <c r="Z590" t="s">
        <v>11491</v>
      </c>
      <c r="AA590" t="s">
        <v>11492</v>
      </c>
      <c r="AB590" t="s">
        <v>11493</v>
      </c>
      <c r="AC590" t="s">
        <v>74</v>
      </c>
      <c r="AD590" t="s">
        <v>74</v>
      </c>
      <c r="AE590" t="s">
        <v>74</v>
      </c>
      <c r="AF590" t="s">
        <v>74</v>
      </c>
      <c r="AG590">
        <v>55</v>
      </c>
      <c r="AH590">
        <v>6</v>
      </c>
      <c r="AI590">
        <v>6</v>
      </c>
      <c r="AJ590">
        <v>2</v>
      </c>
      <c r="AK590">
        <v>30</v>
      </c>
      <c r="AL590" t="s">
        <v>92</v>
      </c>
      <c r="AM590" t="s">
        <v>93</v>
      </c>
      <c r="AN590" t="s">
        <v>94</v>
      </c>
      <c r="AO590" t="s">
        <v>2170</v>
      </c>
      <c r="AP590" t="s">
        <v>2171</v>
      </c>
      <c r="AQ590" t="s">
        <v>74</v>
      </c>
      <c r="AR590" t="s">
        <v>2172</v>
      </c>
      <c r="AS590" t="s">
        <v>2173</v>
      </c>
      <c r="AT590" t="s">
        <v>863</v>
      </c>
      <c r="AU590">
        <v>2023</v>
      </c>
      <c r="AV590">
        <v>20</v>
      </c>
      <c r="AW590">
        <v>1</v>
      </c>
      <c r="AX590" t="s">
        <v>74</v>
      </c>
      <c r="AY590" t="s">
        <v>74</v>
      </c>
      <c r="AZ590" t="s">
        <v>74</v>
      </c>
      <c r="BA590" t="s">
        <v>74</v>
      </c>
      <c r="BB590">
        <v>35</v>
      </c>
      <c r="BC590">
        <v>44</v>
      </c>
      <c r="BD590" t="s">
        <v>74</v>
      </c>
      <c r="BE590" t="s">
        <v>11494</v>
      </c>
      <c r="BF590" t="str">
        <f>HYPERLINK("http://dx.doi.org/10.1080/17434440.2023.2169129","http://dx.doi.org/10.1080/17434440.2023.2169129")</f>
        <v>http://dx.doi.org/10.1080/17434440.2023.2169129</v>
      </c>
      <c r="BG590" t="s">
        <v>74</v>
      </c>
      <c r="BH590" t="s">
        <v>461</v>
      </c>
      <c r="BI590">
        <v>10</v>
      </c>
      <c r="BJ590" t="s">
        <v>282</v>
      </c>
      <c r="BK590" t="s">
        <v>182</v>
      </c>
      <c r="BL590" t="s">
        <v>183</v>
      </c>
      <c r="BM590" t="s">
        <v>11495</v>
      </c>
      <c r="BN590">
        <v>36649574</v>
      </c>
      <c r="BO590" t="s">
        <v>104</v>
      </c>
      <c r="BP590" t="s">
        <v>74</v>
      </c>
      <c r="BQ590" t="s">
        <v>74</v>
      </c>
      <c r="BR590" t="s">
        <v>105</v>
      </c>
      <c r="BS590" t="s">
        <v>11496</v>
      </c>
      <c r="BT590" t="str">
        <f>HYPERLINK("https%3A%2F%2Fwww.webofscience.com%2Fwos%2Fwoscc%2Ffull-record%2FWOS:000919337500001","View Full Record in Web of Science")</f>
        <v>View Full Record in Web of Science</v>
      </c>
    </row>
    <row r="591" spans="1:72" x14ac:dyDescent="0.25">
      <c r="A591" t="s">
        <v>72</v>
      </c>
      <c r="B591" t="s">
        <v>11497</v>
      </c>
      <c r="C591" t="s">
        <v>74</v>
      </c>
      <c r="D591" t="s">
        <v>74</v>
      </c>
      <c r="E591" t="s">
        <v>74</v>
      </c>
      <c r="F591" t="s">
        <v>11498</v>
      </c>
      <c r="G591" t="s">
        <v>74</v>
      </c>
      <c r="H591" t="s">
        <v>74</v>
      </c>
      <c r="I591" t="s">
        <v>11499</v>
      </c>
      <c r="J591" t="s">
        <v>642</v>
      </c>
      <c r="K591" t="s">
        <v>74</v>
      </c>
      <c r="L591" t="s">
        <v>74</v>
      </c>
      <c r="M591" t="s">
        <v>78</v>
      </c>
      <c r="N591" t="s">
        <v>79</v>
      </c>
      <c r="O591" t="s">
        <v>74</v>
      </c>
      <c r="P591" t="s">
        <v>74</v>
      </c>
      <c r="Q591" t="s">
        <v>74</v>
      </c>
      <c r="R591" t="s">
        <v>74</v>
      </c>
      <c r="S591" t="s">
        <v>74</v>
      </c>
      <c r="T591" t="s">
        <v>11500</v>
      </c>
      <c r="U591" t="s">
        <v>11501</v>
      </c>
      <c r="V591" t="s">
        <v>11502</v>
      </c>
      <c r="W591" t="s">
        <v>11503</v>
      </c>
      <c r="X591" t="s">
        <v>11504</v>
      </c>
      <c r="Y591" t="s">
        <v>11505</v>
      </c>
      <c r="Z591" t="s">
        <v>11506</v>
      </c>
      <c r="AA591" t="s">
        <v>11507</v>
      </c>
      <c r="AB591" t="s">
        <v>11508</v>
      </c>
      <c r="AC591" t="s">
        <v>74</v>
      </c>
      <c r="AD591" t="s">
        <v>74</v>
      </c>
      <c r="AE591" t="s">
        <v>74</v>
      </c>
      <c r="AF591" t="s">
        <v>74</v>
      </c>
      <c r="AG591">
        <v>58</v>
      </c>
      <c r="AH591">
        <v>8</v>
      </c>
      <c r="AI591">
        <v>8</v>
      </c>
      <c r="AJ591">
        <v>3</v>
      </c>
      <c r="AK591">
        <v>22</v>
      </c>
      <c r="AL591" t="s">
        <v>557</v>
      </c>
      <c r="AM591" t="s">
        <v>275</v>
      </c>
      <c r="AN591" t="s">
        <v>558</v>
      </c>
      <c r="AO591" t="s">
        <v>655</v>
      </c>
      <c r="AP591" t="s">
        <v>656</v>
      </c>
      <c r="AQ591" t="s">
        <v>74</v>
      </c>
      <c r="AR591" t="s">
        <v>657</v>
      </c>
      <c r="AS591" t="s">
        <v>658</v>
      </c>
      <c r="AT591" t="s">
        <v>1734</v>
      </c>
      <c r="AU591">
        <v>2023</v>
      </c>
      <c r="AV591">
        <v>37</v>
      </c>
      <c r="AW591">
        <v>7</v>
      </c>
      <c r="AX591" t="s">
        <v>74</v>
      </c>
      <c r="AY591" t="s">
        <v>74</v>
      </c>
      <c r="AZ591" t="s">
        <v>74</v>
      </c>
      <c r="BA591" t="s">
        <v>74</v>
      </c>
      <c r="BB591">
        <v>876</v>
      </c>
      <c r="BC591">
        <v>890</v>
      </c>
      <c r="BD591" t="s">
        <v>74</v>
      </c>
      <c r="BE591" t="s">
        <v>11509</v>
      </c>
      <c r="BF591" t="str">
        <f>HYPERLINK("http://dx.doi.org/10.1177/02692155231152567","http://dx.doi.org/10.1177/02692155231152567")</f>
        <v>http://dx.doi.org/10.1177/02692155231152567</v>
      </c>
      <c r="BG591" t="s">
        <v>74</v>
      </c>
      <c r="BH591" t="s">
        <v>461</v>
      </c>
      <c r="BI591">
        <v>15</v>
      </c>
      <c r="BJ591" t="s">
        <v>101</v>
      </c>
      <c r="BK591" t="s">
        <v>182</v>
      </c>
      <c r="BL591" t="s">
        <v>101</v>
      </c>
      <c r="BM591" t="s">
        <v>11510</v>
      </c>
      <c r="BN591">
        <v>36683416</v>
      </c>
      <c r="BO591" t="s">
        <v>74</v>
      </c>
      <c r="BP591" t="s">
        <v>74</v>
      </c>
      <c r="BQ591" t="s">
        <v>74</v>
      </c>
      <c r="BR591" t="s">
        <v>105</v>
      </c>
      <c r="BS591" t="s">
        <v>11511</v>
      </c>
      <c r="BT591" t="str">
        <f>HYPERLINK("https%3A%2F%2Fwww.webofscience.com%2Fwos%2Fwoscc%2Ffull-record%2FWOS:000922445300001","View Full Record in Web of Science")</f>
        <v>View Full Record in Web of Science</v>
      </c>
    </row>
    <row r="592" spans="1:72" x14ac:dyDescent="0.25">
      <c r="A592" t="s">
        <v>72</v>
      </c>
      <c r="B592" t="s">
        <v>11512</v>
      </c>
      <c r="C592" t="s">
        <v>74</v>
      </c>
      <c r="D592" t="s">
        <v>74</v>
      </c>
      <c r="E592" t="s">
        <v>74</v>
      </c>
      <c r="F592" t="s">
        <v>11513</v>
      </c>
      <c r="G592" t="s">
        <v>74</v>
      </c>
      <c r="H592" t="s">
        <v>74</v>
      </c>
      <c r="I592" t="s">
        <v>11514</v>
      </c>
      <c r="J592" t="s">
        <v>11515</v>
      </c>
      <c r="K592" t="s">
        <v>74</v>
      </c>
      <c r="L592" t="s">
        <v>74</v>
      </c>
      <c r="M592" t="s">
        <v>78</v>
      </c>
      <c r="N592" t="s">
        <v>79</v>
      </c>
      <c r="O592" t="s">
        <v>74</v>
      </c>
      <c r="P592" t="s">
        <v>74</v>
      </c>
      <c r="Q592" t="s">
        <v>74</v>
      </c>
      <c r="R592" t="s">
        <v>74</v>
      </c>
      <c r="S592" t="s">
        <v>74</v>
      </c>
      <c r="T592" t="s">
        <v>11516</v>
      </c>
      <c r="U592" t="s">
        <v>11517</v>
      </c>
      <c r="V592" t="s">
        <v>11518</v>
      </c>
      <c r="W592" t="s">
        <v>11519</v>
      </c>
      <c r="X592" t="s">
        <v>11520</v>
      </c>
      <c r="Y592" t="s">
        <v>11521</v>
      </c>
      <c r="Z592" t="s">
        <v>10212</v>
      </c>
      <c r="AA592" t="s">
        <v>10213</v>
      </c>
      <c r="AB592" t="s">
        <v>10214</v>
      </c>
      <c r="AC592" t="s">
        <v>11522</v>
      </c>
      <c r="AD592" t="s">
        <v>11523</v>
      </c>
      <c r="AE592" t="s">
        <v>11524</v>
      </c>
      <c r="AF592" t="s">
        <v>74</v>
      </c>
      <c r="AG592">
        <v>56</v>
      </c>
      <c r="AH592">
        <v>20</v>
      </c>
      <c r="AI592">
        <v>22</v>
      </c>
      <c r="AJ592">
        <v>4</v>
      </c>
      <c r="AK592">
        <v>38</v>
      </c>
      <c r="AL592" t="s">
        <v>1907</v>
      </c>
      <c r="AM592" t="s">
        <v>1908</v>
      </c>
      <c r="AN592" t="s">
        <v>1909</v>
      </c>
      <c r="AO592" t="s">
        <v>11525</v>
      </c>
      <c r="AP592" t="s">
        <v>11526</v>
      </c>
      <c r="AQ592" t="s">
        <v>74</v>
      </c>
      <c r="AR592" t="s">
        <v>11527</v>
      </c>
      <c r="AS592" t="s">
        <v>11528</v>
      </c>
      <c r="AT592" t="s">
        <v>1471</v>
      </c>
      <c r="AU592">
        <v>2023</v>
      </c>
      <c r="AV592">
        <v>85</v>
      </c>
      <c r="AW592" t="s">
        <v>74</v>
      </c>
      <c r="AX592" t="s">
        <v>74</v>
      </c>
      <c r="AY592" t="s">
        <v>74</v>
      </c>
      <c r="AZ592" t="s">
        <v>74</v>
      </c>
      <c r="BA592" t="s">
        <v>74</v>
      </c>
      <c r="BB592" t="s">
        <v>74</v>
      </c>
      <c r="BC592" t="s">
        <v>74</v>
      </c>
      <c r="BD592">
        <v>101837</v>
      </c>
      <c r="BE592" t="s">
        <v>11529</v>
      </c>
      <c r="BF592" t="str">
        <f>HYPERLINK("http://dx.doi.org/10.1016/j.arr.2022.101837","http://dx.doi.org/10.1016/j.arr.2022.101837")</f>
        <v>http://dx.doi.org/10.1016/j.arr.2022.101837</v>
      </c>
      <c r="BG592" t="s">
        <v>74</v>
      </c>
      <c r="BH592" t="s">
        <v>461</v>
      </c>
      <c r="BI592">
        <v>12</v>
      </c>
      <c r="BJ592" t="s">
        <v>11530</v>
      </c>
      <c r="BK592" t="s">
        <v>182</v>
      </c>
      <c r="BL592" t="s">
        <v>11530</v>
      </c>
      <c r="BM592" t="s">
        <v>11531</v>
      </c>
      <c r="BN592">
        <v>36634871</v>
      </c>
      <c r="BO592" t="s">
        <v>74</v>
      </c>
      <c r="BP592" t="s">
        <v>74</v>
      </c>
      <c r="BQ592" t="s">
        <v>74</v>
      </c>
      <c r="BR592" t="s">
        <v>105</v>
      </c>
      <c r="BS592" t="s">
        <v>11532</v>
      </c>
      <c r="BT592" t="str">
        <f>HYPERLINK("https%3A%2F%2Fwww.webofscience.com%2Fwos%2Fwoscc%2Ffull-record%2FWOS:000925799000001","View Full Record in Web of Science")</f>
        <v>View Full Record in Web of Science</v>
      </c>
    </row>
    <row r="593" spans="1:72" x14ac:dyDescent="0.25">
      <c r="A593" t="s">
        <v>72</v>
      </c>
      <c r="B593" t="s">
        <v>11533</v>
      </c>
      <c r="C593" t="s">
        <v>74</v>
      </c>
      <c r="D593" t="s">
        <v>74</v>
      </c>
      <c r="E593" t="s">
        <v>74</v>
      </c>
      <c r="F593" t="s">
        <v>11534</v>
      </c>
      <c r="G593" t="s">
        <v>74</v>
      </c>
      <c r="H593" t="s">
        <v>74</v>
      </c>
      <c r="I593" t="s">
        <v>11535</v>
      </c>
      <c r="J593" t="s">
        <v>1231</v>
      </c>
      <c r="K593" t="s">
        <v>74</v>
      </c>
      <c r="L593" t="s">
        <v>74</v>
      </c>
      <c r="M593" t="s">
        <v>78</v>
      </c>
      <c r="N593" t="s">
        <v>79</v>
      </c>
      <c r="O593" t="s">
        <v>74</v>
      </c>
      <c r="P593" t="s">
        <v>74</v>
      </c>
      <c r="Q593" t="s">
        <v>74</v>
      </c>
      <c r="R593" t="s">
        <v>74</v>
      </c>
      <c r="S593" t="s">
        <v>74</v>
      </c>
      <c r="T593" t="s">
        <v>11536</v>
      </c>
      <c r="U593" t="s">
        <v>11537</v>
      </c>
      <c r="V593" t="s">
        <v>11538</v>
      </c>
      <c r="W593" t="s">
        <v>11539</v>
      </c>
      <c r="X593" t="s">
        <v>11540</v>
      </c>
      <c r="Y593" t="s">
        <v>11541</v>
      </c>
      <c r="Z593" t="s">
        <v>11542</v>
      </c>
      <c r="AA593" t="s">
        <v>11543</v>
      </c>
      <c r="AB593" t="s">
        <v>74</v>
      </c>
      <c r="AC593" t="s">
        <v>11544</v>
      </c>
      <c r="AD593" t="s">
        <v>11545</v>
      </c>
      <c r="AE593" t="s">
        <v>11546</v>
      </c>
      <c r="AF593" t="s">
        <v>74</v>
      </c>
      <c r="AG593">
        <v>179</v>
      </c>
      <c r="AH593">
        <v>38</v>
      </c>
      <c r="AI593">
        <v>43</v>
      </c>
      <c r="AJ593">
        <v>37</v>
      </c>
      <c r="AK593">
        <v>274</v>
      </c>
      <c r="AL593" t="s">
        <v>392</v>
      </c>
      <c r="AM593" t="s">
        <v>393</v>
      </c>
      <c r="AN593" t="s">
        <v>394</v>
      </c>
      <c r="AO593" t="s">
        <v>1244</v>
      </c>
      <c r="AP593" t="s">
        <v>74</v>
      </c>
      <c r="AQ593" t="s">
        <v>74</v>
      </c>
      <c r="AR593" t="s">
        <v>1245</v>
      </c>
      <c r="AS593" t="s">
        <v>1246</v>
      </c>
      <c r="AT593" t="s">
        <v>11547</v>
      </c>
      <c r="AU593">
        <v>2023</v>
      </c>
      <c r="AV593">
        <v>16</v>
      </c>
      <c r="AW593" t="s">
        <v>74</v>
      </c>
      <c r="AX593" t="s">
        <v>74</v>
      </c>
      <c r="AY593" t="s">
        <v>74</v>
      </c>
      <c r="AZ593" t="s">
        <v>74</v>
      </c>
      <c r="BA593" t="s">
        <v>74</v>
      </c>
      <c r="BB593" t="s">
        <v>74</v>
      </c>
      <c r="BC593" t="s">
        <v>74</v>
      </c>
      <c r="BD593">
        <v>913748</v>
      </c>
      <c r="BE593" t="s">
        <v>11548</v>
      </c>
      <c r="BF593" t="str">
        <f>HYPERLINK("http://dx.doi.org/10.3389/fnbot.2022.913748","http://dx.doi.org/10.3389/fnbot.2022.913748")</f>
        <v>http://dx.doi.org/10.3389/fnbot.2022.913748</v>
      </c>
      <c r="BG593" t="s">
        <v>74</v>
      </c>
      <c r="BH593" t="s">
        <v>74</v>
      </c>
      <c r="BI593">
        <v>25</v>
      </c>
      <c r="BJ593" t="s">
        <v>1249</v>
      </c>
      <c r="BK593" t="s">
        <v>182</v>
      </c>
      <c r="BL593" t="s">
        <v>1250</v>
      </c>
      <c r="BM593" t="s">
        <v>11549</v>
      </c>
      <c r="BN593">
        <v>36714152</v>
      </c>
      <c r="BO593" t="s">
        <v>11550</v>
      </c>
      <c r="BP593" t="s">
        <v>74</v>
      </c>
      <c r="BQ593" t="s">
        <v>74</v>
      </c>
      <c r="BR593" t="s">
        <v>105</v>
      </c>
      <c r="BS593" t="s">
        <v>11551</v>
      </c>
      <c r="BT593" t="str">
        <f>HYPERLINK("https%3A%2F%2Fwww.webofscience.com%2Fwos%2Fwoscc%2Ffull-record%2FWOS:000920099600001","View Full Record in Web of Science")</f>
        <v>View Full Record in Web of Science</v>
      </c>
    </row>
    <row r="594" spans="1:72" x14ac:dyDescent="0.25">
      <c r="A594" t="s">
        <v>72</v>
      </c>
      <c r="B594" t="s">
        <v>11552</v>
      </c>
      <c r="C594" t="s">
        <v>74</v>
      </c>
      <c r="D594" t="s">
        <v>74</v>
      </c>
      <c r="E594" t="s">
        <v>74</v>
      </c>
      <c r="F594" t="s">
        <v>11553</v>
      </c>
      <c r="G594" t="s">
        <v>74</v>
      </c>
      <c r="H594" t="s">
        <v>74</v>
      </c>
      <c r="I594" t="s">
        <v>11554</v>
      </c>
      <c r="J594" t="s">
        <v>4263</v>
      </c>
      <c r="K594" t="s">
        <v>74</v>
      </c>
      <c r="L594" t="s">
        <v>74</v>
      </c>
      <c r="M594" t="s">
        <v>78</v>
      </c>
      <c r="N594" t="s">
        <v>79</v>
      </c>
      <c r="O594" t="s">
        <v>74</v>
      </c>
      <c r="P594" t="s">
        <v>74</v>
      </c>
      <c r="Q594" t="s">
        <v>74</v>
      </c>
      <c r="R594" t="s">
        <v>74</v>
      </c>
      <c r="S594" t="s">
        <v>74</v>
      </c>
      <c r="T594" t="s">
        <v>11555</v>
      </c>
      <c r="U594" t="s">
        <v>11556</v>
      </c>
      <c r="V594" t="s">
        <v>11557</v>
      </c>
      <c r="W594" t="s">
        <v>11558</v>
      </c>
      <c r="X594" t="s">
        <v>11559</v>
      </c>
      <c r="Y594" t="s">
        <v>11560</v>
      </c>
      <c r="Z594" t="s">
        <v>11561</v>
      </c>
      <c r="AA594" t="s">
        <v>11562</v>
      </c>
      <c r="AB594" t="s">
        <v>11563</v>
      </c>
      <c r="AC594" t="s">
        <v>11564</v>
      </c>
      <c r="AD594" t="s">
        <v>11565</v>
      </c>
      <c r="AE594" t="s">
        <v>11566</v>
      </c>
      <c r="AF594" t="s">
        <v>74</v>
      </c>
      <c r="AG594">
        <v>70</v>
      </c>
      <c r="AH594">
        <v>8</v>
      </c>
      <c r="AI594">
        <v>9</v>
      </c>
      <c r="AJ594">
        <v>8</v>
      </c>
      <c r="AK594">
        <v>31</v>
      </c>
      <c r="AL594" t="s">
        <v>392</v>
      </c>
      <c r="AM594" t="s">
        <v>393</v>
      </c>
      <c r="AN594" t="s">
        <v>394</v>
      </c>
      <c r="AO594" t="s">
        <v>74</v>
      </c>
      <c r="AP594" t="s">
        <v>4274</v>
      </c>
      <c r="AQ594" t="s">
        <v>74</v>
      </c>
      <c r="AR594" t="s">
        <v>4275</v>
      </c>
      <c r="AS594" t="s">
        <v>4276</v>
      </c>
      <c r="AT594" t="s">
        <v>1651</v>
      </c>
      <c r="AU594">
        <v>2023</v>
      </c>
      <c r="AV594">
        <v>10</v>
      </c>
      <c r="AW594" t="s">
        <v>74</v>
      </c>
      <c r="AX594" t="s">
        <v>74</v>
      </c>
      <c r="AY594" t="s">
        <v>74</v>
      </c>
      <c r="AZ594" t="s">
        <v>74</v>
      </c>
      <c r="BA594" t="s">
        <v>74</v>
      </c>
      <c r="BB594" t="s">
        <v>74</v>
      </c>
      <c r="BC594" t="s">
        <v>74</v>
      </c>
      <c r="BD594">
        <v>1030656</v>
      </c>
      <c r="BE594" t="s">
        <v>11567</v>
      </c>
      <c r="BF594" t="str">
        <f>HYPERLINK("http://dx.doi.org/10.3389/fpubh.2022.1030656","http://dx.doi.org/10.3389/fpubh.2022.1030656")</f>
        <v>http://dx.doi.org/10.3389/fpubh.2022.1030656</v>
      </c>
      <c r="BG594" t="s">
        <v>74</v>
      </c>
      <c r="BH594" t="s">
        <v>74</v>
      </c>
      <c r="BI594">
        <v>19</v>
      </c>
      <c r="BJ594" t="s">
        <v>2512</v>
      </c>
      <c r="BK594" t="s">
        <v>102</v>
      </c>
      <c r="BL594" t="s">
        <v>2512</v>
      </c>
      <c r="BM594" t="s">
        <v>11568</v>
      </c>
      <c r="BN594">
        <v>36699937</v>
      </c>
      <c r="BO594" t="s">
        <v>355</v>
      </c>
      <c r="BP594" t="s">
        <v>74</v>
      </c>
      <c r="BQ594" t="s">
        <v>74</v>
      </c>
      <c r="BR594" t="s">
        <v>105</v>
      </c>
      <c r="BS594" t="s">
        <v>11569</v>
      </c>
      <c r="BT594" t="str">
        <f>HYPERLINK("https%3A%2F%2Fwww.webofscience.com%2Fwos%2Fwoscc%2Ffull-record%2FWOS:000919290200001","View Full Record in Web of Science")</f>
        <v>View Full Record in Web of Science</v>
      </c>
    </row>
    <row r="595" spans="1:72" x14ac:dyDescent="0.25">
      <c r="A595" t="s">
        <v>72</v>
      </c>
      <c r="B595" t="s">
        <v>11570</v>
      </c>
      <c r="C595" t="s">
        <v>74</v>
      </c>
      <c r="D595" t="s">
        <v>74</v>
      </c>
      <c r="E595" t="s">
        <v>74</v>
      </c>
      <c r="F595" t="s">
        <v>11571</v>
      </c>
      <c r="G595" t="s">
        <v>74</v>
      </c>
      <c r="H595" t="s">
        <v>74</v>
      </c>
      <c r="I595" t="s">
        <v>11572</v>
      </c>
      <c r="J595" t="s">
        <v>11573</v>
      </c>
      <c r="K595" t="s">
        <v>74</v>
      </c>
      <c r="L595" t="s">
        <v>74</v>
      </c>
      <c r="M595" t="s">
        <v>78</v>
      </c>
      <c r="N595" t="s">
        <v>79</v>
      </c>
      <c r="O595" t="s">
        <v>74</v>
      </c>
      <c r="P595" t="s">
        <v>74</v>
      </c>
      <c r="Q595" t="s">
        <v>74</v>
      </c>
      <c r="R595" t="s">
        <v>74</v>
      </c>
      <c r="S595" t="s">
        <v>74</v>
      </c>
      <c r="T595" t="s">
        <v>11574</v>
      </c>
      <c r="U595" t="s">
        <v>11575</v>
      </c>
      <c r="V595" t="s">
        <v>11576</v>
      </c>
      <c r="W595" t="s">
        <v>11577</v>
      </c>
      <c r="X595" t="s">
        <v>11578</v>
      </c>
      <c r="Y595" t="s">
        <v>11579</v>
      </c>
      <c r="Z595" t="s">
        <v>11580</v>
      </c>
      <c r="AA595" t="s">
        <v>11581</v>
      </c>
      <c r="AB595" t="s">
        <v>74</v>
      </c>
      <c r="AC595" t="s">
        <v>11582</v>
      </c>
      <c r="AD595" t="s">
        <v>11583</v>
      </c>
      <c r="AE595" t="s">
        <v>11584</v>
      </c>
      <c r="AF595" t="s">
        <v>74</v>
      </c>
      <c r="AG595">
        <v>236</v>
      </c>
      <c r="AH595">
        <v>22</v>
      </c>
      <c r="AI595">
        <v>23</v>
      </c>
      <c r="AJ595">
        <v>5</v>
      </c>
      <c r="AK595">
        <v>59</v>
      </c>
      <c r="AL595" t="s">
        <v>836</v>
      </c>
      <c r="AM595" t="s">
        <v>532</v>
      </c>
      <c r="AN595" t="s">
        <v>837</v>
      </c>
      <c r="AO595" t="s">
        <v>11585</v>
      </c>
      <c r="AP595" t="s">
        <v>11586</v>
      </c>
      <c r="AQ595" t="s">
        <v>74</v>
      </c>
      <c r="AR595" t="s">
        <v>11587</v>
      </c>
      <c r="AS595" t="s">
        <v>11588</v>
      </c>
      <c r="AT595" t="s">
        <v>351</v>
      </c>
      <c r="AU595">
        <v>2023</v>
      </c>
      <c r="AV595">
        <v>153</v>
      </c>
      <c r="AW595" t="s">
        <v>74</v>
      </c>
      <c r="AX595" t="s">
        <v>74</v>
      </c>
      <c r="AY595" t="s">
        <v>74</v>
      </c>
      <c r="AZ595" t="s">
        <v>74</v>
      </c>
      <c r="BA595" t="s">
        <v>74</v>
      </c>
      <c r="BB595" t="s">
        <v>74</v>
      </c>
      <c r="BC595" t="s">
        <v>74</v>
      </c>
      <c r="BD595">
        <v>106517</v>
      </c>
      <c r="BE595" t="s">
        <v>11589</v>
      </c>
      <c r="BF595" t="str">
        <f>HYPERLINK("http://dx.doi.org/10.1016/j.compbiomed.2022.106517","http://dx.doi.org/10.1016/j.compbiomed.2022.106517")</f>
        <v>http://dx.doi.org/10.1016/j.compbiomed.2022.106517</v>
      </c>
      <c r="BG595" t="s">
        <v>74</v>
      </c>
      <c r="BH595" t="s">
        <v>461</v>
      </c>
      <c r="BI595">
        <v>29</v>
      </c>
      <c r="BJ595" t="s">
        <v>11590</v>
      </c>
      <c r="BK595" t="s">
        <v>182</v>
      </c>
      <c r="BL595" t="s">
        <v>11591</v>
      </c>
      <c r="BM595" t="s">
        <v>11592</v>
      </c>
      <c r="BN595">
        <v>36623438</v>
      </c>
      <c r="BO595" t="s">
        <v>4373</v>
      </c>
      <c r="BP595" t="s">
        <v>74</v>
      </c>
      <c r="BQ595" t="s">
        <v>74</v>
      </c>
      <c r="BR595" t="s">
        <v>105</v>
      </c>
      <c r="BS595" t="s">
        <v>11593</v>
      </c>
      <c r="BT595" t="str">
        <f>HYPERLINK("https%3A%2F%2Fwww.webofscience.com%2Fwos%2Fwoscc%2Ffull-record%2FWOS:000921614000001","View Full Record in Web of Science")</f>
        <v>View Full Record in Web of Science</v>
      </c>
    </row>
    <row r="596" spans="1:72" x14ac:dyDescent="0.25">
      <c r="A596" t="s">
        <v>72</v>
      </c>
      <c r="B596" t="s">
        <v>11594</v>
      </c>
      <c r="C596" t="s">
        <v>74</v>
      </c>
      <c r="D596" t="s">
        <v>74</v>
      </c>
      <c r="E596" t="s">
        <v>74</v>
      </c>
      <c r="F596" t="s">
        <v>11595</v>
      </c>
      <c r="G596" t="s">
        <v>74</v>
      </c>
      <c r="H596" t="s">
        <v>74</v>
      </c>
      <c r="I596" t="s">
        <v>11596</v>
      </c>
      <c r="J596" t="s">
        <v>11597</v>
      </c>
      <c r="K596" t="s">
        <v>74</v>
      </c>
      <c r="L596" t="s">
        <v>74</v>
      </c>
      <c r="M596" t="s">
        <v>78</v>
      </c>
      <c r="N596" t="s">
        <v>79</v>
      </c>
      <c r="O596" t="s">
        <v>74</v>
      </c>
      <c r="P596" t="s">
        <v>74</v>
      </c>
      <c r="Q596" t="s">
        <v>74</v>
      </c>
      <c r="R596" t="s">
        <v>74</v>
      </c>
      <c r="S596" t="s">
        <v>74</v>
      </c>
      <c r="T596" t="s">
        <v>11598</v>
      </c>
      <c r="U596" t="s">
        <v>11599</v>
      </c>
      <c r="V596" t="s">
        <v>11600</v>
      </c>
      <c r="W596" t="s">
        <v>11601</v>
      </c>
      <c r="X596" t="s">
        <v>10083</v>
      </c>
      <c r="Y596" t="s">
        <v>11602</v>
      </c>
      <c r="Z596" t="s">
        <v>11603</v>
      </c>
      <c r="AA596" t="s">
        <v>11604</v>
      </c>
      <c r="AB596" t="s">
        <v>11605</v>
      </c>
      <c r="AC596" t="s">
        <v>74</v>
      </c>
      <c r="AD596" t="s">
        <v>74</v>
      </c>
      <c r="AE596" t="s">
        <v>74</v>
      </c>
      <c r="AF596" t="s">
        <v>74</v>
      </c>
      <c r="AG596">
        <v>121</v>
      </c>
      <c r="AH596">
        <v>19</v>
      </c>
      <c r="AI596">
        <v>19</v>
      </c>
      <c r="AJ596">
        <v>13</v>
      </c>
      <c r="AK596">
        <v>77</v>
      </c>
      <c r="AL596" t="s">
        <v>11606</v>
      </c>
      <c r="AM596" t="s">
        <v>1958</v>
      </c>
      <c r="AN596" t="s">
        <v>11607</v>
      </c>
      <c r="AO596" t="s">
        <v>11608</v>
      </c>
      <c r="AP596" t="s">
        <v>11609</v>
      </c>
      <c r="AQ596" t="s">
        <v>74</v>
      </c>
      <c r="AR596" t="s">
        <v>11610</v>
      </c>
      <c r="AS596" t="s">
        <v>11611</v>
      </c>
      <c r="AT596" t="s">
        <v>351</v>
      </c>
      <c r="AU596">
        <v>2023</v>
      </c>
      <c r="AV596">
        <v>24</v>
      </c>
      <c r="AW596">
        <v>1</v>
      </c>
      <c r="AX596" t="s">
        <v>74</v>
      </c>
      <c r="AY596" t="s">
        <v>74</v>
      </c>
      <c r="AZ596" t="s">
        <v>74</v>
      </c>
      <c r="BA596" t="s">
        <v>74</v>
      </c>
      <c r="BB596">
        <v>536</v>
      </c>
      <c r="BC596">
        <v>562</v>
      </c>
      <c r="BD596" t="s">
        <v>74</v>
      </c>
      <c r="BE596" t="s">
        <v>11612</v>
      </c>
      <c r="BF596" t="str">
        <f>HYPERLINK("http://dx.doi.org/10.1002/suco.202200846","http://dx.doi.org/10.1002/suco.202200846")</f>
        <v>http://dx.doi.org/10.1002/suco.202200846</v>
      </c>
      <c r="BG596" t="s">
        <v>74</v>
      </c>
      <c r="BH596" t="s">
        <v>461</v>
      </c>
      <c r="BI596">
        <v>27</v>
      </c>
      <c r="BJ596" t="s">
        <v>11613</v>
      </c>
      <c r="BK596" t="s">
        <v>182</v>
      </c>
      <c r="BL596" t="s">
        <v>11614</v>
      </c>
      <c r="BM596" t="s">
        <v>11615</v>
      </c>
      <c r="BN596" t="s">
        <v>74</v>
      </c>
      <c r="BO596" t="s">
        <v>74</v>
      </c>
      <c r="BP596" t="s">
        <v>74</v>
      </c>
      <c r="BQ596" t="s">
        <v>74</v>
      </c>
      <c r="BR596" t="s">
        <v>105</v>
      </c>
      <c r="BS596" t="s">
        <v>11616</v>
      </c>
      <c r="BT596" t="str">
        <f>HYPERLINK("https%3A%2F%2Fwww.webofscience.com%2Fwos%2Fwoscc%2Ffull-record%2FWOS:000906993900001","View Full Record in Web of Science")</f>
        <v>View Full Record in Web of Science</v>
      </c>
    </row>
    <row r="597" spans="1:72" x14ac:dyDescent="0.25">
      <c r="A597" t="s">
        <v>72</v>
      </c>
      <c r="B597" t="s">
        <v>11617</v>
      </c>
      <c r="C597" t="s">
        <v>74</v>
      </c>
      <c r="D597" t="s">
        <v>74</v>
      </c>
      <c r="E597" t="s">
        <v>74</v>
      </c>
      <c r="F597" t="s">
        <v>11618</v>
      </c>
      <c r="G597" t="s">
        <v>74</v>
      </c>
      <c r="H597" t="s">
        <v>74</v>
      </c>
      <c r="I597" t="s">
        <v>11619</v>
      </c>
      <c r="J597" t="s">
        <v>214</v>
      </c>
      <c r="K597" t="s">
        <v>74</v>
      </c>
      <c r="L597" t="s">
        <v>74</v>
      </c>
      <c r="M597" t="s">
        <v>78</v>
      </c>
      <c r="N597" t="s">
        <v>79</v>
      </c>
      <c r="O597" t="s">
        <v>74</v>
      </c>
      <c r="P597" t="s">
        <v>74</v>
      </c>
      <c r="Q597" t="s">
        <v>74</v>
      </c>
      <c r="R597" t="s">
        <v>74</v>
      </c>
      <c r="S597" t="s">
        <v>74</v>
      </c>
      <c r="T597" t="s">
        <v>11620</v>
      </c>
      <c r="U597" t="s">
        <v>11621</v>
      </c>
      <c r="V597" t="s">
        <v>11622</v>
      </c>
      <c r="W597" t="s">
        <v>11623</v>
      </c>
      <c r="X597" t="s">
        <v>11624</v>
      </c>
      <c r="Y597" t="s">
        <v>11625</v>
      </c>
      <c r="Z597" t="s">
        <v>11626</v>
      </c>
      <c r="AA597" t="s">
        <v>11627</v>
      </c>
      <c r="AB597" t="s">
        <v>11628</v>
      </c>
      <c r="AC597" t="s">
        <v>74</v>
      </c>
      <c r="AD597" t="s">
        <v>74</v>
      </c>
      <c r="AE597" t="s">
        <v>74</v>
      </c>
      <c r="AF597" t="s">
        <v>74</v>
      </c>
      <c r="AG597">
        <v>39</v>
      </c>
      <c r="AH597">
        <v>4</v>
      </c>
      <c r="AI597">
        <v>3</v>
      </c>
      <c r="AJ597">
        <v>0</v>
      </c>
      <c r="AK597">
        <v>6</v>
      </c>
      <c r="AL597" t="s">
        <v>226</v>
      </c>
      <c r="AM597" t="s">
        <v>227</v>
      </c>
      <c r="AN597" t="s">
        <v>228</v>
      </c>
      <c r="AO597" t="s">
        <v>229</v>
      </c>
      <c r="AP597" t="s">
        <v>230</v>
      </c>
      <c r="AQ597" t="s">
        <v>74</v>
      </c>
      <c r="AR597" t="s">
        <v>231</v>
      </c>
      <c r="AS597" t="s">
        <v>232</v>
      </c>
      <c r="AT597" t="s">
        <v>538</v>
      </c>
      <c r="AU597">
        <v>2023</v>
      </c>
      <c r="AV597">
        <v>104</v>
      </c>
      <c r="AW597">
        <v>1</v>
      </c>
      <c r="AX597" t="s">
        <v>74</v>
      </c>
      <c r="AY597" t="s">
        <v>74</v>
      </c>
      <c r="AZ597" t="s">
        <v>74</v>
      </c>
      <c r="BA597" t="s">
        <v>74</v>
      </c>
      <c r="BB597">
        <v>143</v>
      </c>
      <c r="BC597">
        <v>150</v>
      </c>
      <c r="BD597" t="s">
        <v>74</v>
      </c>
      <c r="BE597" t="s">
        <v>11629</v>
      </c>
      <c r="BF597" t="str">
        <f>HYPERLINK("http://dx.doi.org/10.1016/j.apmr.2022.07.003","http://dx.doi.org/10.1016/j.apmr.2022.07.003")</f>
        <v>http://dx.doi.org/10.1016/j.apmr.2022.07.003</v>
      </c>
      <c r="BG597" t="s">
        <v>74</v>
      </c>
      <c r="BH597" t="s">
        <v>461</v>
      </c>
      <c r="BI597">
        <v>8</v>
      </c>
      <c r="BJ597" t="s">
        <v>236</v>
      </c>
      <c r="BK597" t="s">
        <v>182</v>
      </c>
      <c r="BL597" t="s">
        <v>236</v>
      </c>
      <c r="BM597" t="s">
        <v>11630</v>
      </c>
      <c r="BN597">
        <v>35905770</v>
      </c>
      <c r="BO597" t="s">
        <v>1052</v>
      </c>
      <c r="BP597" t="s">
        <v>74</v>
      </c>
      <c r="BQ597" t="s">
        <v>74</v>
      </c>
      <c r="BR597" t="s">
        <v>105</v>
      </c>
      <c r="BS597" t="s">
        <v>11631</v>
      </c>
      <c r="BT597" t="str">
        <f>HYPERLINK("https%3A%2F%2Fwww.webofscience.com%2Fwos%2Fwoscc%2Ffull-record%2FWOS:000915526900001","View Full Record in Web of Science")</f>
        <v>View Full Record in Web of Science</v>
      </c>
    </row>
    <row r="598" spans="1:72" x14ac:dyDescent="0.25">
      <c r="A598" t="s">
        <v>72</v>
      </c>
      <c r="B598" t="s">
        <v>11632</v>
      </c>
      <c r="C598" t="s">
        <v>74</v>
      </c>
      <c r="D598" t="s">
        <v>74</v>
      </c>
      <c r="E598" t="s">
        <v>74</v>
      </c>
      <c r="F598" t="s">
        <v>11633</v>
      </c>
      <c r="G598" t="s">
        <v>74</v>
      </c>
      <c r="H598" t="s">
        <v>74</v>
      </c>
      <c r="I598" t="s">
        <v>11634</v>
      </c>
      <c r="J598" t="s">
        <v>11635</v>
      </c>
      <c r="K598" t="s">
        <v>74</v>
      </c>
      <c r="L598" t="s">
        <v>74</v>
      </c>
      <c r="M598" t="s">
        <v>78</v>
      </c>
      <c r="N598" t="s">
        <v>79</v>
      </c>
      <c r="O598" t="s">
        <v>74</v>
      </c>
      <c r="P598" t="s">
        <v>74</v>
      </c>
      <c r="Q598" t="s">
        <v>74</v>
      </c>
      <c r="R598" t="s">
        <v>74</v>
      </c>
      <c r="S598" t="s">
        <v>74</v>
      </c>
      <c r="T598" t="s">
        <v>11636</v>
      </c>
      <c r="U598" t="s">
        <v>11637</v>
      </c>
      <c r="V598" t="s">
        <v>11638</v>
      </c>
      <c r="W598" t="s">
        <v>11639</v>
      </c>
      <c r="X598" t="s">
        <v>11640</v>
      </c>
      <c r="Y598" t="s">
        <v>11641</v>
      </c>
      <c r="Z598" t="s">
        <v>11642</v>
      </c>
      <c r="AA598" t="s">
        <v>11643</v>
      </c>
      <c r="AB598" t="s">
        <v>11644</v>
      </c>
      <c r="AC598" t="s">
        <v>11645</v>
      </c>
      <c r="AD598" t="s">
        <v>11646</v>
      </c>
      <c r="AE598" t="s">
        <v>11647</v>
      </c>
      <c r="AF598" t="s">
        <v>74</v>
      </c>
      <c r="AG598">
        <v>210</v>
      </c>
      <c r="AH598">
        <v>24</v>
      </c>
      <c r="AI598">
        <v>24</v>
      </c>
      <c r="AJ598">
        <v>3</v>
      </c>
      <c r="AK598">
        <v>14</v>
      </c>
      <c r="AL598" t="s">
        <v>1391</v>
      </c>
      <c r="AM598" t="s">
        <v>1392</v>
      </c>
      <c r="AN598" t="s">
        <v>1393</v>
      </c>
      <c r="AO598" t="s">
        <v>74</v>
      </c>
      <c r="AP598" t="s">
        <v>11648</v>
      </c>
      <c r="AQ598" t="s">
        <v>74</v>
      </c>
      <c r="AR598" t="s">
        <v>11649</v>
      </c>
      <c r="AS598" t="s">
        <v>11650</v>
      </c>
      <c r="AT598" t="s">
        <v>4772</v>
      </c>
      <c r="AU598">
        <v>2023</v>
      </c>
      <c r="AV598">
        <v>10</v>
      </c>
      <c r="AW598">
        <v>1</v>
      </c>
      <c r="AX598" t="s">
        <v>74</v>
      </c>
      <c r="AY598" t="s">
        <v>74</v>
      </c>
      <c r="AZ598" t="s">
        <v>74</v>
      </c>
      <c r="BA598" t="s">
        <v>74</v>
      </c>
      <c r="BB598" t="s">
        <v>74</v>
      </c>
      <c r="BC598" t="s">
        <v>74</v>
      </c>
      <c r="BD598" t="s">
        <v>11651</v>
      </c>
      <c r="BE598" t="s">
        <v>11652</v>
      </c>
      <c r="BF598" t="str">
        <f>HYPERLINK("http://dx.doi.org/10.2196/43615","http://dx.doi.org/10.2196/43615")</f>
        <v>http://dx.doi.org/10.2196/43615</v>
      </c>
      <c r="BG598" t="s">
        <v>74</v>
      </c>
      <c r="BH598" t="s">
        <v>74</v>
      </c>
      <c r="BI598">
        <v>29</v>
      </c>
      <c r="BJ598" t="s">
        <v>11653</v>
      </c>
      <c r="BK598" t="s">
        <v>155</v>
      </c>
      <c r="BL598" t="s">
        <v>11653</v>
      </c>
      <c r="BM598" t="s">
        <v>11654</v>
      </c>
      <c r="BN598">
        <v>37253381</v>
      </c>
      <c r="BO598" t="s">
        <v>1573</v>
      </c>
      <c r="BP598" t="s">
        <v>74</v>
      </c>
      <c r="BQ598" t="s">
        <v>74</v>
      </c>
      <c r="BR598" t="s">
        <v>105</v>
      </c>
      <c r="BS598" t="s">
        <v>11655</v>
      </c>
      <c r="BT598" t="str">
        <f>HYPERLINK("https%3A%2F%2Fwww.webofscience.com%2Fwos%2Fwoscc%2Ffull-record%2FWOS:001207666900008","View Full Record in Web of Science")</f>
        <v>View Full Record in Web of Science</v>
      </c>
    </row>
    <row r="599" spans="1:72" x14ac:dyDescent="0.25">
      <c r="A599" t="s">
        <v>72</v>
      </c>
      <c r="B599" t="s">
        <v>11656</v>
      </c>
      <c r="C599" t="s">
        <v>74</v>
      </c>
      <c r="D599" t="s">
        <v>74</v>
      </c>
      <c r="E599" t="s">
        <v>74</v>
      </c>
      <c r="F599" t="s">
        <v>11657</v>
      </c>
      <c r="G599" t="s">
        <v>74</v>
      </c>
      <c r="H599" t="s">
        <v>74</v>
      </c>
      <c r="I599" t="s">
        <v>11658</v>
      </c>
      <c r="J599" t="s">
        <v>11659</v>
      </c>
      <c r="K599" t="s">
        <v>74</v>
      </c>
      <c r="L599" t="s">
        <v>74</v>
      </c>
      <c r="M599" t="s">
        <v>78</v>
      </c>
      <c r="N599" t="s">
        <v>79</v>
      </c>
      <c r="O599" t="s">
        <v>74</v>
      </c>
      <c r="P599" t="s">
        <v>74</v>
      </c>
      <c r="Q599" t="s">
        <v>74</v>
      </c>
      <c r="R599" t="s">
        <v>74</v>
      </c>
      <c r="S599" t="s">
        <v>74</v>
      </c>
      <c r="T599" t="s">
        <v>11660</v>
      </c>
      <c r="U599" t="s">
        <v>11661</v>
      </c>
      <c r="V599" t="s">
        <v>11662</v>
      </c>
      <c r="W599" t="s">
        <v>11663</v>
      </c>
      <c r="X599" t="s">
        <v>11664</v>
      </c>
      <c r="Y599" t="s">
        <v>11665</v>
      </c>
      <c r="Z599" t="s">
        <v>11666</v>
      </c>
      <c r="AA599" t="s">
        <v>74</v>
      </c>
      <c r="AB599" t="s">
        <v>11667</v>
      </c>
      <c r="AC599" t="s">
        <v>11668</v>
      </c>
      <c r="AD599" t="s">
        <v>11669</v>
      </c>
      <c r="AE599" t="s">
        <v>11670</v>
      </c>
      <c r="AF599" t="s">
        <v>74</v>
      </c>
      <c r="AG599">
        <v>121</v>
      </c>
      <c r="AH599">
        <v>3</v>
      </c>
      <c r="AI599">
        <v>3</v>
      </c>
      <c r="AJ599">
        <v>7</v>
      </c>
      <c r="AK599">
        <v>33</v>
      </c>
      <c r="AL599" t="s">
        <v>11671</v>
      </c>
      <c r="AM599" t="s">
        <v>11672</v>
      </c>
      <c r="AN599" t="s">
        <v>11673</v>
      </c>
      <c r="AO599" t="s">
        <v>11674</v>
      </c>
      <c r="AP599" t="s">
        <v>74</v>
      </c>
      <c r="AQ599" t="s">
        <v>74</v>
      </c>
      <c r="AR599" t="s">
        <v>11675</v>
      </c>
      <c r="AS599" t="s">
        <v>11676</v>
      </c>
      <c r="AT599" t="s">
        <v>74</v>
      </c>
      <c r="AU599">
        <v>2023</v>
      </c>
      <c r="AV599">
        <v>12</v>
      </c>
      <c r="AW599">
        <v>1</v>
      </c>
      <c r="AX599" t="s">
        <v>74</v>
      </c>
      <c r="AY599" t="s">
        <v>74</v>
      </c>
      <c r="AZ599" t="s">
        <v>74</v>
      </c>
      <c r="BA599" t="s">
        <v>74</v>
      </c>
      <c r="BB599" t="s">
        <v>74</v>
      </c>
      <c r="BC599" t="s">
        <v>74</v>
      </c>
      <c r="BD599" t="s">
        <v>74</v>
      </c>
      <c r="BE599" t="s">
        <v>11677</v>
      </c>
      <c r="BF599" t="str">
        <f>HYPERLINK("http://dx.doi.org/10.1561/116.00000156","http://dx.doi.org/10.1561/116.00000156")</f>
        <v>http://dx.doi.org/10.1561/116.00000156</v>
      </c>
      <c r="BG599" t="s">
        <v>74</v>
      </c>
      <c r="BH599" t="s">
        <v>74</v>
      </c>
      <c r="BI599">
        <v>33</v>
      </c>
      <c r="BJ599" t="s">
        <v>11678</v>
      </c>
      <c r="BK599" t="s">
        <v>155</v>
      </c>
      <c r="BL599" t="s">
        <v>183</v>
      </c>
      <c r="BM599" t="s">
        <v>11679</v>
      </c>
      <c r="BN599" t="s">
        <v>74</v>
      </c>
      <c r="BO599" t="s">
        <v>185</v>
      </c>
      <c r="BP599" t="s">
        <v>74</v>
      </c>
      <c r="BQ599" t="s">
        <v>74</v>
      </c>
      <c r="BR599" t="s">
        <v>105</v>
      </c>
      <c r="BS599" t="s">
        <v>11680</v>
      </c>
      <c r="BT599" t="str">
        <f>HYPERLINK("https%3A%2F%2Fwww.webofscience.com%2Fwos%2Fwoscc%2Ffull-record%2FWOS:001099583400001","View Full Record in Web of Science")</f>
        <v>View Full Record in Web of Science</v>
      </c>
    </row>
    <row r="600" spans="1:72" x14ac:dyDescent="0.25">
      <c r="A600" t="s">
        <v>72</v>
      </c>
      <c r="B600" t="s">
        <v>11681</v>
      </c>
      <c r="C600" t="s">
        <v>74</v>
      </c>
      <c r="D600" t="s">
        <v>74</v>
      </c>
      <c r="E600" t="s">
        <v>74</v>
      </c>
      <c r="F600" t="s">
        <v>11682</v>
      </c>
      <c r="G600" t="s">
        <v>74</v>
      </c>
      <c r="H600" t="s">
        <v>74</v>
      </c>
      <c r="I600" t="s">
        <v>11683</v>
      </c>
      <c r="J600" t="s">
        <v>11684</v>
      </c>
      <c r="K600" t="s">
        <v>74</v>
      </c>
      <c r="L600" t="s">
        <v>74</v>
      </c>
      <c r="M600" t="s">
        <v>78</v>
      </c>
      <c r="N600" t="s">
        <v>79</v>
      </c>
      <c r="O600" t="s">
        <v>74</v>
      </c>
      <c r="P600" t="s">
        <v>74</v>
      </c>
      <c r="Q600" t="s">
        <v>74</v>
      </c>
      <c r="R600" t="s">
        <v>74</v>
      </c>
      <c r="S600" t="s">
        <v>74</v>
      </c>
      <c r="T600" t="s">
        <v>11685</v>
      </c>
      <c r="U600" t="s">
        <v>11686</v>
      </c>
      <c r="V600" t="s">
        <v>11687</v>
      </c>
      <c r="W600" t="s">
        <v>11688</v>
      </c>
      <c r="X600" t="s">
        <v>11689</v>
      </c>
      <c r="Y600" t="s">
        <v>11690</v>
      </c>
      <c r="Z600" t="s">
        <v>11691</v>
      </c>
      <c r="AA600" t="s">
        <v>11692</v>
      </c>
      <c r="AB600" t="s">
        <v>11693</v>
      </c>
      <c r="AC600" t="s">
        <v>11694</v>
      </c>
      <c r="AD600" t="s">
        <v>11695</v>
      </c>
      <c r="AE600" t="s">
        <v>11696</v>
      </c>
      <c r="AF600" t="s">
        <v>74</v>
      </c>
      <c r="AG600">
        <v>107</v>
      </c>
      <c r="AH600">
        <v>17</v>
      </c>
      <c r="AI600">
        <v>18</v>
      </c>
      <c r="AJ600">
        <v>18</v>
      </c>
      <c r="AK600">
        <v>81</v>
      </c>
      <c r="AL600" t="s">
        <v>1114</v>
      </c>
      <c r="AM600" t="s">
        <v>1115</v>
      </c>
      <c r="AN600" t="s">
        <v>1116</v>
      </c>
      <c r="AO600" t="s">
        <v>11697</v>
      </c>
      <c r="AP600" t="s">
        <v>11698</v>
      </c>
      <c r="AQ600" t="s">
        <v>74</v>
      </c>
      <c r="AR600" t="s">
        <v>11699</v>
      </c>
      <c r="AS600" t="s">
        <v>11700</v>
      </c>
      <c r="AT600" t="s">
        <v>74</v>
      </c>
      <c r="AU600">
        <v>2023</v>
      </c>
      <c r="AV600">
        <v>16</v>
      </c>
      <c r="AW600" t="s">
        <v>74</v>
      </c>
      <c r="AX600" t="s">
        <v>74</v>
      </c>
      <c r="AY600" t="s">
        <v>74</v>
      </c>
      <c r="AZ600" t="s">
        <v>74</v>
      </c>
      <c r="BA600" t="s">
        <v>74</v>
      </c>
      <c r="BB600">
        <v>487</v>
      </c>
      <c r="BC600">
        <v>498</v>
      </c>
      <c r="BD600" t="s">
        <v>74</v>
      </c>
      <c r="BE600" t="s">
        <v>11701</v>
      </c>
      <c r="BF600" t="str">
        <f>HYPERLINK("http://dx.doi.org/10.1109/RBME.2022.3165062","http://dx.doi.org/10.1109/RBME.2022.3165062")</f>
        <v>http://dx.doi.org/10.1109/RBME.2022.3165062</v>
      </c>
      <c r="BG600" t="s">
        <v>74</v>
      </c>
      <c r="BH600" t="s">
        <v>74</v>
      </c>
      <c r="BI600">
        <v>12</v>
      </c>
      <c r="BJ600" t="s">
        <v>282</v>
      </c>
      <c r="BK600" t="s">
        <v>182</v>
      </c>
      <c r="BL600" t="s">
        <v>183</v>
      </c>
      <c r="BM600" t="s">
        <v>11702</v>
      </c>
      <c r="BN600">
        <v>35380970</v>
      </c>
      <c r="BO600" t="s">
        <v>309</v>
      </c>
      <c r="BP600" t="s">
        <v>74</v>
      </c>
      <c r="BQ600" t="s">
        <v>74</v>
      </c>
      <c r="BR600" t="s">
        <v>105</v>
      </c>
      <c r="BS600" t="s">
        <v>11703</v>
      </c>
      <c r="BT600" t="str">
        <f>HYPERLINK("https%3A%2F%2Fwww.webofscience.com%2Fwos%2Fwoscc%2Ffull-record%2FWOS:000967127200001","View Full Record in Web of Science")</f>
        <v>View Full Record in Web of Science</v>
      </c>
    </row>
    <row r="601" spans="1:72" x14ac:dyDescent="0.25">
      <c r="A601" t="s">
        <v>72</v>
      </c>
      <c r="B601" t="s">
        <v>11704</v>
      </c>
      <c r="C601" t="s">
        <v>74</v>
      </c>
      <c r="D601" t="s">
        <v>74</v>
      </c>
      <c r="E601" t="s">
        <v>74</v>
      </c>
      <c r="F601" t="s">
        <v>11705</v>
      </c>
      <c r="G601" t="s">
        <v>74</v>
      </c>
      <c r="H601" t="s">
        <v>74</v>
      </c>
      <c r="I601" t="s">
        <v>11706</v>
      </c>
      <c r="J601" t="s">
        <v>1101</v>
      </c>
      <c r="K601" t="s">
        <v>74</v>
      </c>
      <c r="L601" t="s">
        <v>74</v>
      </c>
      <c r="M601" t="s">
        <v>78</v>
      </c>
      <c r="N601" t="s">
        <v>79</v>
      </c>
      <c r="O601" t="s">
        <v>74</v>
      </c>
      <c r="P601" t="s">
        <v>74</v>
      </c>
      <c r="Q601" t="s">
        <v>74</v>
      </c>
      <c r="R601" t="s">
        <v>74</v>
      </c>
      <c r="S601" t="s">
        <v>74</v>
      </c>
      <c r="T601" t="s">
        <v>11707</v>
      </c>
      <c r="U601" t="s">
        <v>11708</v>
      </c>
      <c r="V601" t="s">
        <v>11709</v>
      </c>
      <c r="W601" t="s">
        <v>11710</v>
      </c>
      <c r="X601" t="s">
        <v>11711</v>
      </c>
      <c r="Y601" t="s">
        <v>11712</v>
      </c>
      <c r="Z601" t="s">
        <v>11713</v>
      </c>
      <c r="AA601" t="s">
        <v>11714</v>
      </c>
      <c r="AB601" t="s">
        <v>11715</v>
      </c>
      <c r="AC601" t="s">
        <v>11716</v>
      </c>
      <c r="AD601" t="s">
        <v>11717</v>
      </c>
      <c r="AE601" t="s">
        <v>11718</v>
      </c>
      <c r="AF601" t="s">
        <v>74</v>
      </c>
      <c r="AG601">
        <v>73</v>
      </c>
      <c r="AH601">
        <v>3</v>
      </c>
      <c r="AI601">
        <v>3</v>
      </c>
      <c r="AJ601">
        <v>8</v>
      </c>
      <c r="AK601">
        <v>24</v>
      </c>
      <c r="AL601" t="s">
        <v>1114</v>
      </c>
      <c r="AM601" t="s">
        <v>1115</v>
      </c>
      <c r="AN601" t="s">
        <v>1116</v>
      </c>
      <c r="AO601" t="s">
        <v>1117</v>
      </c>
      <c r="AP601" t="s">
        <v>1118</v>
      </c>
      <c r="AQ601" t="s">
        <v>74</v>
      </c>
      <c r="AR601" t="s">
        <v>1119</v>
      </c>
      <c r="AS601" t="s">
        <v>1120</v>
      </c>
      <c r="AT601" t="s">
        <v>74</v>
      </c>
      <c r="AU601">
        <v>2023</v>
      </c>
      <c r="AV601">
        <v>31</v>
      </c>
      <c r="AW601" t="s">
        <v>74</v>
      </c>
      <c r="AX601" t="s">
        <v>74</v>
      </c>
      <c r="AY601" t="s">
        <v>74</v>
      </c>
      <c r="AZ601" t="s">
        <v>74</v>
      </c>
      <c r="BA601" t="s">
        <v>74</v>
      </c>
      <c r="BB601">
        <v>3341</v>
      </c>
      <c r="BC601">
        <v>3352</v>
      </c>
      <c r="BD601" t="s">
        <v>74</v>
      </c>
      <c r="BE601" t="s">
        <v>11719</v>
      </c>
      <c r="BF601" t="str">
        <f>HYPERLINK("http://dx.doi.org/10.1109/TNSRE.2023.3304758","http://dx.doi.org/10.1109/TNSRE.2023.3304758")</f>
        <v>http://dx.doi.org/10.1109/TNSRE.2023.3304758</v>
      </c>
      <c r="BG601" t="s">
        <v>74</v>
      </c>
      <c r="BH601" t="s">
        <v>74</v>
      </c>
      <c r="BI601">
        <v>12</v>
      </c>
      <c r="BJ601" t="s">
        <v>1122</v>
      </c>
      <c r="BK601" t="s">
        <v>182</v>
      </c>
      <c r="BL601" t="s">
        <v>1123</v>
      </c>
      <c r="BM601" t="s">
        <v>11720</v>
      </c>
      <c r="BN601">
        <v>37578924</v>
      </c>
      <c r="BO601" t="s">
        <v>4280</v>
      </c>
      <c r="BP601" t="s">
        <v>74</v>
      </c>
      <c r="BQ601" t="s">
        <v>74</v>
      </c>
      <c r="BR601" t="s">
        <v>105</v>
      </c>
      <c r="BS601" t="s">
        <v>11721</v>
      </c>
      <c r="BT601" t="str">
        <f>HYPERLINK("https%3A%2F%2Fwww.webofscience.com%2Fwos%2Fwoscc%2Ffull-record%2FWOS:001053767800004","View Full Record in Web of Science")</f>
        <v>View Full Record in Web of Science</v>
      </c>
    </row>
    <row r="602" spans="1:72" x14ac:dyDescent="0.25">
      <c r="A602" t="s">
        <v>72</v>
      </c>
      <c r="B602" t="s">
        <v>11722</v>
      </c>
      <c r="C602" t="s">
        <v>74</v>
      </c>
      <c r="D602" t="s">
        <v>74</v>
      </c>
      <c r="E602" t="s">
        <v>74</v>
      </c>
      <c r="F602" t="s">
        <v>11723</v>
      </c>
      <c r="G602" t="s">
        <v>74</v>
      </c>
      <c r="H602" t="s">
        <v>74</v>
      </c>
      <c r="I602" t="s">
        <v>11724</v>
      </c>
      <c r="J602" t="s">
        <v>2543</v>
      </c>
      <c r="K602" t="s">
        <v>74</v>
      </c>
      <c r="L602" t="s">
        <v>74</v>
      </c>
      <c r="M602" t="s">
        <v>78</v>
      </c>
      <c r="N602" t="s">
        <v>79</v>
      </c>
      <c r="O602" t="s">
        <v>74</v>
      </c>
      <c r="P602" t="s">
        <v>74</v>
      </c>
      <c r="Q602" t="s">
        <v>74</v>
      </c>
      <c r="R602" t="s">
        <v>74</v>
      </c>
      <c r="S602" t="s">
        <v>74</v>
      </c>
      <c r="T602" t="s">
        <v>11725</v>
      </c>
      <c r="U602" t="s">
        <v>11726</v>
      </c>
      <c r="V602" t="s">
        <v>11727</v>
      </c>
      <c r="W602" t="s">
        <v>11728</v>
      </c>
      <c r="X602" t="s">
        <v>11729</v>
      </c>
      <c r="Y602" t="s">
        <v>11730</v>
      </c>
      <c r="Z602" t="s">
        <v>11731</v>
      </c>
      <c r="AA602" t="s">
        <v>11732</v>
      </c>
      <c r="AB602" t="s">
        <v>11733</v>
      </c>
      <c r="AC602" t="s">
        <v>11734</v>
      </c>
      <c r="AD602" t="s">
        <v>11735</v>
      </c>
      <c r="AE602" t="s">
        <v>11736</v>
      </c>
      <c r="AF602" t="s">
        <v>74</v>
      </c>
      <c r="AG602">
        <v>60</v>
      </c>
      <c r="AH602">
        <v>15</v>
      </c>
      <c r="AI602">
        <v>15</v>
      </c>
      <c r="AJ602">
        <v>7</v>
      </c>
      <c r="AK602">
        <v>73</v>
      </c>
      <c r="AL602" t="s">
        <v>120</v>
      </c>
      <c r="AM602" t="s">
        <v>121</v>
      </c>
      <c r="AN602" t="s">
        <v>122</v>
      </c>
      <c r="AO602" t="s">
        <v>74</v>
      </c>
      <c r="AP602" t="s">
        <v>2553</v>
      </c>
      <c r="AQ602" t="s">
        <v>74</v>
      </c>
      <c r="AR602" t="s">
        <v>2554</v>
      </c>
      <c r="AS602" t="s">
        <v>2555</v>
      </c>
      <c r="AT602" t="s">
        <v>538</v>
      </c>
      <c r="AU602">
        <v>2023</v>
      </c>
      <c r="AV602">
        <v>13</v>
      </c>
      <c r="AW602">
        <v>1</v>
      </c>
      <c r="AX602" t="s">
        <v>74</v>
      </c>
      <c r="AY602" t="s">
        <v>74</v>
      </c>
      <c r="AZ602" t="s">
        <v>74</v>
      </c>
      <c r="BA602" t="s">
        <v>74</v>
      </c>
      <c r="BB602" t="s">
        <v>74</v>
      </c>
      <c r="BC602" t="s">
        <v>74</v>
      </c>
      <c r="BD602">
        <v>56</v>
      </c>
      <c r="BE602" t="s">
        <v>11737</v>
      </c>
      <c r="BF602" t="str">
        <f>HYPERLINK("http://dx.doi.org/10.3390/brainsci13010056","http://dx.doi.org/10.3390/brainsci13010056")</f>
        <v>http://dx.doi.org/10.3390/brainsci13010056</v>
      </c>
      <c r="BG602" t="s">
        <v>74</v>
      </c>
      <c r="BH602" t="s">
        <v>74</v>
      </c>
      <c r="BI602">
        <v>12</v>
      </c>
      <c r="BJ602" t="s">
        <v>374</v>
      </c>
      <c r="BK602" t="s">
        <v>182</v>
      </c>
      <c r="BL602" t="s">
        <v>375</v>
      </c>
      <c r="BM602" t="s">
        <v>11738</v>
      </c>
      <c r="BN602">
        <v>36672038</v>
      </c>
      <c r="BO602" t="s">
        <v>355</v>
      </c>
      <c r="BP602" t="s">
        <v>74</v>
      </c>
      <c r="BQ602" t="s">
        <v>74</v>
      </c>
      <c r="BR602" t="s">
        <v>105</v>
      </c>
      <c r="BS602" t="s">
        <v>11739</v>
      </c>
      <c r="BT602" t="str">
        <f>HYPERLINK("https%3A%2F%2Fwww.webofscience.com%2Fwos%2Fwoscc%2Ffull-record%2FWOS:000916911200001","View Full Record in Web of Science")</f>
        <v>View Full Record in Web of Science</v>
      </c>
    </row>
    <row r="603" spans="1:72" x14ac:dyDescent="0.25">
      <c r="A603" t="s">
        <v>72</v>
      </c>
      <c r="B603" t="s">
        <v>11740</v>
      </c>
      <c r="C603" t="s">
        <v>74</v>
      </c>
      <c r="D603" t="s">
        <v>74</v>
      </c>
      <c r="E603" t="s">
        <v>74</v>
      </c>
      <c r="F603" t="s">
        <v>11741</v>
      </c>
      <c r="G603" t="s">
        <v>74</v>
      </c>
      <c r="H603" t="s">
        <v>74</v>
      </c>
      <c r="I603" t="s">
        <v>11742</v>
      </c>
      <c r="J603" t="s">
        <v>11743</v>
      </c>
      <c r="K603" t="s">
        <v>74</v>
      </c>
      <c r="L603" t="s">
        <v>74</v>
      </c>
      <c r="M603" t="s">
        <v>78</v>
      </c>
      <c r="N603" t="s">
        <v>79</v>
      </c>
      <c r="O603" t="s">
        <v>74</v>
      </c>
      <c r="P603" t="s">
        <v>74</v>
      </c>
      <c r="Q603" t="s">
        <v>74</v>
      </c>
      <c r="R603" t="s">
        <v>74</v>
      </c>
      <c r="S603" t="s">
        <v>74</v>
      </c>
      <c r="T603" t="s">
        <v>11744</v>
      </c>
      <c r="U603" t="s">
        <v>11745</v>
      </c>
      <c r="V603" t="s">
        <v>11746</v>
      </c>
      <c r="W603" t="s">
        <v>11747</v>
      </c>
      <c r="X603" t="s">
        <v>11748</v>
      </c>
      <c r="Y603" t="s">
        <v>11749</v>
      </c>
      <c r="Z603" t="s">
        <v>11750</v>
      </c>
      <c r="AA603" t="s">
        <v>11751</v>
      </c>
      <c r="AB603" t="s">
        <v>74</v>
      </c>
      <c r="AC603" t="s">
        <v>11752</v>
      </c>
      <c r="AD603" t="s">
        <v>11753</v>
      </c>
      <c r="AE603" t="s">
        <v>11754</v>
      </c>
      <c r="AF603" t="s">
        <v>74</v>
      </c>
      <c r="AG603">
        <v>131</v>
      </c>
      <c r="AH603">
        <v>5</v>
      </c>
      <c r="AI603">
        <v>5</v>
      </c>
      <c r="AJ603">
        <v>2</v>
      </c>
      <c r="AK603">
        <v>44</v>
      </c>
      <c r="AL603" t="s">
        <v>11755</v>
      </c>
      <c r="AM603" t="s">
        <v>11756</v>
      </c>
      <c r="AN603" t="s">
        <v>11757</v>
      </c>
      <c r="AO603" t="s">
        <v>11758</v>
      </c>
      <c r="AP603" t="s">
        <v>74</v>
      </c>
      <c r="AQ603" t="s">
        <v>74</v>
      </c>
      <c r="AR603" t="s">
        <v>11759</v>
      </c>
      <c r="AS603" t="s">
        <v>11760</v>
      </c>
      <c r="AT603" t="s">
        <v>74</v>
      </c>
      <c r="AU603">
        <v>2023</v>
      </c>
      <c r="AV603">
        <v>20</v>
      </c>
      <c r="AW603">
        <v>3</v>
      </c>
      <c r="AX603" t="s">
        <v>74</v>
      </c>
      <c r="AY603" t="s">
        <v>74</v>
      </c>
      <c r="AZ603" t="s">
        <v>74</v>
      </c>
      <c r="BA603" t="s">
        <v>74</v>
      </c>
      <c r="BB603">
        <v>5194</v>
      </c>
      <c r="BC603">
        <v>5222</v>
      </c>
      <c r="BD603" t="s">
        <v>74</v>
      </c>
      <c r="BE603" t="s">
        <v>11761</v>
      </c>
      <c r="BF603" t="str">
        <f>HYPERLINK("http://dx.doi.org/10.3934/mbe.2023241","http://dx.doi.org/10.3934/mbe.2023241")</f>
        <v>http://dx.doi.org/10.3934/mbe.2023241</v>
      </c>
      <c r="BG603" t="s">
        <v>74</v>
      </c>
      <c r="BH603" t="s">
        <v>74</v>
      </c>
      <c r="BI603">
        <v>29</v>
      </c>
      <c r="BJ603" t="s">
        <v>4351</v>
      </c>
      <c r="BK603" t="s">
        <v>182</v>
      </c>
      <c r="BL603" t="s">
        <v>4351</v>
      </c>
      <c r="BM603" t="s">
        <v>11762</v>
      </c>
      <c r="BN603">
        <v>36896542</v>
      </c>
      <c r="BO603" t="s">
        <v>185</v>
      </c>
      <c r="BP603" t="s">
        <v>74</v>
      </c>
      <c r="BQ603" t="s">
        <v>74</v>
      </c>
      <c r="BR603" t="s">
        <v>105</v>
      </c>
      <c r="BS603" t="s">
        <v>11763</v>
      </c>
      <c r="BT603" t="str">
        <f>HYPERLINK("https%3A%2F%2Fwww.webofscience.com%2Fwos%2Fwoscc%2Ffull-record%2FWOS:000921127400010","View Full Record in Web of Science")</f>
        <v>View Full Record in Web of Science</v>
      </c>
    </row>
    <row r="604" spans="1:72" x14ac:dyDescent="0.25">
      <c r="A604" t="s">
        <v>72</v>
      </c>
      <c r="B604" t="s">
        <v>11764</v>
      </c>
      <c r="C604" t="s">
        <v>74</v>
      </c>
      <c r="D604" t="s">
        <v>74</v>
      </c>
      <c r="E604" t="s">
        <v>74</v>
      </c>
      <c r="F604" t="s">
        <v>11765</v>
      </c>
      <c r="G604" t="s">
        <v>74</v>
      </c>
      <c r="H604" t="s">
        <v>74</v>
      </c>
      <c r="I604" t="s">
        <v>11766</v>
      </c>
      <c r="J604" t="s">
        <v>5940</v>
      </c>
      <c r="K604" t="s">
        <v>74</v>
      </c>
      <c r="L604" t="s">
        <v>74</v>
      </c>
      <c r="M604" t="s">
        <v>78</v>
      </c>
      <c r="N604" t="s">
        <v>79</v>
      </c>
      <c r="O604" t="s">
        <v>74</v>
      </c>
      <c r="P604" t="s">
        <v>74</v>
      </c>
      <c r="Q604" t="s">
        <v>74</v>
      </c>
      <c r="R604" t="s">
        <v>74</v>
      </c>
      <c r="S604" t="s">
        <v>74</v>
      </c>
      <c r="T604" t="s">
        <v>11767</v>
      </c>
      <c r="U604" t="s">
        <v>11768</v>
      </c>
      <c r="V604" t="s">
        <v>11769</v>
      </c>
      <c r="W604" t="s">
        <v>11770</v>
      </c>
      <c r="X604" t="s">
        <v>11771</v>
      </c>
      <c r="Y604" t="s">
        <v>11772</v>
      </c>
      <c r="Z604" t="s">
        <v>11773</v>
      </c>
      <c r="AA604" t="s">
        <v>74</v>
      </c>
      <c r="AB604" t="s">
        <v>74</v>
      </c>
      <c r="AC604" t="s">
        <v>74</v>
      </c>
      <c r="AD604" t="s">
        <v>74</v>
      </c>
      <c r="AE604" t="s">
        <v>74</v>
      </c>
      <c r="AF604" t="s">
        <v>74</v>
      </c>
      <c r="AG604">
        <v>41</v>
      </c>
      <c r="AH604">
        <v>1</v>
      </c>
      <c r="AI604">
        <v>1</v>
      </c>
      <c r="AJ604">
        <v>2</v>
      </c>
      <c r="AK604">
        <v>9</v>
      </c>
      <c r="AL604" t="s">
        <v>504</v>
      </c>
      <c r="AM604" t="s">
        <v>505</v>
      </c>
      <c r="AN604" t="s">
        <v>506</v>
      </c>
      <c r="AO604" t="s">
        <v>5947</v>
      </c>
      <c r="AP604" t="s">
        <v>5948</v>
      </c>
      <c r="AQ604" t="s">
        <v>74</v>
      </c>
      <c r="AR604" t="s">
        <v>5949</v>
      </c>
      <c r="AS604" t="s">
        <v>5950</v>
      </c>
      <c r="AT604" t="s">
        <v>538</v>
      </c>
      <c r="AU604">
        <v>2023</v>
      </c>
      <c r="AV604">
        <v>26</v>
      </c>
      <c r="AW604">
        <v>7</v>
      </c>
      <c r="AX604" t="s">
        <v>74</v>
      </c>
      <c r="AY604" t="s">
        <v>74</v>
      </c>
      <c r="AZ604" t="s">
        <v>152</v>
      </c>
      <c r="BA604" t="s">
        <v>74</v>
      </c>
      <c r="BB604" t="s">
        <v>11774</v>
      </c>
      <c r="BC604" t="s">
        <v>11775</v>
      </c>
      <c r="BD604" t="s">
        <v>74</v>
      </c>
      <c r="BE604" t="s">
        <v>11776</v>
      </c>
      <c r="BF604" t="str">
        <f>HYPERLINK("http://dx.doi.org/10.4103/aian.aian_1075_21","http://dx.doi.org/10.4103/aian.aian_1075_21")</f>
        <v>http://dx.doi.org/10.4103/aian.aian_1075_21</v>
      </c>
      <c r="BG604" t="s">
        <v>74</v>
      </c>
      <c r="BH604" t="s">
        <v>74</v>
      </c>
      <c r="BI604">
        <v>6</v>
      </c>
      <c r="BJ604" t="s">
        <v>541</v>
      </c>
      <c r="BK604" t="s">
        <v>182</v>
      </c>
      <c r="BL604" t="s">
        <v>375</v>
      </c>
      <c r="BM604" t="s">
        <v>11777</v>
      </c>
      <c r="BN604">
        <v>37092019</v>
      </c>
      <c r="BO604" t="s">
        <v>355</v>
      </c>
      <c r="BP604" t="s">
        <v>74</v>
      </c>
      <c r="BQ604" t="s">
        <v>74</v>
      </c>
      <c r="BR604" t="s">
        <v>105</v>
      </c>
      <c r="BS604" t="s">
        <v>11778</v>
      </c>
      <c r="BT604" t="str">
        <f>HYPERLINK("https%3A%2F%2Fwww.webofscience.com%2Fwos%2Fwoscc%2Ffull-record%2FWOS:000942595400004","View Full Record in Web of Science")</f>
        <v>View Full Record in Web of Science</v>
      </c>
    </row>
    <row r="605" spans="1:72" x14ac:dyDescent="0.25">
      <c r="A605" t="s">
        <v>72</v>
      </c>
      <c r="B605" t="s">
        <v>11779</v>
      </c>
      <c r="C605" t="s">
        <v>74</v>
      </c>
      <c r="D605" t="s">
        <v>74</v>
      </c>
      <c r="E605" t="s">
        <v>74</v>
      </c>
      <c r="F605" t="s">
        <v>11780</v>
      </c>
      <c r="G605" t="s">
        <v>74</v>
      </c>
      <c r="H605" t="s">
        <v>74</v>
      </c>
      <c r="I605" t="s">
        <v>11781</v>
      </c>
      <c r="J605" t="s">
        <v>4424</v>
      </c>
      <c r="K605" t="s">
        <v>74</v>
      </c>
      <c r="L605" t="s">
        <v>74</v>
      </c>
      <c r="M605" t="s">
        <v>78</v>
      </c>
      <c r="N605" t="s">
        <v>79</v>
      </c>
      <c r="O605" t="s">
        <v>74</v>
      </c>
      <c r="P605" t="s">
        <v>74</v>
      </c>
      <c r="Q605" t="s">
        <v>74</v>
      </c>
      <c r="R605" t="s">
        <v>74</v>
      </c>
      <c r="S605" t="s">
        <v>74</v>
      </c>
      <c r="T605" t="s">
        <v>11782</v>
      </c>
      <c r="U605" t="s">
        <v>11783</v>
      </c>
      <c r="V605" t="s">
        <v>11784</v>
      </c>
      <c r="W605" t="s">
        <v>11785</v>
      </c>
      <c r="X605" t="s">
        <v>11786</v>
      </c>
      <c r="Y605" t="s">
        <v>11787</v>
      </c>
      <c r="Z605" t="s">
        <v>11788</v>
      </c>
      <c r="AA605" t="s">
        <v>11789</v>
      </c>
      <c r="AB605" t="s">
        <v>11790</v>
      </c>
      <c r="AC605" t="s">
        <v>11791</v>
      </c>
      <c r="AD605" t="s">
        <v>11792</v>
      </c>
      <c r="AE605" t="s">
        <v>11793</v>
      </c>
      <c r="AF605" t="s">
        <v>74</v>
      </c>
      <c r="AG605">
        <v>181</v>
      </c>
      <c r="AH605">
        <v>17</v>
      </c>
      <c r="AI605">
        <v>19</v>
      </c>
      <c r="AJ605">
        <v>20</v>
      </c>
      <c r="AK605">
        <v>78</v>
      </c>
      <c r="AL605" t="s">
        <v>4437</v>
      </c>
      <c r="AM605" t="s">
        <v>4438</v>
      </c>
      <c r="AN605" t="s">
        <v>4439</v>
      </c>
      <c r="AO605" t="s">
        <v>74</v>
      </c>
      <c r="AP605" t="s">
        <v>4440</v>
      </c>
      <c r="AQ605" t="s">
        <v>74</v>
      </c>
      <c r="AR605" t="s">
        <v>4441</v>
      </c>
      <c r="AS605" t="s">
        <v>4442</v>
      </c>
      <c r="AT605" t="s">
        <v>74</v>
      </c>
      <c r="AU605">
        <v>2023</v>
      </c>
      <c r="AV605">
        <v>6</v>
      </c>
      <c r="AW605" t="s">
        <v>74</v>
      </c>
      <c r="AX605" t="s">
        <v>74</v>
      </c>
      <c r="AY605" t="s">
        <v>74</v>
      </c>
      <c r="AZ605" t="s">
        <v>74</v>
      </c>
      <c r="BA605" t="s">
        <v>74</v>
      </c>
      <c r="BB605">
        <v>205</v>
      </c>
      <c r="BC605">
        <v>232</v>
      </c>
      <c r="BD605" t="s">
        <v>74</v>
      </c>
      <c r="BE605" t="s">
        <v>11794</v>
      </c>
      <c r="BF605" t="str">
        <f>HYPERLINK("http://dx.doi.org/10.1146/annurev-control-070122-102501","http://dx.doi.org/10.1146/annurev-control-070122-102501")</f>
        <v>http://dx.doi.org/10.1146/annurev-control-070122-102501</v>
      </c>
      <c r="BG605" t="s">
        <v>74</v>
      </c>
      <c r="BH605" t="s">
        <v>74</v>
      </c>
      <c r="BI605">
        <v>28</v>
      </c>
      <c r="BJ605" t="s">
        <v>4444</v>
      </c>
      <c r="BK605" t="s">
        <v>182</v>
      </c>
      <c r="BL605" t="s">
        <v>4444</v>
      </c>
      <c r="BM605" t="s">
        <v>11795</v>
      </c>
      <c r="BN605" t="s">
        <v>74</v>
      </c>
      <c r="BO605" t="s">
        <v>309</v>
      </c>
      <c r="BP605" t="s">
        <v>74</v>
      </c>
      <c r="BQ605" t="s">
        <v>74</v>
      </c>
      <c r="BR605" t="s">
        <v>105</v>
      </c>
      <c r="BS605" t="s">
        <v>11796</v>
      </c>
      <c r="BT605" t="str">
        <f>HYPERLINK("https%3A%2F%2Fwww.webofscience.com%2Fwos%2Fwoscc%2Ffull-record%2FWOS:000977635100008","View Full Record in Web of Science")</f>
        <v>View Full Record in Web of Science</v>
      </c>
    </row>
    <row r="606" spans="1:72" x14ac:dyDescent="0.25">
      <c r="A606" t="s">
        <v>72</v>
      </c>
      <c r="B606" t="s">
        <v>11797</v>
      </c>
      <c r="C606" t="s">
        <v>74</v>
      </c>
      <c r="D606" t="s">
        <v>74</v>
      </c>
      <c r="E606" t="s">
        <v>74</v>
      </c>
      <c r="F606" t="s">
        <v>11798</v>
      </c>
      <c r="G606" t="s">
        <v>74</v>
      </c>
      <c r="H606" t="s">
        <v>74</v>
      </c>
      <c r="I606" t="s">
        <v>11799</v>
      </c>
      <c r="J606" t="s">
        <v>2543</v>
      </c>
      <c r="K606" t="s">
        <v>74</v>
      </c>
      <c r="L606" t="s">
        <v>74</v>
      </c>
      <c r="M606" t="s">
        <v>78</v>
      </c>
      <c r="N606" t="s">
        <v>79</v>
      </c>
      <c r="O606" t="s">
        <v>74</v>
      </c>
      <c r="P606" t="s">
        <v>74</v>
      </c>
      <c r="Q606" t="s">
        <v>74</v>
      </c>
      <c r="R606" t="s">
        <v>74</v>
      </c>
      <c r="S606" t="s">
        <v>74</v>
      </c>
      <c r="T606" t="s">
        <v>11800</v>
      </c>
      <c r="U606" t="s">
        <v>11801</v>
      </c>
      <c r="V606" t="s">
        <v>11802</v>
      </c>
      <c r="W606" t="s">
        <v>11803</v>
      </c>
      <c r="X606" t="s">
        <v>11804</v>
      </c>
      <c r="Y606" t="s">
        <v>11805</v>
      </c>
      <c r="Z606" t="s">
        <v>11806</v>
      </c>
      <c r="AA606" t="s">
        <v>74</v>
      </c>
      <c r="AB606" t="s">
        <v>11807</v>
      </c>
      <c r="AC606" t="s">
        <v>11808</v>
      </c>
      <c r="AD606" t="s">
        <v>11809</v>
      </c>
      <c r="AE606" t="s">
        <v>11810</v>
      </c>
      <c r="AF606" t="s">
        <v>74</v>
      </c>
      <c r="AG606">
        <v>56</v>
      </c>
      <c r="AH606">
        <v>6</v>
      </c>
      <c r="AI606">
        <v>7</v>
      </c>
      <c r="AJ606">
        <v>11</v>
      </c>
      <c r="AK606">
        <v>57</v>
      </c>
      <c r="AL606" t="s">
        <v>120</v>
      </c>
      <c r="AM606" t="s">
        <v>121</v>
      </c>
      <c r="AN606" t="s">
        <v>122</v>
      </c>
      <c r="AO606" t="s">
        <v>74</v>
      </c>
      <c r="AP606" t="s">
        <v>2553</v>
      </c>
      <c r="AQ606" t="s">
        <v>74</v>
      </c>
      <c r="AR606" t="s">
        <v>2554</v>
      </c>
      <c r="AS606" t="s">
        <v>2555</v>
      </c>
      <c r="AT606" t="s">
        <v>538</v>
      </c>
      <c r="AU606">
        <v>2023</v>
      </c>
      <c r="AV606">
        <v>13</v>
      </c>
      <c r="AW606">
        <v>1</v>
      </c>
      <c r="AX606" t="s">
        <v>74</v>
      </c>
      <c r="AY606" t="s">
        <v>74</v>
      </c>
      <c r="AZ606" t="s">
        <v>74</v>
      </c>
      <c r="BA606" t="s">
        <v>74</v>
      </c>
      <c r="BB606" t="s">
        <v>74</v>
      </c>
      <c r="BC606" t="s">
        <v>74</v>
      </c>
      <c r="BD606">
        <v>15</v>
      </c>
      <c r="BE606" t="s">
        <v>11811</v>
      </c>
      <c r="BF606" t="str">
        <f>HYPERLINK("http://dx.doi.org/10.3390/brainsci13010015","http://dx.doi.org/10.3390/brainsci13010015")</f>
        <v>http://dx.doi.org/10.3390/brainsci13010015</v>
      </c>
      <c r="BG606" t="s">
        <v>74</v>
      </c>
      <c r="BH606" t="s">
        <v>74</v>
      </c>
      <c r="BI606">
        <v>17</v>
      </c>
      <c r="BJ606" t="s">
        <v>374</v>
      </c>
      <c r="BK606" t="s">
        <v>182</v>
      </c>
      <c r="BL606" t="s">
        <v>375</v>
      </c>
      <c r="BM606" t="s">
        <v>11812</v>
      </c>
      <c r="BN606">
        <v>36671997</v>
      </c>
      <c r="BO606" t="s">
        <v>131</v>
      </c>
      <c r="BP606" t="s">
        <v>74</v>
      </c>
      <c r="BQ606" t="s">
        <v>74</v>
      </c>
      <c r="BR606" t="s">
        <v>105</v>
      </c>
      <c r="BS606" t="s">
        <v>11813</v>
      </c>
      <c r="BT606" t="str">
        <f>HYPERLINK("https%3A%2F%2Fwww.webofscience.com%2Fwos%2Fwoscc%2Ffull-record%2FWOS:000914481200001","View Full Record in Web of Science")</f>
        <v>View Full Record in Web of Science</v>
      </c>
    </row>
    <row r="607" spans="1:72" x14ac:dyDescent="0.25">
      <c r="A607" t="s">
        <v>72</v>
      </c>
      <c r="B607" t="s">
        <v>11814</v>
      </c>
      <c r="C607" t="s">
        <v>74</v>
      </c>
      <c r="D607" t="s">
        <v>74</v>
      </c>
      <c r="E607" t="s">
        <v>74</v>
      </c>
      <c r="F607" t="s">
        <v>11815</v>
      </c>
      <c r="G607" t="s">
        <v>74</v>
      </c>
      <c r="H607" t="s">
        <v>74</v>
      </c>
      <c r="I607" t="s">
        <v>11816</v>
      </c>
      <c r="J607" t="s">
        <v>2429</v>
      </c>
      <c r="K607" t="s">
        <v>74</v>
      </c>
      <c r="L607" t="s">
        <v>74</v>
      </c>
      <c r="M607" t="s">
        <v>78</v>
      </c>
      <c r="N607" t="s">
        <v>79</v>
      </c>
      <c r="O607" t="s">
        <v>74</v>
      </c>
      <c r="P607" t="s">
        <v>74</v>
      </c>
      <c r="Q607" t="s">
        <v>74</v>
      </c>
      <c r="R607" t="s">
        <v>74</v>
      </c>
      <c r="S607" t="s">
        <v>74</v>
      </c>
      <c r="T607" t="s">
        <v>11817</v>
      </c>
      <c r="U607" t="s">
        <v>11818</v>
      </c>
      <c r="V607" t="s">
        <v>11819</v>
      </c>
      <c r="W607" t="s">
        <v>11820</v>
      </c>
      <c r="X607" t="s">
        <v>11821</v>
      </c>
      <c r="Y607" t="s">
        <v>11822</v>
      </c>
      <c r="Z607" t="s">
        <v>11823</v>
      </c>
      <c r="AA607" t="s">
        <v>11824</v>
      </c>
      <c r="AB607" t="s">
        <v>11825</v>
      </c>
      <c r="AC607" t="s">
        <v>11826</v>
      </c>
      <c r="AD607" t="s">
        <v>11827</v>
      </c>
      <c r="AE607" t="s">
        <v>11828</v>
      </c>
      <c r="AF607" t="s">
        <v>74</v>
      </c>
      <c r="AG607">
        <v>110</v>
      </c>
      <c r="AH607">
        <v>5</v>
      </c>
      <c r="AI607">
        <v>5</v>
      </c>
      <c r="AJ607">
        <v>22</v>
      </c>
      <c r="AK607">
        <v>95</v>
      </c>
      <c r="AL607" t="s">
        <v>557</v>
      </c>
      <c r="AM607" t="s">
        <v>275</v>
      </c>
      <c r="AN607" t="s">
        <v>558</v>
      </c>
      <c r="AO607" t="s">
        <v>2440</v>
      </c>
      <c r="AP607" t="s">
        <v>2441</v>
      </c>
      <c r="AQ607" t="s">
        <v>74</v>
      </c>
      <c r="AR607" t="s">
        <v>2442</v>
      </c>
      <c r="AS607" t="s">
        <v>2443</v>
      </c>
      <c r="AT607" t="s">
        <v>538</v>
      </c>
      <c r="AU607">
        <v>2023</v>
      </c>
      <c r="AV607">
        <v>15</v>
      </c>
      <c r="AW607">
        <v>1</v>
      </c>
      <c r="AX607" t="s">
        <v>74</v>
      </c>
      <c r="AY607" t="s">
        <v>74</v>
      </c>
      <c r="AZ607" t="s">
        <v>74</v>
      </c>
      <c r="BA607" t="s">
        <v>74</v>
      </c>
      <c r="BB607" t="s">
        <v>74</v>
      </c>
      <c r="BC607" t="s">
        <v>74</v>
      </c>
      <c r="BD607">
        <v>1.6878132221148018E+16</v>
      </c>
      <c r="BE607" t="s">
        <v>11829</v>
      </c>
      <c r="BF607" t="str">
        <f>HYPERLINK("http://dx.doi.org/10.1177/16878132221148018","http://dx.doi.org/10.1177/16878132221148018")</f>
        <v>http://dx.doi.org/10.1177/16878132221148018</v>
      </c>
      <c r="BG607" t="s">
        <v>74</v>
      </c>
      <c r="BH607" t="s">
        <v>74</v>
      </c>
      <c r="BI607">
        <v>20</v>
      </c>
      <c r="BJ607" t="s">
        <v>2445</v>
      </c>
      <c r="BK607" t="s">
        <v>182</v>
      </c>
      <c r="BL607" t="s">
        <v>2446</v>
      </c>
      <c r="BM607" t="s">
        <v>11830</v>
      </c>
      <c r="BN607" t="s">
        <v>74</v>
      </c>
      <c r="BO607" t="s">
        <v>185</v>
      </c>
      <c r="BP607" t="s">
        <v>74</v>
      </c>
      <c r="BQ607" t="s">
        <v>74</v>
      </c>
      <c r="BR607" t="s">
        <v>105</v>
      </c>
      <c r="BS607" t="s">
        <v>11831</v>
      </c>
      <c r="BT607" t="str">
        <f>HYPERLINK("https%3A%2F%2Fwww.webofscience.com%2Fwos%2Fwoscc%2Ffull-record%2FWOS:000998850200001","View Full Record in Web of Science")</f>
        <v>View Full Record in Web of Science</v>
      </c>
    </row>
    <row r="608" spans="1:72" x14ac:dyDescent="0.25">
      <c r="A608" t="s">
        <v>72</v>
      </c>
      <c r="B608" t="s">
        <v>11832</v>
      </c>
      <c r="C608" t="s">
        <v>74</v>
      </c>
      <c r="D608" t="s">
        <v>74</v>
      </c>
      <c r="E608" t="s">
        <v>74</v>
      </c>
      <c r="F608" t="s">
        <v>11833</v>
      </c>
      <c r="G608" t="s">
        <v>74</v>
      </c>
      <c r="H608" t="s">
        <v>74</v>
      </c>
      <c r="I608" t="s">
        <v>11834</v>
      </c>
      <c r="J608" t="s">
        <v>2091</v>
      </c>
      <c r="K608" t="s">
        <v>74</v>
      </c>
      <c r="L608" t="s">
        <v>74</v>
      </c>
      <c r="M608" t="s">
        <v>78</v>
      </c>
      <c r="N608" t="s">
        <v>79</v>
      </c>
      <c r="O608" t="s">
        <v>74</v>
      </c>
      <c r="P608" t="s">
        <v>74</v>
      </c>
      <c r="Q608" t="s">
        <v>74</v>
      </c>
      <c r="R608" t="s">
        <v>74</v>
      </c>
      <c r="S608" t="s">
        <v>74</v>
      </c>
      <c r="T608" t="s">
        <v>11835</v>
      </c>
      <c r="U608" t="s">
        <v>11836</v>
      </c>
      <c r="V608" t="s">
        <v>11837</v>
      </c>
      <c r="W608" t="s">
        <v>11838</v>
      </c>
      <c r="X608" t="s">
        <v>11839</v>
      </c>
      <c r="Y608" t="s">
        <v>11840</v>
      </c>
      <c r="Z608" t="s">
        <v>11841</v>
      </c>
      <c r="AA608" t="s">
        <v>11842</v>
      </c>
      <c r="AB608" t="s">
        <v>11843</v>
      </c>
      <c r="AC608" t="s">
        <v>11844</v>
      </c>
      <c r="AD608" t="s">
        <v>11845</v>
      </c>
      <c r="AE608" t="s">
        <v>11846</v>
      </c>
      <c r="AF608" t="s">
        <v>74</v>
      </c>
      <c r="AG608">
        <v>142</v>
      </c>
      <c r="AH608">
        <v>20</v>
      </c>
      <c r="AI608">
        <v>21</v>
      </c>
      <c r="AJ608">
        <v>60</v>
      </c>
      <c r="AK608">
        <v>430</v>
      </c>
      <c r="AL608" t="s">
        <v>120</v>
      </c>
      <c r="AM608" t="s">
        <v>121</v>
      </c>
      <c r="AN608" t="s">
        <v>122</v>
      </c>
      <c r="AO608" t="s">
        <v>74</v>
      </c>
      <c r="AP608" t="s">
        <v>2104</v>
      </c>
      <c r="AQ608" t="s">
        <v>74</v>
      </c>
      <c r="AR608" t="s">
        <v>2105</v>
      </c>
      <c r="AS608" t="s">
        <v>2106</v>
      </c>
      <c r="AT608" t="s">
        <v>538</v>
      </c>
      <c r="AU608">
        <v>2023</v>
      </c>
      <c r="AV608">
        <v>13</v>
      </c>
      <c r="AW608">
        <v>1</v>
      </c>
      <c r="AX608" t="s">
        <v>74</v>
      </c>
      <c r="AY608" t="s">
        <v>74</v>
      </c>
      <c r="AZ608" t="s">
        <v>74</v>
      </c>
      <c r="BA608" t="s">
        <v>74</v>
      </c>
      <c r="BB608" t="s">
        <v>74</v>
      </c>
      <c r="BC608" t="s">
        <v>74</v>
      </c>
      <c r="BD608">
        <v>120</v>
      </c>
      <c r="BE608" t="s">
        <v>11847</v>
      </c>
      <c r="BF608" t="str">
        <f>HYPERLINK("http://dx.doi.org/10.3390/app13010120","http://dx.doi.org/10.3390/app13010120")</f>
        <v>http://dx.doi.org/10.3390/app13010120</v>
      </c>
      <c r="BG608" t="s">
        <v>74</v>
      </c>
      <c r="BH608" t="s">
        <v>74</v>
      </c>
      <c r="BI608">
        <v>25</v>
      </c>
      <c r="BJ608" t="s">
        <v>2109</v>
      </c>
      <c r="BK608" t="s">
        <v>182</v>
      </c>
      <c r="BL608" t="s">
        <v>2110</v>
      </c>
      <c r="BM608" t="s">
        <v>11848</v>
      </c>
      <c r="BN608" t="s">
        <v>74</v>
      </c>
      <c r="BO608" t="s">
        <v>185</v>
      </c>
      <c r="BP608" t="s">
        <v>74</v>
      </c>
      <c r="BQ608" t="s">
        <v>74</v>
      </c>
      <c r="BR608" t="s">
        <v>105</v>
      </c>
      <c r="BS608" t="s">
        <v>11849</v>
      </c>
      <c r="BT608" t="str">
        <f>HYPERLINK("https%3A%2F%2Fwww.webofscience.com%2Fwos%2Fwoscc%2Ffull-record%2FWOS:000908632900001","View Full Record in Web of Science")</f>
        <v>View Full Record in Web of Science</v>
      </c>
    </row>
    <row r="609" spans="1:72" x14ac:dyDescent="0.25">
      <c r="A609" t="s">
        <v>72</v>
      </c>
      <c r="B609" t="s">
        <v>11850</v>
      </c>
      <c r="C609" t="s">
        <v>74</v>
      </c>
      <c r="D609" t="s">
        <v>74</v>
      </c>
      <c r="E609" t="s">
        <v>74</v>
      </c>
      <c r="F609" t="s">
        <v>11851</v>
      </c>
      <c r="G609" t="s">
        <v>74</v>
      </c>
      <c r="H609" t="s">
        <v>74</v>
      </c>
      <c r="I609" t="s">
        <v>11852</v>
      </c>
      <c r="J609" t="s">
        <v>11853</v>
      </c>
      <c r="K609" t="s">
        <v>74</v>
      </c>
      <c r="L609" t="s">
        <v>74</v>
      </c>
      <c r="M609" t="s">
        <v>11854</v>
      </c>
      <c r="N609" t="s">
        <v>79</v>
      </c>
      <c r="O609" t="s">
        <v>74</v>
      </c>
      <c r="P609" t="s">
        <v>74</v>
      </c>
      <c r="Q609" t="s">
        <v>74</v>
      </c>
      <c r="R609" t="s">
        <v>74</v>
      </c>
      <c r="S609" t="s">
        <v>74</v>
      </c>
      <c r="T609" t="s">
        <v>11855</v>
      </c>
      <c r="U609" t="s">
        <v>11856</v>
      </c>
      <c r="V609" t="s">
        <v>11857</v>
      </c>
      <c r="W609" t="s">
        <v>11858</v>
      </c>
      <c r="X609" t="s">
        <v>11859</v>
      </c>
      <c r="Y609" t="s">
        <v>11860</v>
      </c>
      <c r="Z609" t="s">
        <v>11861</v>
      </c>
      <c r="AA609" t="s">
        <v>11862</v>
      </c>
      <c r="AB609" t="s">
        <v>11863</v>
      </c>
      <c r="AC609" t="s">
        <v>74</v>
      </c>
      <c r="AD609" t="s">
        <v>74</v>
      </c>
      <c r="AE609" t="s">
        <v>74</v>
      </c>
      <c r="AF609" t="s">
        <v>74</v>
      </c>
      <c r="AG609">
        <v>108</v>
      </c>
      <c r="AH609">
        <v>1</v>
      </c>
      <c r="AI609">
        <v>2</v>
      </c>
      <c r="AJ609">
        <v>11</v>
      </c>
      <c r="AK609">
        <v>74</v>
      </c>
      <c r="AL609" t="s">
        <v>11864</v>
      </c>
      <c r="AM609" t="s">
        <v>11865</v>
      </c>
      <c r="AN609" t="s">
        <v>11866</v>
      </c>
      <c r="AO609" t="s">
        <v>11867</v>
      </c>
      <c r="AP609" t="s">
        <v>11868</v>
      </c>
      <c r="AQ609" t="s">
        <v>74</v>
      </c>
      <c r="AR609" t="s">
        <v>11869</v>
      </c>
      <c r="AS609" t="s">
        <v>11870</v>
      </c>
      <c r="AT609" t="s">
        <v>74</v>
      </c>
      <c r="AU609">
        <v>2023</v>
      </c>
      <c r="AV609">
        <v>68</v>
      </c>
      <c r="AW609">
        <v>10</v>
      </c>
      <c r="AX609" t="s">
        <v>74</v>
      </c>
      <c r="AY609" t="s">
        <v>74</v>
      </c>
      <c r="AZ609" t="s">
        <v>74</v>
      </c>
      <c r="BA609" t="s">
        <v>74</v>
      </c>
      <c r="BB609">
        <v>1165</v>
      </c>
      <c r="BC609">
        <v>1181</v>
      </c>
      <c r="BD609" t="s">
        <v>74</v>
      </c>
      <c r="BE609" t="s">
        <v>11871</v>
      </c>
      <c r="BF609" t="str">
        <f>HYPERLINK("http://dx.doi.org/10.1360/TB-2022-1240","http://dx.doi.org/10.1360/TB-2022-1240")</f>
        <v>http://dx.doi.org/10.1360/TB-2022-1240</v>
      </c>
      <c r="BG609" t="s">
        <v>74</v>
      </c>
      <c r="BH609" t="s">
        <v>74</v>
      </c>
      <c r="BI609">
        <v>17</v>
      </c>
      <c r="BJ609" t="s">
        <v>936</v>
      </c>
      <c r="BK609" t="s">
        <v>155</v>
      </c>
      <c r="BL609" t="s">
        <v>937</v>
      </c>
      <c r="BM609" t="s">
        <v>11872</v>
      </c>
      <c r="BN609" t="s">
        <v>74</v>
      </c>
      <c r="BO609" t="s">
        <v>74</v>
      </c>
      <c r="BP609" t="s">
        <v>74</v>
      </c>
      <c r="BQ609" t="s">
        <v>74</v>
      </c>
      <c r="BR609" t="s">
        <v>105</v>
      </c>
      <c r="BS609" t="s">
        <v>11873</v>
      </c>
      <c r="BT609" t="str">
        <f>HYPERLINK("https%3A%2F%2Fwww.webofscience.com%2Fwos%2Fwoscc%2Ffull-record%2FWOS:000975768700005","View Full Record in Web of Science")</f>
        <v>View Full Record in Web of Science</v>
      </c>
    </row>
    <row r="610" spans="1:72" x14ac:dyDescent="0.25">
      <c r="A610" t="s">
        <v>72</v>
      </c>
      <c r="B610" t="s">
        <v>11874</v>
      </c>
      <c r="C610" t="s">
        <v>74</v>
      </c>
      <c r="D610" t="s">
        <v>74</v>
      </c>
      <c r="E610" t="s">
        <v>74</v>
      </c>
      <c r="F610" t="s">
        <v>11875</v>
      </c>
      <c r="G610" t="s">
        <v>74</v>
      </c>
      <c r="H610" t="s">
        <v>74</v>
      </c>
      <c r="I610" t="s">
        <v>11876</v>
      </c>
      <c r="J610" t="s">
        <v>2543</v>
      </c>
      <c r="K610" t="s">
        <v>74</v>
      </c>
      <c r="L610" t="s">
        <v>74</v>
      </c>
      <c r="M610" t="s">
        <v>78</v>
      </c>
      <c r="N610" t="s">
        <v>79</v>
      </c>
      <c r="O610" t="s">
        <v>74</v>
      </c>
      <c r="P610" t="s">
        <v>74</v>
      </c>
      <c r="Q610" t="s">
        <v>74</v>
      </c>
      <c r="R610" t="s">
        <v>74</v>
      </c>
      <c r="S610" t="s">
        <v>74</v>
      </c>
      <c r="T610" t="s">
        <v>11877</v>
      </c>
      <c r="U610" t="s">
        <v>11878</v>
      </c>
      <c r="V610" t="s">
        <v>11879</v>
      </c>
      <c r="W610" t="s">
        <v>11880</v>
      </c>
      <c r="X610" t="s">
        <v>11881</v>
      </c>
      <c r="Y610" t="s">
        <v>11882</v>
      </c>
      <c r="Z610" t="s">
        <v>11883</v>
      </c>
      <c r="AA610" t="s">
        <v>11884</v>
      </c>
      <c r="AB610" t="s">
        <v>11885</v>
      </c>
      <c r="AC610" t="s">
        <v>74</v>
      </c>
      <c r="AD610" t="s">
        <v>74</v>
      </c>
      <c r="AE610" t="s">
        <v>74</v>
      </c>
      <c r="AF610" t="s">
        <v>74</v>
      </c>
      <c r="AG610">
        <v>74</v>
      </c>
      <c r="AH610">
        <v>23</v>
      </c>
      <c r="AI610">
        <v>23</v>
      </c>
      <c r="AJ610">
        <v>2</v>
      </c>
      <c r="AK610">
        <v>23</v>
      </c>
      <c r="AL610" t="s">
        <v>120</v>
      </c>
      <c r="AM610" t="s">
        <v>121</v>
      </c>
      <c r="AN610" t="s">
        <v>122</v>
      </c>
      <c r="AO610" t="s">
        <v>74</v>
      </c>
      <c r="AP610" t="s">
        <v>2553</v>
      </c>
      <c r="AQ610" t="s">
        <v>74</v>
      </c>
      <c r="AR610" t="s">
        <v>2554</v>
      </c>
      <c r="AS610" t="s">
        <v>2555</v>
      </c>
      <c r="AT610" t="s">
        <v>538</v>
      </c>
      <c r="AU610">
        <v>2023</v>
      </c>
      <c r="AV610">
        <v>13</v>
      </c>
      <c r="AW610">
        <v>1</v>
      </c>
      <c r="AX610" t="s">
        <v>74</v>
      </c>
      <c r="AY610" t="s">
        <v>74</v>
      </c>
      <c r="AZ610" t="s">
        <v>74</v>
      </c>
      <c r="BA610" t="s">
        <v>74</v>
      </c>
      <c r="BB610" t="s">
        <v>74</v>
      </c>
      <c r="BC610" t="s">
        <v>74</v>
      </c>
      <c r="BD610">
        <v>92</v>
      </c>
      <c r="BE610" t="s">
        <v>11886</v>
      </c>
      <c r="BF610" t="str">
        <f>HYPERLINK("http://dx.doi.org/10.3390/brainsci13010092","http://dx.doi.org/10.3390/brainsci13010092")</f>
        <v>http://dx.doi.org/10.3390/brainsci13010092</v>
      </c>
      <c r="BG610" t="s">
        <v>74</v>
      </c>
      <c r="BH610" t="s">
        <v>74</v>
      </c>
      <c r="BI610">
        <v>14</v>
      </c>
      <c r="BJ610" t="s">
        <v>374</v>
      </c>
      <c r="BK610" t="s">
        <v>182</v>
      </c>
      <c r="BL610" t="s">
        <v>375</v>
      </c>
      <c r="BM610" t="s">
        <v>11887</v>
      </c>
      <c r="BN610">
        <v>36672074</v>
      </c>
      <c r="BO610" t="s">
        <v>131</v>
      </c>
      <c r="BP610" t="s">
        <v>74</v>
      </c>
      <c r="BQ610" t="s">
        <v>74</v>
      </c>
      <c r="BR610" t="s">
        <v>105</v>
      </c>
      <c r="BS610" t="s">
        <v>11888</v>
      </c>
      <c r="BT610" t="str">
        <f>HYPERLINK("https%3A%2F%2Fwww.webofscience.com%2Fwos%2Fwoscc%2Ffull-record%2FWOS:000914487000001","View Full Record in Web of Science")</f>
        <v>View Full Record in Web of Science</v>
      </c>
    </row>
    <row r="611" spans="1:72" x14ac:dyDescent="0.25">
      <c r="A611" t="s">
        <v>72</v>
      </c>
      <c r="B611" t="s">
        <v>11889</v>
      </c>
      <c r="C611" t="s">
        <v>74</v>
      </c>
      <c r="D611" t="s">
        <v>74</v>
      </c>
      <c r="E611" t="s">
        <v>74</v>
      </c>
      <c r="F611" t="s">
        <v>11890</v>
      </c>
      <c r="G611" t="s">
        <v>74</v>
      </c>
      <c r="H611" t="s">
        <v>74</v>
      </c>
      <c r="I611" t="s">
        <v>11891</v>
      </c>
      <c r="J611" t="s">
        <v>11684</v>
      </c>
      <c r="K611" t="s">
        <v>74</v>
      </c>
      <c r="L611" t="s">
        <v>74</v>
      </c>
      <c r="M611" t="s">
        <v>78</v>
      </c>
      <c r="N611" t="s">
        <v>79</v>
      </c>
      <c r="O611" t="s">
        <v>74</v>
      </c>
      <c r="P611" t="s">
        <v>74</v>
      </c>
      <c r="Q611" t="s">
        <v>74</v>
      </c>
      <c r="R611" t="s">
        <v>74</v>
      </c>
      <c r="S611" t="s">
        <v>74</v>
      </c>
      <c r="T611" t="s">
        <v>11892</v>
      </c>
      <c r="U611" t="s">
        <v>11893</v>
      </c>
      <c r="V611" t="s">
        <v>11894</v>
      </c>
      <c r="W611" t="s">
        <v>11895</v>
      </c>
      <c r="X611" t="s">
        <v>11896</v>
      </c>
      <c r="Y611" t="s">
        <v>11897</v>
      </c>
      <c r="Z611" t="s">
        <v>11898</v>
      </c>
      <c r="AA611" t="s">
        <v>11899</v>
      </c>
      <c r="AB611" t="s">
        <v>11900</v>
      </c>
      <c r="AC611" t="s">
        <v>11901</v>
      </c>
      <c r="AD611" t="s">
        <v>11902</v>
      </c>
      <c r="AE611" t="s">
        <v>11903</v>
      </c>
      <c r="AF611" t="s">
        <v>74</v>
      </c>
      <c r="AG611">
        <v>120</v>
      </c>
      <c r="AH611">
        <v>75</v>
      </c>
      <c r="AI611">
        <v>79</v>
      </c>
      <c r="AJ611">
        <v>108</v>
      </c>
      <c r="AK611">
        <v>639</v>
      </c>
      <c r="AL611" t="s">
        <v>1114</v>
      </c>
      <c r="AM611" t="s">
        <v>1115</v>
      </c>
      <c r="AN611" t="s">
        <v>1116</v>
      </c>
      <c r="AO611" t="s">
        <v>11697</v>
      </c>
      <c r="AP611" t="s">
        <v>11698</v>
      </c>
      <c r="AQ611" t="s">
        <v>74</v>
      </c>
      <c r="AR611" t="s">
        <v>11699</v>
      </c>
      <c r="AS611" t="s">
        <v>11700</v>
      </c>
      <c r="AT611" t="s">
        <v>74</v>
      </c>
      <c r="AU611">
        <v>2023</v>
      </c>
      <c r="AV611">
        <v>16</v>
      </c>
      <c r="AW611" t="s">
        <v>74</v>
      </c>
      <c r="AX611" t="s">
        <v>74</v>
      </c>
      <c r="AY611" t="s">
        <v>74</v>
      </c>
      <c r="AZ611" t="s">
        <v>74</v>
      </c>
      <c r="BA611" t="s">
        <v>74</v>
      </c>
      <c r="BB611">
        <v>278</v>
      </c>
      <c r="BC611">
        <v>291</v>
      </c>
      <c r="BD611" t="s">
        <v>74</v>
      </c>
      <c r="BE611" t="s">
        <v>11904</v>
      </c>
      <c r="BF611" t="str">
        <f>HYPERLINK("http://dx.doi.org/10.1109/RBME.2021.3078001","http://dx.doi.org/10.1109/RBME.2021.3078001")</f>
        <v>http://dx.doi.org/10.1109/RBME.2021.3078001</v>
      </c>
      <c r="BG611" t="s">
        <v>74</v>
      </c>
      <c r="BH611" t="s">
        <v>74</v>
      </c>
      <c r="BI611">
        <v>14</v>
      </c>
      <c r="BJ611" t="s">
        <v>282</v>
      </c>
      <c r="BK611" t="s">
        <v>182</v>
      </c>
      <c r="BL611" t="s">
        <v>183</v>
      </c>
      <c r="BM611" t="s">
        <v>11905</v>
      </c>
      <c r="BN611">
        <v>33961563</v>
      </c>
      <c r="BO611" t="s">
        <v>74</v>
      </c>
      <c r="BP611" t="s">
        <v>74</v>
      </c>
      <c r="BQ611" t="s">
        <v>74</v>
      </c>
      <c r="BR611" t="s">
        <v>105</v>
      </c>
      <c r="BS611" t="s">
        <v>11906</v>
      </c>
      <c r="BT611" t="str">
        <f>HYPERLINK("https%3A%2F%2Fwww.webofscience.com%2Fwos%2Fwoscc%2Ffull-record%2FWOS:000966866000001","View Full Record in Web of Science")</f>
        <v>View Full Record in Web of Science</v>
      </c>
    </row>
    <row r="612" spans="1:72" x14ac:dyDescent="0.25">
      <c r="A612" t="s">
        <v>72</v>
      </c>
      <c r="B612" t="s">
        <v>11907</v>
      </c>
      <c r="C612" t="s">
        <v>74</v>
      </c>
      <c r="D612" t="s">
        <v>74</v>
      </c>
      <c r="E612" t="s">
        <v>74</v>
      </c>
      <c r="F612" t="s">
        <v>11908</v>
      </c>
      <c r="G612" t="s">
        <v>74</v>
      </c>
      <c r="H612" t="s">
        <v>74</v>
      </c>
      <c r="I612" t="s">
        <v>11909</v>
      </c>
      <c r="J612" t="s">
        <v>2040</v>
      </c>
      <c r="K612" t="s">
        <v>74</v>
      </c>
      <c r="L612" t="s">
        <v>74</v>
      </c>
      <c r="M612" t="s">
        <v>78</v>
      </c>
      <c r="N612" t="s">
        <v>79</v>
      </c>
      <c r="O612" t="s">
        <v>74</v>
      </c>
      <c r="P612" t="s">
        <v>74</v>
      </c>
      <c r="Q612" t="s">
        <v>74</v>
      </c>
      <c r="R612" t="s">
        <v>74</v>
      </c>
      <c r="S612" t="s">
        <v>74</v>
      </c>
      <c r="T612" t="s">
        <v>11910</v>
      </c>
      <c r="U612" t="s">
        <v>11911</v>
      </c>
      <c r="V612" t="s">
        <v>11912</v>
      </c>
      <c r="W612" t="s">
        <v>11913</v>
      </c>
      <c r="X612" t="s">
        <v>11914</v>
      </c>
      <c r="Y612" t="s">
        <v>11915</v>
      </c>
      <c r="Z612" t="s">
        <v>11916</v>
      </c>
      <c r="AA612" t="s">
        <v>11917</v>
      </c>
      <c r="AB612" t="s">
        <v>11918</v>
      </c>
      <c r="AC612" t="s">
        <v>11919</v>
      </c>
      <c r="AD612" t="s">
        <v>11919</v>
      </c>
      <c r="AE612" t="s">
        <v>11920</v>
      </c>
      <c r="AF612" t="s">
        <v>74</v>
      </c>
      <c r="AG612">
        <v>77</v>
      </c>
      <c r="AH612">
        <v>5</v>
      </c>
      <c r="AI612">
        <v>6</v>
      </c>
      <c r="AJ612">
        <v>0</v>
      </c>
      <c r="AK612">
        <v>14</v>
      </c>
      <c r="AL612" t="s">
        <v>120</v>
      </c>
      <c r="AM612" t="s">
        <v>121</v>
      </c>
      <c r="AN612" t="s">
        <v>122</v>
      </c>
      <c r="AO612" t="s">
        <v>74</v>
      </c>
      <c r="AP612" t="s">
        <v>2050</v>
      </c>
      <c r="AQ612" t="s">
        <v>74</v>
      </c>
      <c r="AR612" t="s">
        <v>2051</v>
      </c>
      <c r="AS612" t="s">
        <v>2052</v>
      </c>
      <c r="AT612" t="s">
        <v>538</v>
      </c>
      <c r="AU612">
        <v>2023</v>
      </c>
      <c r="AV612">
        <v>23</v>
      </c>
      <c r="AW612">
        <v>2</v>
      </c>
      <c r="AX612" t="s">
        <v>74</v>
      </c>
      <c r="AY612" t="s">
        <v>74</v>
      </c>
      <c r="AZ612" t="s">
        <v>74</v>
      </c>
      <c r="BA612" t="s">
        <v>74</v>
      </c>
      <c r="BB612" t="s">
        <v>74</v>
      </c>
      <c r="BC612" t="s">
        <v>74</v>
      </c>
      <c r="BD612">
        <v>686</v>
      </c>
      <c r="BE612" t="s">
        <v>11921</v>
      </c>
      <c r="BF612" t="str">
        <f>HYPERLINK("http://dx.doi.org/10.3390/s23020686","http://dx.doi.org/10.3390/s23020686")</f>
        <v>http://dx.doi.org/10.3390/s23020686</v>
      </c>
      <c r="BG612" t="s">
        <v>74</v>
      </c>
      <c r="BH612" t="s">
        <v>74</v>
      </c>
      <c r="BI612">
        <v>15</v>
      </c>
      <c r="BJ612" t="s">
        <v>2054</v>
      </c>
      <c r="BK612" t="s">
        <v>182</v>
      </c>
      <c r="BL612" t="s">
        <v>2055</v>
      </c>
      <c r="BM612" t="s">
        <v>11922</v>
      </c>
      <c r="BN612">
        <v>36679483</v>
      </c>
      <c r="BO612" t="s">
        <v>131</v>
      </c>
      <c r="BP612" t="s">
        <v>74</v>
      </c>
      <c r="BQ612" t="s">
        <v>74</v>
      </c>
      <c r="BR612" t="s">
        <v>105</v>
      </c>
      <c r="BS612" t="s">
        <v>11923</v>
      </c>
      <c r="BT612" t="str">
        <f>HYPERLINK("https%3A%2F%2Fwww.webofscience.com%2Fwos%2Fwoscc%2Ffull-record%2FWOS:000927753300001","View Full Record in Web of Science")</f>
        <v>View Full Record in Web of Science</v>
      </c>
    </row>
    <row r="613" spans="1:72" x14ac:dyDescent="0.25">
      <c r="A613" t="s">
        <v>72</v>
      </c>
      <c r="B613" t="s">
        <v>11924</v>
      </c>
      <c r="C613" t="s">
        <v>74</v>
      </c>
      <c r="D613" t="s">
        <v>74</v>
      </c>
      <c r="E613" t="s">
        <v>74</v>
      </c>
      <c r="F613" t="s">
        <v>11925</v>
      </c>
      <c r="G613" t="s">
        <v>74</v>
      </c>
      <c r="H613" t="s">
        <v>74</v>
      </c>
      <c r="I613" t="s">
        <v>11926</v>
      </c>
      <c r="J613" t="s">
        <v>2091</v>
      </c>
      <c r="K613" t="s">
        <v>74</v>
      </c>
      <c r="L613" t="s">
        <v>74</v>
      </c>
      <c r="M613" t="s">
        <v>78</v>
      </c>
      <c r="N613" t="s">
        <v>79</v>
      </c>
      <c r="O613" t="s">
        <v>74</v>
      </c>
      <c r="P613" t="s">
        <v>74</v>
      </c>
      <c r="Q613" t="s">
        <v>74</v>
      </c>
      <c r="R613" t="s">
        <v>74</v>
      </c>
      <c r="S613" t="s">
        <v>74</v>
      </c>
      <c r="T613" t="s">
        <v>11927</v>
      </c>
      <c r="U613" t="s">
        <v>11928</v>
      </c>
      <c r="V613" t="s">
        <v>11929</v>
      </c>
      <c r="W613" t="s">
        <v>11930</v>
      </c>
      <c r="X613" t="s">
        <v>11931</v>
      </c>
      <c r="Y613" t="s">
        <v>11932</v>
      </c>
      <c r="Z613" t="s">
        <v>11933</v>
      </c>
      <c r="AA613" t="s">
        <v>74</v>
      </c>
      <c r="AB613" t="s">
        <v>11934</v>
      </c>
      <c r="AC613" t="s">
        <v>11935</v>
      </c>
      <c r="AD613" t="s">
        <v>11936</v>
      </c>
      <c r="AE613" t="s">
        <v>11937</v>
      </c>
      <c r="AF613" t="s">
        <v>74</v>
      </c>
      <c r="AG613">
        <v>102</v>
      </c>
      <c r="AH613">
        <v>8</v>
      </c>
      <c r="AI613">
        <v>8</v>
      </c>
      <c r="AJ613">
        <v>29</v>
      </c>
      <c r="AK613">
        <v>153</v>
      </c>
      <c r="AL613" t="s">
        <v>120</v>
      </c>
      <c r="AM613" t="s">
        <v>121</v>
      </c>
      <c r="AN613" t="s">
        <v>122</v>
      </c>
      <c r="AO613" t="s">
        <v>74</v>
      </c>
      <c r="AP613" t="s">
        <v>2104</v>
      </c>
      <c r="AQ613" t="s">
        <v>74</v>
      </c>
      <c r="AR613" t="s">
        <v>2105</v>
      </c>
      <c r="AS613" t="s">
        <v>2106</v>
      </c>
      <c r="AT613" t="s">
        <v>538</v>
      </c>
      <c r="AU613">
        <v>2023</v>
      </c>
      <c r="AV613">
        <v>13</v>
      </c>
      <c r="AW613">
        <v>2</v>
      </c>
      <c r="AX613" t="s">
        <v>74</v>
      </c>
      <c r="AY613" t="s">
        <v>74</v>
      </c>
      <c r="AZ613" t="s">
        <v>74</v>
      </c>
      <c r="BA613" t="s">
        <v>74</v>
      </c>
      <c r="BB613" t="s">
        <v>74</v>
      </c>
      <c r="BC613" t="s">
        <v>74</v>
      </c>
      <c r="BD613">
        <v>1064</v>
      </c>
      <c r="BE613" t="s">
        <v>11938</v>
      </c>
      <c r="BF613" t="str">
        <f>HYPERLINK("http://dx.doi.org/10.3390/app13021064","http://dx.doi.org/10.3390/app13021064")</f>
        <v>http://dx.doi.org/10.3390/app13021064</v>
      </c>
      <c r="BG613" t="s">
        <v>74</v>
      </c>
      <c r="BH613" t="s">
        <v>74</v>
      </c>
      <c r="BI613">
        <v>17</v>
      </c>
      <c r="BJ613" t="s">
        <v>2109</v>
      </c>
      <c r="BK613" t="s">
        <v>182</v>
      </c>
      <c r="BL613" t="s">
        <v>2110</v>
      </c>
      <c r="BM613" t="s">
        <v>11939</v>
      </c>
      <c r="BN613" t="s">
        <v>74</v>
      </c>
      <c r="BO613" t="s">
        <v>185</v>
      </c>
      <c r="BP613" t="s">
        <v>74</v>
      </c>
      <c r="BQ613" t="s">
        <v>74</v>
      </c>
      <c r="BR613" t="s">
        <v>105</v>
      </c>
      <c r="BS613" t="s">
        <v>11940</v>
      </c>
      <c r="BT613" t="str">
        <f>HYPERLINK("https%3A%2F%2Fwww.webofscience.com%2Fwos%2Fwoscc%2Ffull-record%2FWOS:000914361500001","View Full Record in Web of Science")</f>
        <v>View Full Record in Web of Science</v>
      </c>
    </row>
    <row r="614" spans="1:72" x14ac:dyDescent="0.25">
      <c r="A614" t="s">
        <v>72</v>
      </c>
      <c r="B614" t="s">
        <v>11941</v>
      </c>
      <c r="C614" t="s">
        <v>74</v>
      </c>
      <c r="D614" t="s">
        <v>74</v>
      </c>
      <c r="E614" t="s">
        <v>74</v>
      </c>
      <c r="F614" t="s">
        <v>11942</v>
      </c>
      <c r="G614" t="s">
        <v>74</v>
      </c>
      <c r="H614" t="s">
        <v>74</v>
      </c>
      <c r="I614" t="s">
        <v>11943</v>
      </c>
      <c r="J614" t="s">
        <v>11944</v>
      </c>
      <c r="K614" t="s">
        <v>74</v>
      </c>
      <c r="L614" t="s">
        <v>74</v>
      </c>
      <c r="M614" t="s">
        <v>78</v>
      </c>
      <c r="N614" t="s">
        <v>79</v>
      </c>
      <c r="O614" t="s">
        <v>74</v>
      </c>
      <c r="P614" t="s">
        <v>74</v>
      </c>
      <c r="Q614" t="s">
        <v>74</v>
      </c>
      <c r="R614" t="s">
        <v>74</v>
      </c>
      <c r="S614" t="s">
        <v>74</v>
      </c>
      <c r="T614" t="s">
        <v>74</v>
      </c>
      <c r="U614" t="s">
        <v>11945</v>
      </c>
      <c r="V614" t="s">
        <v>11946</v>
      </c>
      <c r="W614" t="s">
        <v>11947</v>
      </c>
      <c r="X614" t="s">
        <v>11948</v>
      </c>
      <c r="Y614" t="s">
        <v>11949</v>
      </c>
      <c r="Z614" t="s">
        <v>11950</v>
      </c>
      <c r="AA614" t="s">
        <v>11951</v>
      </c>
      <c r="AB614" t="s">
        <v>11952</v>
      </c>
      <c r="AC614" t="s">
        <v>11953</v>
      </c>
      <c r="AD614" t="s">
        <v>11954</v>
      </c>
      <c r="AE614" t="s">
        <v>11955</v>
      </c>
      <c r="AF614" t="s">
        <v>74</v>
      </c>
      <c r="AG614">
        <v>261</v>
      </c>
      <c r="AH614">
        <v>107</v>
      </c>
      <c r="AI614">
        <v>110</v>
      </c>
      <c r="AJ614">
        <v>38</v>
      </c>
      <c r="AK614">
        <v>246</v>
      </c>
      <c r="AL614" t="s">
        <v>4224</v>
      </c>
      <c r="AM614" t="s">
        <v>1958</v>
      </c>
      <c r="AN614" t="s">
        <v>4225</v>
      </c>
      <c r="AO614" t="s">
        <v>11956</v>
      </c>
      <c r="AP614" t="s">
        <v>74</v>
      </c>
      <c r="AQ614" t="s">
        <v>74</v>
      </c>
      <c r="AR614" t="s">
        <v>11957</v>
      </c>
      <c r="AS614" t="s">
        <v>11958</v>
      </c>
      <c r="AT614" t="s">
        <v>487</v>
      </c>
      <c r="AU614">
        <v>2023</v>
      </c>
      <c r="AV614">
        <v>7</v>
      </c>
      <c r="AW614">
        <v>4</v>
      </c>
      <c r="AX614" t="s">
        <v>74</v>
      </c>
      <c r="AY614" t="s">
        <v>74</v>
      </c>
      <c r="AZ614" t="s">
        <v>74</v>
      </c>
      <c r="BA614" t="s">
        <v>74</v>
      </c>
      <c r="BB614">
        <v>456</v>
      </c>
      <c r="BC614">
        <v>472</v>
      </c>
      <c r="BD614" t="s">
        <v>74</v>
      </c>
      <c r="BE614" t="s">
        <v>11959</v>
      </c>
      <c r="BF614" t="str">
        <f>HYPERLINK("http://dx.doi.org/10.1038/s41551-022-00984-1","http://dx.doi.org/10.1038/s41551-022-00984-1")</f>
        <v>http://dx.doi.org/10.1038/s41551-022-00984-1</v>
      </c>
      <c r="BG614" t="s">
        <v>74</v>
      </c>
      <c r="BH614" t="s">
        <v>540</v>
      </c>
      <c r="BI614">
        <v>17</v>
      </c>
      <c r="BJ614" t="s">
        <v>282</v>
      </c>
      <c r="BK614" t="s">
        <v>182</v>
      </c>
      <c r="BL614" t="s">
        <v>183</v>
      </c>
      <c r="BM614" t="s">
        <v>11960</v>
      </c>
      <c r="BN614">
        <v>36550303</v>
      </c>
      <c r="BO614" t="s">
        <v>74</v>
      </c>
      <c r="BP614" t="s">
        <v>74</v>
      </c>
      <c r="BQ614" t="s">
        <v>74</v>
      </c>
      <c r="BR614" t="s">
        <v>105</v>
      </c>
      <c r="BS614" t="s">
        <v>11961</v>
      </c>
      <c r="BT614" t="str">
        <f>HYPERLINK("https%3A%2F%2Fwww.webofscience.com%2Fwos%2Fwoscc%2Ffull-record%2FWOS:000903223500003","View Full Record in Web of Science")</f>
        <v>View Full Record in Web of Science</v>
      </c>
    </row>
    <row r="615" spans="1:72" x14ac:dyDescent="0.25">
      <c r="A615" t="s">
        <v>72</v>
      </c>
      <c r="B615" t="s">
        <v>11962</v>
      </c>
      <c r="C615" t="s">
        <v>74</v>
      </c>
      <c r="D615" t="s">
        <v>74</v>
      </c>
      <c r="E615" t="s">
        <v>74</v>
      </c>
      <c r="F615" t="s">
        <v>11963</v>
      </c>
      <c r="G615" t="s">
        <v>74</v>
      </c>
      <c r="H615" t="s">
        <v>74</v>
      </c>
      <c r="I615" t="s">
        <v>11964</v>
      </c>
      <c r="J615" t="s">
        <v>594</v>
      </c>
      <c r="K615" t="s">
        <v>74</v>
      </c>
      <c r="L615" t="s">
        <v>74</v>
      </c>
      <c r="M615" t="s">
        <v>78</v>
      </c>
      <c r="N615" t="s">
        <v>79</v>
      </c>
      <c r="O615" t="s">
        <v>74</v>
      </c>
      <c r="P615" t="s">
        <v>74</v>
      </c>
      <c r="Q615" t="s">
        <v>74</v>
      </c>
      <c r="R615" t="s">
        <v>74</v>
      </c>
      <c r="S615" t="s">
        <v>74</v>
      </c>
      <c r="T615" t="s">
        <v>11965</v>
      </c>
      <c r="U615" t="s">
        <v>11966</v>
      </c>
      <c r="V615" t="s">
        <v>11967</v>
      </c>
      <c r="W615" t="s">
        <v>11968</v>
      </c>
      <c r="X615" t="s">
        <v>11969</v>
      </c>
      <c r="Y615" t="s">
        <v>11970</v>
      </c>
      <c r="Z615" t="s">
        <v>11971</v>
      </c>
      <c r="AA615" t="s">
        <v>11972</v>
      </c>
      <c r="AB615" t="s">
        <v>11973</v>
      </c>
      <c r="AC615" t="s">
        <v>11974</v>
      </c>
      <c r="AD615" t="s">
        <v>11975</v>
      </c>
      <c r="AE615" t="s">
        <v>11976</v>
      </c>
      <c r="AF615" t="s">
        <v>74</v>
      </c>
      <c r="AG615">
        <v>61</v>
      </c>
      <c r="AH615">
        <v>10</v>
      </c>
      <c r="AI615">
        <v>11</v>
      </c>
      <c r="AJ615">
        <v>4</v>
      </c>
      <c r="AK615">
        <v>26</v>
      </c>
      <c r="AL615" t="s">
        <v>274</v>
      </c>
      <c r="AM615" t="s">
        <v>275</v>
      </c>
      <c r="AN615" t="s">
        <v>276</v>
      </c>
      <c r="AO615" t="s">
        <v>74</v>
      </c>
      <c r="AP615" t="s">
        <v>606</v>
      </c>
      <c r="AQ615" t="s">
        <v>74</v>
      </c>
      <c r="AR615" t="s">
        <v>607</v>
      </c>
      <c r="AS615" t="s">
        <v>608</v>
      </c>
      <c r="AT615" t="s">
        <v>11977</v>
      </c>
      <c r="AU615">
        <v>2022</v>
      </c>
      <c r="AV615">
        <v>19</v>
      </c>
      <c r="AW615">
        <v>1</v>
      </c>
      <c r="AX615" t="s">
        <v>74</v>
      </c>
      <c r="AY615" t="s">
        <v>74</v>
      </c>
      <c r="AZ615" t="s">
        <v>74</v>
      </c>
      <c r="BA615" t="s">
        <v>74</v>
      </c>
      <c r="BB615" t="s">
        <v>74</v>
      </c>
      <c r="BC615" t="s">
        <v>74</v>
      </c>
      <c r="BD615" t="s">
        <v>74</v>
      </c>
      <c r="BE615" t="s">
        <v>11978</v>
      </c>
      <c r="BF615" t="str">
        <f>HYPERLINK("http://dx.doi.org/10.1186/s12984-022-01111-6","http://dx.doi.org/10.1186/s12984-022-01111-6")</f>
        <v>http://dx.doi.org/10.1186/s12984-022-01111-6</v>
      </c>
      <c r="BG615" t="s">
        <v>74</v>
      </c>
      <c r="BH615" t="s">
        <v>74</v>
      </c>
      <c r="BI615">
        <v>18</v>
      </c>
      <c r="BJ615" t="s">
        <v>611</v>
      </c>
      <c r="BK615" t="s">
        <v>182</v>
      </c>
      <c r="BL615" t="s">
        <v>612</v>
      </c>
      <c r="BM615" t="s">
        <v>11979</v>
      </c>
      <c r="BN615">
        <v>36544163</v>
      </c>
      <c r="BO615" t="s">
        <v>131</v>
      </c>
      <c r="BP615" t="s">
        <v>74</v>
      </c>
      <c r="BQ615" t="s">
        <v>74</v>
      </c>
      <c r="BR615" t="s">
        <v>105</v>
      </c>
      <c r="BS615" t="s">
        <v>11980</v>
      </c>
      <c r="BT615" t="str">
        <f>HYPERLINK("https%3A%2F%2Fwww.webofscience.com%2Fwos%2Fwoscc%2Ffull-record%2FWOS:000902018100001","View Full Record in Web of Science")</f>
        <v>View Full Record in Web of Science</v>
      </c>
    </row>
    <row r="616" spans="1:72" x14ac:dyDescent="0.25">
      <c r="A616" t="s">
        <v>72</v>
      </c>
      <c r="B616" t="s">
        <v>11981</v>
      </c>
      <c r="C616" t="s">
        <v>74</v>
      </c>
      <c r="D616" t="s">
        <v>74</v>
      </c>
      <c r="E616" t="s">
        <v>74</v>
      </c>
      <c r="F616" t="s">
        <v>11982</v>
      </c>
      <c r="G616" t="s">
        <v>74</v>
      </c>
      <c r="H616" t="s">
        <v>74</v>
      </c>
      <c r="I616" t="s">
        <v>11983</v>
      </c>
      <c r="J616" t="s">
        <v>11984</v>
      </c>
      <c r="K616" t="s">
        <v>74</v>
      </c>
      <c r="L616" t="s">
        <v>74</v>
      </c>
      <c r="M616" t="s">
        <v>78</v>
      </c>
      <c r="N616" t="s">
        <v>79</v>
      </c>
      <c r="O616" t="s">
        <v>74</v>
      </c>
      <c r="P616" t="s">
        <v>74</v>
      </c>
      <c r="Q616" t="s">
        <v>74</v>
      </c>
      <c r="R616" t="s">
        <v>74</v>
      </c>
      <c r="S616" t="s">
        <v>74</v>
      </c>
      <c r="T616" t="s">
        <v>11985</v>
      </c>
      <c r="U616" t="s">
        <v>11986</v>
      </c>
      <c r="V616" t="s">
        <v>11987</v>
      </c>
      <c r="W616" t="s">
        <v>11988</v>
      </c>
      <c r="X616" t="s">
        <v>11989</v>
      </c>
      <c r="Y616" t="s">
        <v>11990</v>
      </c>
      <c r="Z616" t="s">
        <v>11991</v>
      </c>
      <c r="AA616" t="s">
        <v>11992</v>
      </c>
      <c r="AB616" t="s">
        <v>11993</v>
      </c>
      <c r="AC616" t="s">
        <v>74</v>
      </c>
      <c r="AD616" t="s">
        <v>74</v>
      </c>
      <c r="AE616" t="s">
        <v>74</v>
      </c>
      <c r="AF616" t="s">
        <v>74</v>
      </c>
      <c r="AG616">
        <v>169</v>
      </c>
      <c r="AH616">
        <v>14</v>
      </c>
      <c r="AI616">
        <v>14</v>
      </c>
      <c r="AJ616">
        <v>12</v>
      </c>
      <c r="AK616">
        <v>95</v>
      </c>
      <c r="AL616" t="s">
        <v>6029</v>
      </c>
      <c r="AM616" t="s">
        <v>6030</v>
      </c>
      <c r="AN616" t="s">
        <v>6031</v>
      </c>
      <c r="AO616" t="s">
        <v>11994</v>
      </c>
      <c r="AP616" t="s">
        <v>11995</v>
      </c>
      <c r="AQ616" t="s">
        <v>74</v>
      </c>
      <c r="AR616" t="s">
        <v>11996</v>
      </c>
      <c r="AS616" t="s">
        <v>11997</v>
      </c>
      <c r="AT616" t="s">
        <v>6384</v>
      </c>
      <c r="AU616">
        <v>2023</v>
      </c>
      <c r="AV616">
        <v>50</v>
      </c>
      <c r="AW616">
        <v>3</v>
      </c>
      <c r="AX616" t="s">
        <v>74</v>
      </c>
      <c r="AY616" t="s">
        <v>74</v>
      </c>
      <c r="AZ616" t="s">
        <v>74</v>
      </c>
      <c r="BA616" t="s">
        <v>74</v>
      </c>
      <c r="BB616">
        <v>432</v>
      </c>
      <c r="BC616">
        <v>455</v>
      </c>
      <c r="BD616" t="s">
        <v>74</v>
      </c>
      <c r="BE616" t="s">
        <v>11998</v>
      </c>
      <c r="BF616" t="str">
        <f>HYPERLINK("http://dx.doi.org/10.1108/IR-09-2022-0239","http://dx.doi.org/10.1108/IR-09-2022-0239")</f>
        <v>http://dx.doi.org/10.1108/IR-09-2022-0239</v>
      </c>
      <c r="BG616" t="s">
        <v>74</v>
      </c>
      <c r="BH616" t="s">
        <v>540</v>
      </c>
      <c r="BI616">
        <v>24</v>
      </c>
      <c r="BJ616" t="s">
        <v>11999</v>
      </c>
      <c r="BK616" t="s">
        <v>182</v>
      </c>
      <c r="BL616" t="s">
        <v>1938</v>
      </c>
      <c r="BM616" t="s">
        <v>12000</v>
      </c>
      <c r="BN616" t="s">
        <v>74</v>
      </c>
      <c r="BO616" t="s">
        <v>74</v>
      </c>
      <c r="BP616" t="s">
        <v>74</v>
      </c>
      <c r="BQ616" t="s">
        <v>74</v>
      </c>
      <c r="BR616" t="s">
        <v>105</v>
      </c>
      <c r="BS616" t="s">
        <v>12001</v>
      </c>
      <c r="BT616" t="str">
        <f>HYPERLINK("https%3A%2F%2Fwww.webofscience.com%2Fwos%2Fwoscc%2Ffull-record%2FWOS:000897216500001","View Full Record in Web of Science")</f>
        <v>View Full Record in Web of Science</v>
      </c>
    </row>
    <row r="617" spans="1:72" x14ac:dyDescent="0.25">
      <c r="A617" t="s">
        <v>72</v>
      </c>
      <c r="B617" t="s">
        <v>12002</v>
      </c>
      <c r="C617" t="s">
        <v>74</v>
      </c>
      <c r="D617" t="s">
        <v>74</v>
      </c>
      <c r="E617" t="s">
        <v>74</v>
      </c>
      <c r="F617" t="s">
        <v>12003</v>
      </c>
      <c r="G617" t="s">
        <v>74</v>
      </c>
      <c r="H617" t="s">
        <v>74</v>
      </c>
      <c r="I617" t="s">
        <v>12004</v>
      </c>
      <c r="J617" t="s">
        <v>684</v>
      </c>
      <c r="K617" t="s">
        <v>74</v>
      </c>
      <c r="L617" t="s">
        <v>74</v>
      </c>
      <c r="M617" t="s">
        <v>78</v>
      </c>
      <c r="N617" t="s">
        <v>79</v>
      </c>
      <c r="O617" t="s">
        <v>74</v>
      </c>
      <c r="P617" t="s">
        <v>74</v>
      </c>
      <c r="Q617" t="s">
        <v>74</v>
      </c>
      <c r="R617" t="s">
        <v>74</v>
      </c>
      <c r="S617" t="s">
        <v>74</v>
      </c>
      <c r="T617" t="s">
        <v>12005</v>
      </c>
      <c r="U617" t="s">
        <v>12006</v>
      </c>
      <c r="V617" t="s">
        <v>12007</v>
      </c>
      <c r="W617" t="s">
        <v>12008</v>
      </c>
      <c r="X617" t="s">
        <v>12009</v>
      </c>
      <c r="Y617" t="s">
        <v>12010</v>
      </c>
      <c r="Z617" t="s">
        <v>12011</v>
      </c>
      <c r="AA617" t="s">
        <v>74</v>
      </c>
      <c r="AB617" t="s">
        <v>74</v>
      </c>
      <c r="AC617" t="s">
        <v>74</v>
      </c>
      <c r="AD617" t="s">
        <v>74</v>
      </c>
      <c r="AE617" t="s">
        <v>74</v>
      </c>
      <c r="AF617" t="s">
        <v>74</v>
      </c>
      <c r="AG617">
        <v>122</v>
      </c>
      <c r="AH617">
        <v>2</v>
      </c>
      <c r="AI617">
        <v>2</v>
      </c>
      <c r="AJ617">
        <v>7</v>
      </c>
      <c r="AK617">
        <v>36</v>
      </c>
      <c r="AL617" t="s">
        <v>557</v>
      </c>
      <c r="AM617" t="s">
        <v>275</v>
      </c>
      <c r="AN617" t="s">
        <v>558</v>
      </c>
      <c r="AO617" t="s">
        <v>691</v>
      </c>
      <c r="AP617" t="s">
        <v>692</v>
      </c>
      <c r="AQ617" t="s">
        <v>74</v>
      </c>
      <c r="AR617" t="s">
        <v>693</v>
      </c>
      <c r="AS617" t="s">
        <v>694</v>
      </c>
      <c r="AT617" t="s">
        <v>351</v>
      </c>
      <c r="AU617">
        <v>2023</v>
      </c>
      <c r="AV617">
        <v>237</v>
      </c>
      <c r="AW617">
        <v>2</v>
      </c>
      <c r="AX617" t="s">
        <v>74</v>
      </c>
      <c r="AY617" t="s">
        <v>74</v>
      </c>
      <c r="AZ617" t="s">
        <v>74</v>
      </c>
      <c r="BA617" t="s">
        <v>74</v>
      </c>
      <c r="BB617">
        <v>163</v>
      </c>
      <c r="BC617">
        <v>178</v>
      </c>
      <c r="BD617" t="s">
        <v>74</v>
      </c>
      <c r="BE617" t="s">
        <v>12012</v>
      </c>
      <c r="BF617" t="str">
        <f>HYPERLINK("http://dx.doi.org/10.1177/09544119221142335","http://dx.doi.org/10.1177/09544119221142335")</f>
        <v>http://dx.doi.org/10.1177/09544119221142335</v>
      </c>
      <c r="BG617" t="s">
        <v>74</v>
      </c>
      <c r="BH617" t="s">
        <v>540</v>
      </c>
      <c r="BI617">
        <v>16</v>
      </c>
      <c r="BJ617" t="s">
        <v>282</v>
      </c>
      <c r="BK617" t="s">
        <v>182</v>
      </c>
      <c r="BL617" t="s">
        <v>183</v>
      </c>
      <c r="BM617" t="s">
        <v>12013</v>
      </c>
      <c r="BN617">
        <v>36515408</v>
      </c>
      <c r="BO617" t="s">
        <v>74</v>
      </c>
      <c r="BP617" t="s">
        <v>74</v>
      </c>
      <c r="BQ617" t="s">
        <v>74</v>
      </c>
      <c r="BR617" t="s">
        <v>105</v>
      </c>
      <c r="BS617" t="s">
        <v>12014</v>
      </c>
      <c r="BT617" t="str">
        <f>HYPERLINK("https%3A%2F%2Fwww.webofscience.com%2Fwos%2Fwoscc%2Ffull-record%2FWOS:000898307500001","View Full Record in Web of Science")</f>
        <v>View Full Record in Web of Science</v>
      </c>
    </row>
    <row r="618" spans="1:72" x14ac:dyDescent="0.25">
      <c r="A618" t="s">
        <v>72</v>
      </c>
      <c r="B618" t="s">
        <v>12015</v>
      </c>
      <c r="C618" t="s">
        <v>74</v>
      </c>
      <c r="D618" t="s">
        <v>74</v>
      </c>
      <c r="E618" t="s">
        <v>74</v>
      </c>
      <c r="F618" t="s">
        <v>12016</v>
      </c>
      <c r="G618" t="s">
        <v>74</v>
      </c>
      <c r="H618" t="s">
        <v>74</v>
      </c>
      <c r="I618" t="s">
        <v>12017</v>
      </c>
      <c r="J618" t="s">
        <v>594</v>
      </c>
      <c r="K618" t="s">
        <v>74</v>
      </c>
      <c r="L618" t="s">
        <v>74</v>
      </c>
      <c r="M618" t="s">
        <v>78</v>
      </c>
      <c r="N618" t="s">
        <v>79</v>
      </c>
      <c r="O618" t="s">
        <v>74</v>
      </c>
      <c r="P618" t="s">
        <v>74</v>
      </c>
      <c r="Q618" t="s">
        <v>74</v>
      </c>
      <c r="R618" t="s">
        <v>74</v>
      </c>
      <c r="S618" t="s">
        <v>74</v>
      </c>
      <c r="T618" t="s">
        <v>12018</v>
      </c>
      <c r="U618" t="s">
        <v>12019</v>
      </c>
      <c r="V618" t="s">
        <v>12020</v>
      </c>
      <c r="W618" t="s">
        <v>12021</v>
      </c>
      <c r="X618" t="s">
        <v>12022</v>
      </c>
      <c r="Y618" t="s">
        <v>12023</v>
      </c>
      <c r="Z618" t="s">
        <v>12024</v>
      </c>
      <c r="AA618" t="s">
        <v>12025</v>
      </c>
      <c r="AB618" t="s">
        <v>12026</v>
      </c>
      <c r="AC618" t="s">
        <v>74</v>
      </c>
      <c r="AD618" t="s">
        <v>74</v>
      </c>
      <c r="AE618" t="s">
        <v>74</v>
      </c>
      <c r="AF618" t="s">
        <v>74</v>
      </c>
      <c r="AG618">
        <v>151</v>
      </c>
      <c r="AH618">
        <v>17</v>
      </c>
      <c r="AI618">
        <v>17</v>
      </c>
      <c r="AJ618">
        <v>3</v>
      </c>
      <c r="AK618">
        <v>16</v>
      </c>
      <c r="AL618" t="s">
        <v>274</v>
      </c>
      <c r="AM618" t="s">
        <v>275</v>
      </c>
      <c r="AN618" t="s">
        <v>276</v>
      </c>
      <c r="AO618" t="s">
        <v>74</v>
      </c>
      <c r="AP618" t="s">
        <v>606</v>
      </c>
      <c r="AQ618" t="s">
        <v>74</v>
      </c>
      <c r="AR618" t="s">
        <v>607</v>
      </c>
      <c r="AS618" t="s">
        <v>608</v>
      </c>
      <c r="AT618" t="s">
        <v>12027</v>
      </c>
      <c r="AU618">
        <v>2022</v>
      </c>
      <c r="AV618">
        <v>19</v>
      </c>
      <c r="AW618">
        <v>1</v>
      </c>
      <c r="AX618" t="s">
        <v>74</v>
      </c>
      <c r="AY618" t="s">
        <v>74</v>
      </c>
      <c r="AZ618" t="s">
        <v>74</v>
      </c>
      <c r="BA618" t="s">
        <v>74</v>
      </c>
      <c r="BB618" t="s">
        <v>74</v>
      </c>
      <c r="BC618" t="s">
        <v>74</v>
      </c>
      <c r="BD618">
        <v>138</v>
      </c>
      <c r="BE618" t="s">
        <v>12028</v>
      </c>
      <c r="BF618" t="str">
        <f>HYPERLINK("http://dx.doi.org/10.1186/s12984-022-01115-2","http://dx.doi.org/10.1186/s12984-022-01115-2")</f>
        <v>http://dx.doi.org/10.1186/s12984-022-01115-2</v>
      </c>
      <c r="BG618" t="s">
        <v>74</v>
      </c>
      <c r="BH618" t="s">
        <v>74</v>
      </c>
      <c r="BI618">
        <v>17</v>
      </c>
      <c r="BJ618" t="s">
        <v>611</v>
      </c>
      <c r="BK618" t="s">
        <v>182</v>
      </c>
      <c r="BL618" t="s">
        <v>612</v>
      </c>
      <c r="BM618" t="s">
        <v>12029</v>
      </c>
      <c r="BN618">
        <v>36494721</v>
      </c>
      <c r="BO618" t="s">
        <v>131</v>
      </c>
      <c r="BP618" t="s">
        <v>74</v>
      </c>
      <c r="BQ618" t="s">
        <v>74</v>
      </c>
      <c r="BR618" t="s">
        <v>105</v>
      </c>
      <c r="BS618" t="s">
        <v>12030</v>
      </c>
      <c r="BT618" t="str">
        <f>HYPERLINK("https%3A%2F%2Fwww.webofscience.com%2Fwos%2Fwoscc%2Ffull-record%2FWOS:000896588300001","View Full Record in Web of Science")</f>
        <v>View Full Record in Web of Science</v>
      </c>
    </row>
    <row r="619" spans="1:72" x14ac:dyDescent="0.25">
      <c r="A619" t="s">
        <v>72</v>
      </c>
      <c r="B619" t="s">
        <v>12031</v>
      </c>
      <c r="C619" t="s">
        <v>74</v>
      </c>
      <c r="D619" t="s">
        <v>74</v>
      </c>
      <c r="E619" t="s">
        <v>74</v>
      </c>
      <c r="F619" t="s">
        <v>12032</v>
      </c>
      <c r="G619" t="s">
        <v>74</v>
      </c>
      <c r="H619" t="s">
        <v>74</v>
      </c>
      <c r="I619" t="s">
        <v>12033</v>
      </c>
      <c r="J619" t="s">
        <v>12034</v>
      </c>
      <c r="K619" t="s">
        <v>74</v>
      </c>
      <c r="L619" t="s">
        <v>74</v>
      </c>
      <c r="M619" t="s">
        <v>78</v>
      </c>
      <c r="N619" t="s">
        <v>79</v>
      </c>
      <c r="O619" t="s">
        <v>74</v>
      </c>
      <c r="P619" t="s">
        <v>74</v>
      </c>
      <c r="Q619" t="s">
        <v>74</v>
      </c>
      <c r="R619" t="s">
        <v>74</v>
      </c>
      <c r="S619" t="s">
        <v>74</v>
      </c>
      <c r="T619" t="s">
        <v>12035</v>
      </c>
      <c r="U619" t="s">
        <v>12036</v>
      </c>
      <c r="V619" t="s">
        <v>12037</v>
      </c>
      <c r="W619" t="s">
        <v>12038</v>
      </c>
      <c r="X619" t="s">
        <v>12039</v>
      </c>
      <c r="Y619" t="s">
        <v>12040</v>
      </c>
      <c r="Z619" t="s">
        <v>12041</v>
      </c>
      <c r="AA619" t="s">
        <v>12042</v>
      </c>
      <c r="AB619" t="s">
        <v>12043</v>
      </c>
      <c r="AC619" t="s">
        <v>74</v>
      </c>
      <c r="AD619" t="s">
        <v>74</v>
      </c>
      <c r="AE619" t="s">
        <v>74</v>
      </c>
      <c r="AF619" t="s">
        <v>74</v>
      </c>
      <c r="AG619">
        <v>116</v>
      </c>
      <c r="AH619">
        <v>6</v>
      </c>
      <c r="AI619">
        <v>6</v>
      </c>
      <c r="AJ619">
        <v>4</v>
      </c>
      <c r="AK619">
        <v>33</v>
      </c>
      <c r="AL619" t="s">
        <v>297</v>
      </c>
      <c r="AM619" t="s">
        <v>298</v>
      </c>
      <c r="AN619" t="s">
        <v>299</v>
      </c>
      <c r="AO619" t="s">
        <v>12044</v>
      </c>
      <c r="AP619" t="s">
        <v>12045</v>
      </c>
      <c r="AQ619" t="s">
        <v>74</v>
      </c>
      <c r="AR619" t="s">
        <v>12046</v>
      </c>
      <c r="AS619" t="s">
        <v>12047</v>
      </c>
      <c r="AT619" t="s">
        <v>1070</v>
      </c>
      <c r="AU619">
        <v>2023</v>
      </c>
      <c r="AV619">
        <v>40</v>
      </c>
      <c r="AW619">
        <v>5</v>
      </c>
      <c r="AX619" t="s">
        <v>74</v>
      </c>
      <c r="AY619" t="s">
        <v>74</v>
      </c>
      <c r="AZ619" t="s">
        <v>74</v>
      </c>
      <c r="BA619" t="s">
        <v>74</v>
      </c>
      <c r="BB619" t="s">
        <v>74</v>
      </c>
      <c r="BC619" t="s">
        <v>74</v>
      </c>
      <c r="BD619" t="s">
        <v>74</v>
      </c>
      <c r="BE619" t="s">
        <v>12048</v>
      </c>
      <c r="BF619" t="str">
        <f>HYPERLINK("http://dx.doi.org/10.1111/exsy.13204","http://dx.doi.org/10.1111/exsy.13204")</f>
        <v>http://dx.doi.org/10.1111/exsy.13204</v>
      </c>
      <c r="BG619" t="s">
        <v>74</v>
      </c>
      <c r="BH619" t="s">
        <v>540</v>
      </c>
      <c r="BI619">
        <v>36</v>
      </c>
      <c r="BJ619" t="s">
        <v>6188</v>
      </c>
      <c r="BK619" t="s">
        <v>182</v>
      </c>
      <c r="BL619" t="s">
        <v>6189</v>
      </c>
      <c r="BM619" t="s">
        <v>12049</v>
      </c>
      <c r="BN619" t="s">
        <v>74</v>
      </c>
      <c r="BO619" t="s">
        <v>74</v>
      </c>
      <c r="BP619" t="s">
        <v>74</v>
      </c>
      <c r="BQ619" t="s">
        <v>74</v>
      </c>
      <c r="BR619" t="s">
        <v>105</v>
      </c>
      <c r="BS619" t="s">
        <v>12050</v>
      </c>
      <c r="BT619" t="str">
        <f>HYPERLINK("https%3A%2F%2Fwww.webofscience.com%2Fwos%2Fwoscc%2Ffull-record%2FWOS:000894239600001","View Full Record in Web of Science")</f>
        <v>View Full Record in Web of Science</v>
      </c>
    </row>
    <row r="620" spans="1:72" x14ac:dyDescent="0.25">
      <c r="A620" t="s">
        <v>72</v>
      </c>
      <c r="B620" t="s">
        <v>12051</v>
      </c>
      <c r="C620" t="s">
        <v>74</v>
      </c>
      <c r="D620" t="s">
        <v>74</v>
      </c>
      <c r="E620" t="s">
        <v>74</v>
      </c>
      <c r="F620" t="s">
        <v>12052</v>
      </c>
      <c r="G620" t="s">
        <v>74</v>
      </c>
      <c r="H620" t="s">
        <v>74</v>
      </c>
      <c r="I620" t="s">
        <v>12053</v>
      </c>
      <c r="J620" t="s">
        <v>11515</v>
      </c>
      <c r="K620" t="s">
        <v>74</v>
      </c>
      <c r="L620" t="s">
        <v>74</v>
      </c>
      <c r="M620" t="s">
        <v>78</v>
      </c>
      <c r="N620" t="s">
        <v>79</v>
      </c>
      <c r="O620" t="s">
        <v>74</v>
      </c>
      <c r="P620" t="s">
        <v>74</v>
      </c>
      <c r="Q620" t="s">
        <v>74</v>
      </c>
      <c r="R620" t="s">
        <v>74</v>
      </c>
      <c r="S620" t="s">
        <v>74</v>
      </c>
      <c r="T620" t="s">
        <v>12054</v>
      </c>
      <c r="U620" t="s">
        <v>12055</v>
      </c>
      <c r="V620" t="s">
        <v>12056</v>
      </c>
      <c r="W620" t="s">
        <v>12057</v>
      </c>
      <c r="X620" t="s">
        <v>12058</v>
      </c>
      <c r="Y620" t="s">
        <v>12059</v>
      </c>
      <c r="Z620" t="s">
        <v>12060</v>
      </c>
      <c r="AA620" t="s">
        <v>12061</v>
      </c>
      <c r="AB620" t="s">
        <v>12062</v>
      </c>
      <c r="AC620" t="s">
        <v>12063</v>
      </c>
      <c r="AD620" t="s">
        <v>12064</v>
      </c>
      <c r="AE620" t="s">
        <v>12065</v>
      </c>
      <c r="AF620" t="s">
        <v>74</v>
      </c>
      <c r="AG620">
        <v>145</v>
      </c>
      <c r="AH620">
        <v>53</v>
      </c>
      <c r="AI620">
        <v>56</v>
      </c>
      <c r="AJ620">
        <v>70</v>
      </c>
      <c r="AK620">
        <v>352</v>
      </c>
      <c r="AL620" t="s">
        <v>1907</v>
      </c>
      <c r="AM620" t="s">
        <v>1908</v>
      </c>
      <c r="AN620" t="s">
        <v>1909</v>
      </c>
      <c r="AO620" t="s">
        <v>11525</v>
      </c>
      <c r="AP620" t="s">
        <v>11526</v>
      </c>
      <c r="AQ620" t="s">
        <v>74</v>
      </c>
      <c r="AR620" t="s">
        <v>11527</v>
      </c>
      <c r="AS620" t="s">
        <v>11528</v>
      </c>
      <c r="AT620" t="s">
        <v>538</v>
      </c>
      <c r="AU620">
        <v>2023</v>
      </c>
      <c r="AV620">
        <v>83</v>
      </c>
      <c r="AW620" t="s">
        <v>74</v>
      </c>
      <c r="AX620" t="s">
        <v>74</v>
      </c>
      <c r="AY620" t="s">
        <v>74</v>
      </c>
      <c r="AZ620" t="s">
        <v>74</v>
      </c>
      <c r="BA620" t="s">
        <v>74</v>
      </c>
      <c r="BB620" t="s">
        <v>74</v>
      </c>
      <c r="BC620" t="s">
        <v>74</v>
      </c>
      <c r="BD620">
        <v>101808</v>
      </c>
      <c r="BE620" t="s">
        <v>12066</v>
      </c>
      <c r="BF620" t="str">
        <f>HYPERLINK("http://dx.doi.org/10.1016/j.arr.2022.101808","http://dx.doi.org/10.1016/j.arr.2022.101808")</f>
        <v>http://dx.doi.org/10.1016/j.arr.2022.101808</v>
      </c>
      <c r="BG620" t="s">
        <v>74</v>
      </c>
      <c r="BH620" t="s">
        <v>540</v>
      </c>
      <c r="BI620">
        <v>11</v>
      </c>
      <c r="BJ620" t="s">
        <v>11530</v>
      </c>
      <c r="BK620" t="s">
        <v>182</v>
      </c>
      <c r="BL620" t="s">
        <v>11530</v>
      </c>
      <c r="BM620" t="s">
        <v>12067</v>
      </c>
      <c r="BN620">
        <v>36427766</v>
      </c>
      <c r="BO620" t="s">
        <v>74</v>
      </c>
      <c r="BP620" t="s">
        <v>74</v>
      </c>
      <c r="BQ620" t="s">
        <v>74</v>
      </c>
      <c r="BR620" t="s">
        <v>105</v>
      </c>
      <c r="BS620" t="s">
        <v>12068</v>
      </c>
      <c r="BT620" t="str">
        <f>HYPERLINK("https%3A%2F%2Fwww.webofscience.com%2Fwos%2Fwoscc%2Ffull-record%2FWOS:000899231000003","View Full Record in Web of Science")</f>
        <v>View Full Record in Web of Science</v>
      </c>
    </row>
    <row r="621" spans="1:72" x14ac:dyDescent="0.25">
      <c r="A621" t="s">
        <v>72</v>
      </c>
      <c r="B621" t="s">
        <v>12069</v>
      </c>
      <c r="C621" t="s">
        <v>74</v>
      </c>
      <c r="D621" t="s">
        <v>74</v>
      </c>
      <c r="E621" t="s">
        <v>74</v>
      </c>
      <c r="F621" t="s">
        <v>12070</v>
      </c>
      <c r="G621" t="s">
        <v>74</v>
      </c>
      <c r="H621" t="s">
        <v>74</v>
      </c>
      <c r="I621" t="s">
        <v>12071</v>
      </c>
      <c r="J621" t="s">
        <v>243</v>
      </c>
      <c r="K621" t="s">
        <v>74</v>
      </c>
      <c r="L621" t="s">
        <v>74</v>
      </c>
      <c r="M621" t="s">
        <v>78</v>
      </c>
      <c r="N621" t="s">
        <v>79</v>
      </c>
      <c r="O621" t="s">
        <v>74</v>
      </c>
      <c r="P621" t="s">
        <v>74</v>
      </c>
      <c r="Q621" t="s">
        <v>74</v>
      </c>
      <c r="R621" t="s">
        <v>74</v>
      </c>
      <c r="S621" t="s">
        <v>74</v>
      </c>
      <c r="T621" t="s">
        <v>12072</v>
      </c>
      <c r="U621" t="s">
        <v>12073</v>
      </c>
      <c r="V621" t="s">
        <v>12074</v>
      </c>
      <c r="W621" t="s">
        <v>12075</v>
      </c>
      <c r="X621" t="s">
        <v>12076</v>
      </c>
      <c r="Y621" t="s">
        <v>12077</v>
      </c>
      <c r="Z621" t="s">
        <v>12078</v>
      </c>
      <c r="AA621" t="s">
        <v>12079</v>
      </c>
      <c r="AB621" t="s">
        <v>12080</v>
      </c>
      <c r="AC621" t="s">
        <v>74</v>
      </c>
      <c r="AD621" t="s">
        <v>74</v>
      </c>
      <c r="AE621" t="s">
        <v>74</v>
      </c>
      <c r="AF621" t="s">
        <v>74</v>
      </c>
      <c r="AG621">
        <v>31</v>
      </c>
      <c r="AH621">
        <v>6</v>
      </c>
      <c r="AI621">
        <v>6</v>
      </c>
      <c r="AJ621">
        <v>1</v>
      </c>
      <c r="AK621">
        <v>11</v>
      </c>
      <c r="AL621" t="s">
        <v>253</v>
      </c>
      <c r="AM621" t="s">
        <v>227</v>
      </c>
      <c r="AN621" t="s">
        <v>254</v>
      </c>
      <c r="AO621" t="s">
        <v>255</v>
      </c>
      <c r="AP621" t="s">
        <v>256</v>
      </c>
      <c r="AQ621" t="s">
        <v>74</v>
      </c>
      <c r="AR621" t="s">
        <v>257</v>
      </c>
      <c r="AS621" t="s">
        <v>258</v>
      </c>
      <c r="AT621" t="s">
        <v>12081</v>
      </c>
      <c r="AU621">
        <v>2024</v>
      </c>
      <c r="AV621">
        <v>19</v>
      </c>
      <c r="AW621">
        <v>4</v>
      </c>
      <c r="AX621" t="s">
        <v>74</v>
      </c>
      <c r="AY621" t="s">
        <v>74</v>
      </c>
      <c r="AZ621" t="s">
        <v>74</v>
      </c>
      <c r="BA621" t="s">
        <v>74</v>
      </c>
      <c r="BB621">
        <v>1135</v>
      </c>
      <c r="BC621">
        <v>1144</v>
      </c>
      <c r="BD621" t="s">
        <v>74</v>
      </c>
      <c r="BE621" t="s">
        <v>12082</v>
      </c>
      <c r="BF621" t="str">
        <f>HYPERLINK("http://dx.doi.org/10.1080/17483107.2022.2151656","http://dx.doi.org/10.1080/17483107.2022.2151656")</f>
        <v>http://dx.doi.org/10.1080/17483107.2022.2151656</v>
      </c>
      <c r="BG621" t="s">
        <v>74</v>
      </c>
      <c r="BH621" t="s">
        <v>540</v>
      </c>
      <c r="BI621">
        <v>10</v>
      </c>
      <c r="BJ621" t="s">
        <v>101</v>
      </c>
      <c r="BK621" t="s">
        <v>462</v>
      </c>
      <c r="BL621" t="s">
        <v>101</v>
      </c>
      <c r="BM621" t="s">
        <v>12083</v>
      </c>
      <c r="BN621">
        <v>36469933</v>
      </c>
      <c r="BO621" t="s">
        <v>74</v>
      </c>
      <c r="BP621" t="s">
        <v>74</v>
      </c>
      <c r="BQ621" t="s">
        <v>74</v>
      </c>
      <c r="BR621" t="s">
        <v>105</v>
      </c>
      <c r="BS621" t="s">
        <v>12084</v>
      </c>
      <c r="BT621" t="str">
        <f>HYPERLINK("https%3A%2F%2Fwww.webofscience.com%2Fwos%2Fwoscc%2Ffull-record%2FWOS:000893441300001","View Full Record in Web of Science")</f>
        <v>View Full Record in Web of Science</v>
      </c>
    </row>
    <row r="622" spans="1:72" x14ac:dyDescent="0.25">
      <c r="A622" t="s">
        <v>72</v>
      </c>
      <c r="B622" t="s">
        <v>12085</v>
      </c>
      <c r="C622" t="s">
        <v>74</v>
      </c>
      <c r="D622" t="s">
        <v>74</v>
      </c>
      <c r="E622" t="s">
        <v>74</v>
      </c>
      <c r="F622" t="s">
        <v>12086</v>
      </c>
      <c r="G622" t="s">
        <v>74</v>
      </c>
      <c r="H622" t="s">
        <v>74</v>
      </c>
      <c r="I622" t="s">
        <v>12087</v>
      </c>
      <c r="J622" t="s">
        <v>2543</v>
      </c>
      <c r="K622" t="s">
        <v>74</v>
      </c>
      <c r="L622" t="s">
        <v>74</v>
      </c>
      <c r="M622" t="s">
        <v>78</v>
      </c>
      <c r="N622" t="s">
        <v>79</v>
      </c>
      <c r="O622" t="s">
        <v>74</v>
      </c>
      <c r="P622" t="s">
        <v>74</v>
      </c>
      <c r="Q622" t="s">
        <v>74</v>
      </c>
      <c r="R622" t="s">
        <v>74</v>
      </c>
      <c r="S622" t="s">
        <v>74</v>
      </c>
      <c r="T622" t="s">
        <v>12088</v>
      </c>
      <c r="U622" t="s">
        <v>12089</v>
      </c>
      <c r="V622" t="s">
        <v>12090</v>
      </c>
      <c r="W622" t="s">
        <v>12091</v>
      </c>
      <c r="X622" t="s">
        <v>7751</v>
      </c>
      <c r="Y622" t="s">
        <v>12092</v>
      </c>
      <c r="Z622" t="s">
        <v>12093</v>
      </c>
      <c r="AA622" t="s">
        <v>12094</v>
      </c>
      <c r="AB622" t="s">
        <v>12095</v>
      </c>
      <c r="AC622" t="s">
        <v>12096</v>
      </c>
      <c r="AD622" t="s">
        <v>12097</v>
      </c>
      <c r="AE622" t="s">
        <v>12098</v>
      </c>
      <c r="AF622" t="s">
        <v>74</v>
      </c>
      <c r="AG622">
        <v>68</v>
      </c>
      <c r="AH622">
        <v>36</v>
      </c>
      <c r="AI622">
        <v>36</v>
      </c>
      <c r="AJ622">
        <v>4</v>
      </c>
      <c r="AK622">
        <v>18</v>
      </c>
      <c r="AL622" t="s">
        <v>120</v>
      </c>
      <c r="AM622" t="s">
        <v>121</v>
      </c>
      <c r="AN622" t="s">
        <v>122</v>
      </c>
      <c r="AO622" t="s">
        <v>74</v>
      </c>
      <c r="AP622" t="s">
        <v>2553</v>
      </c>
      <c r="AQ622" t="s">
        <v>74</v>
      </c>
      <c r="AR622" t="s">
        <v>2554</v>
      </c>
      <c r="AS622" t="s">
        <v>2555</v>
      </c>
      <c r="AT622" t="s">
        <v>151</v>
      </c>
      <c r="AU622">
        <v>2022</v>
      </c>
      <c r="AV622">
        <v>12</v>
      </c>
      <c r="AW622">
        <v>12</v>
      </c>
      <c r="AX622" t="s">
        <v>74</v>
      </c>
      <c r="AY622" t="s">
        <v>74</v>
      </c>
      <c r="AZ622" t="s">
        <v>74</v>
      </c>
      <c r="BA622" t="s">
        <v>74</v>
      </c>
      <c r="BB622" t="s">
        <v>74</v>
      </c>
      <c r="BC622" t="s">
        <v>74</v>
      </c>
      <c r="BD622">
        <v>1678</v>
      </c>
      <c r="BE622" t="s">
        <v>12099</v>
      </c>
      <c r="BF622" t="str">
        <f>HYPERLINK("http://dx.doi.org/10.3390/brainsci12121678","http://dx.doi.org/10.3390/brainsci12121678")</f>
        <v>http://dx.doi.org/10.3390/brainsci12121678</v>
      </c>
      <c r="BG622" t="s">
        <v>74</v>
      </c>
      <c r="BH622" t="s">
        <v>74</v>
      </c>
      <c r="BI622">
        <v>21</v>
      </c>
      <c r="BJ622" t="s">
        <v>374</v>
      </c>
      <c r="BK622" t="s">
        <v>182</v>
      </c>
      <c r="BL622" t="s">
        <v>375</v>
      </c>
      <c r="BM622" t="s">
        <v>12100</v>
      </c>
      <c r="BN622">
        <v>36552138</v>
      </c>
      <c r="BO622" t="s">
        <v>355</v>
      </c>
      <c r="BP622" t="s">
        <v>74</v>
      </c>
      <c r="BQ622" t="s">
        <v>74</v>
      </c>
      <c r="BR622" t="s">
        <v>105</v>
      </c>
      <c r="BS622" t="s">
        <v>12101</v>
      </c>
      <c r="BT622" t="str">
        <f>HYPERLINK("https%3A%2F%2Fwww.webofscience.com%2Fwos%2Fwoscc%2Ffull-record%2FWOS:000900609100001","View Full Record in Web of Science")</f>
        <v>View Full Record in Web of Science</v>
      </c>
    </row>
    <row r="623" spans="1:72" x14ac:dyDescent="0.25">
      <c r="A623" t="s">
        <v>72</v>
      </c>
      <c r="B623" t="s">
        <v>12102</v>
      </c>
      <c r="C623" t="s">
        <v>74</v>
      </c>
      <c r="D623" t="s">
        <v>74</v>
      </c>
      <c r="E623" t="s">
        <v>74</v>
      </c>
      <c r="F623" t="s">
        <v>12103</v>
      </c>
      <c r="G623" t="s">
        <v>74</v>
      </c>
      <c r="H623" t="s">
        <v>74</v>
      </c>
      <c r="I623" t="s">
        <v>12104</v>
      </c>
      <c r="J623" t="s">
        <v>2040</v>
      </c>
      <c r="K623" t="s">
        <v>74</v>
      </c>
      <c r="L623" t="s">
        <v>74</v>
      </c>
      <c r="M623" t="s">
        <v>78</v>
      </c>
      <c r="N623" t="s">
        <v>79</v>
      </c>
      <c r="O623" t="s">
        <v>74</v>
      </c>
      <c r="P623" t="s">
        <v>74</v>
      </c>
      <c r="Q623" t="s">
        <v>74</v>
      </c>
      <c r="R623" t="s">
        <v>74</v>
      </c>
      <c r="S623" t="s">
        <v>74</v>
      </c>
      <c r="T623" t="s">
        <v>12105</v>
      </c>
      <c r="U623" t="s">
        <v>12106</v>
      </c>
      <c r="V623" t="s">
        <v>12107</v>
      </c>
      <c r="W623" t="s">
        <v>12108</v>
      </c>
      <c r="X623" t="s">
        <v>12109</v>
      </c>
      <c r="Y623" t="s">
        <v>12110</v>
      </c>
      <c r="Z623" t="s">
        <v>74</v>
      </c>
      <c r="AA623" t="s">
        <v>12111</v>
      </c>
      <c r="AB623" t="s">
        <v>12112</v>
      </c>
      <c r="AC623" t="s">
        <v>74</v>
      </c>
      <c r="AD623" t="s">
        <v>74</v>
      </c>
      <c r="AE623" t="s">
        <v>74</v>
      </c>
      <c r="AF623" t="s">
        <v>74</v>
      </c>
      <c r="AG623">
        <v>105</v>
      </c>
      <c r="AH623">
        <v>14</v>
      </c>
      <c r="AI623">
        <v>14</v>
      </c>
      <c r="AJ623">
        <v>2</v>
      </c>
      <c r="AK623">
        <v>22</v>
      </c>
      <c r="AL623" t="s">
        <v>120</v>
      </c>
      <c r="AM623" t="s">
        <v>121</v>
      </c>
      <c r="AN623" t="s">
        <v>122</v>
      </c>
      <c r="AO623" t="s">
        <v>74</v>
      </c>
      <c r="AP623" t="s">
        <v>2050</v>
      </c>
      <c r="AQ623" t="s">
        <v>74</v>
      </c>
      <c r="AR623" t="s">
        <v>2051</v>
      </c>
      <c r="AS623" t="s">
        <v>2052</v>
      </c>
      <c r="AT623" t="s">
        <v>151</v>
      </c>
      <c r="AU623">
        <v>2022</v>
      </c>
      <c r="AV623">
        <v>22</v>
      </c>
      <c r="AW623">
        <v>24</v>
      </c>
      <c r="AX623" t="s">
        <v>74</v>
      </c>
      <c r="AY623" t="s">
        <v>74</v>
      </c>
      <c r="AZ623" t="s">
        <v>74</v>
      </c>
      <c r="BA623" t="s">
        <v>74</v>
      </c>
      <c r="BB623" t="s">
        <v>74</v>
      </c>
      <c r="BC623" t="s">
        <v>74</v>
      </c>
      <c r="BD623">
        <v>9910</v>
      </c>
      <c r="BE623" t="s">
        <v>12113</v>
      </c>
      <c r="BF623" t="str">
        <f>HYPERLINK("http://dx.doi.org/10.3390/s22249910","http://dx.doi.org/10.3390/s22249910")</f>
        <v>http://dx.doi.org/10.3390/s22249910</v>
      </c>
      <c r="BG623" t="s">
        <v>74</v>
      </c>
      <c r="BH623" t="s">
        <v>74</v>
      </c>
      <c r="BI623">
        <v>28</v>
      </c>
      <c r="BJ623" t="s">
        <v>2054</v>
      </c>
      <c r="BK623" t="s">
        <v>182</v>
      </c>
      <c r="BL623" t="s">
        <v>2055</v>
      </c>
      <c r="BM623" t="s">
        <v>12114</v>
      </c>
      <c r="BN623">
        <v>36560281</v>
      </c>
      <c r="BO623" t="s">
        <v>131</v>
      </c>
      <c r="BP623" t="s">
        <v>74</v>
      </c>
      <c r="BQ623" t="s">
        <v>74</v>
      </c>
      <c r="BR623" t="s">
        <v>105</v>
      </c>
      <c r="BS623" t="s">
        <v>12115</v>
      </c>
      <c r="BT623" t="str">
        <f>HYPERLINK("https%3A%2F%2Fwww.webofscience.com%2Fwos%2Fwoscc%2Ffull-record%2FWOS:000903555100001","View Full Record in Web of Science")</f>
        <v>View Full Record in Web of Science</v>
      </c>
    </row>
    <row r="624" spans="1:72" x14ac:dyDescent="0.25">
      <c r="A624" t="s">
        <v>72</v>
      </c>
      <c r="B624" t="s">
        <v>12116</v>
      </c>
      <c r="C624" t="s">
        <v>74</v>
      </c>
      <c r="D624" t="s">
        <v>74</v>
      </c>
      <c r="E624" t="s">
        <v>74</v>
      </c>
      <c r="F624" t="s">
        <v>12117</v>
      </c>
      <c r="G624" t="s">
        <v>74</v>
      </c>
      <c r="H624" t="s">
        <v>74</v>
      </c>
      <c r="I624" t="s">
        <v>12118</v>
      </c>
      <c r="J624" t="s">
        <v>2040</v>
      </c>
      <c r="K624" t="s">
        <v>74</v>
      </c>
      <c r="L624" t="s">
        <v>74</v>
      </c>
      <c r="M624" t="s">
        <v>78</v>
      </c>
      <c r="N624" t="s">
        <v>79</v>
      </c>
      <c r="O624" t="s">
        <v>74</v>
      </c>
      <c r="P624" t="s">
        <v>74</v>
      </c>
      <c r="Q624" t="s">
        <v>74</v>
      </c>
      <c r="R624" t="s">
        <v>74</v>
      </c>
      <c r="S624" t="s">
        <v>74</v>
      </c>
      <c r="T624" t="s">
        <v>12119</v>
      </c>
      <c r="U624" t="s">
        <v>12120</v>
      </c>
      <c r="V624" t="s">
        <v>12121</v>
      </c>
      <c r="W624" t="s">
        <v>12122</v>
      </c>
      <c r="X624" t="s">
        <v>12123</v>
      </c>
      <c r="Y624" t="s">
        <v>12124</v>
      </c>
      <c r="Z624" t="s">
        <v>12125</v>
      </c>
      <c r="AA624" t="s">
        <v>12126</v>
      </c>
      <c r="AB624" t="s">
        <v>12127</v>
      </c>
      <c r="AC624" t="s">
        <v>12128</v>
      </c>
      <c r="AD624" t="s">
        <v>12129</v>
      </c>
      <c r="AE624" t="s">
        <v>12130</v>
      </c>
      <c r="AF624" t="s">
        <v>74</v>
      </c>
      <c r="AG624">
        <v>89</v>
      </c>
      <c r="AH624">
        <v>3</v>
      </c>
      <c r="AI624">
        <v>3</v>
      </c>
      <c r="AJ624">
        <v>1</v>
      </c>
      <c r="AK624">
        <v>18</v>
      </c>
      <c r="AL624" t="s">
        <v>120</v>
      </c>
      <c r="AM624" t="s">
        <v>121</v>
      </c>
      <c r="AN624" t="s">
        <v>122</v>
      </c>
      <c r="AO624" t="s">
        <v>74</v>
      </c>
      <c r="AP624" t="s">
        <v>2050</v>
      </c>
      <c r="AQ624" t="s">
        <v>74</v>
      </c>
      <c r="AR624" t="s">
        <v>2051</v>
      </c>
      <c r="AS624" t="s">
        <v>2052</v>
      </c>
      <c r="AT624" t="s">
        <v>151</v>
      </c>
      <c r="AU624">
        <v>2022</v>
      </c>
      <c r="AV624">
        <v>22</v>
      </c>
      <c r="AW624">
        <v>23</v>
      </c>
      <c r="AX624" t="s">
        <v>74</v>
      </c>
      <c r="AY624" t="s">
        <v>74</v>
      </c>
      <c r="AZ624" t="s">
        <v>74</v>
      </c>
      <c r="BA624" t="s">
        <v>74</v>
      </c>
      <c r="BB624" t="s">
        <v>74</v>
      </c>
      <c r="BC624" t="s">
        <v>74</v>
      </c>
      <c r="BD624">
        <v>9232</v>
      </c>
      <c r="BE624" t="s">
        <v>12131</v>
      </c>
      <c r="BF624" t="str">
        <f>HYPERLINK("http://dx.doi.org/10.3390/s22239232","http://dx.doi.org/10.3390/s22239232")</f>
        <v>http://dx.doi.org/10.3390/s22239232</v>
      </c>
      <c r="BG624" t="s">
        <v>74</v>
      </c>
      <c r="BH624" t="s">
        <v>74</v>
      </c>
      <c r="BI624">
        <v>18</v>
      </c>
      <c r="BJ624" t="s">
        <v>2054</v>
      </c>
      <c r="BK624" t="s">
        <v>182</v>
      </c>
      <c r="BL624" t="s">
        <v>2055</v>
      </c>
      <c r="BM624" t="s">
        <v>12132</v>
      </c>
      <c r="BN624">
        <v>36501933</v>
      </c>
      <c r="BO624" t="s">
        <v>355</v>
      </c>
      <c r="BP624" t="s">
        <v>74</v>
      </c>
      <c r="BQ624" t="s">
        <v>74</v>
      </c>
      <c r="BR624" t="s">
        <v>105</v>
      </c>
      <c r="BS624" t="s">
        <v>12133</v>
      </c>
      <c r="BT624" t="str">
        <f>HYPERLINK("https%3A%2F%2Fwww.webofscience.com%2Fwos%2Fwoscc%2Ffull-record%2FWOS:000897456000001","View Full Record in Web of Science")</f>
        <v>View Full Record in Web of Science</v>
      </c>
    </row>
    <row r="625" spans="1:72" x14ac:dyDescent="0.25">
      <c r="A625" t="s">
        <v>72</v>
      </c>
      <c r="B625" t="s">
        <v>12134</v>
      </c>
      <c r="C625" t="s">
        <v>74</v>
      </c>
      <c r="D625" t="s">
        <v>74</v>
      </c>
      <c r="E625" t="s">
        <v>74</v>
      </c>
      <c r="F625" t="s">
        <v>12135</v>
      </c>
      <c r="G625" t="s">
        <v>74</v>
      </c>
      <c r="H625" t="s">
        <v>74</v>
      </c>
      <c r="I625" t="s">
        <v>12136</v>
      </c>
      <c r="J625" t="s">
        <v>12137</v>
      </c>
      <c r="K625" t="s">
        <v>74</v>
      </c>
      <c r="L625" t="s">
        <v>74</v>
      </c>
      <c r="M625" t="s">
        <v>78</v>
      </c>
      <c r="N625" t="s">
        <v>79</v>
      </c>
      <c r="O625" t="s">
        <v>74</v>
      </c>
      <c r="P625" t="s">
        <v>74</v>
      </c>
      <c r="Q625" t="s">
        <v>74</v>
      </c>
      <c r="R625" t="s">
        <v>74</v>
      </c>
      <c r="S625" t="s">
        <v>74</v>
      </c>
      <c r="T625" t="s">
        <v>12138</v>
      </c>
      <c r="U625" t="s">
        <v>12139</v>
      </c>
      <c r="V625" t="s">
        <v>12140</v>
      </c>
      <c r="W625" t="s">
        <v>12141</v>
      </c>
      <c r="X625" t="s">
        <v>12142</v>
      </c>
      <c r="Y625" t="s">
        <v>12143</v>
      </c>
      <c r="Z625" t="s">
        <v>12144</v>
      </c>
      <c r="AA625" t="s">
        <v>12145</v>
      </c>
      <c r="AB625" t="s">
        <v>12146</v>
      </c>
      <c r="AC625" t="s">
        <v>74</v>
      </c>
      <c r="AD625" t="s">
        <v>74</v>
      </c>
      <c r="AE625" t="s">
        <v>74</v>
      </c>
      <c r="AF625" t="s">
        <v>74</v>
      </c>
      <c r="AG625">
        <v>140</v>
      </c>
      <c r="AH625">
        <v>31</v>
      </c>
      <c r="AI625">
        <v>31</v>
      </c>
      <c r="AJ625">
        <v>14</v>
      </c>
      <c r="AK625">
        <v>40</v>
      </c>
      <c r="AL625" t="s">
        <v>1605</v>
      </c>
      <c r="AM625" t="s">
        <v>1606</v>
      </c>
      <c r="AN625" t="s">
        <v>1607</v>
      </c>
      <c r="AO625" t="s">
        <v>12147</v>
      </c>
      <c r="AP625" t="s">
        <v>74</v>
      </c>
      <c r="AQ625" t="s">
        <v>74</v>
      </c>
      <c r="AR625" t="s">
        <v>12148</v>
      </c>
      <c r="AS625" t="s">
        <v>12149</v>
      </c>
      <c r="AT625" t="s">
        <v>151</v>
      </c>
      <c r="AU625">
        <v>2022</v>
      </c>
      <c r="AV625">
        <v>4</v>
      </c>
      <c r="AW625" t="s">
        <v>74</v>
      </c>
      <c r="AX625" t="s">
        <v>74</v>
      </c>
      <c r="AY625" t="s">
        <v>74</v>
      </c>
      <c r="AZ625" t="s">
        <v>74</v>
      </c>
      <c r="BA625" t="s">
        <v>74</v>
      </c>
      <c r="BB625" t="s">
        <v>74</v>
      </c>
      <c r="BC625" t="s">
        <v>74</v>
      </c>
      <c r="BD625" t="s">
        <v>74</v>
      </c>
      <c r="BE625" t="s">
        <v>12150</v>
      </c>
      <c r="BF625" t="str">
        <f>HYPERLINK("http://dx.doi.org/10.1016/j.ijnsa.2022.100072","http://dx.doi.org/10.1016/j.ijnsa.2022.100072")</f>
        <v>http://dx.doi.org/10.1016/j.ijnsa.2022.100072</v>
      </c>
      <c r="BG625" t="s">
        <v>74</v>
      </c>
      <c r="BH625" t="s">
        <v>74</v>
      </c>
      <c r="BI625">
        <v>23</v>
      </c>
      <c r="BJ625" t="s">
        <v>3094</v>
      </c>
      <c r="BK625" t="s">
        <v>155</v>
      </c>
      <c r="BL625" t="s">
        <v>3094</v>
      </c>
      <c r="BM625" t="s">
        <v>12151</v>
      </c>
      <c r="BN625">
        <v>38745638</v>
      </c>
      <c r="BO625" t="s">
        <v>4280</v>
      </c>
      <c r="BP625" t="s">
        <v>74</v>
      </c>
      <c r="BQ625" t="s">
        <v>74</v>
      </c>
      <c r="BR625" t="s">
        <v>105</v>
      </c>
      <c r="BS625" t="s">
        <v>12152</v>
      </c>
      <c r="BT625" t="str">
        <f>HYPERLINK("https%3A%2F%2Fwww.webofscience.com%2Fwos%2Fwoscc%2Ffull-record%2FWOS:001026532200040","View Full Record in Web of Science")</f>
        <v>View Full Record in Web of Science</v>
      </c>
    </row>
    <row r="626" spans="1:72" x14ac:dyDescent="0.25">
      <c r="A626" t="s">
        <v>72</v>
      </c>
      <c r="B626" t="s">
        <v>12153</v>
      </c>
      <c r="C626" t="s">
        <v>74</v>
      </c>
      <c r="D626" t="s">
        <v>74</v>
      </c>
      <c r="E626" t="s">
        <v>74</v>
      </c>
      <c r="F626" t="s">
        <v>12154</v>
      </c>
      <c r="G626" t="s">
        <v>74</v>
      </c>
      <c r="H626" t="s">
        <v>74</v>
      </c>
      <c r="I626" t="s">
        <v>12155</v>
      </c>
      <c r="J626" t="s">
        <v>2040</v>
      </c>
      <c r="K626" t="s">
        <v>74</v>
      </c>
      <c r="L626" t="s">
        <v>74</v>
      </c>
      <c r="M626" t="s">
        <v>78</v>
      </c>
      <c r="N626" t="s">
        <v>79</v>
      </c>
      <c r="O626" t="s">
        <v>74</v>
      </c>
      <c r="P626" t="s">
        <v>74</v>
      </c>
      <c r="Q626" t="s">
        <v>74</v>
      </c>
      <c r="R626" t="s">
        <v>74</v>
      </c>
      <c r="S626" t="s">
        <v>74</v>
      </c>
      <c r="T626" t="s">
        <v>12156</v>
      </c>
      <c r="U626" t="s">
        <v>12157</v>
      </c>
      <c r="V626" t="s">
        <v>12158</v>
      </c>
      <c r="W626" t="s">
        <v>12159</v>
      </c>
      <c r="X626" t="s">
        <v>12160</v>
      </c>
      <c r="Y626" t="s">
        <v>12161</v>
      </c>
      <c r="Z626" t="s">
        <v>12162</v>
      </c>
      <c r="AA626" t="s">
        <v>12163</v>
      </c>
      <c r="AB626" t="s">
        <v>12164</v>
      </c>
      <c r="AC626" t="s">
        <v>12165</v>
      </c>
      <c r="AD626" t="s">
        <v>12166</v>
      </c>
      <c r="AE626" t="s">
        <v>12167</v>
      </c>
      <c r="AF626" t="s">
        <v>74</v>
      </c>
      <c r="AG626">
        <v>160</v>
      </c>
      <c r="AH626">
        <v>17</v>
      </c>
      <c r="AI626">
        <v>18</v>
      </c>
      <c r="AJ626">
        <v>4</v>
      </c>
      <c r="AK626">
        <v>92</v>
      </c>
      <c r="AL626" t="s">
        <v>120</v>
      </c>
      <c r="AM626" t="s">
        <v>121</v>
      </c>
      <c r="AN626" t="s">
        <v>122</v>
      </c>
      <c r="AO626" t="s">
        <v>74</v>
      </c>
      <c r="AP626" t="s">
        <v>2050</v>
      </c>
      <c r="AQ626" t="s">
        <v>74</v>
      </c>
      <c r="AR626" t="s">
        <v>2051</v>
      </c>
      <c r="AS626" t="s">
        <v>2052</v>
      </c>
      <c r="AT626" t="s">
        <v>151</v>
      </c>
      <c r="AU626">
        <v>2022</v>
      </c>
      <c r="AV626">
        <v>22</v>
      </c>
      <c r="AW626">
        <v>23</v>
      </c>
      <c r="AX626" t="s">
        <v>74</v>
      </c>
      <c r="AY626" t="s">
        <v>74</v>
      </c>
      <c r="AZ626" t="s">
        <v>74</v>
      </c>
      <c r="BA626" t="s">
        <v>74</v>
      </c>
      <c r="BB626" t="s">
        <v>74</v>
      </c>
      <c r="BC626" t="s">
        <v>74</v>
      </c>
      <c r="BD626">
        <v>9091</v>
      </c>
      <c r="BE626" t="s">
        <v>12168</v>
      </c>
      <c r="BF626" t="str">
        <f>HYPERLINK("http://dx.doi.org/10.3390/s22239091","http://dx.doi.org/10.3390/s22239091")</f>
        <v>http://dx.doi.org/10.3390/s22239091</v>
      </c>
      <c r="BG626" t="s">
        <v>74</v>
      </c>
      <c r="BH626" t="s">
        <v>74</v>
      </c>
      <c r="BI626">
        <v>17</v>
      </c>
      <c r="BJ626" t="s">
        <v>2054</v>
      </c>
      <c r="BK626" t="s">
        <v>182</v>
      </c>
      <c r="BL626" t="s">
        <v>2055</v>
      </c>
      <c r="BM626" t="s">
        <v>12169</v>
      </c>
      <c r="BN626">
        <v>36501804</v>
      </c>
      <c r="BO626" t="s">
        <v>355</v>
      </c>
      <c r="BP626" t="s">
        <v>74</v>
      </c>
      <c r="BQ626" t="s">
        <v>74</v>
      </c>
      <c r="BR626" t="s">
        <v>105</v>
      </c>
      <c r="BS626" t="s">
        <v>12170</v>
      </c>
      <c r="BT626" t="str">
        <f>HYPERLINK("https%3A%2F%2Fwww.webofscience.com%2Fwos%2Fwoscc%2Ffull-record%2FWOS:000897341500001","View Full Record in Web of Science")</f>
        <v>View Full Record in Web of Science</v>
      </c>
    </row>
    <row r="627" spans="1:72" x14ac:dyDescent="0.25">
      <c r="A627" t="s">
        <v>72</v>
      </c>
      <c r="B627" t="s">
        <v>12171</v>
      </c>
      <c r="C627" t="s">
        <v>74</v>
      </c>
      <c r="D627" t="s">
        <v>74</v>
      </c>
      <c r="E627" t="s">
        <v>74</v>
      </c>
      <c r="F627" t="s">
        <v>12172</v>
      </c>
      <c r="G627" t="s">
        <v>74</v>
      </c>
      <c r="H627" t="s">
        <v>74</v>
      </c>
      <c r="I627" t="s">
        <v>12173</v>
      </c>
      <c r="J627" t="s">
        <v>12174</v>
      </c>
      <c r="K627" t="s">
        <v>74</v>
      </c>
      <c r="L627" t="s">
        <v>74</v>
      </c>
      <c r="M627" t="s">
        <v>78</v>
      </c>
      <c r="N627" t="s">
        <v>79</v>
      </c>
      <c r="O627" t="s">
        <v>74</v>
      </c>
      <c r="P627" t="s">
        <v>74</v>
      </c>
      <c r="Q627" t="s">
        <v>74</v>
      </c>
      <c r="R627" t="s">
        <v>74</v>
      </c>
      <c r="S627" t="s">
        <v>74</v>
      </c>
      <c r="T627" t="s">
        <v>12175</v>
      </c>
      <c r="U627" t="s">
        <v>12176</v>
      </c>
      <c r="V627" t="s">
        <v>12177</v>
      </c>
      <c r="W627" t="s">
        <v>12178</v>
      </c>
      <c r="X627" t="s">
        <v>12179</v>
      </c>
      <c r="Y627" t="s">
        <v>12180</v>
      </c>
      <c r="Z627" t="s">
        <v>12181</v>
      </c>
      <c r="AA627" t="s">
        <v>12182</v>
      </c>
      <c r="AB627" t="s">
        <v>12183</v>
      </c>
      <c r="AC627" t="s">
        <v>74</v>
      </c>
      <c r="AD627" t="s">
        <v>74</v>
      </c>
      <c r="AE627" t="s">
        <v>74</v>
      </c>
      <c r="AF627" t="s">
        <v>74</v>
      </c>
      <c r="AG627">
        <v>91</v>
      </c>
      <c r="AH627">
        <v>21</v>
      </c>
      <c r="AI627">
        <v>22</v>
      </c>
      <c r="AJ627">
        <v>13</v>
      </c>
      <c r="AK627">
        <v>107</v>
      </c>
      <c r="AL627" t="s">
        <v>120</v>
      </c>
      <c r="AM627" t="s">
        <v>121</v>
      </c>
      <c r="AN627" t="s">
        <v>1221</v>
      </c>
      <c r="AO627" t="s">
        <v>74</v>
      </c>
      <c r="AP627" t="s">
        <v>12184</v>
      </c>
      <c r="AQ627" t="s">
        <v>74</v>
      </c>
      <c r="AR627" t="s">
        <v>12174</v>
      </c>
      <c r="AS627" t="s">
        <v>12185</v>
      </c>
      <c r="AT627" t="s">
        <v>151</v>
      </c>
      <c r="AU627">
        <v>2022</v>
      </c>
      <c r="AV627">
        <v>12</v>
      </c>
      <c r="AW627">
        <v>12</v>
      </c>
      <c r="AX627" t="s">
        <v>74</v>
      </c>
      <c r="AY627" t="s">
        <v>74</v>
      </c>
      <c r="AZ627" t="s">
        <v>74</v>
      </c>
      <c r="BA627" t="s">
        <v>74</v>
      </c>
      <c r="BB627" t="s">
        <v>74</v>
      </c>
      <c r="BC627" t="s">
        <v>74</v>
      </c>
      <c r="BD627">
        <v>1134</v>
      </c>
      <c r="BE627" t="s">
        <v>12186</v>
      </c>
      <c r="BF627" t="str">
        <f>HYPERLINK("http://dx.doi.org/10.3390/bios12121134","http://dx.doi.org/10.3390/bios12121134")</f>
        <v>http://dx.doi.org/10.3390/bios12121134</v>
      </c>
      <c r="BG627" t="s">
        <v>74</v>
      </c>
      <c r="BH627" t="s">
        <v>74</v>
      </c>
      <c r="BI627">
        <v>20</v>
      </c>
      <c r="BJ627" t="s">
        <v>12187</v>
      </c>
      <c r="BK627" t="s">
        <v>182</v>
      </c>
      <c r="BL627" t="s">
        <v>12188</v>
      </c>
      <c r="BM627" t="s">
        <v>12189</v>
      </c>
      <c r="BN627">
        <v>36551100</v>
      </c>
      <c r="BO627" t="s">
        <v>355</v>
      </c>
      <c r="BP627" t="s">
        <v>74</v>
      </c>
      <c r="BQ627" t="s">
        <v>74</v>
      </c>
      <c r="BR627" t="s">
        <v>105</v>
      </c>
      <c r="BS627" t="s">
        <v>12190</v>
      </c>
      <c r="BT627" t="str">
        <f>HYPERLINK("https%3A%2F%2Fwww.webofscience.com%2Fwos%2Fwoscc%2Ffull-record%2FWOS:000900516000001","View Full Record in Web of Science")</f>
        <v>View Full Record in Web of Science</v>
      </c>
    </row>
    <row r="628" spans="1:72" x14ac:dyDescent="0.25">
      <c r="A628" t="s">
        <v>72</v>
      </c>
      <c r="B628" t="s">
        <v>12191</v>
      </c>
      <c r="C628" t="s">
        <v>74</v>
      </c>
      <c r="D628" t="s">
        <v>74</v>
      </c>
      <c r="E628" t="s">
        <v>74</v>
      </c>
      <c r="F628" t="s">
        <v>12192</v>
      </c>
      <c r="G628" t="s">
        <v>74</v>
      </c>
      <c r="H628" t="s">
        <v>74</v>
      </c>
      <c r="I628" t="s">
        <v>12193</v>
      </c>
      <c r="J628" t="s">
        <v>12194</v>
      </c>
      <c r="K628" t="s">
        <v>74</v>
      </c>
      <c r="L628" t="s">
        <v>74</v>
      </c>
      <c r="M628" t="s">
        <v>78</v>
      </c>
      <c r="N628" t="s">
        <v>79</v>
      </c>
      <c r="O628" t="s">
        <v>74</v>
      </c>
      <c r="P628" t="s">
        <v>74</v>
      </c>
      <c r="Q628" t="s">
        <v>74</v>
      </c>
      <c r="R628" t="s">
        <v>74</v>
      </c>
      <c r="S628" t="s">
        <v>74</v>
      </c>
      <c r="T628" t="s">
        <v>12195</v>
      </c>
      <c r="U628" t="s">
        <v>12196</v>
      </c>
      <c r="V628" t="s">
        <v>12197</v>
      </c>
      <c r="W628" t="s">
        <v>12198</v>
      </c>
      <c r="X628" t="s">
        <v>12199</v>
      </c>
      <c r="Y628" t="s">
        <v>12200</v>
      </c>
      <c r="Z628" t="s">
        <v>12201</v>
      </c>
      <c r="AA628" t="s">
        <v>12202</v>
      </c>
      <c r="AB628" t="s">
        <v>12203</v>
      </c>
      <c r="AC628" t="s">
        <v>12204</v>
      </c>
      <c r="AD628" t="s">
        <v>12205</v>
      </c>
      <c r="AE628" t="s">
        <v>12206</v>
      </c>
      <c r="AF628" t="s">
        <v>74</v>
      </c>
      <c r="AG628">
        <v>40</v>
      </c>
      <c r="AH628">
        <v>19</v>
      </c>
      <c r="AI628">
        <v>20</v>
      </c>
      <c r="AJ628">
        <v>4</v>
      </c>
      <c r="AK628">
        <v>60</v>
      </c>
      <c r="AL628" t="s">
        <v>12207</v>
      </c>
      <c r="AM628" t="s">
        <v>12208</v>
      </c>
      <c r="AN628" t="s">
        <v>12209</v>
      </c>
      <c r="AO628" t="s">
        <v>12210</v>
      </c>
      <c r="AP628" t="s">
        <v>12211</v>
      </c>
      <c r="AQ628" t="s">
        <v>74</v>
      </c>
      <c r="AR628" t="s">
        <v>12212</v>
      </c>
      <c r="AS628" t="s">
        <v>12213</v>
      </c>
      <c r="AT628" t="s">
        <v>351</v>
      </c>
      <c r="AU628">
        <v>2023</v>
      </c>
      <c r="AV628">
        <v>66</v>
      </c>
      <c r="AW628">
        <v>1</v>
      </c>
      <c r="AX628" t="s">
        <v>74</v>
      </c>
      <c r="AY628" t="s">
        <v>74</v>
      </c>
      <c r="AZ628" t="s">
        <v>74</v>
      </c>
      <c r="BA628" t="s">
        <v>74</v>
      </c>
      <c r="BB628" t="s">
        <v>74</v>
      </c>
      <c r="BC628" t="s">
        <v>74</v>
      </c>
      <c r="BD628">
        <v>101674</v>
      </c>
      <c r="BE628" t="s">
        <v>12214</v>
      </c>
      <c r="BF628" t="str">
        <f>HYPERLINK("http://dx.doi.org/10.1016/j.rehab.2022.101674","http://dx.doi.org/10.1016/j.rehab.2022.101674")</f>
        <v>http://dx.doi.org/10.1016/j.rehab.2022.101674</v>
      </c>
      <c r="BG628" t="s">
        <v>74</v>
      </c>
      <c r="BH628" t="s">
        <v>5838</v>
      </c>
      <c r="BI628">
        <v>8</v>
      </c>
      <c r="BJ628" t="s">
        <v>101</v>
      </c>
      <c r="BK628" t="s">
        <v>182</v>
      </c>
      <c r="BL628" t="s">
        <v>101</v>
      </c>
      <c r="BM628" t="s">
        <v>12215</v>
      </c>
      <c r="BN628">
        <v>35525427</v>
      </c>
      <c r="BO628" t="s">
        <v>1052</v>
      </c>
      <c r="BP628" t="s">
        <v>74</v>
      </c>
      <c r="BQ628" t="s">
        <v>74</v>
      </c>
      <c r="BR628" t="s">
        <v>105</v>
      </c>
      <c r="BS628" t="s">
        <v>12216</v>
      </c>
      <c r="BT628" t="str">
        <f>HYPERLINK("https%3A%2F%2Fwww.webofscience.com%2Fwos%2Fwoscc%2Ffull-record%2FWOS:000892232800006","View Full Record in Web of Science")</f>
        <v>View Full Record in Web of Science</v>
      </c>
    </row>
    <row r="629" spans="1:72" x14ac:dyDescent="0.25">
      <c r="A629" t="s">
        <v>72</v>
      </c>
      <c r="B629" t="s">
        <v>12217</v>
      </c>
      <c r="C629" t="s">
        <v>74</v>
      </c>
      <c r="D629" t="s">
        <v>74</v>
      </c>
      <c r="E629" t="s">
        <v>74</v>
      </c>
      <c r="F629" t="s">
        <v>12218</v>
      </c>
      <c r="G629" t="s">
        <v>74</v>
      </c>
      <c r="H629" t="s">
        <v>74</v>
      </c>
      <c r="I629" t="s">
        <v>12219</v>
      </c>
      <c r="J629" t="s">
        <v>2641</v>
      </c>
      <c r="K629" t="s">
        <v>74</v>
      </c>
      <c r="L629" t="s">
        <v>74</v>
      </c>
      <c r="M629" t="s">
        <v>78</v>
      </c>
      <c r="N629" t="s">
        <v>79</v>
      </c>
      <c r="O629" t="s">
        <v>74</v>
      </c>
      <c r="P629" t="s">
        <v>74</v>
      </c>
      <c r="Q629" t="s">
        <v>74</v>
      </c>
      <c r="R629" t="s">
        <v>74</v>
      </c>
      <c r="S629" t="s">
        <v>74</v>
      </c>
      <c r="T629" t="s">
        <v>12220</v>
      </c>
      <c r="U629" t="s">
        <v>12221</v>
      </c>
      <c r="V629" t="s">
        <v>12222</v>
      </c>
      <c r="W629" t="s">
        <v>12223</v>
      </c>
      <c r="X629" t="s">
        <v>12224</v>
      </c>
      <c r="Y629" t="s">
        <v>12225</v>
      </c>
      <c r="Z629" t="s">
        <v>12226</v>
      </c>
      <c r="AA629" t="s">
        <v>12227</v>
      </c>
      <c r="AB629" t="s">
        <v>12228</v>
      </c>
      <c r="AC629" t="s">
        <v>12229</v>
      </c>
      <c r="AD629" t="s">
        <v>12230</v>
      </c>
      <c r="AE629" t="s">
        <v>12231</v>
      </c>
      <c r="AF629" t="s">
        <v>74</v>
      </c>
      <c r="AG629">
        <v>127</v>
      </c>
      <c r="AH629">
        <v>14</v>
      </c>
      <c r="AI629">
        <v>15</v>
      </c>
      <c r="AJ629">
        <v>20</v>
      </c>
      <c r="AK629">
        <v>130</v>
      </c>
      <c r="AL629" t="s">
        <v>1605</v>
      </c>
      <c r="AM629" t="s">
        <v>1606</v>
      </c>
      <c r="AN629" t="s">
        <v>1607</v>
      </c>
      <c r="AO629" t="s">
        <v>2651</v>
      </c>
      <c r="AP629" t="s">
        <v>2652</v>
      </c>
      <c r="AQ629" t="s">
        <v>74</v>
      </c>
      <c r="AR629" t="s">
        <v>2653</v>
      </c>
      <c r="AS629" t="s">
        <v>2654</v>
      </c>
      <c r="AT629" t="s">
        <v>351</v>
      </c>
      <c r="AU629">
        <v>2023</v>
      </c>
      <c r="AV629">
        <v>160</v>
      </c>
      <c r="AW629" t="s">
        <v>74</v>
      </c>
      <c r="AX629" t="s">
        <v>74</v>
      </c>
      <c r="AY629" t="s">
        <v>74</v>
      </c>
      <c r="AZ629" t="s">
        <v>74</v>
      </c>
      <c r="BA629" t="s">
        <v>74</v>
      </c>
      <c r="BB629" t="s">
        <v>74</v>
      </c>
      <c r="BC629" t="s">
        <v>74</v>
      </c>
      <c r="BD629">
        <v>104308</v>
      </c>
      <c r="BE629" t="s">
        <v>12232</v>
      </c>
      <c r="BF629" t="str">
        <f>HYPERLINK("http://dx.doi.org/10.1016/j.robot.2022.104308","http://dx.doi.org/10.1016/j.robot.2022.104308")</f>
        <v>http://dx.doi.org/10.1016/j.robot.2022.104308</v>
      </c>
      <c r="BG629" t="s">
        <v>74</v>
      </c>
      <c r="BH629" t="s">
        <v>5838</v>
      </c>
      <c r="BI629">
        <v>18</v>
      </c>
      <c r="BJ629" t="s">
        <v>2657</v>
      </c>
      <c r="BK629" t="s">
        <v>182</v>
      </c>
      <c r="BL629" t="s">
        <v>2658</v>
      </c>
      <c r="BM629" t="s">
        <v>12233</v>
      </c>
      <c r="BN629" t="s">
        <v>74</v>
      </c>
      <c r="BO629" t="s">
        <v>74</v>
      </c>
      <c r="BP629" t="s">
        <v>74</v>
      </c>
      <c r="BQ629" t="s">
        <v>74</v>
      </c>
      <c r="BR629" t="s">
        <v>105</v>
      </c>
      <c r="BS629" t="s">
        <v>12234</v>
      </c>
      <c r="BT629" t="str">
        <f>HYPERLINK("https%3A%2F%2Fwww.webofscience.com%2Fwos%2Fwoscc%2Ffull-record%2FWOS:000903974100001","View Full Record in Web of Science")</f>
        <v>View Full Record in Web of Science</v>
      </c>
    </row>
    <row r="630" spans="1:72" x14ac:dyDescent="0.25">
      <c r="A630" t="s">
        <v>72</v>
      </c>
      <c r="B630" t="s">
        <v>12235</v>
      </c>
      <c r="C630" t="s">
        <v>74</v>
      </c>
      <c r="D630" t="s">
        <v>74</v>
      </c>
      <c r="E630" t="s">
        <v>74</v>
      </c>
      <c r="F630" t="s">
        <v>12236</v>
      </c>
      <c r="G630" t="s">
        <v>74</v>
      </c>
      <c r="H630" t="s">
        <v>74</v>
      </c>
      <c r="I630" t="s">
        <v>12237</v>
      </c>
      <c r="J630" t="s">
        <v>1032</v>
      </c>
      <c r="K630" t="s">
        <v>74</v>
      </c>
      <c r="L630" t="s">
        <v>74</v>
      </c>
      <c r="M630" t="s">
        <v>78</v>
      </c>
      <c r="N630" t="s">
        <v>79</v>
      </c>
      <c r="O630" t="s">
        <v>74</v>
      </c>
      <c r="P630" t="s">
        <v>74</v>
      </c>
      <c r="Q630" t="s">
        <v>74</v>
      </c>
      <c r="R630" t="s">
        <v>74</v>
      </c>
      <c r="S630" t="s">
        <v>74</v>
      </c>
      <c r="T630" t="s">
        <v>12238</v>
      </c>
      <c r="U630" t="s">
        <v>12239</v>
      </c>
      <c r="V630" t="s">
        <v>12240</v>
      </c>
      <c r="W630" t="s">
        <v>12241</v>
      </c>
      <c r="X630" t="s">
        <v>12242</v>
      </c>
      <c r="Y630" t="s">
        <v>12243</v>
      </c>
      <c r="Z630" t="s">
        <v>12244</v>
      </c>
      <c r="AA630" t="s">
        <v>12245</v>
      </c>
      <c r="AB630" t="s">
        <v>12246</v>
      </c>
      <c r="AC630" t="s">
        <v>12247</v>
      </c>
      <c r="AD630" t="s">
        <v>12248</v>
      </c>
      <c r="AE630" t="s">
        <v>12249</v>
      </c>
      <c r="AF630" t="s">
        <v>74</v>
      </c>
      <c r="AG630">
        <v>71</v>
      </c>
      <c r="AH630">
        <v>30</v>
      </c>
      <c r="AI630">
        <v>33</v>
      </c>
      <c r="AJ630">
        <v>7</v>
      </c>
      <c r="AK630">
        <v>49</v>
      </c>
      <c r="AL630" t="s">
        <v>1040</v>
      </c>
      <c r="AM630" t="s">
        <v>1041</v>
      </c>
      <c r="AN630" t="s">
        <v>1042</v>
      </c>
      <c r="AO630" t="s">
        <v>1043</v>
      </c>
      <c r="AP630" t="s">
        <v>1044</v>
      </c>
      <c r="AQ630" t="s">
        <v>74</v>
      </c>
      <c r="AR630" t="s">
        <v>1045</v>
      </c>
      <c r="AS630" t="s">
        <v>1046</v>
      </c>
      <c r="AT630" t="s">
        <v>151</v>
      </c>
      <c r="AU630">
        <v>2022</v>
      </c>
      <c r="AV630">
        <v>36</v>
      </c>
      <c r="AW630">
        <v>12</v>
      </c>
      <c r="AX630" t="s">
        <v>74</v>
      </c>
      <c r="AY630" t="s">
        <v>74</v>
      </c>
      <c r="AZ630" t="s">
        <v>74</v>
      </c>
      <c r="BA630" t="s">
        <v>74</v>
      </c>
      <c r="BB630">
        <v>747</v>
      </c>
      <c r="BC630">
        <v>756</v>
      </c>
      <c r="BD630" t="s">
        <v>74</v>
      </c>
      <c r="BE630" t="s">
        <v>12250</v>
      </c>
      <c r="BF630" t="str">
        <f>HYPERLINK("http://dx.doi.org/10.1177/15459683221138751","http://dx.doi.org/10.1177/15459683221138751")</f>
        <v>http://dx.doi.org/10.1177/15459683221138751</v>
      </c>
      <c r="BG630" t="s">
        <v>74</v>
      </c>
      <c r="BH630" t="s">
        <v>5838</v>
      </c>
      <c r="BI630">
        <v>10</v>
      </c>
      <c r="BJ630" t="s">
        <v>1049</v>
      </c>
      <c r="BK630" t="s">
        <v>182</v>
      </c>
      <c r="BL630" t="s">
        <v>1050</v>
      </c>
      <c r="BM630" t="s">
        <v>12251</v>
      </c>
      <c r="BN630">
        <v>36426541</v>
      </c>
      <c r="BO630" t="s">
        <v>238</v>
      </c>
      <c r="BP630" t="s">
        <v>74</v>
      </c>
      <c r="BQ630" t="s">
        <v>74</v>
      </c>
      <c r="BR630" t="s">
        <v>105</v>
      </c>
      <c r="BS630" t="s">
        <v>12252</v>
      </c>
      <c r="BT630" t="str">
        <f>HYPERLINK("https%3A%2F%2Fwww.webofscience.com%2Fwos%2Fwoscc%2Ffull-record%2FWOS:000890318900001","View Full Record in Web of Science")</f>
        <v>View Full Record in Web of Science</v>
      </c>
    </row>
    <row r="631" spans="1:72" x14ac:dyDescent="0.25">
      <c r="A631" t="s">
        <v>72</v>
      </c>
      <c r="B631" t="s">
        <v>12253</v>
      </c>
      <c r="C631" t="s">
        <v>74</v>
      </c>
      <c r="D631" t="s">
        <v>74</v>
      </c>
      <c r="E631" t="s">
        <v>74</v>
      </c>
      <c r="F631" t="s">
        <v>12254</v>
      </c>
      <c r="G631" t="s">
        <v>74</v>
      </c>
      <c r="H631" t="s">
        <v>74</v>
      </c>
      <c r="I631" t="s">
        <v>12255</v>
      </c>
      <c r="J631" t="s">
        <v>12256</v>
      </c>
      <c r="K631" t="s">
        <v>74</v>
      </c>
      <c r="L631" t="s">
        <v>74</v>
      </c>
      <c r="M631" t="s">
        <v>78</v>
      </c>
      <c r="N631" t="s">
        <v>79</v>
      </c>
      <c r="O631" t="s">
        <v>74</v>
      </c>
      <c r="P631" t="s">
        <v>74</v>
      </c>
      <c r="Q631" t="s">
        <v>74</v>
      </c>
      <c r="R631" t="s">
        <v>74</v>
      </c>
      <c r="S631" t="s">
        <v>74</v>
      </c>
      <c r="T631" t="s">
        <v>74</v>
      </c>
      <c r="U631" t="s">
        <v>12257</v>
      </c>
      <c r="V631" t="s">
        <v>12258</v>
      </c>
      <c r="W631" t="s">
        <v>12259</v>
      </c>
      <c r="X631" t="s">
        <v>12260</v>
      </c>
      <c r="Y631" t="s">
        <v>12261</v>
      </c>
      <c r="Z631" t="s">
        <v>12262</v>
      </c>
      <c r="AA631" t="s">
        <v>74</v>
      </c>
      <c r="AB631" t="s">
        <v>12263</v>
      </c>
      <c r="AC631" t="s">
        <v>74</v>
      </c>
      <c r="AD631" t="s">
        <v>74</v>
      </c>
      <c r="AE631" t="s">
        <v>74</v>
      </c>
      <c r="AF631" t="s">
        <v>74</v>
      </c>
      <c r="AG631">
        <v>172</v>
      </c>
      <c r="AH631">
        <v>1</v>
      </c>
      <c r="AI631">
        <v>1</v>
      </c>
      <c r="AJ631">
        <v>0</v>
      </c>
      <c r="AK631">
        <v>9</v>
      </c>
      <c r="AL631" t="s">
        <v>4915</v>
      </c>
      <c r="AM631" t="s">
        <v>532</v>
      </c>
      <c r="AN631" t="s">
        <v>4916</v>
      </c>
      <c r="AO631" t="s">
        <v>74</v>
      </c>
      <c r="AP631" t="s">
        <v>12264</v>
      </c>
      <c r="AQ631" t="s">
        <v>74</v>
      </c>
      <c r="AR631" t="s">
        <v>12265</v>
      </c>
      <c r="AS631" t="s">
        <v>12266</v>
      </c>
      <c r="AT631" t="s">
        <v>12267</v>
      </c>
      <c r="AU631">
        <v>2022</v>
      </c>
      <c r="AV631">
        <v>4</v>
      </c>
      <c r="AW631">
        <v>1</v>
      </c>
      <c r="AX631" t="s">
        <v>74</v>
      </c>
      <c r="AY631" t="s">
        <v>74</v>
      </c>
      <c r="AZ631" t="s">
        <v>74</v>
      </c>
      <c r="BA631" t="s">
        <v>74</v>
      </c>
      <c r="BB631" t="s">
        <v>74</v>
      </c>
      <c r="BC631" t="s">
        <v>74</v>
      </c>
      <c r="BD631" t="s">
        <v>12268</v>
      </c>
      <c r="BE631" t="s">
        <v>12269</v>
      </c>
      <c r="BF631" t="str">
        <f>HYPERLINK("http://dx.doi.org/10.1093/iob/obac042","http://dx.doi.org/10.1093/iob/obac042")</f>
        <v>http://dx.doi.org/10.1093/iob/obac042</v>
      </c>
      <c r="BG631" t="s">
        <v>74</v>
      </c>
      <c r="BH631" t="s">
        <v>74</v>
      </c>
      <c r="BI631">
        <v>31</v>
      </c>
      <c r="BJ631" t="s">
        <v>12270</v>
      </c>
      <c r="BK631" t="s">
        <v>182</v>
      </c>
      <c r="BL631" t="s">
        <v>12271</v>
      </c>
      <c r="BM631" t="s">
        <v>12272</v>
      </c>
      <c r="BN631">
        <v>36441608</v>
      </c>
      <c r="BO631" t="s">
        <v>131</v>
      </c>
      <c r="BP631" t="s">
        <v>74</v>
      </c>
      <c r="BQ631" t="s">
        <v>74</v>
      </c>
      <c r="BR631" t="s">
        <v>105</v>
      </c>
      <c r="BS631" t="s">
        <v>12273</v>
      </c>
      <c r="BT631" t="str">
        <f>HYPERLINK("https%3A%2F%2Fwww.webofscience.com%2Fwos%2Fwoscc%2Ffull-record%2FWOS:000892515700001","View Full Record in Web of Science")</f>
        <v>View Full Record in Web of Science</v>
      </c>
    </row>
    <row r="632" spans="1:72" x14ac:dyDescent="0.25">
      <c r="A632" t="s">
        <v>72</v>
      </c>
      <c r="B632" t="s">
        <v>12274</v>
      </c>
      <c r="C632" t="s">
        <v>74</v>
      </c>
      <c r="D632" t="s">
        <v>74</v>
      </c>
      <c r="E632" t="s">
        <v>74</v>
      </c>
      <c r="F632" t="s">
        <v>12275</v>
      </c>
      <c r="G632" t="s">
        <v>74</v>
      </c>
      <c r="H632" t="s">
        <v>74</v>
      </c>
      <c r="I632" t="s">
        <v>12276</v>
      </c>
      <c r="J632" t="s">
        <v>9759</v>
      </c>
      <c r="K632" t="s">
        <v>74</v>
      </c>
      <c r="L632" t="s">
        <v>74</v>
      </c>
      <c r="M632" t="s">
        <v>78</v>
      </c>
      <c r="N632" t="s">
        <v>79</v>
      </c>
      <c r="O632" t="s">
        <v>74</v>
      </c>
      <c r="P632" t="s">
        <v>74</v>
      </c>
      <c r="Q632" t="s">
        <v>74</v>
      </c>
      <c r="R632" t="s">
        <v>74</v>
      </c>
      <c r="S632" t="s">
        <v>74</v>
      </c>
      <c r="T632" t="s">
        <v>12277</v>
      </c>
      <c r="U632" t="s">
        <v>12278</v>
      </c>
      <c r="V632" t="s">
        <v>12279</v>
      </c>
      <c r="W632" t="s">
        <v>12280</v>
      </c>
      <c r="X632" t="s">
        <v>12281</v>
      </c>
      <c r="Y632" t="s">
        <v>12282</v>
      </c>
      <c r="Z632" t="s">
        <v>12283</v>
      </c>
      <c r="AA632" t="s">
        <v>12284</v>
      </c>
      <c r="AB632" t="s">
        <v>12285</v>
      </c>
      <c r="AC632" t="s">
        <v>12286</v>
      </c>
      <c r="AD632" t="s">
        <v>12287</v>
      </c>
      <c r="AE632" t="s">
        <v>12288</v>
      </c>
      <c r="AF632" t="s">
        <v>74</v>
      </c>
      <c r="AG632">
        <v>182</v>
      </c>
      <c r="AH632">
        <v>10</v>
      </c>
      <c r="AI632">
        <v>11</v>
      </c>
      <c r="AJ632">
        <v>8</v>
      </c>
      <c r="AK632">
        <v>42</v>
      </c>
      <c r="AL632" t="s">
        <v>392</v>
      </c>
      <c r="AM632" t="s">
        <v>393</v>
      </c>
      <c r="AN632" t="s">
        <v>394</v>
      </c>
      <c r="AO632" t="s">
        <v>74</v>
      </c>
      <c r="AP632" t="s">
        <v>9772</v>
      </c>
      <c r="AQ632" t="s">
        <v>74</v>
      </c>
      <c r="AR632" t="s">
        <v>9773</v>
      </c>
      <c r="AS632" t="s">
        <v>9774</v>
      </c>
      <c r="AT632" t="s">
        <v>10128</v>
      </c>
      <c r="AU632">
        <v>2022</v>
      </c>
      <c r="AV632">
        <v>16</v>
      </c>
      <c r="AW632" t="s">
        <v>74</v>
      </c>
      <c r="AX632" t="s">
        <v>74</v>
      </c>
      <c r="AY632" t="s">
        <v>74</v>
      </c>
      <c r="AZ632" t="s">
        <v>74</v>
      </c>
      <c r="BA632" t="s">
        <v>74</v>
      </c>
      <c r="BB632" t="s">
        <v>74</v>
      </c>
      <c r="BC632" t="s">
        <v>74</v>
      </c>
      <c r="BD632">
        <v>1020546</v>
      </c>
      <c r="BE632" t="s">
        <v>12289</v>
      </c>
      <c r="BF632" t="str">
        <f>HYPERLINK("http://dx.doi.org/10.3389/fnins.2022.1020546","http://dx.doi.org/10.3389/fnins.2022.1020546")</f>
        <v>http://dx.doi.org/10.3389/fnins.2022.1020546</v>
      </c>
      <c r="BG632" t="s">
        <v>74</v>
      </c>
      <c r="BH632" t="s">
        <v>74</v>
      </c>
      <c r="BI632">
        <v>23</v>
      </c>
      <c r="BJ632" t="s">
        <v>374</v>
      </c>
      <c r="BK632" t="s">
        <v>182</v>
      </c>
      <c r="BL632" t="s">
        <v>375</v>
      </c>
      <c r="BM632" t="s">
        <v>12290</v>
      </c>
      <c r="BN632">
        <v>36466163</v>
      </c>
      <c r="BO632" t="s">
        <v>355</v>
      </c>
      <c r="BP632" t="s">
        <v>74</v>
      </c>
      <c r="BQ632" t="s">
        <v>74</v>
      </c>
      <c r="BR632" t="s">
        <v>105</v>
      </c>
      <c r="BS632" t="s">
        <v>12291</v>
      </c>
      <c r="BT632" t="str">
        <f>HYPERLINK("https%3A%2F%2Fwww.webofscience.com%2Fwos%2Fwoscc%2Ffull-record%2FWOS:000892692400001","View Full Record in Web of Science")</f>
        <v>View Full Record in Web of Science</v>
      </c>
    </row>
    <row r="633" spans="1:72" x14ac:dyDescent="0.25">
      <c r="A633" t="s">
        <v>72</v>
      </c>
      <c r="B633" t="s">
        <v>12292</v>
      </c>
      <c r="C633" t="s">
        <v>74</v>
      </c>
      <c r="D633" t="s">
        <v>74</v>
      </c>
      <c r="E633" t="s">
        <v>74</v>
      </c>
      <c r="F633" t="s">
        <v>12293</v>
      </c>
      <c r="G633" t="s">
        <v>74</v>
      </c>
      <c r="H633" t="s">
        <v>74</v>
      </c>
      <c r="I633" t="s">
        <v>12294</v>
      </c>
      <c r="J633" t="s">
        <v>642</v>
      </c>
      <c r="K633" t="s">
        <v>74</v>
      </c>
      <c r="L633" t="s">
        <v>74</v>
      </c>
      <c r="M633" t="s">
        <v>78</v>
      </c>
      <c r="N633" t="s">
        <v>79</v>
      </c>
      <c r="O633" t="s">
        <v>74</v>
      </c>
      <c r="P633" t="s">
        <v>74</v>
      </c>
      <c r="Q633" t="s">
        <v>74</v>
      </c>
      <c r="R633" t="s">
        <v>74</v>
      </c>
      <c r="S633" t="s">
        <v>74</v>
      </c>
      <c r="T633" t="s">
        <v>12295</v>
      </c>
      <c r="U633" t="s">
        <v>12296</v>
      </c>
      <c r="V633" t="s">
        <v>12297</v>
      </c>
      <c r="W633" t="s">
        <v>12298</v>
      </c>
      <c r="X633" t="s">
        <v>12299</v>
      </c>
      <c r="Y633" t="s">
        <v>12300</v>
      </c>
      <c r="Z633" t="s">
        <v>12301</v>
      </c>
      <c r="AA633" t="s">
        <v>12302</v>
      </c>
      <c r="AB633" t="s">
        <v>12303</v>
      </c>
      <c r="AC633" t="s">
        <v>74</v>
      </c>
      <c r="AD633" t="s">
        <v>74</v>
      </c>
      <c r="AE633" t="s">
        <v>74</v>
      </c>
      <c r="AF633" t="s">
        <v>74</v>
      </c>
      <c r="AG633">
        <v>60</v>
      </c>
      <c r="AH633">
        <v>7</v>
      </c>
      <c r="AI633">
        <v>7</v>
      </c>
      <c r="AJ633">
        <v>1</v>
      </c>
      <c r="AK633">
        <v>23</v>
      </c>
      <c r="AL633" t="s">
        <v>557</v>
      </c>
      <c r="AM633" t="s">
        <v>275</v>
      </c>
      <c r="AN633" t="s">
        <v>558</v>
      </c>
      <c r="AO633" t="s">
        <v>655</v>
      </c>
      <c r="AP633" t="s">
        <v>656</v>
      </c>
      <c r="AQ633" t="s">
        <v>74</v>
      </c>
      <c r="AR633" t="s">
        <v>657</v>
      </c>
      <c r="AS633" t="s">
        <v>658</v>
      </c>
      <c r="AT633" t="s">
        <v>1471</v>
      </c>
      <c r="AU633">
        <v>2023</v>
      </c>
      <c r="AV633">
        <v>37</v>
      </c>
      <c r="AW633">
        <v>3</v>
      </c>
      <c r="AX633" t="s">
        <v>74</v>
      </c>
      <c r="AY633" t="s">
        <v>74</v>
      </c>
      <c r="AZ633" t="s">
        <v>74</v>
      </c>
      <c r="BA633" t="s">
        <v>74</v>
      </c>
      <c r="BB633">
        <v>312</v>
      </c>
      <c r="BC633">
        <v>329</v>
      </c>
      <c r="BD633" t="s">
        <v>74</v>
      </c>
      <c r="BE633" t="s">
        <v>12304</v>
      </c>
      <c r="BF633" t="str">
        <f>HYPERLINK("http://dx.doi.org/10.1177/02692155221133474","http://dx.doi.org/10.1177/02692155221133474")</f>
        <v>http://dx.doi.org/10.1177/02692155221133474</v>
      </c>
      <c r="BG633" t="s">
        <v>74</v>
      </c>
      <c r="BH633" t="s">
        <v>5838</v>
      </c>
      <c r="BI633">
        <v>18</v>
      </c>
      <c r="BJ633" t="s">
        <v>101</v>
      </c>
      <c r="BK633" t="s">
        <v>182</v>
      </c>
      <c r="BL633" t="s">
        <v>101</v>
      </c>
      <c r="BM633" t="s">
        <v>12305</v>
      </c>
      <c r="BN633">
        <v>36373899</v>
      </c>
      <c r="BO633" t="s">
        <v>74</v>
      </c>
      <c r="BP633" t="s">
        <v>74</v>
      </c>
      <c r="BQ633" t="s">
        <v>74</v>
      </c>
      <c r="BR633" t="s">
        <v>105</v>
      </c>
      <c r="BS633" t="s">
        <v>12306</v>
      </c>
      <c r="BT633" t="str">
        <f>HYPERLINK("https%3A%2F%2Fwww.webofscience.com%2Fwos%2Fwoscc%2Ffull-record%2FWOS:000885448400001","View Full Record in Web of Science")</f>
        <v>View Full Record in Web of Science</v>
      </c>
    </row>
    <row r="634" spans="1:72" x14ac:dyDescent="0.25">
      <c r="A634" t="s">
        <v>72</v>
      </c>
      <c r="B634" t="s">
        <v>12307</v>
      </c>
      <c r="C634" t="s">
        <v>74</v>
      </c>
      <c r="D634" t="s">
        <v>74</v>
      </c>
      <c r="E634" t="s">
        <v>74</v>
      </c>
      <c r="F634" t="s">
        <v>12308</v>
      </c>
      <c r="G634" t="s">
        <v>74</v>
      </c>
      <c r="H634" t="s">
        <v>74</v>
      </c>
      <c r="I634" t="s">
        <v>12309</v>
      </c>
      <c r="J634" t="s">
        <v>8051</v>
      </c>
      <c r="K634" t="s">
        <v>74</v>
      </c>
      <c r="L634" t="s">
        <v>74</v>
      </c>
      <c r="M634" t="s">
        <v>78</v>
      </c>
      <c r="N634" t="s">
        <v>79</v>
      </c>
      <c r="O634" t="s">
        <v>74</v>
      </c>
      <c r="P634" t="s">
        <v>74</v>
      </c>
      <c r="Q634" t="s">
        <v>74</v>
      </c>
      <c r="R634" t="s">
        <v>74</v>
      </c>
      <c r="S634" t="s">
        <v>74</v>
      </c>
      <c r="T634" t="s">
        <v>12310</v>
      </c>
      <c r="U634" t="s">
        <v>12311</v>
      </c>
      <c r="V634" t="s">
        <v>12312</v>
      </c>
      <c r="W634" t="s">
        <v>12313</v>
      </c>
      <c r="X634" t="s">
        <v>12314</v>
      </c>
      <c r="Y634" t="s">
        <v>12315</v>
      </c>
      <c r="Z634" t="s">
        <v>12316</v>
      </c>
      <c r="AA634" t="s">
        <v>12317</v>
      </c>
      <c r="AB634" t="s">
        <v>12318</v>
      </c>
      <c r="AC634" t="s">
        <v>12319</v>
      </c>
      <c r="AD634" t="s">
        <v>12320</v>
      </c>
      <c r="AE634" t="s">
        <v>12321</v>
      </c>
      <c r="AF634" t="s">
        <v>74</v>
      </c>
      <c r="AG634">
        <v>136</v>
      </c>
      <c r="AH634">
        <v>19</v>
      </c>
      <c r="AI634">
        <v>19</v>
      </c>
      <c r="AJ634">
        <v>17</v>
      </c>
      <c r="AK634">
        <v>159</v>
      </c>
      <c r="AL634" t="s">
        <v>557</v>
      </c>
      <c r="AM634" t="s">
        <v>275</v>
      </c>
      <c r="AN634" t="s">
        <v>558</v>
      </c>
      <c r="AO634" t="s">
        <v>8063</v>
      </c>
      <c r="AP634" t="s">
        <v>8064</v>
      </c>
      <c r="AQ634" t="s">
        <v>74</v>
      </c>
      <c r="AR634" t="s">
        <v>8065</v>
      </c>
      <c r="AS634" t="s">
        <v>8066</v>
      </c>
      <c r="AT634" t="s">
        <v>326</v>
      </c>
      <c r="AU634">
        <v>2023</v>
      </c>
      <c r="AV634">
        <v>34</v>
      </c>
      <c r="AW634">
        <v>9</v>
      </c>
      <c r="AX634" t="s">
        <v>74</v>
      </c>
      <c r="AY634" t="s">
        <v>74</v>
      </c>
      <c r="AZ634" t="s">
        <v>74</v>
      </c>
      <c r="BA634" t="s">
        <v>74</v>
      </c>
      <c r="BB634">
        <v>1007</v>
      </c>
      <c r="BC634">
        <v>1025</v>
      </c>
      <c r="BD634" t="s">
        <v>74</v>
      </c>
      <c r="BE634" t="s">
        <v>12322</v>
      </c>
      <c r="BF634" t="str">
        <f>HYPERLINK("http://dx.doi.org/10.1177/1045389X221128567","http://dx.doi.org/10.1177/1045389X221128567")</f>
        <v>http://dx.doi.org/10.1177/1045389X221128567</v>
      </c>
      <c r="BG634" t="s">
        <v>74</v>
      </c>
      <c r="BH634" t="s">
        <v>5838</v>
      </c>
      <c r="BI634">
        <v>19</v>
      </c>
      <c r="BJ634" t="s">
        <v>2291</v>
      </c>
      <c r="BK634" t="s">
        <v>182</v>
      </c>
      <c r="BL634" t="s">
        <v>2292</v>
      </c>
      <c r="BM634" t="s">
        <v>12323</v>
      </c>
      <c r="BN634" t="s">
        <v>74</v>
      </c>
      <c r="BO634" t="s">
        <v>74</v>
      </c>
      <c r="BP634" t="s">
        <v>74</v>
      </c>
      <c r="BQ634" t="s">
        <v>74</v>
      </c>
      <c r="BR634" t="s">
        <v>105</v>
      </c>
      <c r="BS634" t="s">
        <v>12324</v>
      </c>
      <c r="BT634" t="str">
        <f>HYPERLINK("https%3A%2F%2Fwww.webofscience.com%2Fwos%2Fwoscc%2Ffull-record%2FWOS:000883319500001","View Full Record in Web of Science")</f>
        <v>View Full Record in Web of Science</v>
      </c>
    </row>
    <row r="635" spans="1:72" x14ac:dyDescent="0.25">
      <c r="A635" t="s">
        <v>72</v>
      </c>
      <c r="B635" t="s">
        <v>12325</v>
      </c>
      <c r="C635" t="s">
        <v>74</v>
      </c>
      <c r="D635" t="s">
        <v>74</v>
      </c>
      <c r="E635" t="s">
        <v>74</v>
      </c>
      <c r="F635" t="s">
        <v>12326</v>
      </c>
      <c r="G635" t="s">
        <v>74</v>
      </c>
      <c r="H635" t="s">
        <v>74</v>
      </c>
      <c r="I635" t="s">
        <v>12327</v>
      </c>
      <c r="J635" t="s">
        <v>986</v>
      </c>
      <c r="K635" t="s">
        <v>74</v>
      </c>
      <c r="L635" t="s">
        <v>74</v>
      </c>
      <c r="M635" t="s">
        <v>78</v>
      </c>
      <c r="N635" t="s">
        <v>79</v>
      </c>
      <c r="O635" t="s">
        <v>74</v>
      </c>
      <c r="P635" t="s">
        <v>74</v>
      </c>
      <c r="Q635" t="s">
        <v>74</v>
      </c>
      <c r="R635" t="s">
        <v>74</v>
      </c>
      <c r="S635" t="s">
        <v>74</v>
      </c>
      <c r="T635" t="s">
        <v>12328</v>
      </c>
      <c r="U635" t="s">
        <v>12329</v>
      </c>
      <c r="V635" t="s">
        <v>12330</v>
      </c>
      <c r="W635" t="s">
        <v>12331</v>
      </c>
      <c r="X635" t="s">
        <v>9961</v>
      </c>
      <c r="Y635" t="s">
        <v>12332</v>
      </c>
      <c r="Z635" t="s">
        <v>12333</v>
      </c>
      <c r="AA635" t="s">
        <v>12334</v>
      </c>
      <c r="AB635" t="s">
        <v>74</v>
      </c>
      <c r="AC635" t="s">
        <v>74</v>
      </c>
      <c r="AD635" t="s">
        <v>74</v>
      </c>
      <c r="AE635" t="s">
        <v>74</v>
      </c>
      <c r="AF635" t="s">
        <v>74</v>
      </c>
      <c r="AG635">
        <v>34</v>
      </c>
      <c r="AH635">
        <v>16</v>
      </c>
      <c r="AI635">
        <v>16</v>
      </c>
      <c r="AJ635">
        <v>8</v>
      </c>
      <c r="AK635">
        <v>33</v>
      </c>
      <c r="AL635" t="s">
        <v>996</v>
      </c>
      <c r="AM635" t="s">
        <v>275</v>
      </c>
      <c r="AN635" t="s">
        <v>997</v>
      </c>
      <c r="AO635" t="s">
        <v>74</v>
      </c>
      <c r="AP635" t="s">
        <v>998</v>
      </c>
      <c r="AQ635" t="s">
        <v>74</v>
      </c>
      <c r="AR635" t="s">
        <v>999</v>
      </c>
      <c r="AS635" t="s">
        <v>1000</v>
      </c>
      <c r="AT635" t="s">
        <v>12335</v>
      </c>
      <c r="AU635">
        <v>2022</v>
      </c>
      <c r="AV635">
        <v>14</v>
      </c>
      <c r="AW635">
        <v>11</v>
      </c>
      <c r="AX635" t="s">
        <v>74</v>
      </c>
      <c r="AY635" t="s">
        <v>74</v>
      </c>
      <c r="AZ635" t="s">
        <v>74</v>
      </c>
      <c r="BA635" t="s">
        <v>74</v>
      </c>
      <c r="BB635" t="s">
        <v>74</v>
      </c>
      <c r="BC635" t="s">
        <v>74</v>
      </c>
      <c r="BD635" t="s">
        <v>12336</v>
      </c>
      <c r="BE635" t="s">
        <v>12337</v>
      </c>
      <c r="BF635" t="str">
        <f>HYPERLINK("http://dx.doi.org/10.7759/cureus.31075","http://dx.doi.org/10.7759/cureus.31075")</f>
        <v>http://dx.doi.org/10.7759/cureus.31075</v>
      </c>
      <c r="BG635" t="s">
        <v>74</v>
      </c>
      <c r="BH635" t="s">
        <v>74</v>
      </c>
      <c r="BI635">
        <v>6</v>
      </c>
      <c r="BJ635" t="s">
        <v>128</v>
      </c>
      <c r="BK635" t="s">
        <v>155</v>
      </c>
      <c r="BL635" t="s">
        <v>129</v>
      </c>
      <c r="BM635" t="s">
        <v>12338</v>
      </c>
      <c r="BN635">
        <v>36475123</v>
      </c>
      <c r="BO635" t="s">
        <v>131</v>
      </c>
      <c r="BP635" t="s">
        <v>74</v>
      </c>
      <c r="BQ635" t="s">
        <v>74</v>
      </c>
      <c r="BR635" t="s">
        <v>105</v>
      </c>
      <c r="BS635" t="s">
        <v>12339</v>
      </c>
      <c r="BT635" t="str">
        <f>HYPERLINK("https%3A%2F%2Fwww.webofscience.com%2Fwos%2Fwoscc%2Ffull-record%2FWOS:000985633700003","View Full Record in Web of Science")</f>
        <v>View Full Record in Web of Science</v>
      </c>
    </row>
    <row r="636" spans="1:72" x14ac:dyDescent="0.25">
      <c r="A636" t="s">
        <v>72</v>
      </c>
      <c r="B636" t="s">
        <v>12340</v>
      </c>
      <c r="C636" t="s">
        <v>74</v>
      </c>
      <c r="D636" t="s">
        <v>74</v>
      </c>
      <c r="E636" t="s">
        <v>74</v>
      </c>
      <c r="F636" t="s">
        <v>12341</v>
      </c>
      <c r="G636" t="s">
        <v>74</v>
      </c>
      <c r="H636" t="s">
        <v>74</v>
      </c>
      <c r="I636" t="s">
        <v>12342</v>
      </c>
      <c r="J636" t="s">
        <v>12343</v>
      </c>
      <c r="K636" t="s">
        <v>74</v>
      </c>
      <c r="L636" t="s">
        <v>74</v>
      </c>
      <c r="M636" t="s">
        <v>78</v>
      </c>
      <c r="N636" t="s">
        <v>79</v>
      </c>
      <c r="O636" t="s">
        <v>74</v>
      </c>
      <c r="P636" t="s">
        <v>74</v>
      </c>
      <c r="Q636" t="s">
        <v>74</v>
      </c>
      <c r="R636" t="s">
        <v>74</v>
      </c>
      <c r="S636" t="s">
        <v>74</v>
      </c>
      <c r="T636" t="s">
        <v>12344</v>
      </c>
      <c r="U636" t="s">
        <v>12345</v>
      </c>
      <c r="V636" t="s">
        <v>12346</v>
      </c>
      <c r="W636" t="s">
        <v>12347</v>
      </c>
      <c r="X636" t="s">
        <v>12348</v>
      </c>
      <c r="Y636" t="s">
        <v>12349</v>
      </c>
      <c r="Z636" t="s">
        <v>12350</v>
      </c>
      <c r="AA636" t="s">
        <v>74</v>
      </c>
      <c r="AB636" t="s">
        <v>12351</v>
      </c>
      <c r="AC636" t="s">
        <v>12352</v>
      </c>
      <c r="AD636" t="s">
        <v>12352</v>
      </c>
      <c r="AE636" t="s">
        <v>12353</v>
      </c>
      <c r="AF636" t="s">
        <v>74</v>
      </c>
      <c r="AG636">
        <v>87</v>
      </c>
      <c r="AH636">
        <v>4</v>
      </c>
      <c r="AI636">
        <v>4</v>
      </c>
      <c r="AJ636">
        <v>4</v>
      </c>
      <c r="AK636">
        <v>39</v>
      </c>
      <c r="AL636" t="s">
        <v>392</v>
      </c>
      <c r="AM636" t="s">
        <v>393</v>
      </c>
      <c r="AN636" t="s">
        <v>394</v>
      </c>
      <c r="AO636" t="s">
        <v>74</v>
      </c>
      <c r="AP636" t="s">
        <v>12354</v>
      </c>
      <c r="AQ636" t="s">
        <v>74</v>
      </c>
      <c r="AR636" t="s">
        <v>12355</v>
      </c>
      <c r="AS636" t="s">
        <v>12356</v>
      </c>
      <c r="AT636" t="s">
        <v>4229</v>
      </c>
      <c r="AU636">
        <v>2022</v>
      </c>
      <c r="AV636">
        <v>7</v>
      </c>
      <c r="AW636" t="s">
        <v>74</v>
      </c>
      <c r="AX636" t="s">
        <v>74</v>
      </c>
      <c r="AY636" t="s">
        <v>74</v>
      </c>
      <c r="AZ636" t="s">
        <v>74</v>
      </c>
      <c r="BA636" t="s">
        <v>74</v>
      </c>
      <c r="BB636" t="s">
        <v>74</v>
      </c>
      <c r="BC636" t="s">
        <v>74</v>
      </c>
      <c r="BD636">
        <v>955572</v>
      </c>
      <c r="BE636" t="s">
        <v>12357</v>
      </c>
      <c r="BF636" t="str">
        <f>HYPERLINK("http://dx.doi.org/10.3389/feduc.2022.955572","http://dx.doi.org/10.3389/feduc.2022.955572")</f>
        <v>http://dx.doi.org/10.3389/feduc.2022.955572</v>
      </c>
      <c r="BG636" t="s">
        <v>74</v>
      </c>
      <c r="BH636" t="s">
        <v>74</v>
      </c>
      <c r="BI636">
        <v>17</v>
      </c>
      <c r="BJ636" t="s">
        <v>12358</v>
      </c>
      <c r="BK636" t="s">
        <v>155</v>
      </c>
      <c r="BL636" t="s">
        <v>12358</v>
      </c>
      <c r="BM636" t="s">
        <v>12359</v>
      </c>
      <c r="BN636" t="s">
        <v>74</v>
      </c>
      <c r="BO636" t="s">
        <v>131</v>
      </c>
      <c r="BP636" t="s">
        <v>74</v>
      </c>
      <c r="BQ636" t="s">
        <v>74</v>
      </c>
      <c r="BR636" t="s">
        <v>105</v>
      </c>
      <c r="BS636" t="s">
        <v>12360</v>
      </c>
      <c r="BT636" t="str">
        <f>HYPERLINK("https%3A%2F%2Fwww.webofscience.com%2Fwos%2Fwoscc%2Ffull-record%2FWOS:000886654400001","View Full Record in Web of Science")</f>
        <v>View Full Record in Web of Science</v>
      </c>
    </row>
    <row r="637" spans="1:72" x14ac:dyDescent="0.25">
      <c r="A637" t="s">
        <v>72</v>
      </c>
      <c r="B637" t="s">
        <v>12361</v>
      </c>
      <c r="C637" t="s">
        <v>74</v>
      </c>
      <c r="D637" t="s">
        <v>74</v>
      </c>
      <c r="E637" t="s">
        <v>74</v>
      </c>
      <c r="F637" t="s">
        <v>12362</v>
      </c>
      <c r="G637" t="s">
        <v>74</v>
      </c>
      <c r="H637" t="s">
        <v>74</v>
      </c>
      <c r="I637" t="s">
        <v>12363</v>
      </c>
      <c r="J637" t="s">
        <v>2040</v>
      </c>
      <c r="K637" t="s">
        <v>74</v>
      </c>
      <c r="L637" t="s">
        <v>74</v>
      </c>
      <c r="M637" t="s">
        <v>78</v>
      </c>
      <c r="N637" t="s">
        <v>79</v>
      </c>
      <c r="O637" t="s">
        <v>74</v>
      </c>
      <c r="P637" t="s">
        <v>74</v>
      </c>
      <c r="Q637" t="s">
        <v>74</v>
      </c>
      <c r="R637" t="s">
        <v>74</v>
      </c>
      <c r="S637" t="s">
        <v>74</v>
      </c>
      <c r="T637" t="s">
        <v>12364</v>
      </c>
      <c r="U637" t="s">
        <v>12365</v>
      </c>
      <c r="V637" t="s">
        <v>12366</v>
      </c>
      <c r="W637" t="s">
        <v>12367</v>
      </c>
      <c r="X637" t="s">
        <v>12368</v>
      </c>
      <c r="Y637" t="s">
        <v>12369</v>
      </c>
      <c r="Z637" t="s">
        <v>12370</v>
      </c>
      <c r="AA637" t="s">
        <v>12371</v>
      </c>
      <c r="AB637" t="s">
        <v>12372</v>
      </c>
      <c r="AC637" t="s">
        <v>74</v>
      </c>
      <c r="AD637" t="s">
        <v>74</v>
      </c>
      <c r="AE637" t="s">
        <v>74</v>
      </c>
      <c r="AF637" t="s">
        <v>74</v>
      </c>
      <c r="AG637">
        <v>114</v>
      </c>
      <c r="AH637">
        <v>23</v>
      </c>
      <c r="AI637">
        <v>24</v>
      </c>
      <c r="AJ637">
        <v>18</v>
      </c>
      <c r="AK637">
        <v>157</v>
      </c>
      <c r="AL637" t="s">
        <v>120</v>
      </c>
      <c r="AM637" t="s">
        <v>121</v>
      </c>
      <c r="AN637" t="s">
        <v>1221</v>
      </c>
      <c r="AO637" t="s">
        <v>74</v>
      </c>
      <c r="AP637" t="s">
        <v>2050</v>
      </c>
      <c r="AQ637" t="s">
        <v>74</v>
      </c>
      <c r="AR637" t="s">
        <v>2051</v>
      </c>
      <c r="AS637" t="s">
        <v>2052</v>
      </c>
      <c r="AT637" t="s">
        <v>126</v>
      </c>
      <c r="AU637">
        <v>2022</v>
      </c>
      <c r="AV637">
        <v>22</v>
      </c>
      <c r="AW637">
        <v>21</v>
      </c>
      <c r="AX637" t="s">
        <v>74</v>
      </c>
      <c r="AY637" t="s">
        <v>74</v>
      </c>
      <c r="AZ637" t="s">
        <v>74</v>
      </c>
      <c r="BA637" t="s">
        <v>74</v>
      </c>
      <c r="BB637" t="s">
        <v>74</v>
      </c>
      <c r="BC637" t="s">
        <v>74</v>
      </c>
      <c r="BD637">
        <v>8134</v>
      </c>
      <c r="BE637" t="s">
        <v>12373</v>
      </c>
      <c r="BF637" t="str">
        <f>HYPERLINK("http://dx.doi.org/10.3390/s22218134","http://dx.doi.org/10.3390/s22218134")</f>
        <v>http://dx.doi.org/10.3390/s22218134</v>
      </c>
      <c r="BG637" t="s">
        <v>74</v>
      </c>
      <c r="BH637" t="s">
        <v>74</v>
      </c>
      <c r="BI637">
        <v>31</v>
      </c>
      <c r="BJ637" t="s">
        <v>2054</v>
      </c>
      <c r="BK637" t="s">
        <v>182</v>
      </c>
      <c r="BL637" t="s">
        <v>2055</v>
      </c>
      <c r="BM637" t="s">
        <v>12374</v>
      </c>
      <c r="BN637">
        <v>36365832</v>
      </c>
      <c r="BO637" t="s">
        <v>355</v>
      </c>
      <c r="BP637" t="s">
        <v>74</v>
      </c>
      <c r="BQ637" t="s">
        <v>74</v>
      </c>
      <c r="BR637" t="s">
        <v>105</v>
      </c>
      <c r="BS637" t="s">
        <v>12375</v>
      </c>
      <c r="BT637" t="str">
        <f>HYPERLINK("https%3A%2F%2Fwww.webofscience.com%2Fwos%2Fwoscc%2Ffull-record%2FWOS:000881545400001","View Full Record in Web of Science")</f>
        <v>View Full Record in Web of Science</v>
      </c>
    </row>
    <row r="638" spans="1:72" x14ac:dyDescent="0.25">
      <c r="A638" t="s">
        <v>72</v>
      </c>
      <c r="B638" t="s">
        <v>12376</v>
      </c>
      <c r="C638" t="s">
        <v>74</v>
      </c>
      <c r="D638" t="s">
        <v>74</v>
      </c>
      <c r="E638" t="s">
        <v>74</v>
      </c>
      <c r="F638" t="s">
        <v>12377</v>
      </c>
      <c r="G638" t="s">
        <v>74</v>
      </c>
      <c r="H638" t="s">
        <v>74</v>
      </c>
      <c r="I638" t="s">
        <v>12378</v>
      </c>
      <c r="J638" t="s">
        <v>2543</v>
      </c>
      <c r="K638" t="s">
        <v>74</v>
      </c>
      <c r="L638" t="s">
        <v>74</v>
      </c>
      <c r="M638" t="s">
        <v>78</v>
      </c>
      <c r="N638" t="s">
        <v>79</v>
      </c>
      <c r="O638" t="s">
        <v>74</v>
      </c>
      <c r="P638" t="s">
        <v>74</v>
      </c>
      <c r="Q638" t="s">
        <v>74</v>
      </c>
      <c r="R638" t="s">
        <v>74</v>
      </c>
      <c r="S638" t="s">
        <v>74</v>
      </c>
      <c r="T638" t="s">
        <v>12379</v>
      </c>
      <c r="U638" t="s">
        <v>12380</v>
      </c>
      <c r="V638" t="s">
        <v>12381</v>
      </c>
      <c r="W638" t="s">
        <v>12382</v>
      </c>
      <c r="X638" t="s">
        <v>12383</v>
      </c>
      <c r="Y638" t="s">
        <v>12384</v>
      </c>
      <c r="Z638" t="s">
        <v>1766</v>
      </c>
      <c r="AA638" t="s">
        <v>12385</v>
      </c>
      <c r="AB638" t="s">
        <v>12386</v>
      </c>
      <c r="AC638" t="s">
        <v>12387</v>
      </c>
      <c r="AD638" t="s">
        <v>12388</v>
      </c>
      <c r="AE638" t="s">
        <v>12389</v>
      </c>
      <c r="AF638" t="s">
        <v>74</v>
      </c>
      <c r="AG638">
        <v>98</v>
      </c>
      <c r="AH638">
        <v>3</v>
      </c>
      <c r="AI638">
        <v>3</v>
      </c>
      <c r="AJ638">
        <v>2</v>
      </c>
      <c r="AK638">
        <v>12</v>
      </c>
      <c r="AL638" t="s">
        <v>120</v>
      </c>
      <c r="AM638" t="s">
        <v>121</v>
      </c>
      <c r="AN638" t="s">
        <v>122</v>
      </c>
      <c r="AO638" t="s">
        <v>74</v>
      </c>
      <c r="AP638" t="s">
        <v>2553</v>
      </c>
      <c r="AQ638" t="s">
        <v>74</v>
      </c>
      <c r="AR638" t="s">
        <v>2554</v>
      </c>
      <c r="AS638" t="s">
        <v>2555</v>
      </c>
      <c r="AT638" t="s">
        <v>126</v>
      </c>
      <c r="AU638">
        <v>2022</v>
      </c>
      <c r="AV638">
        <v>12</v>
      </c>
      <c r="AW638">
        <v>11</v>
      </c>
      <c r="AX638" t="s">
        <v>74</v>
      </c>
      <c r="AY638" t="s">
        <v>74</v>
      </c>
      <c r="AZ638" t="s">
        <v>74</v>
      </c>
      <c r="BA638" t="s">
        <v>74</v>
      </c>
      <c r="BB638" t="s">
        <v>74</v>
      </c>
      <c r="BC638" t="s">
        <v>74</v>
      </c>
      <c r="BD638">
        <v>1511</v>
      </c>
      <c r="BE638" t="s">
        <v>12390</v>
      </c>
      <c r="BF638" t="str">
        <f>HYPERLINK("http://dx.doi.org/10.3390/brainsci12111511","http://dx.doi.org/10.3390/brainsci12111511")</f>
        <v>http://dx.doi.org/10.3390/brainsci12111511</v>
      </c>
      <c r="BG638" t="s">
        <v>74</v>
      </c>
      <c r="BH638" t="s">
        <v>74</v>
      </c>
      <c r="BI638">
        <v>16</v>
      </c>
      <c r="BJ638" t="s">
        <v>374</v>
      </c>
      <c r="BK638" t="s">
        <v>182</v>
      </c>
      <c r="BL638" t="s">
        <v>375</v>
      </c>
      <c r="BM638" t="s">
        <v>12391</v>
      </c>
      <c r="BN638">
        <v>36358437</v>
      </c>
      <c r="BO638" t="s">
        <v>355</v>
      </c>
      <c r="BP638" t="s">
        <v>74</v>
      </c>
      <c r="BQ638" t="s">
        <v>74</v>
      </c>
      <c r="BR638" t="s">
        <v>105</v>
      </c>
      <c r="BS638" t="s">
        <v>12392</v>
      </c>
      <c r="BT638" t="str">
        <f>HYPERLINK("https%3A%2F%2Fwww.webofscience.com%2Fwos%2Fwoscc%2Ffull-record%2FWOS:000895022800001","View Full Record in Web of Science")</f>
        <v>View Full Record in Web of Science</v>
      </c>
    </row>
    <row r="639" spans="1:72" x14ac:dyDescent="0.25">
      <c r="A639" t="s">
        <v>72</v>
      </c>
      <c r="B639" t="s">
        <v>12393</v>
      </c>
      <c r="C639" t="s">
        <v>74</v>
      </c>
      <c r="D639" t="s">
        <v>74</v>
      </c>
      <c r="E639" t="s">
        <v>74</v>
      </c>
      <c r="F639" t="s">
        <v>12394</v>
      </c>
      <c r="G639" t="s">
        <v>74</v>
      </c>
      <c r="H639" t="s">
        <v>74</v>
      </c>
      <c r="I639" t="s">
        <v>12395</v>
      </c>
      <c r="J639" t="s">
        <v>12396</v>
      </c>
      <c r="K639" t="s">
        <v>74</v>
      </c>
      <c r="L639" t="s">
        <v>74</v>
      </c>
      <c r="M639" t="s">
        <v>78</v>
      </c>
      <c r="N639" t="s">
        <v>79</v>
      </c>
      <c r="O639" t="s">
        <v>74</v>
      </c>
      <c r="P639" t="s">
        <v>74</v>
      </c>
      <c r="Q639" t="s">
        <v>74</v>
      </c>
      <c r="R639" t="s">
        <v>74</v>
      </c>
      <c r="S639" t="s">
        <v>74</v>
      </c>
      <c r="T639" t="s">
        <v>12397</v>
      </c>
      <c r="U639" t="s">
        <v>12398</v>
      </c>
      <c r="V639" t="s">
        <v>12399</v>
      </c>
      <c r="W639" t="s">
        <v>12400</v>
      </c>
      <c r="X639" t="s">
        <v>12401</v>
      </c>
      <c r="Y639" t="s">
        <v>12402</v>
      </c>
      <c r="Z639" t="s">
        <v>12403</v>
      </c>
      <c r="AA639" t="s">
        <v>12404</v>
      </c>
      <c r="AB639" t="s">
        <v>12405</v>
      </c>
      <c r="AC639" t="s">
        <v>74</v>
      </c>
      <c r="AD639" t="s">
        <v>74</v>
      </c>
      <c r="AE639" t="s">
        <v>74</v>
      </c>
      <c r="AF639" t="s">
        <v>74</v>
      </c>
      <c r="AG639">
        <v>60</v>
      </c>
      <c r="AH639">
        <v>0</v>
      </c>
      <c r="AI639">
        <v>0</v>
      </c>
      <c r="AJ639">
        <v>0</v>
      </c>
      <c r="AK639">
        <v>7</v>
      </c>
      <c r="AL639" t="s">
        <v>12406</v>
      </c>
      <c r="AM639" t="s">
        <v>12407</v>
      </c>
      <c r="AN639" t="s">
        <v>12408</v>
      </c>
      <c r="AO639" t="s">
        <v>12409</v>
      </c>
      <c r="AP639" t="s">
        <v>12410</v>
      </c>
      <c r="AQ639" t="s">
        <v>74</v>
      </c>
      <c r="AR639" t="s">
        <v>12411</v>
      </c>
      <c r="AS639" t="s">
        <v>12412</v>
      </c>
      <c r="AT639" t="s">
        <v>1047</v>
      </c>
      <c r="AU639">
        <v>2022</v>
      </c>
      <c r="AV639">
        <v>24</v>
      </c>
      <c r="AW639">
        <v>6</v>
      </c>
      <c r="AX639" t="s">
        <v>74</v>
      </c>
      <c r="AY639" t="s">
        <v>74</v>
      </c>
      <c r="AZ639" t="s">
        <v>74</v>
      </c>
      <c r="BA639" t="s">
        <v>74</v>
      </c>
      <c r="BB639">
        <v>734</v>
      </c>
      <c r="BC639">
        <v>741</v>
      </c>
      <c r="BD639" t="s">
        <v>74</v>
      </c>
      <c r="BE639" t="s">
        <v>12413</v>
      </c>
      <c r="BF639" t="str">
        <f>HYPERLINK("http://dx.doi.org/10.14739/2310-1210.2022.6.259771","http://dx.doi.org/10.14739/2310-1210.2022.6.259771")</f>
        <v>http://dx.doi.org/10.14739/2310-1210.2022.6.259771</v>
      </c>
      <c r="BG639" t="s">
        <v>74</v>
      </c>
      <c r="BH639" t="s">
        <v>74</v>
      </c>
      <c r="BI639">
        <v>8</v>
      </c>
      <c r="BJ639" t="s">
        <v>128</v>
      </c>
      <c r="BK639" t="s">
        <v>155</v>
      </c>
      <c r="BL639" t="s">
        <v>129</v>
      </c>
      <c r="BM639" t="s">
        <v>12414</v>
      </c>
      <c r="BN639" t="s">
        <v>74</v>
      </c>
      <c r="BO639" t="s">
        <v>185</v>
      </c>
      <c r="BP639" t="s">
        <v>74</v>
      </c>
      <c r="BQ639" t="s">
        <v>74</v>
      </c>
      <c r="BR639" t="s">
        <v>105</v>
      </c>
      <c r="BS639" t="s">
        <v>12415</v>
      </c>
      <c r="BT639" t="str">
        <f>HYPERLINK("https%3A%2F%2Fwww.webofscience.com%2Fwos%2Fwoscc%2Ffull-record%2FWOS:000910251900015","View Full Record in Web of Science")</f>
        <v>View Full Record in Web of Science</v>
      </c>
    </row>
    <row r="640" spans="1:72" x14ac:dyDescent="0.25">
      <c r="A640" t="s">
        <v>72</v>
      </c>
      <c r="B640" t="s">
        <v>12416</v>
      </c>
      <c r="C640" t="s">
        <v>74</v>
      </c>
      <c r="D640" t="s">
        <v>74</v>
      </c>
      <c r="E640" t="s">
        <v>74</v>
      </c>
      <c r="F640" t="s">
        <v>12417</v>
      </c>
      <c r="G640" t="s">
        <v>74</v>
      </c>
      <c r="H640" t="s">
        <v>74</v>
      </c>
      <c r="I640" t="s">
        <v>12418</v>
      </c>
      <c r="J640" t="s">
        <v>1208</v>
      </c>
      <c r="K640" t="s">
        <v>74</v>
      </c>
      <c r="L640" t="s">
        <v>74</v>
      </c>
      <c r="M640" t="s">
        <v>78</v>
      </c>
      <c r="N640" t="s">
        <v>79</v>
      </c>
      <c r="O640" t="s">
        <v>74</v>
      </c>
      <c r="P640" t="s">
        <v>74</v>
      </c>
      <c r="Q640" t="s">
        <v>74</v>
      </c>
      <c r="R640" t="s">
        <v>74</v>
      </c>
      <c r="S640" t="s">
        <v>74</v>
      </c>
      <c r="T640" t="s">
        <v>12419</v>
      </c>
      <c r="U640" t="s">
        <v>12420</v>
      </c>
      <c r="V640" t="s">
        <v>12421</v>
      </c>
      <c r="W640" t="s">
        <v>12422</v>
      </c>
      <c r="X640" t="s">
        <v>12423</v>
      </c>
      <c r="Y640" t="s">
        <v>12424</v>
      </c>
      <c r="Z640" t="s">
        <v>12425</v>
      </c>
      <c r="AA640" t="s">
        <v>12426</v>
      </c>
      <c r="AB640" t="s">
        <v>12427</v>
      </c>
      <c r="AC640" t="s">
        <v>12428</v>
      </c>
      <c r="AD640" t="s">
        <v>12429</v>
      </c>
      <c r="AE640" t="s">
        <v>12430</v>
      </c>
      <c r="AF640" t="s">
        <v>74</v>
      </c>
      <c r="AG640">
        <v>201</v>
      </c>
      <c r="AH640">
        <v>3</v>
      </c>
      <c r="AI640">
        <v>3</v>
      </c>
      <c r="AJ640">
        <v>7</v>
      </c>
      <c r="AK640">
        <v>55</v>
      </c>
      <c r="AL640" t="s">
        <v>120</v>
      </c>
      <c r="AM640" t="s">
        <v>121</v>
      </c>
      <c r="AN640" t="s">
        <v>122</v>
      </c>
      <c r="AO640" t="s">
        <v>74</v>
      </c>
      <c r="AP640" t="s">
        <v>1222</v>
      </c>
      <c r="AQ640" t="s">
        <v>74</v>
      </c>
      <c r="AR640" t="s">
        <v>1208</v>
      </c>
      <c r="AS640" t="s">
        <v>1223</v>
      </c>
      <c r="AT640" t="s">
        <v>126</v>
      </c>
      <c r="AU640">
        <v>2022</v>
      </c>
      <c r="AV640">
        <v>10</v>
      </c>
      <c r="AW640">
        <v>11</v>
      </c>
      <c r="AX640" t="s">
        <v>74</v>
      </c>
      <c r="AY640" t="s">
        <v>74</v>
      </c>
      <c r="AZ640" t="s">
        <v>74</v>
      </c>
      <c r="BA640" t="s">
        <v>74</v>
      </c>
      <c r="BB640" t="s">
        <v>74</v>
      </c>
      <c r="BC640" t="s">
        <v>74</v>
      </c>
      <c r="BD640">
        <v>1031</v>
      </c>
      <c r="BE640" t="s">
        <v>12431</v>
      </c>
      <c r="BF640" t="str">
        <f>HYPERLINK("http://dx.doi.org/10.3390/machines10111031","http://dx.doi.org/10.3390/machines10111031")</f>
        <v>http://dx.doi.org/10.3390/machines10111031</v>
      </c>
      <c r="BG640" t="s">
        <v>74</v>
      </c>
      <c r="BH640" t="s">
        <v>74</v>
      </c>
      <c r="BI640">
        <v>28</v>
      </c>
      <c r="BJ640" t="s">
        <v>1225</v>
      </c>
      <c r="BK640" t="s">
        <v>182</v>
      </c>
      <c r="BL640" t="s">
        <v>183</v>
      </c>
      <c r="BM640" t="s">
        <v>12432</v>
      </c>
      <c r="BN640" t="s">
        <v>74</v>
      </c>
      <c r="BO640" t="s">
        <v>185</v>
      </c>
      <c r="BP640" t="s">
        <v>74</v>
      </c>
      <c r="BQ640" t="s">
        <v>74</v>
      </c>
      <c r="BR640" t="s">
        <v>105</v>
      </c>
      <c r="BS640" t="s">
        <v>12433</v>
      </c>
      <c r="BT640" t="str">
        <f>HYPERLINK("https%3A%2F%2Fwww.webofscience.com%2Fwos%2Fwoscc%2Ffull-record%2FWOS:000912421700001","View Full Record in Web of Science")</f>
        <v>View Full Record in Web of Science</v>
      </c>
    </row>
    <row r="641" spans="1:72" x14ac:dyDescent="0.25">
      <c r="A641" t="s">
        <v>72</v>
      </c>
      <c r="B641" t="s">
        <v>12434</v>
      </c>
      <c r="C641" t="s">
        <v>74</v>
      </c>
      <c r="D641" t="s">
        <v>74</v>
      </c>
      <c r="E641" t="s">
        <v>74</v>
      </c>
      <c r="F641" t="s">
        <v>12435</v>
      </c>
      <c r="G641" t="s">
        <v>74</v>
      </c>
      <c r="H641" t="s">
        <v>74</v>
      </c>
      <c r="I641" t="s">
        <v>12436</v>
      </c>
      <c r="J641" t="s">
        <v>12437</v>
      </c>
      <c r="K641" t="s">
        <v>74</v>
      </c>
      <c r="L641" t="s">
        <v>74</v>
      </c>
      <c r="M641" t="s">
        <v>78</v>
      </c>
      <c r="N641" t="s">
        <v>79</v>
      </c>
      <c r="O641" t="s">
        <v>74</v>
      </c>
      <c r="P641" t="s">
        <v>74</v>
      </c>
      <c r="Q641" t="s">
        <v>74</v>
      </c>
      <c r="R641" t="s">
        <v>74</v>
      </c>
      <c r="S641" t="s">
        <v>74</v>
      </c>
      <c r="T641" t="s">
        <v>12438</v>
      </c>
      <c r="U641" t="s">
        <v>12439</v>
      </c>
      <c r="V641" t="s">
        <v>12440</v>
      </c>
      <c r="W641" t="s">
        <v>12441</v>
      </c>
      <c r="X641" t="s">
        <v>12442</v>
      </c>
      <c r="Y641" t="s">
        <v>12443</v>
      </c>
      <c r="Z641" t="s">
        <v>12444</v>
      </c>
      <c r="AA641" t="s">
        <v>74</v>
      </c>
      <c r="AB641" t="s">
        <v>74</v>
      </c>
      <c r="AC641" t="s">
        <v>12445</v>
      </c>
      <c r="AD641" t="s">
        <v>4047</v>
      </c>
      <c r="AE641" t="s">
        <v>12446</v>
      </c>
      <c r="AF641" t="s">
        <v>74</v>
      </c>
      <c r="AG641">
        <v>32</v>
      </c>
      <c r="AH641">
        <v>1</v>
      </c>
      <c r="AI641">
        <v>1</v>
      </c>
      <c r="AJ641">
        <v>8</v>
      </c>
      <c r="AK641">
        <v>59</v>
      </c>
      <c r="AL641" t="s">
        <v>2529</v>
      </c>
      <c r="AM641" t="s">
        <v>2530</v>
      </c>
      <c r="AN641" t="s">
        <v>2531</v>
      </c>
      <c r="AO641" t="s">
        <v>12447</v>
      </c>
      <c r="AP641" t="s">
        <v>12448</v>
      </c>
      <c r="AQ641" t="s">
        <v>74</v>
      </c>
      <c r="AR641" t="s">
        <v>12449</v>
      </c>
      <c r="AS641" t="s">
        <v>12450</v>
      </c>
      <c r="AT641" t="s">
        <v>126</v>
      </c>
      <c r="AU641">
        <v>2022</v>
      </c>
      <c r="AV641">
        <v>44</v>
      </c>
      <c r="AW641">
        <v>11</v>
      </c>
      <c r="AX641" t="s">
        <v>74</v>
      </c>
      <c r="AY641" t="s">
        <v>74</v>
      </c>
      <c r="AZ641" t="s">
        <v>74</v>
      </c>
      <c r="BA641" t="s">
        <v>74</v>
      </c>
      <c r="BB641" t="s">
        <v>74</v>
      </c>
      <c r="BC641" t="s">
        <v>74</v>
      </c>
      <c r="BD641">
        <v>506</v>
      </c>
      <c r="BE641" t="s">
        <v>12451</v>
      </c>
      <c r="BF641" t="str">
        <f>HYPERLINK("http://dx.doi.org/10.1007/s40430-022-03803-5","http://dx.doi.org/10.1007/s40430-022-03803-5")</f>
        <v>http://dx.doi.org/10.1007/s40430-022-03803-5</v>
      </c>
      <c r="BG641" t="s">
        <v>74</v>
      </c>
      <c r="BH641" t="s">
        <v>74</v>
      </c>
      <c r="BI641">
        <v>11</v>
      </c>
      <c r="BJ641" t="s">
        <v>181</v>
      </c>
      <c r="BK641" t="s">
        <v>182</v>
      </c>
      <c r="BL641" t="s">
        <v>183</v>
      </c>
      <c r="BM641" t="s">
        <v>12452</v>
      </c>
      <c r="BN641" t="s">
        <v>74</v>
      </c>
      <c r="BO641" t="s">
        <v>74</v>
      </c>
      <c r="BP641" t="s">
        <v>74</v>
      </c>
      <c r="BQ641" t="s">
        <v>74</v>
      </c>
      <c r="BR641" t="s">
        <v>105</v>
      </c>
      <c r="BS641" t="s">
        <v>12453</v>
      </c>
      <c r="BT641" t="str">
        <f>HYPERLINK("https%3A%2F%2Fwww.webofscience.com%2Fwos%2Fwoscc%2Ffull-record%2FWOS:000864228400002","View Full Record in Web of Science")</f>
        <v>View Full Record in Web of Science</v>
      </c>
    </row>
    <row r="642" spans="1:72" x14ac:dyDescent="0.25">
      <c r="A642" t="s">
        <v>72</v>
      </c>
      <c r="B642" t="s">
        <v>12454</v>
      </c>
      <c r="C642" t="s">
        <v>74</v>
      </c>
      <c r="D642" t="s">
        <v>74</v>
      </c>
      <c r="E642" t="s">
        <v>74</v>
      </c>
      <c r="F642" t="s">
        <v>12455</v>
      </c>
      <c r="G642" t="s">
        <v>74</v>
      </c>
      <c r="H642" t="s">
        <v>74</v>
      </c>
      <c r="I642" t="s">
        <v>12456</v>
      </c>
      <c r="J642" t="s">
        <v>288</v>
      </c>
      <c r="K642" t="s">
        <v>74</v>
      </c>
      <c r="L642" t="s">
        <v>74</v>
      </c>
      <c r="M642" t="s">
        <v>78</v>
      </c>
      <c r="N642" t="s">
        <v>79</v>
      </c>
      <c r="O642" t="s">
        <v>74</v>
      </c>
      <c r="P642" t="s">
        <v>74</v>
      </c>
      <c r="Q642" t="s">
        <v>74</v>
      </c>
      <c r="R642" t="s">
        <v>74</v>
      </c>
      <c r="S642" t="s">
        <v>74</v>
      </c>
      <c r="T642" t="s">
        <v>74</v>
      </c>
      <c r="U642" t="s">
        <v>12457</v>
      </c>
      <c r="V642" t="s">
        <v>12458</v>
      </c>
      <c r="W642" t="s">
        <v>12459</v>
      </c>
      <c r="X642" t="s">
        <v>12460</v>
      </c>
      <c r="Y642" t="s">
        <v>12461</v>
      </c>
      <c r="Z642" t="s">
        <v>12462</v>
      </c>
      <c r="AA642" t="s">
        <v>12463</v>
      </c>
      <c r="AB642" t="s">
        <v>12464</v>
      </c>
      <c r="AC642" t="s">
        <v>12465</v>
      </c>
      <c r="AD642" t="s">
        <v>12466</v>
      </c>
      <c r="AE642" t="s">
        <v>12467</v>
      </c>
      <c r="AF642" t="s">
        <v>74</v>
      </c>
      <c r="AG642">
        <v>40</v>
      </c>
      <c r="AH642">
        <v>2</v>
      </c>
      <c r="AI642">
        <v>2</v>
      </c>
      <c r="AJ642">
        <v>1</v>
      </c>
      <c r="AK642">
        <v>12</v>
      </c>
      <c r="AL642" t="s">
        <v>367</v>
      </c>
      <c r="AM642" t="s">
        <v>275</v>
      </c>
      <c r="AN642" t="s">
        <v>368</v>
      </c>
      <c r="AO642" t="s">
        <v>300</v>
      </c>
      <c r="AP642" t="s">
        <v>301</v>
      </c>
      <c r="AQ642" t="s">
        <v>74</v>
      </c>
      <c r="AR642" t="s">
        <v>302</v>
      </c>
      <c r="AS642" t="s">
        <v>303</v>
      </c>
      <c r="AT642" t="s">
        <v>12468</v>
      </c>
      <c r="AU642">
        <v>2022</v>
      </c>
      <c r="AV642">
        <v>2022</v>
      </c>
      <c r="AW642" t="s">
        <v>74</v>
      </c>
      <c r="AX642" t="s">
        <v>74</v>
      </c>
      <c r="AY642" t="s">
        <v>74</v>
      </c>
      <c r="AZ642" t="s">
        <v>74</v>
      </c>
      <c r="BA642" t="s">
        <v>74</v>
      </c>
      <c r="BB642" t="s">
        <v>74</v>
      </c>
      <c r="BC642" t="s">
        <v>74</v>
      </c>
      <c r="BD642">
        <v>7047481</v>
      </c>
      <c r="BE642" t="s">
        <v>12469</v>
      </c>
      <c r="BF642" t="str">
        <f>HYPERLINK("http://dx.doi.org/10.1155/2022/7047481","http://dx.doi.org/10.1155/2022/7047481")</f>
        <v>http://dx.doi.org/10.1155/2022/7047481</v>
      </c>
      <c r="BG642" t="s">
        <v>74</v>
      </c>
      <c r="BH642" t="s">
        <v>74</v>
      </c>
      <c r="BI642">
        <v>9</v>
      </c>
      <c r="BJ642" t="s">
        <v>306</v>
      </c>
      <c r="BK642" t="s">
        <v>182</v>
      </c>
      <c r="BL642" t="s">
        <v>307</v>
      </c>
      <c r="BM642" t="s">
        <v>12470</v>
      </c>
      <c r="BN642">
        <v>36349314</v>
      </c>
      <c r="BO642" t="s">
        <v>238</v>
      </c>
      <c r="BP642" t="s">
        <v>74</v>
      </c>
      <c r="BQ642" t="s">
        <v>74</v>
      </c>
      <c r="BR642" t="s">
        <v>105</v>
      </c>
      <c r="BS642" t="s">
        <v>12471</v>
      </c>
      <c r="BT642" t="str">
        <f>HYPERLINK("https%3A%2F%2Fwww.webofscience.com%2Fwos%2Fwoscc%2Ffull-record%2FWOS:000888269300002","View Full Record in Web of Science")</f>
        <v>View Full Record in Web of Science</v>
      </c>
    </row>
    <row r="643" spans="1:72" x14ac:dyDescent="0.25">
      <c r="A643" t="s">
        <v>72</v>
      </c>
      <c r="B643" t="s">
        <v>12472</v>
      </c>
      <c r="C643" t="s">
        <v>74</v>
      </c>
      <c r="D643" t="s">
        <v>74</v>
      </c>
      <c r="E643" t="s">
        <v>74</v>
      </c>
      <c r="F643" t="s">
        <v>12473</v>
      </c>
      <c r="G643" t="s">
        <v>74</v>
      </c>
      <c r="H643" t="s">
        <v>74</v>
      </c>
      <c r="I643" t="s">
        <v>12474</v>
      </c>
      <c r="J643" t="s">
        <v>333</v>
      </c>
      <c r="K643" t="s">
        <v>74</v>
      </c>
      <c r="L643" t="s">
        <v>74</v>
      </c>
      <c r="M643" t="s">
        <v>78</v>
      </c>
      <c r="N643" t="s">
        <v>79</v>
      </c>
      <c r="O643" t="s">
        <v>74</v>
      </c>
      <c r="P643" t="s">
        <v>74</v>
      </c>
      <c r="Q643" t="s">
        <v>74</v>
      </c>
      <c r="R643" t="s">
        <v>74</v>
      </c>
      <c r="S643" t="s">
        <v>74</v>
      </c>
      <c r="T643" t="s">
        <v>12475</v>
      </c>
      <c r="U643" t="s">
        <v>12476</v>
      </c>
      <c r="V643" t="s">
        <v>12477</v>
      </c>
      <c r="W643" t="s">
        <v>12478</v>
      </c>
      <c r="X643" t="s">
        <v>12479</v>
      </c>
      <c r="Y643" t="s">
        <v>12480</v>
      </c>
      <c r="Z643" t="s">
        <v>12481</v>
      </c>
      <c r="AA643" t="s">
        <v>12482</v>
      </c>
      <c r="AB643" t="s">
        <v>12483</v>
      </c>
      <c r="AC643" t="s">
        <v>74</v>
      </c>
      <c r="AD643" t="s">
        <v>74</v>
      </c>
      <c r="AE643" t="s">
        <v>74</v>
      </c>
      <c r="AF643" t="s">
        <v>74</v>
      </c>
      <c r="AG643">
        <v>52</v>
      </c>
      <c r="AH643">
        <v>11</v>
      </c>
      <c r="AI643">
        <v>11</v>
      </c>
      <c r="AJ643">
        <v>1</v>
      </c>
      <c r="AK643">
        <v>18</v>
      </c>
      <c r="AL643" t="s">
        <v>346</v>
      </c>
      <c r="AM643" t="s">
        <v>227</v>
      </c>
      <c r="AN643" t="s">
        <v>347</v>
      </c>
      <c r="AO643" t="s">
        <v>348</v>
      </c>
      <c r="AP643" t="s">
        <v>349</v>
      </c>
      <c r="AQ643" t="s">
        <v>74</v>
      </c>
      <c r="AR643" t="s">
        <v>333</v>
      </c>
      <c r="AS643" t="s">
        <v>350</v>
      </c>
      <c r="AT643" t="s">
        <v>12484</v>
      </c>
      <c r="AU643">
        <v>2022</v>
      </c>
      <c r="AV643">
        <v>101</v>
      </c>
      <c r="AW643">
        <v>40</v>
      </c>
      <c r="AX643" t="s">
        <v>74</v>
      </c>
      <c r="AY643" t="s">
        <v>74</v>
      </c>
      <c r="AZ643" t="s">
        <v>74</v>
      </c>
      <c r="BA643" t="s">
        <v>74</v>
      </c>
      <c r="BB643" t="s">
        <v>74</v>
      </c>
      <c r="BC643" t="s">
        <v>74</v>
      </c>
      <c r="BD643" t="s">
        <v>12485</v>
      </c>
      <c r="BE643" t="s">
        <v>12486</v>
      </c>
      <c r="BF643" t="str">
        <f>HYPERLINK("http://dx.doi.org/10.1097/MD.0000000000030852","http://dx.doi.org/10.1097/MD.0000000000030852")</f>
        <v>http://dx.doi.org/10.1097/MD.0000000000030852</v>
      </c>
      <c r="BG643" t="s">
        <v>74</v>
      </c>
      <c r="BH643" t="s">
        <v>74</v>
      </c>
      <c r="BI643">
        <v>9</v>
      </c>
      <c r="BJ643" t="s">
        <v>128</v>
      </c>
      <c r="BK643" t="s">
        <v>182</v>
      </c>
      <c r="BL643" t="s">
        <v>129</v>
      </c>
      <c r="BM643" t="s">
        <v>12487</v>
      </c>
      <c r="BN643">
        <v>36221411</v>
      </c>
      <c r="BO643" t="s">
        <v>355</v>
      </c>
      <c r="BP643" t="s">
        <v>74</v>
      </c>
      <c r="BQ643" t="s">
        <v>74</v>
      </c>
      <c r="BR643" t="s">
        <v>105</v>
      </c>
      <c r="BS643" t="s">
        <v>12488</v>
      </c>
      <c r="BT643" t="str">
        <f>HYPERLINK("https%3A%2F%2Fwww.webofscience.com%2Fwos%2Fwoscc%2Ffull-record%2FWOS:000865518700089","View Full Record in Web of Science")</f>
        <v>View Full Record in Web of Science</v>
      </c>
    </row>
    <row r="644" spans="1:72" x14ac:dyDescent="0.25">
      <c r="A644" t="s">
        <v>72</v>
      </c>
      <c r="B644" t="s">
        <v>12489</v>
      </c>
      <c r="C644" t="s">
        <v>74</v>
      </c>
      <c r="D644" t="s">
        <v>74</v>
      </c>
      <c r="E644" t="s">
        <v>74</v>
      </c>
      <c r="F644" t="s">
        <v>12490</v>
      </c>
      <c r="G644" t="s">
        <v>74</v>
      </c>
      <c r="H644" t="s">
        <v>74</v>
      </c>
      <c r="I644" t="s">
        <v>12491</v>
      </c>
      <c r="J644" t="s">
        <v>12492</v>
      </c>
      <c r="K644" t="s">
        <v>74</v>
      </c>
      <c r="L644" t="s">
        <v>74</v>
      </c>
      <c r="M644" t="s">
        <v>78</v>
      </c>
      <c r="N644" t="s">
        <v>79</v>
      </c>
      <c r="O644" t="s">
        <v>74</v>
      </c>
      <c r="P644" t="s">
        <v>74</v>
      </c>
      <c r="Q644" t="s">
        <v>74</v>
      </c>
      <c r="R644" t="s">
        <v>74</v>
      </c>
      <c r="S644" t="s">
        <v>74</v>
      </c>
      <c r="T644" t="s">
        <v>12493</v>
      </c>
      <c r="U644" t="s">
        <v>12494</v>
      </c>
      <c r="V644" t="s">
        <v>12495</v>
      </c>
      <c r="W644" t="s">
        <v>12496</v>
      </c>
      <c r="X644" t="s">
        <v>12497</v>
      </c>
      <c r="Y644" t="s">
        <v>12498</v>
      </c>
      <c r="Z644" t="s">
        <v>12499</v>
      </c>
      <c r="AA644" t="s">
        <v>12500</v>
      </c>
      <c r="AB644" t="s">
        <v>12501</v>
      </c>
      <c r="AC644" t="s">
        <v>74</v>
      </c>
      <c r="AD644" t="s">
        <v>74</v>
      </c>
      <c r="AE644" t="s">
        <v>74</v>
      </c>
      <c r="AF644" t="s">
        <v>74</v>
      </c>
      <c r="AG644">
        <v>188</v>
      </c>
      <c r="AH644">
        <v>11</v>
      </c>
      <c r="AI644">
        <v>12</v>
      </c>
      <c r="AJ644">
        <v>7</v>
      </c>
      <c r="AK644">
        <v>37</v>
      </c>
      <c r="AL644" t="s">
        <v>2529</v>
      </c>
      <c r="AM644" t="s">
        <v>2530</v>
      </c>
      <c r="AN644" t="s">
        <v>2531</v>
      </c>
      <c r="AO644" t="s">
        <v>12502</v>
      </c>
      <c r="AP644" t="s">
        <v>12503</v>
      </c>
      <c r="AQ644" t="s">
        <v>74</v>
      </c>
      <c r="AR644" t="s">
        <v>12504</v>
      </c>
      <c r="AS644" t="s">
        <v>12505</v>
      </c>
      <c r="AT644" t="s">
        <v>126</v>
      </c>
      <c r="AU644">
        <v>2022</v>
      </c>
      <c r="AV644">
        <v>15</v>
      </c>
      <c r="AW644">
        <v>5</v>
      </c>
      <c r="AX644" t="s">
        <v>74</v>
      </c>
      <c r="AY644" t="s">
        <v>74</v>
      </c>
      <c r="AZ644" t="s">
        <v>74</v>
      </c>
      <c r="BA644" t="s">
        <v>74</v>
      </c>
      <c r="BB644">
        <v>679</v>
      </c>
      <c r="BC644">
        <v>711</v>
      </c>
      <c r="BD644" t="s">
        <v>74</v>
      </c>
      <c r="BE644" t="s">
        <v>12506</v>
      </c>
      <c r="BF644" t="str">
        <f>HYPERLINK("http://dx.doi.org/10.1007/s11370-022-00446-2","http://dx.doi.org/10.1007/s11370-022-00446-2")</f>
        <v>http://dx.doi.org/10.1007/s11370-022-00446-2</v>
      </c>
      <c r="BG644" t="s">
        <v>74</v>
      </c>
      <c r="BH644" t="s">
        <v>2176</v>
      </c>
      <c r="BI644">
        <v>33</v>
      </c>
      <c r="BJ644" t="s">
        <v>714</v>
      </c>
      <c r="BK644" t="s">
        <v>182</v>
      </c>
      <c r="BL644" t="s">
        <v>714</v>
      </c>
      <c r="BM644" t="s">
        <v>12507</v>
      </c>
      <c r="BN644" t="s">
        <v>74</v>
      </c>
      <c r="BO644" t="s">
        <v>74</v>
      </c>
      <c r="BP644" t="s">
        <v>74</v>
      </c>
      <c r="BQ644" t="s">
        <v>74</v>
      </c>
      <c r="BR644" t="s">
        <v>105</v>
      </c>
      <c r="BS644" t="s">
        <v>12508</v>
      </c>
      <c r="BT644" t="str">
        <f>HYPERLINK("https%3A%2F%2Fwww.webofscience.com%2Fwos%2Fwoscc%2Ffull-record%2FWOS:000865207100001","View Full Record in Web of Science")</f>
        <v>View Full Record in Web of Science</v>
      </c>
    </row>
    <row r="645" spans="1:72" x14ac:dyDescent="0.25">
      <c r="A645" t="s">
        <v>72</v>
      </c>
      <c r="B645" t="s">
        <v>12509</v>
      </c>
      <c r="C645" t="s">
        <v>74</v>
      </c>
      <c r="D645" t="s">
        <v>74</v>
      </c>
      <c r="E645" t="s">
        <v>74</v>
      </c>
      <c r="F645" t="s">
        <v>12510</v>
      </c>
      <c r="G645" t="s">
        <v>74</v>
      </c>
      <c r="H645" t="s">
        <v>74</v>
      </c>
      <c r="I645" t="s">
        <v>12511</v>
      </c>
      <c r="J645" t="s">
        <v>1208</v>
      </c>
      <c r="K645" t="s">
        <v>74</v>
      </c>
      <c r="L645" t="s">
        <v>74</v>
      </c>
      <c r="M645" t="s">
        <v>78</v>
      </c>
      <c r="N645" t="s">
        <v>79</v>
      </c>
      <c r="O645" t="s">
        <v>74</v>
      </c>
      <c r="P645" t="s">
        <v>74</v>
      </c>
      <c r="Q645" t="s">
        <v>74</v>
      </c>
      <c r="R645" t="s">
        <v>74</v>
      </c>
      <c r="S645" t="s">
        <v>74</v>
      </c>
      <c r="T645" t="s">
        <v>12512</v>
      </c>
      <c r="U645" t="s">
        <v>12513</v>
      </c>
      <c r="V645" t="s">
        <v>12514</v>
      </c>
      <c r="W645" t="s">
        <v>12515</v>
      </c>
      <c r="X645" t="s">
        <v>12516</v>
      </c>
      <c r="Y645" t="s">
        <v>12517</v>
      </c>
      <c r="Z645" t="s">
        <v>12518</v>
      </c>
      <c r="AA645" t="s">
        <v>12519</v>
      </c>
      <c r="AB645" t="s">
        <v>12520</v>
      </c>
      <c r="AC645" t="s">
        <v>12521</v>
      </c>
      <c r="AD645" t="s">
        <v>12521</v>
      </c>
      <c r="AE645" t="s">
        <v>12522</v>
      </c>
      <c r="AF645" t="s">
        <v>74</v>
      </c>
      <c r="AG645">
        <v>78</v>
      </c>
      <c r="AH645">
        <v>9</v>
      </c>
      <c r="AI645">
        <v>9</v>
      </c>
      <c r="AJ645">
        <v>12</v>
      </c>
      <c r="AK645">
        <v>47</v>
      </c>
      <c r="AL645" t="s">
        <v>120</v>
      </c>
      <c r="AM645" t="s">
        <v>121</v>
      </c>
      <c r="AN645" t="s">
        <v>1221</v>
      </c>
      <c r="AO645" t="s">
        <v>74</v>
      </c>
      <c r="AP645" t="s">
        <v>1222</v>
      </c>
      <c r="AQ645" t="s">
        <v>74</v>
      </c>
      <c r="AR645" t="s">
        <v>1208</v>
      </c>
      <c r="AS645" t="s">
        <v>1223</v>
      </c>
      <c r="AT645" t="s">
        <v>1888</v>
      </c>
      <c r="AU645">
        <v>2022</v>
      </c>
      <c r="AV645">
        <v>10</v>
      </c>
      <c r="AW645">
        <v>10</v>
      </c>
      <c r="AX645" t="s">
        <v>74</v>
      </c>
      <c r="AY645" t="s">
        <v>74</v>
      </c>
      <c r="AZ645" t="s">
        <v>74</v>
      </c>
      <c r="BA645" t="s">
        <v>74</v>
      </c>
      <c r="BB645" t="s">
        <v>74</v>
      </c>
      <c r="BC645" t="s">
        <v>74</v>
      </c>
      <c r="BD645">
        <v>865</v>
      </c>
      <c r="BE645" t="s">
        <v>12523</v>
      </c>
      <c r="BF645" t="str">
        <f>HYPERLINK("http://dx.doi.org/10.3390/machines10100865","http://dx.doi.org/10.3390/machines10100865")</f>
        <v>http://dx.doi.org/10.3390/machines10100865</v>
      </c>
      <c r="BG645" t="s">
        <v>74</v>
      </c>
      <c r="BH645" t="s">
        <v>74</v>
      </c>
      <c r="BI645">
        <v>19</v>
      </c>
      <c r="BJ645" t="s">
        <v>1225</v>
      </c>
      <c r="BK645" t="s">
        <v>182</v>
      </c>
      <c r="BL645" t="s">
        <v>183</v>
      </c>
      <c r="BM645" t="s">
        <v>12524</v>
      </c>
      <c r="BN645" t="s">
        <v>74</v>
      </c>
      <c r="BO645" t="s">
        <v>185</v>
      </c>
      <c r="BP645" t="s">
        <v>74</v>
      </c>
      <c r="BQ645" t="s">
        <v>74</v>
      </c>
      <c r="BR645" t="s">
        <v>105</v>
      </c>
      <c r="BS645" t="s">
        <v>12525</v>
      </c>
      <c r="BT645" t="str">
        <f>HYPERLINK("https%3A%2F%2Fwww.webofscience.com%2Fwos%2Fwoscc%2Ffull-record%2FWOS:000875100700001","View Full Record in Web of Science")</f>
        <v>View Full Record in Web of Science</v>
      </c>
    </row>
    <row r="646" spans="1:72" x14ac:dyDescent="0.25">
      <c r="A646" t="s">
        <v>72</v>
      </c>
      <c r="B646" t="s">
        <v>12526</v>
      </c>
      <c r="C646" t="s">
        <v>74</v>
      </c>
      <c r="D646" t="s">
        <v>74</v>
      </c>
      <c r="E646" t="s">
        <v>74</v>
      </c>
      <c r="F646" t="s">
        <v>12527</v>
      </c>
      <c r="G646" t="s">
        <v>74</v>
      </c>
      <c r="H646" t="s">
        <v>74</v>
      </c>
      <c r="I646" t="s">
        <v>12528</v>
      </c>
      <c r="J646" t="s">
        <v>110</v>
      </c>
      <c r="K646" t="s">
        <v>74</v>
      </c>
      <c r="L646" t="s">
        <v>74</v>
      </c>
      <c r="M646" t="s">
        <v>78</v>
      </c>
      <c r="N646" t="s">
        <v>79</v>
      </c>
      <c r="O646" t="s">
        <v>74</v>
      </c>
      <c r="P646" t="s">
        <v>74</v>
      </c>
      <c r="Q646" t="s">
        <v>74</v>
      </c>
      <c r="R646" t="s">
        <v>74</v>
      </c>
      <c r="S646" t="s">
        <v>74</v>
      </c>
      <c r="T646" t="s">
        <v>12529</v>
      </c>
      <c r="U646" t="s">
        <v>12530</v>
      </c>
      <c r="V646" t="s">
        <v>12531</v>
      </c>
      <c r="W646" t="s">
        <v>12532</v>
      </c>
      <c r="X646" t="s">
        <v>12533</v>
      </c>
      <c r="Y646" t="s">
        <v>12534</v>
      </c>
      <c r="Z646" t="s">
        <v>12535</v>
      </c>
      <c r="AA646" t="s">
        <v>74</v>
      </c>
      <c r="AB646" t="s">
        <v>12536</v>
      </c>
      <c r="AC646" t="s">
        <v>74</v>
      </c>
      <c r="AD646" t="s">
        <v>74</v>
      </c>
      <c r="AE646" t="s">
        <v>74</v>
      </c>
      <c r="AF646" t="s">
        <v>74</v>
      </c>
      <c r="AG646">
        <v>52</v>
      </c>
      <c r="AH646">
        <v>16</v>
      </c>
      <c r="AI646">
        <v>16</v>
      </c>
      <c r="AJ646">
        <v>0</v>
      </c>
      <c r="AK646">
        <v>13</v>
      </c>
      <c r="AL646" t="s">
        <v>120</v>
      </c>
      <c r="AM646" t="s">
        <v>121</v>
      </c>
      <c r="AN646" t="s">
        <v>1221</v>
      </c>
      <c r="AO646" t="s">
        <v>74</v>
      </c>
      <c r="AP646" t="s">
        <v>123</v>
      </c>
      <c r="AQ646" t="s">
        <v>74</v>
      </c>
      <c r="AR646" t="s">
        <v>124</v>
      </c>
      <c r="AS646" t="s">
        <v>125</v>
      </c>
      <c r="AT646" t="s">
        <v>1888</v>
      </c>
      <c r="AU646">
        <v>2022</v>
      </c>
      <c r="AV646">
        <v>11</v>
      </c>
      <c r="AW646">
        <v>19</v>
      </c>
      <c r="AX646" t="s">
        <v>74</v>
      </c>
      <c r="AY646" t="s">
        <v>74</v>
      </c>
      <c r="AZ646" t="s">
        <v>74</v>
      </c>
      <c r="BA646" t="s">
        <v>74</v>
      </c>
      <c r="BB646" t="s">
        <v>74</v>
      </c>
      <c r="BC646" t="s">
        <v>74</v>
      </c>
      <c r="BD646">
        <v>5769</v>
      </c>
      <c r="BE646" t="s">
        <v>12537</v>
      </c>
      <c r="BF646" t="str">
        <f>HYPERLINK("http://dx.doi.org/10.3390/jcm11195769","http://dx.doi.org/10.3390/jcm11195769")</f>
        <v>http://dx.doi.org/10.3390/jcm11195769</v>
      </c>
      <c r="BG646" t="s">
        <v>74</v>
      </c>
      <c r="BH646" t="s">
        <v>74</v>
      </c>
      <c r="BI646">
        <v>9</v>
      </c>
      <c r="BJ646" t="s">
        <v>128</v>
      </c>
      <c r="BK646" t="s">
        <v>182</v>
      </c>
      <c r="BL646" t="s">
        <v>129</v>
      </c>
      <c r="BM646" t="s">
        <v>12538</v>
      </c>
      <c r="BN646">
        <v>36233637</v>
      </c>
      <c r="BO646" t="s">
        <v>131</v>
      </c>
      <c r="BP646" t="s">
        <v>74</v>
      </c>
      <c r="BQ646" t="s">
        <v>74</v>
      </c>
      <c r="BR646" t="s">
        <v>105</v>
      </c>
      <c r="BS646" t="s">
        <v>12539</v>
      </c>
      <c r="BT646" t="str">
        <f>HYPERLINK("https%3A%2F%2Fwww.webofscience.com%2Fwos%2Fwoscc%2Ffull-record%2FWOS:000866902500001","View Full Record in Web of Science")</f>
        <v>View Full Record in Web of Science</v>
      </c>
    </row>
    <row r="647" spans="1:72" x14ac:dyDescent="0.25">
      <c r="A647" t="s">
        <v>72</v>
      </c>
      <c r="B647" t="s">
        <v>12540</v>
      </c>
      <c r="C647" t="s">
        <v>74</v>
      </c>
      <c r="D647" t="s">
        <v>74</v>
      </c>
      <c r="E647" t="s">
        <v>74</v>
      </c>
      <c r="F647" t="s">
        <v>12541</v>
      </c>
      <c r="G647" t="s">
        <v>74</v>
      </c>
      <c r="H647" t="s">
        <v>74</v>
      </c>
      <c r="I647" t="s">
        <v>12542</v>
      </c>
      <c r="J647" t="s">
        <v>2690</v>
      </c>
      <c r="K647" t="s">
        <v>74</v>
      </c>
      <c r="L647" t="s">
        <v>74</v>
      </c>
      <c r="M647" t="s">
        <v>78</v>
      </c>
      <c r="N647" t="s">
        <v>79</v>
      </c>
      <c r="O647" t="s">
        <v>74</v>
      </c>
      <c r="P647" t="s">
        <v>74</v>
      </c>
      <c r="Q647" t="s">
        <v>74</v>
      </c>
      <c r="R647" t="s">
        <v>74</v>
      </c>
      <c r="S647" t="s">
        <v>74</v>
      </c>
      <c r="T647" t="s">
        <v>12543</v>
      </c>
      <c r="U647" t="s">
        <v>12544</v>
      </c>
      <c r="V647" t="s">
        <v>12545</v>
      </c>
      <c r="W647" t="s">
        <v>12546</v>
      </c>
      <c r="X647" t="s">
        <v>12547</v>
      </c>
      <c r="Y647" t="s">
        <v>12548</v>
      </c>
      <c r="Z647" t="s">
        <v>12549</v>
      </c>
      <c r="AA647" t="s">
        <v>12550</v>
      </c>
      <c r="AB647" t="s">
        <v>12551</v>
      </c>
      <c r="AC647" t="s">
        <v>74</v>
      </c>
      <c r="AD647" t="s">
        <v>74</v>
      </c>
      <c r="AE647" t="s">
        <v>74</v>
      </c>
      <c r="AF647" t="s">
        <v>74</v>
      </c>
      <c r="AG647">
        <v>190</v>
      </c>
      <c r="AH647">
        <v>61</v>
      </c>
      <c r="AI647">
        <v>61</v>
      </c>
      <c r="AJ647">
        <v>42</v>
      </c>
      <c r="AK647">
        <v>152</v>
      </c>
      <c r="AL647" t="s">
        <v>120</v>
      </c>
      <c r="AM647" t="s">
        <v>121</v>
      </c>
      <c r="AN647" t="s">
        <v>1221</v>
      </c>
      <c r="AO647" t="s">
        <v>74</v>
      </c>
      <c r="AP647" t="s">
        <v>2698</v>
      </c>
      <c r="AQ647" t="s">
        <v>74</v>
      </c>
      <c r="AR647" t="s">
        <v>2690</v>
      </c>
      <c r="AS647" t="s">
        <v>2699</v>
      </c>
      <c r="AT647" t="s">
        <v>1888</v>
      </c>
      <c r="AU647">
        <v>2022</v>
      </c>
      <c r="AV647">
        <v>11</v>
      </c>
      <c r="AW647">
        <v>10</v>
      </c>
      <c r="AX647" t="s">
        <v>74</v>
      </c>
      <c r="AY647" t="s">
        <v>74</v>
      </c>
      <c r="AZ647" t="s">
        <v>74</v>
      </c>
      <c r="BA647" t="s">
        <v>74</v>
      </c>
      <c r="BB647" t="s">
        <v>74</v>
      </c>
      <c r="BC647" t="s">
        <v>74</v>
      </c>
      <c r="BD647">
        <v>288</v>
      </c>
      <c r="BE647" t="s">
        <v>12552</v>
      </c>
      <c r="BF647" t="str">
        <f>HYPERLINK("http://dx.doi.org/10.3390/act11100288","http://dx.doi.org/10.3390/act11100288")</f>
        <v>http://dx.doi.org/10.3390/act11100288</v>
      </c>
      <c r="BG647" t="s">
        <v>74</v>
      </c>
      <c r="BH647" t="s">
        <v>74</v>
      </c>
      <c r="BI647">
        <v>28</v>
      </c>
      <c r="BJ647" t="s">
        <v>2701</v>
      </c>
      <c r="BK647" t="s">
        <v>182</v>
      </c>
      <c r="BL647" t="s">
        <v>2702</v>
      </c>
      <c r="BM647" t="s">
        <v>12553</v>
      </c>
      <c r="BN647" t="s">
        <v>74</v>
      </c>
      <c r="BO647" t="s">
        <v>131</v>
      </c>
      <c r="BP647" t="s">
        <v>74</v>
      </c>
      <c r="BQ647" t="s">
        <v>74</v>
      </c>
      <c r="BR647" t="s">
        <v>105</v>
      </c>
      <c r="BS647" t="s">
        <v>12554</v>
      </c>
      <c r="BT647" t="str">
        <f>HYPERLINK("https%3A%2F%2Fwww.webofscience.com%2Fwos%2Fwoscc%2Ffull-record%2FWOS:000874194000001","View Full Record in Web of Science")</f>
        <v>View Full Record in Web of Science</v>
      </c>
    </row>
    <row r="648" spans="1:72" x14ac:dyDescent="0.25">
      <c r="A648" t="s">
        <v>72</v>
      </c>
      <c r="B648" t="s">
        <v>12555</v>
      </c>
      <c r="C648" t="s">
        <v>74</v>
      </c>
      <c r="D648" t="s">
        <v>74</v>
      </c>
      <c r="E648" t="s">
        <v>74</v>
      </c>
      <c r="F648" t="s">
        <v>12556</v>
      </c>
      <c r="G648" t="s">
        <v>74</v>
      </c>
      <c r="H648" t="s">
        <v>74</v>
      </c>
      <c r="I648" t="s">
        <v>12557</v>
      </c>
      <c r="J648" t="s">
        <v>892</v>
      </c>
      <c r="K648" t="s">
        <v>74</v>
      </c>
      <c r="L648" t="s">
        <v>74</v>
      </c>
      <c r="M648" t="s">
        <v>78</v>
      </c>
      <c r="N648" t="s">
        <v>79</v>
      </c>
      <c r="O648" t="s">
        <v>74</v>
      </c>
      <c r="P648" t="s">
        <v>74</v>
      </c>
      <c r="Q648" t="s">
        <v>74</v>
      </c>
      <c r="R648" t="s">
        <v>74</v>
      </c>
      <c r="S648" t="s">
        <v>74</v>
      </c>
      <c r="T648" t="s">
        <v>12558</v>
      </c>
      <c r="U648" t="s">
        <v>12559</v>
      </c>
      <c r="V648" t="s">
        <v>12560</v>
      </c>
      <c r="W648" t="s">
        <v>12561</v>
      </c>
      <c r="X648" t="s">
        <v>12562</v>
      </c>
      <c r="Y648" t="s">
        <v>12563</v>
      </c>
      <c r="Z648" t="s">
        <v>74</v>
      </c>
      <c r="AA648" t="s">
        <v>12564</v>
      </c>
      <c r="AB648" t="s">
        <v>12565</v>
      </c>
      <c r="AC648" t="s">
        <v>74</v>
      </c>
      <c r="AD648" t="s">
        <v>74</v>
      </c>
      <c r="AE648" t="s">
        <v>74</v>
      </c>
      <c r="AF648" t="s">
        <v>74</v>
      </c>
      <c r="AG648">
        <v>82</v>
      </c>
      <c r="AH648">
        <v>23</v>
      </c>
      <c r="AI648">
        <v>23</v>
      </c>
      <c r="AJ648">
        <v>3</v>
      </c>
      <c r="AK648">
        <v>30</v>
      </c>
      <c r="AL648" t="s">
        <v>120</v>
      </c>
      <c r="AM648" t="s">
        <v>121</v>
      </c>
      <c r="AN648" t="s">
        <v>122</v>
      </c>
      <c r="AO648" t="s">
        <v>74</v>
      </c>
      <c r="AP648" t="s">
        <v>905</v>
      </c>
      <c r="AQ648" t="s">
        <v>74</v>
      </c>
      <c r="AR648" t="s">
        <v>906</v>
      </c>
      <c r="AS648" t="s">
        <v>907</v>
      </c>
      <c r="AT648" t="s">
        <v>1888</v>
      </c>
      <c r="AU648">
        <v>2022</v>
      </c>
      <c r="AV648">
        <v>19</v>
      </c>
      <c r="AW648">
        <v>19</v>
      </c>
      <c r="AX648" t="s">
        <v>74</v>
      </c>
      <c r="AY648" t="s">
        <v>74</v>
      </c>
      <c r="AZ648" t="s">
        <v>74</v>
      </c>
      <c r="BA648" t="s">
        <v>74</v>
      </c>
      <c r="BB648" t="s">
        <v>74</v>
      </c>
      <c r="BC648" t="s">
        <v>74</v>
      </c>
      <c r="BD648">
        <v>12343</v>
      </c>
      <c r="BE648" t="s">
        <v>12566</v>
      </c>
      <c r="BF648" t="str">
        <f>HYPERLINK("http://dx.doi.org/10.3390/ijerph191912343","http://dx.doi.org/10.3390/ijerph191912343")</f>
        <v>http://dx.doi.org/10.3390/ijerph191912343</v>
      </c>
      <c r="BG648" t="s">
        <v>74</v>
      </c>
      <c r="BH648" t="s">
        <v>74</v>
      </c>
      <c r="BI648">
        <v>19</v>
      </c>
      <c r="BJ648" t="s">
        <v>909</v>
      </c>
      <c r="BK648" t="s">
        <v>102</v>
      </c>
      <c r="BL648" t="s">
        <v>910</v>
      </c>
      <c r="BM648" t="s">
        <v>12567</v>
      </c>
      <c r="BN648">
        <v>36231643</v>
      </c>
      <c r="BO648" t="s">
        <v>131</v>
      </c>
      <c r="BP648" t="s">
        <v>74</v>
      </c>
      <c r="BQ648" t="s">
        <v>74</v>
      </c>
      <c r="BR648" t="s">
        <v>105</v>
      </c>
      <c r="BS648" t="s">
        <v>12568</v>
      </c>
      <c r="BT648" t="str">
        <f>HYPERLINK("https%3A%2F%2Fwww.webofscience.com%2Fwos%2Fwoscc%2Ffull-record%2FWOS:000866840000001","View Full Record in Web of Science")</f>
        <v>View Full Record in Web of Science</v>
      </c>
    </row>
    <row r="649" spans="1:72" x14ac:dyDescent="0.25">
      <c r="A649" t="s">
        <v>72</v>
      </c>
      <c r="B649" t="s">
        <v>12569</v>
      </c>
      <c r="C649" t="s">
        <v>74</v>
      </c>
      <c r="D649" t="s">
        <v>74</v>
      </c>
      <c r="E649" t="s">
        <v>74</v>
      </c>
      <c r="F649" t="s">
        <v>12570</v>
      </c>
      <c r="G649" t="s">
        <v>74</v>
      </c>
      <c r="H649" t="s">
        <v>74</v>
      </c>
      <c r="I649" t="s">
        <v>12571</v>
      </c>
      <c r="J649" t="s">
        <v>314</v>
      </c>
      <c r="K649" t="s">
        <v>74</v>
      </c>
      <c r="L649" t="s">
        <v>74</v>
      </c>
      <c r="M649" t="s">
        <v>78</v>
      </c>
      <c r="N649" t="s">
        <v>79</v>
      </c>
      <c r="O649" t="s">
        <v>74</v>
      </c>
      <c r="P649" t="s">
        <v>74</v>
      </c>
      <c r="Q649" t="s">
        <v>74</v>
      </c>
      <c r="R649" t="s">
        <v>74</v>
      </c>
      <c r="S649" t="s">
        <v>74</v>
      </c>
      <c r="T649" t="s">
        <v>12572</v>
      </c>
      <c r="U649" t="s">
        <v>12573</v>
      </c>
      <c r="V649" t="s">
        <v>12574</v>
      </c>
      <c r="W649" t="s">
        <v>12575</v>
      </c>
      <c r="X649" t="s">
        <v>12576</v>
      </c>
      <c r="Y649" t="s">
        <v>12577</v>
      </c>
      <c r="Z649" t="s">
        <v>12578</v>
      </c>
      <c r="AA649" t="s">
        <v>12579</v>
      </c>
      <c r="AB649" t="s">
        <v>12580</v>
      </c>
      <c r="AC649" t="s">
        <v>12581</v>
      </c>
      <c r="AD649" t="s">
        <v>12582</v>
      </c>
      <c r="AE649" t="s">
        <v>12583</v>
      </c>
      <c r="AF649" t="s">
        <v>74</v>
      </c>
      <c r="AG649">
        <v>92</v>
      </c>
      <c r="AH649">
        <v>14</v>
      </c>
      <c r="AI649">
        <v>15</v>
      </c>
      <c r="AJ649">
        <v>6</v>
      </c>
      <c r="AK649">
        <v>23</v>
      </c>
      <c r="AL649" t="s">
        <v>120</v>
      </c>
      <c r="AM649" t="s">
        <v>121</v>
      </c>
      <c r="AN649" t="s">
        <v>122</v>
      </c>
      <c r="AO649" t="s">
        <v>323</v>
      </c>
      <c r="AP649" t="s">
        <v>324</v>
      </c>
      <c r="AQ649" t="s">
        <v>74</v>
      </c>
      <c r="AR649" t="s">
        <v>314</v>
      </c>
      <c r="AS649" t="s">
        <v>325</v>
      </c>
      <c r="AT649" t="s">
        <v>1888</v>
      </c>
      <c r="AU649">
        <v>2022</v>
      </c>
      <c r="AV649">
        <v>58</v>
      </c>
      <c r="AW649">
        <v>10</v>
      </c>
      <c r="AX649" t="s">
        <v>74</v>
      </c>
      <c r="AY649" t="s">
        <v>74</v>
      </c>
      <c r="AZ649" t="s">
        <v>74</v>
      </c>
      <c r="BA649" t="s">
        <v>74</v>
      </c>
      <c r="BB649" t="s">
        <v>74</v>
      </c>
      <c r="BC649" t="s">
        <v>74</v>
      </c>
      <c r="BD649">
        <v>1447</v>
      </c>
      <c r="BE649" t="s">
        <v>12584</v>
      </c>
      <c r="BF649" t="str">
        <f>HYPERLINK("http://dx.doi.org/10.3390/medicina58101447","http://dx.doi.org/10.3390/medicina58101447")</f>
        <v>http://dx.doi.org/10.3390/medicina58101447</v>
      </c>
      <c r="BG649" t="s">
        <v>74</v>
      </c>
      <c r="BH649" t="s">
        <v>74</v>
      </c>
      <c r="BI649">
        <v>18</v>
      </c>
      <c r="BJ649" t="s">
        <v>128</v>
      </c>
      <c r="BK649" t="s">
        <v>182</v>
      </c>
      <c r="BL649" t="s">
        <v>129</v>
      </c>
      <c r="BM649" t="s">
        <v>12585</v>
      </c>
      <c r="BN649">
        <v>36295607</v>
      </c>
      <c r="BO649" t="s">
        <v>131</v>
      </c>
      <c r="BP649" t="s">
        <v>74</v>
      </c>
      <c r="BQ649" t="s">
        <v>74</v>
      </c>
      <c r="BR649" t="s">
        <v>105</v>
      </c>
      <c r="BS649" t="s">
        <v>12586</v>
      </c>
      <c r="BT649" t="str">
        <f>HYPERLINK("https%3A%2F%2Fwww.webofscience.com%2Fwos%2Fwoscc%2Ffull-record%2FWOS:000873249100001","View Full Record in Web of Science")</f>
        <v>View Full Record in Web of Science</v>
      </c>
    </row>
    <row r="650" spans="1:72" x14ac:dyDescent="0.25">
      <c r="A650" t="s">
        <v>72</v>
      </c>
      <c r="B650" t="s">
        <v>12587</v>
      </c>
      <c r="C650" t="s">
        <v>74</v>
      </c>
      <c r="D650" t="s">
        <v>74</v>
      </c>
      <c r="E650" t="s">
        <v>74</v>
      </c>
      <c r="F650" t="s">
        <v>12588</v>
      </c>
      <c r="G650" t="s">
        <v>74</v>
      </c>
      <c r="H650" t="s">
        <v>74</v>
      </c>
      <c r="I650" t="s">
        <v>12589</v>
      </c>
      <c r="J650" t="s">
        <v>2040</v>
      </c>
      <c r="K650" t="s">
        <v>74</v>
      </c>
      <c r="L650" t="s">
        <v>74</v>
      </c>
      <c r="M650" t="s">
        <v>78</v>
      </c>
      <c r="N650" t="s">
        <v>79</v>
      </c>
      <c r="O650" t="s">
        <v>74</v>
      </c>
      <c r="P650" t="s">
        <v>74</v>
      </c>
      <c r="Q650" t="s">
        <v>74</v>
      </c>
      <c r="R650" t="s">
        <v>74</v>
      </c>
      <c r="S650" t="s">
        <v>74</v>
      </c>
      <c r="T650" t="s">
        <v>12590</v>
      </c>
      <c r="U650" t="s">
        <v>12591</v>
      </c>
      <c r="V650" t="s">
        <v>12592</v>
      </c>
      <c r="W650" t="s">
        <v>12593</v>
      </c>
      <c r="X650" t="s">
        <v>12594</v>
      </c>
      <c r="Y650" t="s">
        <v>12595</v>
      </c>
      <c r="Z650" t="s">
        <v>12596</v>
      </c>
      <c r="AA650" t="s">
        <v>12597</v>
      </c>
      <c r="AB650" t="s">
        <v>12598</v>
      </c>
      <c r="AC650" t="s">
        <v>12599</v>
      </c>
      <c r="AD650" t="s">
        <v>12600</v>
      </c>
      <c r="AE650" t="s">
        <v>12601</v>
      </c>
      <c r="AF650" t="s">
        <v>74</v>
      </c>
      <c r="AG650">
        <v>54</v>
      </c>
      <c r="AH650">
        <v>10</v>
      </c>
      <c r="AI650">
        <v>10</v>
      </c>
      <c r="AJ650">
        <v>0</v>
      </c>
      <c r="AK650">
        <v>10</v>
      </c>
      <c r="AL650" t="s">
        <v>120</v>
      </c>
      <c r="AM650" t="s">
        <v>121</v>
      </c>
      <c r="AN650" t="s">
        <v>1221</v>
      </c>
      <c r="AO650" t="s">
        <v>74</v>
      </c>
      <c r="AP650" t="s">
        <v>2050</v>
      </c>
      <c r="AQ650" t="s">
        <v>74</v>
      </c>
      <c r="AR650" t="s">
        <v>2051</v>
      </c>
      <c r="AS650" t="s">
        <v>2052</v>
      </c>
      <c r="AT650" t="s">
        <v>1888</v>
      </c>
      <c r="AU650">
        <v>2022</v>
      </c>
      <c r="AV650">
        <v>22</v>
      </c>
      <c r="AW650">
        <v>19</v>
      </c>
      <c r="AX650" t="s">
        <v>74</v>
      </c>
      <c r="AY650" t="s">
        <v>74</v>
      </c>
      <c r="AZ650" t="s">
        <v>74</v>
      </c>
      <c r="BA650" t="s">
        <v>74</v>
      </c>
      <c r="BB650" t="s">
        <v>74</v>
      </c>
      <c r="BC650" t="s">
        <v>74</v>
      </c>
      <c r="BD650">
        <v>7197</v>
      </c>
      <c r="BE650" t="s">
        <v>12602</v>
      </c>
      <c r="BF650" t="str">
        <f>HYPERLINK("http://dx.doi.org/10.3390/s22197197","http://dx.doi.org/10.3390/s22197197")</f>
        <v>http://dx.doi.org/10.3390/s22197197</v>
      </c>
      <c r="BG650" t="s">
        <v>74</v>
      </c>
      <c r="BH650" t="s">
        <v>74</v>
      </c>
      <c r="BI650">
        <v>22</v>
      </c>
      <c r="BJ650" t="s">
        <v>2054</v>
      </c>
      <c r="BK650" t="s">
        <v>182</v>
      </c>
      <c r="BL650" t="s">
        <v>2055</v>
      </c>
      <c r="BM650" t="s">
        <v>12603</v>
      </c>
      <c r="BN650">
        <v>36236303</v>
      </c>
      <c r="BO650" t="s">
        <v>355</v>
      </c>
      <c r="BP650" t="s">
        <v>74</v>
      </c>
      <c r="BQ650" t="s">
        <v>74</v>
      </c>
      <c r="BR650" t="s">
        <v>105</v>
      </c>
      <c r="BS650" t="s">
        <v>12604</v>
      </c>
      <c r="BT650" t="str">
        <f>HYPERLINK("https%3A%2F%2Fwww.webofscience.com%2Fwos%2Fwoscc%2Ffull-record%2FWOS:000867265900001","View Full Record in Web of Science")</f>
        <v>View Full Record in Web of Science</v>
      </c>
    </row>
    <row r="651" spans="1:72" x14ac:dyDescent="0.25">
      <c r="A651" t="s">
        <v>72</v>
      </c>
      <c r="B651" t="s">
        <v>12605</v>
      </c>
      <c r="C651" t="s">
        <v>74</v>
      </c>
      <c r="D651" t="s">
        <v>74</v>
      </c>
      <c r="E651" t="s">
        <v>74</v>
      </c>
      <c r="F651" t="s">
        <v>12606</v>
      </c>
      <c r="G651" t="s">
        <v>74</v>
      </c>
      <c r="H651" t="s">
        <v>74</v>
      </c>
      <c r="I651" t="s">
        <v>12607</v>
      </c>
      <c r="J651" t="s">
        <v>5880</v>
      </c>
      <c r="K651" t="s">
        <v>74</v>
      </c>
      <c r="L651" t="s">
        <v>74</v>
      </c>
      <c r="M651" t="s">
        <v>78</v>
      </c>
      <c r="N651" t="s">
        <v>79</v>
      </c>
      <c r="O651" t="s">
        <v>74</v>
      </c>
      <c r="P651" t="s">
        <v>74</v>
      </c>
      <c r="Q651" t="s">
        <v>74</v>
      </c>
      <c r="R651" t="s">
        <v>74</v>
      </c>
      <c r="S651" t="s">
        <v>74</v>
      </c>
      <c r="T651" t="s">
        <v>12608</v>
      </c>
      <c r="U651" t="s">
        <v>12609</v>
      </c>
      <c r="V651" t="s">
        <v>12610</v>
      </c>
      <c r="W651" t="s">
        <v>12611</v>
      </c>
      <c r="X651" t="s">
        <v>12612</v>
      </c>
      <c r="Y651" t="s">
        <v>12613</v>
      </c>
      <c r="Z651" t="s">
        <v>12614</v>
      </c>
      <c r="AA651" t="s">
        <v>12615</v>
      </c>
      <c r="AB651" t="s">
        <v>12616</v>
      </c>
      <c r="AC651" t="s">
        <v>12617</v>
      </c>
      <c r="AD651" t="s">
        <v>12618</v>
      </c>
      <c r="AE651" t="s">
        <v>12619</v>
      </c>
      <c r="AF651" t="s">
        <v>74</v>
      </c>
      <c r="AG651">
        <v>158</v>
      </c>
      <c r="AH651">
        <v>6</v>
      </c>
      <c r="AI651">
        <v>7</v>
      </c>
      <c r="AJ651">
        <v>4</v>
      </c>
      <c r="AK651">
        <v>24</v>
      </c>
      <c r="AL651" t="s">
        <v>172</v>
      </c>
      <c r="AM651" t="s">
        <v>173</v>
      </c>
      <c r="AN651" t="s">
        <v>174</v>
      </c>
      <c r="AO651" t="s">
        <v>5891</v>
      </c>
      <c r="AP651" t="s">
        <v>5892</v>
      </c>
      <c r="AQ651" t="s">
        <v>74</v>
      </c>
      <c r="AR651" t="s">
        <v>5893</v>
      </c>
      <c r="AS651" t="s">
        <v>5894</v>
      </c>
      <c r="AT651" t="s">
        <v>126</v>
      </c>
      <c r="AU651">
        <v>2022</v>
      </c>
      <c r="AV651">
        <v>22</v>
      </c>
      <c r="AW651">
        <v>11</v>
      </c>
      <c r="AX651" t="s">
        <v>74</v>
      </c>
      <c r="AY651" t="s">
        <v>74</v>
      </c>
      <c r="AZ651" t="s">
        <v>74</v>
      </c>
      <c r="BA651" t="s">
        <v>74</v>
      </c>
      <c r="BB651">
        <v>745</v>
      </c>
      <c r="BC651">
        <v>755</v>
      </c>
      <c r="BD651" t="s">
        <v>74</v>
      </c>
      <c r="BE651" t="s">
        <v>12620</v>
      </c>
      <c r="BF651" t="str">
        <f>HYPERLINK("http://dx.doi.org/10.1007/s11910-022-01231-5","http://dx.doi.org/10.1007/s11910-022-01231-5")</f>
        <v>http://dx.doi.org/10.1007/s11910-022-01231-5</v>
      </c>
      <c r="BG651" t="s">
        <v>74</v>
      </c>
      <c r="BH651" t="s">
        <v>2176</v>
      </c>
      <c r="BI651">
        <v>11</v>
      </c>
      <c r="BJ651" t="s">
        <v>400</v>
      </c>
      <c r="BK651" t="s">
        <v>182</v>
      </c>
      <c r="BL651" t="s">
        <v>375</v>
      </c>
      <c r="BM651" t="s">
        <v>12621</v>
      </c>
      <c r="BN651">
        <v>36181577</v>
      </c>
      <c r="BO651" t="s">
        <v>2246</v>
      </c>
      <c r="BP651" t="s">
        <v>74</v>
      </c>
      <c r="BQ651" t="s">
        <v>74</v>
      </c>
      <c r="BR651" t="s">
        <v>105</v>
      </c>
      <c r="BS651" t="s">
        <v>12622</v>
      </c>
      <c r="BT651" t="str">
        <f>HYPERLINK("https%3A%2F%2Fwww.webofscience.com%2Fwos%2Fwoscc%2Ffull-record%2FWOS:000862525500002","View Full Record in Web of Science")</f>
        <v>View Full Record in Web of Science</v>
      </c>
    </row>
    <row r="652" spans="1:72" x14ac:dyDescent="0.25">
      <c r="A652" t="s">
        <v>72</v>
      </c>
      <c r="B652" t="s">
        <v>12623</v>
      </c>
      <c r="C652" t="s">
        <v>74</v>
      </c>
      <c r="D652" t="s">
        <v>74</v>
      </c>
      <c r="E652" t="s">
        <v>74</v>
      </c>
      <c r="F652" t="s">
        <v>12624</v>
      </c>
      <c r="G652" t="s">
        <v>74</v>
      </c>
      <c r="H652" t="s">
        <v>74</v>
      </c>
      <c r="I652" t="s">
        <v>12625</v>
      </c>
      <c r="J652" t="s">
        <v>594</v>
      </c>
      <c r="K652" t="s">
        <v>74</v>
      </c>
      <c r="L652" t="s">
        <v>74</v>
      </c>
      <c r="M652" t="s">
        <v>78</v>
      </c>
      <c r="N652" t="s">
        <v>79</v>
      </c>
      <c r="O652" t="s">
        <v>74</v>
      </c>
      <c r="P652" t="s">
        <v>74</v>
      </c>
      <c r="Q652" t="s">
        <v>74</v>
      </c>
      <c r="R652" t="s">
        <v>74</v>
      </c>
      <c r="S652" t="s">
        <v>74</v>
      </c>
      <c r="T652" t="s">
        <v>12626</v>
      </c>
      <c r="U652" t="s">
        <v>12627</v>
      </c>
      <c r="V652" t="s">
        <v>12628</v>
      </c>
      <c r="W652" t="s">
        <v>12629</v>
      </c>
      <c r="X652" t="s">
        <v>12630</v>
      </c>
      <c r="Y652" t="s">
        <v>12631</v>
      </c>
      <c r="Z652" t="s">
        <v>12632</v>
      </c>
      <c r="AA652" t="s">
        <v>12633</v>
      </c>
      <c r="AB652" t="s">
        <v>12634</v>
      </c>
      <c r="AC652" t="s">
        <v>12635</v>
      </c>
      <c r="AD652" t="s">
        <v>12636</v>
      </c>
      <c r="AE652" t="s">
        <v>12637</v>
      </c>
      <c r="AF652" t="s">
        <v>74</v>
      </c>
      <c r="AG652">
        <v>99</v>
      </c>
      <c r="AH652">
        <v>13</v>
      </c>
      <c r="AI652">
        <v>13</v>
      </c>
      <c r="AJ652">
        <v>3</v>
      </c>
      <c r="AK652">
        <v>45</v>
      </c>
      <c r="AL652" t="s">
        <v>274</v>
      </c>
      <c r="AM652" t="s">
        <v>275</v>
      </c>
      <c r="AN652" t="s">
        <v>276</v>
      </c>
      <c r="AO652" t="s">
        <v>74</v>
      </c>
      <c r="AP652" t="s">
        <v>606</v>
      </c>
      <c r="AQ652" t="s">
        <v>74</v>
      </c>
      <c r="AR652" t="s">
        <v>607</v>
      </c>
      <c r="AS652" t="s">
        <v>608</v>
      </c>
      <c r="AT652" t="s">
        <v>12638</v>
      </c>
      <c r="AU652">
        <v>2022</v>
      </c>
      <c r="AV652">
        <v>19</v>
      </c>
      <c r="AW652">
        <v>1</v>
      </c>
      <c r="AX652" t="s">
        <v>74</v>
      </c>
      <c r="AY652" t="s">
        <v>74</v>
      </c>
      <c r="AZ652" t="s">
        <v>74</v>
      </c>
      <c r="BA652" t="s">
        <v>74</v>
      </c>
      <c r="BB652" t="s">
        <v>74</v>
      </c>
      <c r="BC652" t="s">
        <v>74</v>
      </c>
      <c r="BD652">
        <v>104</v>
      </c>
      <c r="BE652" t="s">
        <v>12639</v>
      </c>
      <c r="BF652" t="str">
        <f>HYPERLINK("http://dx.doi.org/10.1186/s12984-022-01081-9","http://dx.doi.org/10.1186/s12984-022-01081-9")</f>
        <v>http://dx.doi.org/10.1186/s12984-022-01081-9</v>
      </c>
      <c r="BG652" t="s">
        <v>74</v>
      </c>
      <c r="BH652" t="s">
        <v>74</v>
      </c>
      <c r="BI652">
        <v>23</v>
      </c>
      <c r="BJ652" t="s">
        <v>611</v>
      </c>
      <c r="BK652" t="s">
        <v>182</v>
      </c>
      <c r="BL652" t="s">
        <v>612</v>
      </c>
      <c r="BM652" t="s">
        <v>12640</v>
      </c>
      <c r="BN652">
        <v>36171602</v>
      </c>
      <c r="BO652" t="s">
        <v>131</v>
      </c>
      <c r="BP652" t="s">
        <v>74</v>
      </c>
      <c r="BQ652" t="s">
        <v>74</v>
      </c>
      <c r="BR652" t="s">
        <v>105</v>
      </c>
      <c r="BS652" t="s">
        <v>12641</v>
      </c>
      <c r="BT652" t="str">
        <f>HYPERLINK("https%3A%2F%2Fwww.webofscience.com%2Fwos%2Fwoscc%2Ffull-record%2FWOS:000861468700001","View Full Record in Web of Science")</f>
        <v>View Full Record in Web of Science</v>
      </c>
    </row>
    <row r="653" spans="1:72" x14ac:dyDescent="0.25">
      <c r="A653" t="s">
        <v>72</v>
      </c>
      <c r="B653" t="s">
        <v>12642</v>
      </c>
      <c r="C653" t="s">
        <v>74</v>
      </c>
      <c r="D653" t="s">
        <v>74</v>
      </c>
      <c r="E653" t="s">
        <v>74</v>
      </c>
      <c r="F653" t="s">
        <v>12643</v>
      </c>
      <c r="G653" t="s">
        <v>74</v>
      </c>
      <c r="H653" t="s">
        <v>74</v>
      </c>
      <c r="I653" t="s">
        <v>12644</v>
      </c>
      <c r="J653" t="s">
        <v>12645</v>
      </c>
      <c r="K653" t="s">
        <v>74</v>
      </c>
      <c r="L653" t="s">
        <v>74</v>
      </c>
      <c r="M653" t="s">
        <v>78</v>
      </c>
      <c r="N653" t="s">
        <v>79</v>
      </c>
      <c r="O653" t="s">
        <v>74</v>
      </c>
      <c r="P653" t="s">
        <v>74</v>
      </c>
      <c r="Q653" t="s">
        <v>74</v>
      </c>
      <c r="R653" t="s">
        <v>74</v>
      </c>
      <c r="S653" t="s">
        <v>74</v>
      </c>
      <c r="T653" t="s">
        <v>12646</v>
      </c>
      <c r="U653" t="s">
        <v>12647</v>
      </c>
      <c r="V653" t="s">
        <v>12648</v>
      </c>
      <c r="W653" t="s">
        <v>12649</v>
      </c>
      <c r="X653" t="s">
        <v>12650</v>
      </c>
      <c r="Y653" t="s">
        <v>12651</v>
      </c>
      <c r="Z653" t="s">
        <v>12652</v>
      </c>
      <c r="AA653" t="s">
        <v>12653</v>
      </c>
      <c r="AB653" t="s">
        <v>12654</v>
      </c>
      <c r="AC653" t="s">
        <v>12655</v>
      </c>
      <c r="AD653" t="s">
        <v>12655</v>
      </c>
      <c r="AE653" t="s">
        <v>12656</v>
      </c>
      <c r="AF653" t="s">
        <v>74</v>
      </c>
      <c r="AG653">
        <v>226</v>
      </c>
      <c r="AH653">
        <v>7</v>
      </c>
      <c r="AI653">
        <v>7</v>
      </c>
      <c r="AJ653">
        <v>6</v>
      </c>
      <c r="AK653">
        <v>38</v>
      </c>
      <c r="AL653" t="s">
        <v>2529</v>
      </c>
      <c r="AM653" t="s">
        <v>2530</v>
      </c>
      <c r="AN653" t="s">
        <v>2531</v>
      </c>
      <c r="AO653" t="s">
        <v>12657</v>
      </c>
      <c r="AP653" t="s">
        <v>12658</v>
      </c>
      <c r="AQ653" t="s">
        <v>74</v>
      </c>
      <c r="AR653" t="s">
        <v>12659</v>
      </c>
      <c r="AS653" t="s">
        <v>12660</v>
      </c>
      <c r="AT653" t="s">
        <v>351</v>
      </c>
      <c r="AU653">
        <v>2023</v>
      </c>
      <c r="AV653">
        <v>48</v>
      </c>
      <c r="AW653">
        <v>2</v>
      </c>
      <c r="AX653" t="s">
        <v>74</v>
      </c>
      <c r="AY653" t="s">
        <v>74</v>
      </c>
      <c r="AZ653" t="s">
        <v>74</v>
      </c>
      <c r="BA653" t="s">
        <v>74</v>
      </c>
      <c r="BB653">
        <v>2399</v>
      </c>
      <c r="BC653">
        <v>2427</v>
      </c>
      <c r="BD653" t="s">
        <v>74</v>
      </c>
      <c r="BE653" t="s">
        <v>12661</v>
      </c>
      <c r="BF653" t="str">
        <f>HYPERLINK("http://dx.doi.org/10.1007/s13369-022-07292-5","http://dx.doi.org/10.1007/s13369-022-07292-5")</f>
        <v>http://dx.doi.org/10.1007/s13369-022-07292-5</v>
      </c>
      <c r="BG653" t="s">
        <v>74</v>
      </c>
      <c r="BH653" t="s">
        <v>12662</v>
      </c>
      <c r="BI653">
        <v>29</v>
      </c>
      <c r="BJ653" t="s">
        <v>936</v>
      </c>
      <c r="BK653" t="s">
        <v>182</v>
      </c>
      <c r="BL653" t="s">
        <v>937</v>
      </c>
      <c r="BM653" t="s">
        <v>12663</v>
      </c>
      <c r="BN653">
        <v>36185593</v>
      </c>
      <c r="BO653" t="s">
        <v>1276</v>
      </c>
      <c r="BP653" t="s">
        <v>74</v>
      </c>
      <c r="BQ653" t="s">
        <v>74</v>
      </c>
      <c r="BR653" t="s">
        <v>105</v>
      </c>
      <c r="BS653" t="s">
        <v>12664</v>
      </c>
      <c r="BT653" t="str">
        <f>HYPERLINK("https%3A%2F%2Fwww.webofscience.com%2Fwos%2Fwoscc%2Ffull-record%2FWOS:000861164600002","View Full Record in Web of Science")</f>
        <v>View Full Record in Web of Science</v>
      </c>
    </row>
    <row r="654" spans="1:72" x14ac:dyDescent="0.25">
      <c r="A654" t="s">
        <v>72</v>
      </c>
      <c r="B654" t="s">
        <v>12665</v>
      </c>
      <c r="C654" t="s">
        <v>74</v>
      </c>
      <c r="D654" t="s">
        <v>74</v>
      </c>
      <c r="E654" t="s">
        <v>74</v>
      </c>
      <c r="F654" t="s">
        <v>12666</v>
      </c>
      <c r="G654" t="s">
        <v>74</v>
      </c>
      <c r="H654" t="s">
        <v>74</v>
      </c>
      <c r="I654" t="s">
        <v>12667</v>
      </c>
      <c r="J654" t="s">
        <v>382</v>
      </c>
      <c r="K654" t="s">
        <v>74</v>
      </c>
      <c r="L654" t="s">
        <v>74</v>
      </c>
      <c r="M654" t="s">
        <v>78</v>
      </c>
      <c r="N654" t="s">
        <v>79</v>
      </c>
      <c r="O654" t="s">
        <v>74</v>
      </c>
      <c r="P654" t="s">
        <v>74</v>
      </c>
      <c r="Q654" t="s">
        <v>74</v>
      </c>
      <c r="R654" t="s">
        <v>74</v>
      </c>
      <c r="S654" t="s">
        <v>74</v>
      </c>
      <c r="T654" t="s">
        <v>12668</v>
      </c>
      <c r="U654" t="s">
        <v>12669</v>
      </c>
      <c r="V654" t="s">
        <v>12670</v>
      </c>
      <c r="W654" t="s">
        <v>12671</v>
      </c>
      <c r="X654" t="s">
        <v>12672</v>
      </c>
      <c r="Y654" t="s">
        <v>12673</v>
      </c>
      <c r="Z654" t="s">
        <v>12674</v>
      </c>
      <c r="AA654" t="s">
        <v>12675</v>
      </c>
      <c r="AB654" t="s">
        <v>12676</v>
      </c>
      <c r="AC654" t="s">
        <v>12677</v>
      </c>
      <c r="AD654" t="s">
        <v>1649</v>
      </c>
      <c r="AE654" t="s">
        <v>12678</v>
      </c>
      <c r="AF654" t="s">
        <v>74</v>
      </c>
      <c r="AG654">
        <v>82</v>
      </c>
      <c r="AH654">
        <v>2</v>
      </c>
      <c r="AI654">
        <v>2</v>
      </c>
      <c r="AJ654">
        <v>0</v>
      </c>
      <c r="AK654">
        <v>11</v>
      </c>
      <c r="AL654" t="s">
        <v>392</v>
      </c>
      <c r="AM654" t="s">
        <v>393</v>
      </c>
      <c r="AN654" t="s">
        <v>394</v>
      </c>
      <c r="AO654" t="s">
        <v>395</v>
      </c>
      <c r="AP654" t="s">
        <v>74</v>
      </c>
      <c r="AQ654" t="s">
        <v>74</v>
      </c>
      <c r="AR654" t="s">
        <v>396</v>
      </c>
      <c r="AS654" t="s">
        <v>397</v>
      </c>
      <c r="AT654" t="s">
        <v>12679</v>
      </c>
      <c r="AU654">
        <v>2022</v>
      </c>
      <c r="AV654">
        <v>13</v>
      </c>
      <c r="AW654" t="s">
        <v>74</v>
      </c>
      <c r="AX654" t="s">
        <v>74</v>
      </c>
      <c r="AY654" t="s">
        <v>74</v>
      </c>
      <c r="AZ654" t="s">
        <v>74</v>
      </c>
      <c r="BA654" t="s">
        <v>74</v>
      </c>
      <c r="BB654" t="s">
        <v>74</v>
      </c>
      <c r="BC654" t="s">
        <v>74</v>
      </c>
      <c r="BD654">
        <v>968818</v>
      </c>
      <c r="BE654" t="s">
        <v>12680</v>
      </c>
      <c r="BF654" t="str">
        <f>HYPERLINK("http://dx.doi.org/10.3389/fneur.2022.968818","http://dx.doi.org/10.3389/fneur.2022.968818")</f>
        <v>http://dx.doi.org/10.3389/fneur.2022.968818</v>
      </c>
      <c r="BG654" t="s">
        <v>74</v>
      </c>
      <c r="BH654" t="s">
        <v>74</v>
      </c>
      <c r="BI654">
        <v>24</v>
      </c>
      <c r="BJ654" t="s">
        <v>400</v>
      </c>
      <c r="BK654" t="s">
        <v>182</v>
      </c>
      <c r="BL654" t="s">
        <v>375</v>
      </c>
      <c r="BM654" t="s">
        <v>12681</v>
      </c>
      <c r="BN654">
        <v>36158952</v>
      </c>
      <c r="BO654" t="s">
        <v>131</v>
      </c>
      <c r="BP654" t="s">
        <v>74</v>
      </c>
      <c r="BQ654" t="s">
        <v>74</v>
      </c>
      <c r="BR654" t="s">
        <v>105</v>
      </c>
      <c r="BS654" t="s">
        <v>12682</v>
      </c>
      <c r="BT654" t="str">
        <f>HYPERLINK("https%3A%2F%2Fwww.webofscience.com%2Fwos%2Fwoscc%2Ffull-record%2FWOS:000860335500001","View Full Record in Web of Science")</f>
        <v>View Full Record in Web of Science</v>
      </c>
    </row>
    <row r="655" spans="1:72" x14ac:dyDescent="0.25">
      <c r="A655" t="s">
        <v>72</v>
      </c>
      <c r="B655" t="s">
        <v>12683</v>
      </c>
      <c r="C655" t="s">
        <v>74</v>
      </c>
      <c r="D655" t="s">
        <v>74</v>
      </c>
      <c r="E655" t="s">
        <v>74</v>
      </c>
      <c r="F655" t="s">
        <v>12684</v>
      </c>
      <c r="G655" t="s">
        <v>74</v>
      </c>
      <c r="H655" t="s">
        <v>74</v>
      </c>
      <c r="I655" t="s">
        <v>12685</v>
      </c>
      <c r="J655" t="s">
        <v>571</v>
      </c>
      <c r="K655" t="s">
        <v>74</v>
      </c>
      <c r="L655" t="s">
        <v>74</v>
      </c>
      <c r="M655" t="s">
        <v>78</v>
      </c>
      <c r="N655" t="s">
        <v>79</v>
      </c>
      <c r="O655" t="s">
        <v>74</v>
      </c>
      <c r="P655" t="s">
        <v>74</v>
      </c>
      <c r="Q655" t="s">
        <v>74</v>
      </c>
      <c r="R655" t="s">
        <v>74</v>
      </c>
      <c r="S655" t="s">
        <v>74</v>
      </c>
      <c r="T655" t="s">
        <v>12686</v>
      </c>
      <c r="U655" t="s">
        <v>12687</v>
      </c>
      <c r="V655" t="s">
        <v>12688</v>
      </c>
      <c r="W655" t="s">
        <v>12689</v>
      </c>
      <c r="X655" t="s">
        <v>12690</v>
      </c>
      <c r="Y655" t="s">
        <v>12691</v>
      </c>
      <c r="Z655" t="s">
        <v>12692</v>
      </c>
      <c r="AA655" t="s">
        <v>12693</v>
      </c>
      <c r="AB655" t="s">
        <v>12694</v>
      </c>
      <c r="AC655" t="s">
        <v>74</v>
      </c>
      <c r="AD655" t="s">
        <v>74</v>
      </c>
      <c r="AE655" t="s">
        <v>74</v>
      </c>
      <c r="AF655" t="s">
        <v>74</v>
      </c>
      <c r="AG655">
        <v>37</v>
      </c>
      <c r="AH655">
        <v>6</v>
      </c>
      <c r="AI655">
        <v>6</v>
      </c>
      <c r="AJ655">
        <v>2</v>
      </c>
      <c r="AK655">
        <v>26</v>
      </c>
      <c r="AL655" t="s">
        <v>583</v>
      </c>
      <c r="AM655" t="s">
        <v>275</v>
      </c>
      <c r="AN655" t="s">
        <v>584</v>
      </c>
      <c r="AO655" t="s">
        <v>585</v>
      </c>
      <c r="AP655" t="s">
        <v>74</v>
      </c>
      <c r="AQ655" t="s">
        <v>74</v>
      </c>
      <c r="AR655" t="s">
        <v>571</v>
      </c>
      <c r="AS655" t="s">
        <v>586</v>
      </c>
      <c r="AT655" t="s">
        <v>420</v>
      </c>
      <c r="AU655">
        <v>2022</v>
      </c>
      <c r="AV655">
        <v>12</v>
      </c>
      <c r="AW655">
        <v>9</v>
      </c>
      <c r="AX655" t="s">
        <v>74</v>
      </c>
      <c r="AY655" t="s">
        <v>74</v>
      </c>
      <c r="AZ655" t="s">
        <v>74</v>
      </c>
      <c r="BA655" t="s">
        <v>74</v>
      </c>
      <c r="BB655" t="s">
        <v>74</v>
      </c>
      <c r="BC655" t="s">
        <v>74</v>
      </c>
      <c r="BD655" t="s">
        <v>12695</v>
      </c>
      <c r="BE655" t="s">
        <v>12696</v>
      </c>
      <c r="BF655" t="str">
        <f>HYPERLINK("http://dx.doi.org/10.1136/bmjopen-2022-065177","http://dx.doi.org/10.1136/bmjopen-2022-065177")</f>
        <v>http://dx.doi.org/10.1136/bmjopen-2022-065177</v>
      </c>
      <c r="BG655" t="s">
        <v>74</v>
      </c>
      <c r="BH655" t="s">
        <v>74</v>
      </c>
      <c r="BI655">
        <v>7</v>
      </c>
      <c r="BJ655" t="s">
        <v>128</v>
      </c>
      <c r="BK655" t="s">
        <v>182</v>
      </c>
      <c r="BL655" t="s">
        <v>129</v>
      </c>
      <c r="BM655" t="s">
        <v>12697</v>
      </c>
      <c r="BN655">
        <v>36123077</v>
      </c>
      <c r="BO655" t="s">
        <v>131</v>
      </c>
      <c r="BP655" t="s">
        <v>74</v>
      </c>
      <c r="BQ655" t="s">
        <v>74</v>
      </c>
      <c r="BR655" t="s">
        <v>105</v>
      </c>
      <c r="BS655" t="s">
        <v>12698</v>
      </c>
      <c r="BT655" t="str">
        <f>HYPERLINK("https%3A%2F%2Fwww.webofscience.com%2Fwos%2Fwoscc%2Ffull-record%2FWOS:000860227200037","View Full Record in Web of Science")</f>
        <v>View Full Record in Web of Science</v>
      </c>
    </row>
    <row r="656" spans="1:72" x14ac:dyDescent="0.25">
      <c r="A656" t="s">
        <v>72</v>
      </c>
      <c r="B656" t="s">
        <v>12699</v>
      </c>
      <c r="C656" t="s">
        <v>74</v>
      </c>
      <c r="D656" t="s">
        <v>74</v>
      </c>
      <c r="E656" t="s">
        <v>74</v>
      </c>
      <c r="F656" t="s">
        <v>12700</v>
      </c>
      <c r="G656" t="s">
        <v>74</v>
      </c>
      <c r="H656" t="s">
        <v>74</v>
      </c>
      <c r="I656" t="s">
        <v>12701</v>
      </c>
      <c r="J656" t="s">
        <v>12437</v>
      </c>
      <c r="K656" t="s">
        <v>74</v>
      </c>
      <c r="L656" t="s">
        <v>74</v>
      </c>
      <c r="M656" t="s">
        <v>78</v>
      </c>
      <c r="N656" t="s">
        <v>79</v>
      </c>
      <c r="O656" t="s">
        <v>74</v>
      </c>
      <c r="P656" t="s">
        <v>74</v>
      </c>
      <c r="Q656" t="s">
        <v>74</v>
      </c>
      <c r="R656" t="s">
        <v>74</v>
      </c>
      <c r="S656" t="s">
        <v>74</v>
      </c>
      <c r="T656" t="s">
        <v>12702</v>
      </c>
      <c r="U656" t="s">
        <v>12703</v>
      </c>
      <c r="V656" t="s">
        <v>12704</v>
      </c>
      <c r="W656" t="s">
        <v>12705</v>
      </c>
      <c r="X656" t="s">
        <v>12706</v>
      </c>
      <c r="Y656" t="s">
        <v>12707</v>
      </c>
      <c r="Z656" t="s">
        <v>12708</v>
      </c>
      <c r="AA656" t="s">
        <v>12709</v>
      </c>
      <c r="AB656" t="s">
        <v>12710</v>
      </c>
      <c r="AC656" t="s">
        <v>12711</v>
      </c>
      <c r="AD656" t="s">
        <v>12712</v>
      </c>
      <c r="AE656" t="s">
        <v>12713</v>
      </c>
      <c r="AF656" t="s">
        <v>74</v>
      </c>
      <c r="AG656">
        <v>121</v>
      </c>
      <c r="AH656">
        <v>6</v>
      </c>
      <c r="AI656">
        <v>6</v>
      </c>
      <c r="AJ656">
        <v>5</v>
      </c>
      <c r="AK656">
        <v>66</v>
      </c>
      <c r="AL656" t="s">
        <v>2529</v>
      </c>
      <c r="AM656" t="s">
        <v>2530</v>
      </c>
      <c r="AN656" t="s">
        <v>2531</v>
      </c>
      <c r="AO656" t="s">
        <v>12447</v>
      </c>
      <c r="AP656" t="s">
        <v>12448</v>
      </c>
      <c r="AQ656" t="s">
        <v>74</v>
      </c>
      <c r="AR656" t="s">
        <v>12449</v>
      </c>
      <c r="AS656" t="s">
        <v>12450</v>
      </c>
      <c r="AT656" t="s">
        <v>420</v>
      </c>
      <c r="AU656">
        <v>2022</v>
      </c>
      <c r="AV656">
        <v>44</v>
      </c>
      <c r="AW656">
        <v>9</v>
      </c>
      <c r="AX656" t="s">
        <v>74</v>
      </c>
      <c r="AY656" t="s">
        <v>74</v>
      </c>
      <c r="AZ656" t="s">
        <v>74</v>
      </c>
      <c r="BA656" t="s">
        <v>74</v>
      </c>
      <c r="BB656" t="s">
        <v>74</v>
      </c>
      <c r="BC656" t="s">
        <v>74</v>
      </c>
      <c r="BD656">
        <v>393</v>
      </c>
      <c r="BE656" t="s">
        <v>12714</v>
      </c>
      <c r="BF656" t="str">
        <f>HYPERLINK("http://dx.doi.org/10.1007/s40430-022-03692-8","http://dx.doi.org/10.1007/s40430-022-03692-8")</f>
        <v>http://dx.doi.org/10.1007/s40430-022-03692-8</v>
      </c>
      <c r="BG656" t="s">
        <v>74</v>
      </c>
      <c r="BH656" t="s">
        <v>74</v>
      </c>
      <c r="BI656">
        <v>16</v>
      </c>
      <c r="BJ656" t="s">
        <v>181</v>
      </c>
      <c r="BK656" t="s">
        <v>182</v>
      </c>
      <c r="BL656" t="s">
        <v>183</v>
      </c>
      <c r="BM656" t="s">
        <v>12715</v>
      </c>
      <c r="BN656" t="s">
        <v>74</v>
      </c>
      <c r="BO656" t="s">
        <v>74</v>
      </c>
      <c r="BP656" t="s">
        <v>74</v>
      </c>
      <c r="BQ656" t="s">
        <v>74</v>
      </c>
      <c r="BR656" t="s">
        <v>105</v>
      </c>
      <c r="BS656" t="s">
        <v>12716</v>
      </c>
      <c r="BT656" t="str">
        <f>HYPERLINK("https%3A%2F%2Fwww.webofscience.com%2Fwos%2Fwoscc%2Ffull-record%2FWOS:000838683600005","View Full Record in Web of Science")</f>
        <v>View Full Record in Web of Science</v>
      </c>
    </row>
    <row r="657" spans="1:72" x14ac:dyDescent="0.25">
      <c r="A657" t="s">
        <v>72</v>
      </c>
      <c r="B657" t="s">
        <v>12717</v>
      </c>
      <c r="C657" t="s">
        <v>74</v>
      </c>
      <c r="D657" t="s">
        <v>74</v>
      </c>
      <c r="E657" t="s">
        <v>74</v>
      </c>
      <c r="F657" t="s">
        <v>12718</v>
      </c>
      <c r="G657" t="s">
        <v>74</v>
      </c>
      <c r="H657" t="s">
        <v>74</v>
      </c>
      <c r="I657" t="s">
        <v>12719</v>
      </c>
      <c r="J657" t="s">
        <v>5041</v>
      </c>
      <c r="K657" t="s">
        <v>74</v>
      </c>
      <c r="L657" t="s">
        <v>74</v>
      </c>
      <c r="M657" t="s">
        <v>78</v>
      </c>
      <c r="N657" t="s">
        <v>79</v>
      </c>
      <c r="O657" t="s">
        <v>74</v>
      </c>
      <c r="P657" t="s">
        <v>74</v>
      </c>
      <c r="Q657" t="s">
        <v>74</v>
      </c>
      <c r="R657" t="s">
        <v>74</v>
      </c>
      <c r="S657" t="s">
        <v>74</v>
      </c>
      <c r="T657" t="s">
        <v>12720</v>
      </c>
      <c r="U657" t="s">
        <v>12721</v>
      </c>
      <c r="V657" t="s">
        <v>12722</v>
      </c>
      <c r="W657" t="s">
        <v>12723</v>
      </c>
      <c r="X657" t="s">
        <v>12724</v>
      </c>
      <c r="Y657" t="s">
        <v>12725</v>
      </c>
      <c r="Z657" t="s">
        <v>12726</v>
      </c>
      <c r="AA657" t="s">
        <v>74</v>
      </c>
      <c r="AB657" t="s">
        <v>74</v>
      </c>
      <c r="AC657" t="s">
        <v>12727</v>
      </c>
      <c r="AD657" t="s">
        <v>1266</v>
      </c>
      <c r="AE657" t="s">
        <v>74</v>
      </c>
      <c r="AF657" t="s">
        <v>74</v>
      </c>
      <c r="AG657">
        <v>169</v>
      </c>
      <c r="AH657">
        <v>10</v>
      </c>
      <c r="AI657">
        <v>11</v>
      </c>
      <c r="AJ657">
        <v>1</v>
      </c>
      <c r="AK657">
        <v>61</v>
      </c>
      <c r="AL657" t="s">
        <v>172</v>
      </c>
      <c r="AM657" t="s">
        <v>4844</v>
      </c>
      <c r="AN657" t="s">
        <v>4845</v>
      </c>
      <c r="AO657" t="s">
        <v>5053</v>
      </c>
      <c r="AP657" t="s">
        <v>5054</v>
      </c>
      <c r="AQ657" t="s">
        <v>74</v>
      </c>
      <c r="AR657" t="s">
        <v>5055</v>
      </c>
      <c r="AS657" t="s">
        <v>5056</v>
      </c>
      <c r="AT657" t="s">
        <v>420</v>
      </c>
      <c r="AU657">
        <v>2022</v>
      </c>
      <c r="AV657">
        <v>106</v>
      </c>
      <c r="AW657">
        <v>1</v>
      </c>
      <c r="AX657" t="s">
        <v>74</v>
      </c>
      <c r="AY657" t="s">
        <v>74</v>
      </c>
      <c r="AZ657" t="s">
        <v>74</v>
      </c>
      <c r="BA657" t="s">
        <v>74</v>
      </c>
      <c r="BB657" t="s">
        <v>74</v>
      </c>
      <c r="BC657" t="s">
        <v>74</v>
      </c>
      <c r="BD657">
        <v>3</v>
      </c>
      <c r="BE657" t="s">
        <v>12728</v>
      </c>
      <c r="BF657" t="str">
        <f>HYPERLINK("http://dx.doi.org/10.1007/s10846-022-01695-0","http://dx.doi.org/10.1007/s10846-022-01695-0")</f>
        <v>http://dx.doi.org/10.1007/s10846-022-01695-0</v>
      </c>
      <c r="BG657" t="s">
        <v>74</v>
      </c>
      <c r="BH657" t="s">
        <v>74</v>
      </c>
      <c r="BI657">
        <v>31</v>
      </c>
      <c r="BJ657" t="s">
        <v>5059</v>
      </c>
      <c r="BK657" t="s">
        <v>182</v>
      </c>
      <c r="BL657" t="s">
        <v>5060</v>
      </c>
      <c r="BM657" t="s">
        <v>12729</v>
      </c>
      <c r="BN657">
        <v>35990171</v>
      </c>
      <c r="BO657" t="s">
        <v>238</v>
      </c>
      <c r="BP657" t="s">
        <v>74</v>
      </c>
      <c r="BQ657" t="s">
        <v>74</v>
      </c>
      <c r="BR657" t="s">
        <v>105</v>
      </c>
      <c r="BS657" t="s">
        <v>12730</v>
      </c>
      <c r="BT657" t="str">
        <f>HYPERLINK("https%3A%2F%2Fwww.webofscience.com%2Fwos%2Fwoscc%2Ffull-record%2FWOS:000841222800001","View Full Record in Web of Science")</f>
        <v>View Full Record in Web of Science</v>
      </c>
    </row>
    <row r="658" spans="1:72" x14ac:dyDescent="0.25">
      <c r="A658" t="s">
        <v>72</v>
      </c>
      <c r="B658" t="s">
        <v>12731</v>
      </c>
      <c r="C658" t="s">
        <v>74</v>
      </c>
      <c r="D658" t="s">
        <v>74</v>
      </c>
      <c r="E658" t="s">
        <v>74</v>
      </c>
      <c r="F658" t="s">
        <v>12732</v>
      </c>
      <c r="G658" t="s">
        <v>74</v>
      </c>
      <c r="H658" t="s">
        <v>74</v>
      </c>
      <c r="I658" t="s">
        <v>12733</v>
      </c>
      <c r="J658" t="s">
        <v>8733</v>
      </c>
      <c r="K658" t="s">
        <v>74</v>
      </c>
      <c r="L658" t="s">
        <v>74</v>
      </c>
      <c r="M658" t="s">
        <v>78</v>
      </c>
      <c r="N658" t="s">
        <v>79</v>
      </c>
      <c r="O658" t="s">
        <v>74</v>
      </c>
      <c r="P658" t="s">
        <v>74</v>
      </c>
      <c r="Q658" t="s">
        <v>74</v>
      </c>
      <c r="R658" t="s">
        <v>74</v>
      </c>
      <c r="S658" t="s">
        <v>74</v>
      </c>
      <c r="T658" t="s">
        <v>12734</v>
      </c>
      <c r="U658" t="s">
        <v>12735</v>
      </c>
      <c r="V658" t="s">
        <v>12736</v>
      </c>
      <c r="W658" t="s">
        <v>12737</v>
      </c>
      <c r="X658" t="s">
        <v>12738</v>
      </c>
      <c r="Y658" t="s">
        <v>12739</v>
      </c>
      <c r="Z658" t="s">
        <v>12740</v>
      </c>
      <c r="AA658" t="s">
        <v>12741</v>
      </c>
      <c r="AB658" t="s">
        <v>12742</v>
      </c>
      <c r="AC658" t="s">
        <v>12743</v>
      </c>
      <c r="AD658" t="s">
        <v>4047</v>
      </c>
      <c r="AE658" t="s">
        <v>12744</v>
      </c>
      <c r="AF658" t="s">
        <v>74</v>
      </c>
      <c r="AG658">
        <v>210</v>
      </c>
      <c r="AH658">
        <v>37</v>
      </c>
      <c r="AI658">
        <v>41</v>
      </c>
      <c r="AJ658">
        <v>58</v>
      </c>
      <c r="AK658">
        <v>319</v>
      </c>
      <c r="AL658" t="s">
        <v>8744</v>
      </c>
      <c r="AM658" t="s">
        <v>8745</v>
      </c>
      <c r="AN658" t="s">
        <v>8746</v>
      </c>
      <c r="AO658" t="s">
        <v>8747</v>
      </c>
      <c r="AP658" t="s">
        <v>8748</v>
      </c>
      <c r="AQ658" t="s">
        <v>74</v>
      </c>
      <c r="AR658" t="s">
        <v>8749</v>
      </c>
      <c r="AS658" t="s">
        <v>8750</v>
      </c>
      <c r="AT658" t="s">
        <v>420</v>
      </c>
      <c r="AU658">
        <v>2022</v>
      </c>
      <c r="AV658">
        <v>17</v>
      </c>
      <c r="AW658">
        <v>3</v>
      </c>
      <c r="AX658" t="s">
        <v>74</v>
      </c>
      <c r="AY658" t="s">
        <v>74</v>
      </c>
      <c r="AZ658" t="s">
        <v>74</v>
      </c>
      <c r="BA658" t="s">
        <v>74</v>
      </c>
      <c r="BB658" t="s">
        <v>74</v>
      </c>
      <c r="BC658" t="s">
        <v>74</v>
      </c>
      <c r="BD658">
        <v>37</v>
      </c>
      <c r="BE658" t="s">
        <v>12745</v>
      </c>
      <c r="BF658" t="str">
        <f>HYPERLINK("http://dx.doi.org/10.1007/s11465-022-0693-3","http://dx.doi.org/10.1007/s11465-022-0693-3")</f>
        <v>http://dx.doi.org/10.1007/s11465-022-0693-3</v>
      </c>
      <c r="BG658" t="s">
        <v>74</v>
      </c>
      <c r="BH658" t="s">
        <v>74</v>
      </c>
      <c r="BI658">
        <v>23</v>
      </c>
      <c r="BJ658" t="s">
        <v>181</v>
      </c>
      <c r="BK658" t="s">
        <v>182</v>
      </c>
      <c r="BL658" t="s">
        <v>183</v>
      </c>
      <c r="BM658" t="s">
        <v>12746</v>
      </c>
      <c r="BN658" t="s">
        <v>74</v>
      </c>
      <c r="BO658" t="s">
        <v>8816</v>
      </c>
      <c r="BP658" t="s">
        <v>74</v>
      </c>
      <c r="BQ658" t="s">
        <v>74</v>
      </c>
      <c r="BR658" t="s">
        <v>105</v>
      </c>
      <c r="BS658" t="s">
        <v>12747</v>
      </c>
      <c r="BT658" t="str">
        <f>HYPERLINK("https%3A%2F%2Fwww.webofscience.com%2Fwos%2Fwoscc%2Ffull-record%2FWOS:000857780400002","View Full Record in Web of Science")</f>
        <v>View Full Record in Web of Science</v>
      </c>
    </row>
    <row r="659" spans="1:72" x14ac:dyDescent="0.25">
      <c r="A659" t="s">
        <v>72</v>
      </c>
      <c r="B659" t="s">
        <v>12748</v>
      </c>
      <c r="C659" t="s">
        <v>74</v>
      </c>
      <c r="D659" t="s">
        <v>74</v>
      </c>
      <c r="E659" t="s">
        <v>74</v>
      </c>
      <c r="F659" t="s">
        <v>12749</v>
      </c>
      <c r="G659" t="s">
        <v>74</v>
      </c>
      <c r="H659" t="s">
        <v>74</v>
      </c>
      <c r="I659" t="s">
        <v>12750</v>
      </c>
      <c r="J659" t="s">
        <v>10801</v>
      </c>
      <c r="K659" t="s">
        <v>74</v>
      </c>
      <c r="L659" t="s">
        <v>74</v>
      </c>
      <c r="M659" t="s">
        <v>78</v>
      </c>
      <c r="N659" t="s">
        <v>79</v>
      </c>
      <c r="O659" t="s">
        <v>74</v>
      </c>
      <c r="P659" t="s">
        <v>74</v>
      </c>
      <c r="Q659" t="s">
        <v>74</v>
      </c>
      <c r="R659" t="s">
        <v>74</v>
      </c>
      <c r="S659" t="s">
        <v>74</v>
      </c>
      <c r="T659" t="s">
        <v>12751</v>
      </c>
      <c r="U659" t="s">
        <v>12752</v>
      </c>
      <c r="V659" t="s">
        <v>12753</v>
      </c>
      <c r="W659" t="s">
        <v>12754</v>
      </c>
      <c r="X659" t="s">
        <v>12755</v>
      </c>
      <c r="Y659" t="s">
        <v>12756</v>
      </c>
      <c r="Z659" t="s">
        <v>12757</v>
      </c>
      <c r="AA659" t="s">
        <v>12758</v>
      </c>
      <c r="AB659" t="s">
        <v>74</v>
      </c>
      <c r="AC659" t="s">
        <v>10898</v>
      </c>
      <c r="AD659" t="s">
        <v>10899</v>
      </c>
      <c r="AE659" t="s">
        <v>12759</v>
      </c>
      <c r="AF659" t="s">
        <v>74</v>
      </c>
      <c r="AG659">
        <v>105</v>
      </c>
      <c r="AH659">
        <v>23</v>
      </c>
      <c r="AI659">
        <v>23</v>
      </c>
      <c r="AJ659">
        <v>1</v>
      </c>
      <c r="AK659">
        <v>18</v>
      </c>
      <c r="AL659" t="s">
        <v>274</v>
      </c>
      <c r="AM659" t="s">
        <v>275</v>
      </c>
      <c r="AN659" t="s">
        <v>276</v>
      </c>
      <c r="AO659" t="s">
        <v>10810</v>
      </c>
      <c r="AP659" t="s">
        <v>10811</v>
      </c>
      <c r="AQ659" t="s">
        <v>74</v>
      </c>
      <c r="AR659" t="s">
        <v>10812</v>
      </c>
      <c r="AS659" t="s">
        <v>10813</v>
      </c>
      <c r="AT659" t="s">
        <v>12760</v>
      </c>
      <c r="AU659">
        <v>2022</v>
      </c>
      <c r="AV659">
        <v>80</v>
      </c>
      <c r="AW659">
        <v>1</v>
      </c>
      <c r="AX659" t="s">
        <v>74</v>
      </c>
      <c r="AY659" t="s">
        <v>74</v>
      </c>
      <c r="AZ659" t="s">
        <v>74</v>
      </c>
      <c r="BA659" t="s">
        <v>74</v>
      </c>
      <c r="BB659" t="s">
        <v>74</v>
      </c>
      <c r="BC659" t="s">
        <v>74</v>
      </c>
      <c r="BD659">
        <v>196</v>
      </c>
      <c r="BE659" t="s">
        <v>12761</v>
      </c>
      <c r="BF659" t="str">
        <f>HYPERLINK("http://dx.doi.org/10.1186/s13690-022-00952-w","http://dx.doi.org/10.1186/s13690-022-00952-w")</f>
        <v>http://dx.doi.org/10.1186/s13690-022-00952-w</v>
      </c>
      <c r="BG659" t="s">
        <v>74</v>
      </c>
      <c r="BH659" t="s">
        <v>74</v>
      </c>
      <c r="BI659">
        <v>21</v>
      </c>
      <c r="BJ659" t="s">
        <v>2512</v>
      </c>
      <c r="BK659" t="s">
        <v>102</v>
      </c>
      <c r="BL659" t="s">
        <v>2512</v>
      </c>
      <c r="BM659" t="s">
        <v>12762</v>
      </c>
      <c r="BN659">
        <v>35999548</v>
      </c>
      <c r="BO659" t="s">
        <v>355</v>
      </c>
      <c r="BP659" t="s">
        <v>74</v>
      </c>
      <c r="BQ659" t="s">
        <v>74</v>
      </c>
      <c r="BR659" t="s">
        <v>105</v>
      </c>
      <c r="BS659" t="s">
        <v>12763</v>
      </c>
      <c r="BT659" t="str">
        <f>HYPERLINK("https%3A%2F%2Fwww.webofscience.com%2Fwos%2Fwoscc%2Ffull-record%2FWOS:000846662100002","View Full Record in Web of Science")</f>
        <v>View Full Record in Web of Science</v>
      </c>
    </row>
    <row r="660" spans="1:72" x14ac:dyDescent="0.25">
      <c r="A660" t="s">
        <v>72</v>
      </c>
      <c r="B660" t="s">
        <v>12764</v>
      </c>
      <c r="C660" t="s">
        <v>74</v>
      </c>
      <c r="D660" t="s">
        <v>74</v>
      </c>
      <c r="E660" t="s">
        <v>74</v>
      </c>
      <c r="F660" t="s">
        <v>12765</v>
      </c>
      <c r="G660" t="s">
        <v>74</v>
      </c>
      <c r="H660" t="s">
        <v>74</v>
      </c>
      <c r="I660" t="s">
        <v>12766</v>
      </c>
      <c r="J660" t="s">
        <v>12767</v>
      </c>
      <c r="K660" t="s">
        <v>74</v>
      </c>
      <c r="L660" t="s">
        <v>74</v>
      </c>
      <c r="M660" t="s">
        <v>78</v>
      </c>
      <c r="N660" t="s">
        <v>79</v>
      </c>
      <c r="O660" t="s">
        <v>74</v>
      </c>
      <c r="P660" t="s">
        <v>74</v>
      </c>
      <c r="Q660" t="s">
        <v>74</v>
      </c>
      <c r="R660" t="s">
        <v>74</v>
      </c>
      <c r="S660" t="s">
        <v>74</v>
      </c>
      <c r="T660" t="s">
        <v>12768</v>
      </c>
      <c r="U660" t="s">
        <v>12769</v>
      </c>
      <c r="V660" t="s">
        <v>12770</v>
      </c>
      <c r="W660" t="s">
        <v>12771</v>
      </c>
      <c r="X660" t="s">
        <v>12772</v>
      </c>
      <c r="Y660" t="s">
        <v>12773</v>
      </c>
      <c r="Z660" t="s">
        <v>12774</v>
      </c>
      <c r="AA660" t="s">
        <v>12775</v>
      </c>
      <c r="AB660" t="s">
        <v>12776</v>
      </c>
      <c r="AC660" t="s">
        <v>74</v>
      </c>
      <c r="AD660" t="s">
        <v>74</v>
      </c>
      <c r="AE660" t="s">
        <v>74</v>
      </c>
      <c r="AF660" t="s">
        <v>74</v>
      </c>
      <c r="AG660">
        <v>29</v>
      </c>
      <c r="AH660">
        <v>3</v>
      </c>
      <c r="AI660">
        <v>3</v>
      </c>
      <c r="AJ660">
        <v>0</v>
      </c>
      <c r="AK660">
        <v>1</v>
      </c>
      <c r="AL660" t="s">
        <v>92</v>
      </c>
      <c r="AM660" t="s">
        <v>93</v>
      </c>
      <c r="AN660" t="s">
        <v>94</v>
      </c>
      <c r="AO660" t="s">
        <v>12777</v>
      </c>
      <c r="AP660" t="s">
        <v>12778</v>
      </c>
      <c r="AQ660" t="s">
        <v>74</v>
      </c>
      <c r="AR660" t="s">
        <v>12779</v>
      </c>
      <c r="AS660" t="s">
        <v>12780</v>
      </c>
      <c r="AT660" t="s">
        <v>12781</v>
      </c>
      <c r="AU660">
        <v>2023</v>
      </c>
      <c r="AV660">
        <v>25</v>
      </c>
      <c r="AW660">
        <v>4</v>
      </c>
      <c r="AX660" t="s">
        <v>74</v>
      </c>
      <c r="AY660" t="s">
        <v>74</v>
      </c>
      <c r="AZ660" t="s">
        <v>74</v>
      </c>
      <c r="BA660" t="s">
        <v>74</v>
      </c>
      <c r="BB660">
        <v>540</v>
      </c>
      <c r="BC660">
        <v>548</v>
      </c>
      <c r="BD660" t="s">
        <v>74</v>
      </c>
      <c r="BE660" t="s">
        <v>12782</v>
      </c>
      <c r="BF660" t="str">
        <f>HYPERLINK("http://dx.doi.org/10.1080/17549507.2022.2104927","http://dx.doi.org/10.1080/17549507.2022.2104927")</f>
        <v>http://dx.doi.org/10.1080/17549507.2022.2104927</v>
      </c>
      <c r="BG660" t="s">
        <v>74</v>
      </c>
      <c r="BH660" t="s">
        <v>4605</v>
      </c>
      <c r="BI660">
        <v>9</v>
      </c>
      <c r="BJ660" t="s">
        <v>12783</v>
      </c>
      <c r="BK660" t="s">
        <v>102</v>
      </c>
      <c r="BL660" t="s">
        <v>12783</v>
      </c>
      <c r="BM660" t="s">
        <v>12784</v>
      </c>
      <c r="BN660">
        <v>35975948</v>
      </c>
      <c r="BO660" t="s">
        <v>74</v>
      </c>
      <c r="BP660" t="s">
        <v>74</v>
      </c>
      <c r="BQ660" t="s">
        <v>74</v>
      </c>
      <c r="BR660" t="s">
        <v>105</v>
      </c>
      <c r="BS660" t="s">
        <v>12785</v>
      </c>
      <c r="BT660" t="str">
        <f>HYPERLINK("https%3A%2F%2Fwww.webofscience.com%2Fwos%2Fwoscc%2Ffull-record%2FWOS:000842547100001","View Full Record in Web of Science")</f>
        <v>View Full Record in Web of Science</v>
      </c>
    </row>
    <row r="661" spans="1:72" x14ac:dyDescent="0.25">
      <c r="A661" t="s">
        <v>72</v>
      </c>
      <c r="B661" t="s">
        <v>12786</v>
      </c>
      <c r="C661" t="s">
        <v>74</v>
      </c>
      <c r="D661" t="s">
        <v>74</v>
      </c>
      <c r="E661" t="s">
        <v>74</v>
      </c>
      <c r="F661" t="s">
        <v>12787</v>
      </c>
      <c r="G661" t="s">
        <v>74</v>
      </c>
      <c r="H661" t="s">
        <v>74</v>
      </c>
      <c r="I661" t="s">
        <v>12788</v>
      </c>
      <c r="J661" t="s">
        <v>594</v>
      </c>
      <c r="K661" t="s">
        <v>74</v>
      </c>
      <c r="L661" t="s">
        <v>74</v>
      </c>
      <c r="M661" t="s">
        <v>78</v>
      </c>
      <c r="N661" t="s">
        <v>79</v>
      </c>
      <c r="O661" t="s">
        <v>74</v>
      </c>
      <c r="P661" t="s">
        <v>74</v>
      </c>
      <c r="Q661" t="s">
        <v>74</v>
      </c>
      <c r="R661" t="s">
        <v>74</v>
      </c>
      <c r="S661" t="s">
        <v>74</v>
      </c>
      <c r="T661" t="s">
        <v>12789</v>
      </c>
      <c r="U661" t="s">
        <v>12790</v>
      </c>
      <c r="V661" t="s">
        <v>12791</v>
      </c>
      <c r="W661" t="s">
        <v>12792</v>
      </c>
      <c r="X661" t="s">
        <v>12793</v>
      </c>
      <c r="Y661" t="s">
        <v>12794</v>
      </c>
      <c r="Z661" t="s">
        <v>12795</v>
      </c>
      <c r="AA661" t="s">
        <v>12796</v>
      </c>
      <c r="AB661" t="s">
        <v>12797</v>
      </c>
      <c r="AC661" t="s">
        <v>74</v>
      </c>
      <c r="AD661" t="s">
        <v>74</v>
      </c>
      <c r="AE661" t="s">
        <v>74</v>
      </c>
      <c r="AF661" t="s">
        <v>74</v>
      </c>
      <c r="AG661">
        <v>134</v>
      </c>
      <c r="AH661">
        <v>60</v>
      </c>
      <c r="AI661">
        <v>65</v>
      </c>
      <c r="AJ661">
        <v>20</v>
      </c>
      <c r="AK661">
        <v>175</v>
      </c>
      <c r="AL661" t="s">
        <v>274</v>
      </c>
      <c r="AM661" t="s">
        <v>275</v>
      </c>
      <c r="AN661" t="s">
        <v>276</v>
      </c>
      <c r="AO661" t="s">
        <v>74</v>
      </c>
      <c r="AP661" t="s">
        <v>606</v>
      </c>
      <c r="AQ661" t="s">
        <v>74</v>
      </c>
      <c r="AR661" t="s">
        <v>607</v>
      </c>
      <c r="AS661" t="s">
        <v>608</v>
      </c>
      <c r="AT661" t="s">
        <v>12798</v>
      </c>
      <c r="AU661">
        <v>2022</v>
      </c>
      <c r="AV661">
        <v>19</v>
      </c>
      <c r="AW661">
        <v>1</v>
      </c>
      <c r="AX661" t="s">
        <v>74</v>
      </c>
      <c r="AY661" t="s">
        <v>74</v>
      </c>
      <c r="AZ661" t="s">
        <v>74</v>
      </c>
      <c r="BA661" t="s">
        <v>74</v>
      </c>
      <c r="BB661" t="s">
        <v>74</v>
      </c>
      <c r="BC661" t="s">
        <v>74</v>
      </c>
      <c r="BD661">
        <v>87</v>
      </c>
      <c r="BE661" t="s">
        <v>12799</v>
      </c>
      <c r="BF661" t="str">
        <f>HYPERLINK("http://dx.doi.org/10.1186/s12984-022-01065-9","http://dx.doi.org/10.1186/s12984-022-01065-9")</f>
        <v>http://dx.doi.org/10.1186/s12984-022-01065-9</v>
      </c>
      <c r="BG661" t="s">
        <v>74</v>
      </c>
      <c r="BH661" t="s">
        <v>74</v>
      </c>
      <c r="BI661">
        <v>17</v>
      </c>
      <c r="BJ661" t="s">
        <v>611</v>
      </c>
      <c r="BK661" t="s">
        <v>182</v>
      </c>
      <c r="BL661" t="s">
        <v>612</v>
      </c>
      <c r="BM661" t="s">
        <v>12800</v>
      </c>
      <c r="BN661">
        <v>35948915</v>
      </c>
      <c r="BO661" t="s">
        <v>355</v>
      </c>
      <c r="BP661" t="s">
        <v>74</v>
      </c>
      <c r="BQ661" t="s">
        <v>74</v>
      </c>
      <c r="BR661" t="s">
        <v>105</v>
      </c>
      <c r="BS661" t="s">
        <v>12801</v>
      </c>
      <c r="BT661" t="str">
        <f>HYPERLINK("https%3A%2F%2Fwww.webofscience.com%2Fwos%2Fwoscc%2Ffull-record%2FWOS:000838638500001","View Full Record in Web of Science")</f>
        <v>View Full Record in Web of Science</v>
      </c>
    </row>
    <row r="662" spans="1:72" x14ac:dyDescent="0.25">
      <c r="A662" t="s">
        <v>72</v>
      </c>
      <c r="B662" t="s">
        <v>12802</v>
      </c>
      <c r="C662" t="s">
        <v>74</v>
      </c>
      <c r="D662" t="s">
        <v>74</v>
      </c>
      <c r="E662" t="s">
        <v>74</v>
      </c>
      <c r="F662" t="s">
        <v>12803</v>
      </c>
      <c r="G662" t="s">
        <v>74</v>
      </c>
      <c r="H662" t="s">
        <v>74</v>
      </c>
      <c r="I662" t="s">
        <v>12804</v>
      </c>
      <c r="J662" t="s">
        <v>12492</v>
      </c>
      <c r="K662" t="s">
        <v>74</v>
      </c>
      <c r="L662" t="s">
        <v>74</v>
      </c>
      <c r="M662" t="s">
        <v>78</v>
      </c>
      <c r="N662" t="s">
        <v>79</v>
      </c>
      <c r="O662" t="s">
        <v>74</v>
      </c>
      <c r="P662" t="s">
        <v>74</v>
      </c>
      <c r="Q662" t="s">
        <v>74</v>
      </c>
      <c r="R662" t="s">
        <v>74</v>
      </c>
      <c r="S662" t="s">
        <v>74</v>
      </c>
      <c r="T662" t="s">
        <v>12805</v>
      </c>
      <c r="U662" t="s">
        <v>12806</v>
      </c>
      <c r="V662" t="s">
        <v>12807</v>
      </c>
      <c r="W662" t="s">
        <v>12808</v>
      </c>
      <c r="X662" t="s">
        <v>12809</v>
      </c>
      <c r="Y662" t="s">
        <v>12810</v>
      </c>
      <c r="Z662" t="s">
        <v>12811</v>
      </c>
      <c r="AA662" t="s">
        <v>12812</v>
      </c>
      <c r="AB662" t="s">
        <v>74</v>
      </c>
      <c r="AC662" t="s">
        <v>12813</v>
      </c>
      <c r="AD662" t="s">
        <v>12814</v>
      </c>
      <c r="AE662" t="s">
        <v>12815</v>
      </c>
      <c r="AF662" t="s">
        <v>74</v>
      </c>
      <c r="AG662">
        <v>206</v>
      </c>
      <c r="AH662">
        <v>10</v>
      </c>
      <c r="AI662">
        <v>10</v>
      </c>
      <c r="AJ662">
        <v>4</v>
      </c>
      <c r="AK662">
        <v>70</v>
      </c>
      <c r="AL662" t="s">
        <v>2529</v>
      </c>
      <c r="AM662" t="s">
        <v>2530</v>
      </c>
      <c r="AN662" t="s">
        <v>2531</v>
      </c>
      <c r="AO662" t="s">
        <v>12502</v>
      </c>
      <c r="AP662" t="s">
        <v>12503</v>
      </c>
      <c r="AQ662" t="s">
        <v>74</v>
      </c>
      <c r="AR662" t="s">
        <v>12504</v>
      </c>
      <c r="AS662" t="s">
        <v>12505</v>
      </c>
      <c r="AT662" t="s">
        <v>420</v>
      </c>
      <c r="AU662">
        <v>2022</v>
      </c>
      <c r="AV662">
        <v>15</v>
      </c>
      <c r="AW662">
        <v>4</v>
      </c>
      <c r="AX662" t="s">
        <v>74</v>
      </c>
      <c r="AY662" t="s">
        <v>74</v>
      </c>
      <c r="AZ662" t="s">
        <v>152</v>
      </c>
      <c r="BA662" t="s">
        <v>74</v>
      </c>
      <c r="BB662">
        <v>557</v>
      </c>
      <c r="BC662">
        <v>578</v>
      </c>
      <c r="BD662" t="s">
        <v>74</v>
      </c>
      <c r="BE662" t="s">
        <v>12816</v>
      </c>
      <c r="BF662" t="str">
        <f>HYPERLINK("http://dx.doi.org/10.1007/s11370-022-00435-5","http://dx.doi.org/10.1007/s11370-022-00435-5")</f>
        <v>http://dx.doi.org/10.1007/s11370-022-00435-5</v>
      </c>
      <c r="BG662" t="s">
        <v>74</v>
      </c>
      <c r="BH662" t="s">
        <v>4605</v>
      </c>
      <c r="BI662">
        <v>22</v>
      </c>
      <c r="BJ662" t="s">
        <v>714</v>
      </c>
      <c r="BK662" t="s">
        <v>182</v>
      </c>
      <c r="BL662" t="s">
        <v>714</v>
      </c>
      <c r="BM662" t="s">
        <v>12817</v>
      </c>
      <c r="BN662" t="s">
        <v>74</v>
      </c>
      <c r="BO662" t="s">
        <v>74</v>
      </c>
      <c r="BP662" t="s">
        <v>74</v>
      </c>
      <c r="BQ662" t="s">
        <v>74</v>
      </c>
      <c r="BR662" t="s">
        <v>105</v>
      </c>
      <c r="BS662" t="s">
        <v>12818</v>
      </c>
      <c r="BT662" t="str">
        <f>HYPERLINK("https%3A%2F%2Fwww.webofscience.com%2Fwos%2Fwoscc%2Ffull-record%2FWOS:000837913000001","View Full Record in Web of Science")</f>
        <v>View Full Record in Web of Science</v>
      </c>
    </row>
    <row r="663" spans="1:72" x14ac:dyDescent="0.25">
      <c r="A663" t="s">
        <v>72</v>
      </c>
      <c r="B663" t="s">
        <v>12819</v>
      </c>
      <c r="C663" t="s">
        <v>74</v>
      </c>
      <c r="D663" t="s">
        <v>74</v>
      </c>
      <c r="E663" t="s">
        <v>74</v>
      </c>
      <c r="F663" t="s">
        <v>12820</v>
      </c>
      <c r="G663" t="s">
        <v>74</v>
      </c>
      <c r="H663" t="s">
        <v>74</v>
      </c>
      <c r="I663" t="s">
        <v>12821</v>
      </c>
      <c r="J663" t="s">
        <v>9759</v>
      </c>
      <c r="K663" t="s">
        <v>74</v>
      </c>
      <c r="L663" t="s">
        <v>74</v>
      </c>
      <c r="M663" t="s">
        <v>78</v>
      </c>
      <c r="N663" t="s">
        <v>79</v>
      </c>
      <c r="O663" t="s">
        <v>74</v>
      </c>
      <c r="P663" t="s">
        <v>74</v>
      </c>
      <c r="Q663" t="s">
        <v>74</v>
      </c>
      <c r="R663" t="s">
        <v>74</v>
      </c>
      <c r="S663" t="s">
        <v>74</v>
      </c>
      <c r="T663" t="s">
        <v>12822</v>
      </c>
      <c r="U663" t="s">
        <v>12823</v>
      </c>
      <c r="V663" t="s">
        <v>12824</v>
      </c>
      <c r="W663" t="s">
        <v>12825</v>
      </c>
      <c r="X663" t="s">
        <v>12826</v>
      </c>
      <c r="Y663" t="s">
        <v>12827</v>
      </c>
      <c r="Z663" t="s">
        <v>12828</v>
      </c>
      <c r="AA663" t="s">
        <v>12829</v>
      </c>
      <c r="AB663" t="s">
        <v>12830</v>
      </c>
      <c r="AC663" t="s">
        <v>12831</v>
      </c>
      <c r="AD663" t="s">
        <v>12832</v>
      </c>
      <c r="AE663" t="s">
        <v>12833</v>
      </c>
      <c r="AF663" t="s">
        <v>74</v>
      </c>
      <c r="AG663">
        <v>70</v>
      </c>
      <c r="AH663">
        <v>18</v>
      </c>
      <c r="AI663">
        <v>19</v>
      </c>
      <c r="AJ663">
        <v>3</v>
      </c>
      <c r="AK663">
        <v>37</v>
      </c>
      <c r="AL663" t="s">
        <v>392</v>
      </c>
      <c r="AM663" t="s">
        <v>393</v>
      </c>
      <c r="AN663" t="s">
        <v>394</v>
      </c>
      <c r="AO663" t="s">
        <v>74</v>
      </c>
      <c r="AP663" t="s">
        <v>9772</v>
      </c>
      <c r="AQ663" t="s">
        <v>74</v>
      </c>
      <c r="AR663" t="s">
        <v>9773</v>
      </c>
      <c r="AS663" t="s">
        <v>9774</v>
      </c>
      <c r="AT663" t="s">
        <v>12834</v>
      </c>
      <c r="AU663">
        <v>2022</v>
      </c>
      <c r="AV663">
        <v>16</v>
      </c>
      <c r="AW663" t="s">
        <v>74</v>
      </c>
      <c r="AX663" t="s">
        <v>74</v>
      </c>
      <c r="AY663" t="s">
        <v>74</v>
      </c>
      <c r="AZ663" t="s">
        <v>74</v>
      </c>
      <c r="BA663" t="s">
        <v>74</v>
      </c>
      <c r="BB663" t="s">
        <v>74</v>
      </c>
      <c r="BC663" t="s">
        <v>74</v>
      </c>
      <c r="BD663">
        <v>949575</v>
      </c>
      <c r="BE663" t="s">
        <v>12835</v>
      </c>
      <c r="BF663" t="str">
        <f>HYPERLINK("http://dx.doi.org/10.3389/fnins.2022.949575","http://dx.doi.org/10.3389/fnins.2022.949575")</f>
        <v>http://dx.doi.org/10.3389/fnins.2022.949575</v>
      </c>
      <c r="BG663" t="s">
        <v>74</v>
      </c>
      <c r="BH663" t="s">
        <v>74</v>
      </c>
      <c r="BI663">
        <v>17</v>
      </c>
      <c r="BJ663" t="s">
        <v>374</v>
      </c>
      <c r="BK663" t="s">
        <v>182</v>
      </c>
      <c r="BL663" t="s">
        <v>375</v>
      </c>
      <c r="BM663" t="s">
        <v>12836</v>
      </c>
      <c r="BN663">
        <v>35992923</v>
      </c>
      <c r="BO663" t="s">
        <v>131</v>
      </c>
      <c r="BP663" t="s">
        <v>74</v>
      </c>
      <c r="BQ663" t="s">
        <v>74</v>
      </c>
      <c r="BR663" t="s">
        <v>105</v>
      </c>
      <c r="BS663" t="s">
        <v>12837</v>
      </c>
      <c r="BT663" t="str">
        <f>HYPERLINK("https%3A%2F%2Fwww.webofscience.com%2Fwos%2Fwoscc%2Ffull-record%2FWOS:000841210300001","View Full Record in Web of Science")</f>
        <v>View Full Record in Web of Science</v>
      </c>
    </row>
    <row r="664" spans="1:72" x14ac:dyDescent="0.25">
      <c r="A664" t="s">
        <v>72</v>
      </c>
      <c r="B664" t="s">
        <v>12838</v>
      </c>
      <c r="C664" t="s">
        <v>74</v>
      </c>
      <c r="D664" t="s">
        <v>74</v>
      </c>
      <c r="E664" t="s">
        <v>74</v>
      </c>
      <c r="F664" t="s">
        <v>12839</v>
      </c>
      <c r="G664" t="s">
        <v>74</v>
      </c>
      <c r="H664" t="s">
        <v>74</v>
      </c>
      <c r="I664" t="s">
        <v>12840</v>
      </c>
      <c r="J664" t="s">
        <v>2543</v>
      </c>
      <c r="K664" t="s">
        <v>74</v>
      </c>
      <c r="L664" t="s">
        <v>74</v>
      </c>
      <c r="M664" t="s">
        <v>78</v>
      </c>
      <c r="N664" t="s">
        <v>79</v>
      </c>
      <c r="O664" t="s">
        <v>74</v>
      </c>
      <c r="P664" t="s">
        <v>74</v>
      </c>
      <c r="Q664" t="s">
        <v>74</v>
      </c>
      <c r="R664" t="s">
        <v>74</v>
      </c>
      <c r="S664" t="s">
        <v>74</v>
      </c>
      <c r="T664" t="s">
        <v>12841</v>
      </c>
      <c r="U664" t="s">
        <v>12842</v>
      </c>
      <c r="V664" t="s">
        <v>12843</v>
      </c>
      <c r="W664" t="s">
        <v>12844</v>
      </c>
      <c r="X664" t="s">
        <v>12845</v>
      </c>
      <c r="Y664" t="s">
        <v>12846</v>
      </c>
      <c r="Z664" t="s">
        <v>12847</v>
      </c>
      <c r="AA664" t="s">
        <v>12848</v>
      </c>
      <c r="AB664" t="s">
        <v>12849</v>
      </c>
      <c r="AC664" t="s">
        <v>12850</v>
      </c>
      <c r="AD664" t="s">
        <v>12851</v>
      </c>
      <c r="AE664" t="s">
        <v>12852</v>
      </c>
      <c r="AF664" t="s">
        <v>74</v>
      </c>
      <c r="AG664">
        <v>69</v>
      </c>
      <c r="AH664">
        <v>20</v>
      </c>
      <c r="AI664">
        <v>21</v>
      </c>
      <c r="AJ664">
        <v>19</v>
      </c>
      <c r="AK664">
        <v>124</v>
      </c>
      <c r="AL664" t="s">
        <v>120</v>
      </c>
      <c r="AM664" t="s">
        <v>121</v>
      </c>
      <c r="AN664" t="s">
        <v>122</v>
      </c>
      <c r="AO664" t="s">
        <v>74</v>
      </c>
      <c r="AP664" t="s">
        <v>2553</v>
      </c>
      <c r="AQ664" t="s">
        <v>74</v>
      </c>
      <c r="AR664" t="s">
        <v>2554</v>
      </c>
      <c r="AS664" t="s">
        <v>2555</v>
      </c>
      <c r="AT664" t="s">
        <v>634</v>
      </c>
      <c r="AU664">
        <v>2022</v>
      </c>
      <c r="AV664">
        <v>12</v>
      </c>
      <c r="AW664">
        <v>8</v>
      </c>
      <c r="AX664" t="s">
        <v>74</v>
      </c>
      <c r="AY664" t="s">
        <v>74</v>
      </c>
      <c r="AZ664" t="s">
        <v>74</v>
      </c>
      <c r="BA664" t="s">
        <v>74</v>
      </c>
      <c r="BB664" t="s">
        <v>74</v>
      </c>
      <c r="BC664" t="s">
        <v>74</v>
      </c>
      <c r="BD664">
        <v>1079</v>
      </c>
      <c r="BE664" t="s">
        <v>12853</v>
      </c>
      <c r="BF664" t="str">
        <f>HYPERLINK("http://dx.doi.org/10.3390/brainsci12081079","http://dx.doi.org/10.3390/brainsci12081079")</f>
        <v>http://dx.doi.org/10.3390/brainsci12081079</v>
      </c>
      <c r="BG664" t="s">
        <v>74</v>
      </c>
      <c r="BH664" t="s">
        <v>74</v>
      </c>
      <c r="BI664">
        <v>14</v>
      </c>
      <c r="BJ664" t="s">
        <v>374</v>
      </c>
      <c r="BK664" t="s">
        <v>182</v>
      </c>
      <c r="BL664" t="s">
        <v>375</v>
      </c>
      <c r="BM664" t="s">
        <v>12854</v>
      </c>
      <c r="BN664">
        <v>36009142</v>
      </c>
      <c r="BO664" t="s">
        <v>355</v>
      </c>
      <c r="BP664" t="s">
        <v>74</v>
      </c>
      <c r="BQ664" t="s">
        <v>74</v>
      </c>
      <c r="BR664" t="s">
        <v>105</v>
      </c>
      <c r="BS664" t="s">
        <v>12855</v>
      </c>
      <c r="BT664" t="str">
        <f>HYPERLINK("https%3A%2F%2Fwww.webofscience.com%2Fwos%2Fwoscc%2Ffull-record%2FWOS:000846067600001","View Full Record in Web of Science")</f>
        <v>View Full Record in Web of Science</v>
      </c>
    </row>
    <row r="665" spans="1:72" x14ac:dyDescent="0.25">
      <c r="A665" t="s">
        <v>72</v>
      </c>
      <c r="B665" t="s">
        <v>12856</v>
      </c>
      <c r="C665" t="s">
        <v>74</v>
      </c>
      <c r="D665" t="s">
        <v>74</v>
      </c>
      <c r="E665" t="s">
        <v>74</v>
      </c>
      <c r="F665" t="s">
        <v>12857</v>
      </c>
      <c r="G665" t="s">
        <v>74</v>
      </c>
      <c r="H665" t="s">
        <v>74</v>
      </c>
      <c r="I665" t="s">
        <v>12858</v>
      </c>
      <c r="J665" t="s">
        <v>2690</v>
      </c>
      <c r="K665" t="s">
        <v>74</v>
      </c>
      <c r="L665" t="s">
        <v>74</v>
      </c>
      <c r="M665" t="s">
        <v>78</v>
      </c>
      <c r="N665" t="s">
        <v>79</v>
      </c>
      <c r="O665" t="s">
        <v>74</v>
      </c>
      <c r="P665" t="s">
        <v>74</v>
      </c>
      <c r="Q665" t="s">
        <v>74</v>
      </c>
      <c r="R665" t="s">
        <v>74</v>
      </c>
      <c r="S665" t="s">
        <v>74</v>
      </c>
      <c r="T665" t="s">
        <v>12859</v>
      </c>
      <c r="U665" t="s">
        <v>12860</v>
      </c>
      <c r="V665" t="s">
        <v>12861</v>
      </c>
      <c r="W665" t="s">
        <v>12862</v>
      </c>
      <c r="X665" t="s">
        <v>12863</v>
      </c>
      <c r="Y665" t="s">
        <v>12864</v>
      </c>
      <c r="Z665" t="s">
        <v>12865</v>
      </c>
      <c r="AA665" t="s">
        <v>12866</v>
      </c>
      <c r="AB665" t="s">
        <v>12867</v>
      </c>
      <c r="AC665" t="s">
        <v>74</v>
      </c>
      <c r="AD665" t="s">
        <v>74</v>
      </c>
      <c r="AE665" t="s">
        <v>74</v>
      </c>
      <c r="AF665" t="s">
        <v>74</v>
      </c>
      <c r="AG665">
        <v>155</v>
      </c>
      <c r="AH665">
        <v>15</v>
      </c>
      <c r="AI665">
        <v>15</v>
      </c>
      <c r="AJ665">
        <v>27</v>
      </c>
      <c r="AK665">
        <v>195</v>
      </c>
      <c r="AL665" t="s">
        <v>120</v>
      </c>
      <c r="AM665" t="s">
        <v>121</v>
      </c>
      <c r="AN665" t="s">
        <v>1221</v>
      </c>
      <c r="AO665" t="s">
        <v>74</v>
      </c>
      <c r="AP665" t="s">
        <v>2698</v>
      </c>
      <c r="AQ665" t="s">
        <v>74</v>
      </c>
      <c r="AR665" t="s">
        <v>2690</v>
      </c>
      <c r="AS665" t="s">
        <v>2699</v>
      </c>
      <c r="AT665" t="s">
        <v>634</v>
      </c>
      <c r="AU665">
        <v>2022</v>
      </c>
      <c r="AV665">
        <v>11</v>
      </c>
      <c r="AW665">
        <v>8</v>
      </c>
      <c r="AX665" t="s">
        <v>74</v>
      </c>
      <c r="AY665" t="s">
        <v>74</v>
      </c>
      <c r="AZ665" t="s">
        <v>74</v>
      </c>
      <c r="BA665" t="s">
        <v>74</v>
      </c>
      <c r="BB665" t="s">
        <v>74</v>
      </c>
      <c r="BC665" t="s">
        <v>74</v>
      </c>
      <c r="BD665">
        <v>232</v>
      </c>
      <c r="BE665" t="s">
        <v>12868</v>
      </c>
      <c r="BF665" t="str">
        <f>HYPERLINK("http://dx.doi.org/10.3390/act11080232","http://dx.doi.org/10.3390/act11080232")</f>
        <v>http://dx.doi.org/10.3390/act11080232</v>
      </c>
      <c r="BG665" t="s">
        <v>74</v>
      </c>
      <c r="BH665" t="s">
        <v>74</v>
      </c>
      <c r="BI665">
        <v>53</v>
      </c>
      <c r="BJ665" t="s">
        <v>2701</v>
      </c>
      <c r="BK665" t="s">
        <v>182</v>
      </c>
      <c r="BL665" t="s">
        <v>2702</v>
      </c>
      <c r="BM665" t="s">
        <v>12869</v>
      </c>
      <c r="BN665" t="s">
        <v>74</v>
      </c>
      <c r="BO665" t="s">
        <v>131</v>
      </c>
      <c r="BP665" t="s">
        <v>74</v>
      </c>
      <c r="BQ665" t="s">
        <v>74</v>
      </c>
      <c r="BR665" t="s">
        <v>105</v>
      </c>
      <c r="BS665" t="s">
        <v>12870</v>
      </c>
      <c r="BT665" t="str">
        <f>HYPERLINK("https%3A%2F%2Fwww.webofscience.com%2Fwos%2Fwoscc%2Ffull-record%2FWOS:000846379300001","View Full Record in Web of Science")</f>
        <v>View Full Record in Web of Science</v>
      </c>
    </row>
    <row r="666" spans="1:72" x14ac:dyDescent="0.25">
      <c r="A666" t="s">
        <v>72</v>
      </c>
      <c r="B666" t="s">
        <v>12871</v>
      </c>
      <c r="C666" t="s">
        <v>74</v>
      </c>
      <c r="D666" t="s">
        <v>74</v>
      </c>
      <c r="E666" t="s">
        <v>74</v>
      </c>
      <c r="F666" t="s">
        <v>12872</v>
      </c>
      <c r="G666" t="s">
        <v>74</v>
      </c>
      <c r="H666" t="s">
        <v>74</v>
      </c>
      <c r="I666" t="s">
        <v>12873</v>
      </c>
      <c r="J666" t="s">
        <v>1032</v>
      </c>
      <c r="K666" t="s">
        <v>74</v>
      </c>
      <c r="L666" t="s">
        <v>74</v>
      </c>
      <c r="M666" t="s">
        <v>78</v>
      </c>
      <c r="N666" t="s">
        <v>79</v>
      </c>
      <c r="O666" t="s">
        <v>74</v>
      </c>
      <c r="P666" t="s">
        <v>74</v>
      </c>
      <c r="Q666" t="s">
        <v>74</v>
      </c>
      <c r="R666" t="s">
        <v>74</v>
      </c>
      <c r="S666" t="s">
        <v>74</v>
      </c>
      <c r="T666" t="s">
        <v>12874</v>
      </c>
      <c r="U666" t="s">
        <v>12875</v>
      </c>
      <c r="V666" t="s">
        <v>12876</v>
      </c>
      <c r="W666" t="s">
        <v>12877</v>
      </c>
      <c r="X666" t="s">
        <v>12878</v>
      </c>
      <c r="Y666" t="s">
        <v>12879</v>
      </c>
      <c r="Z666" t="s">
        <v>12880</v>
      </c>
      <c r="AA666" t="s">
        <v>12881</v>
      </c>
      <c r="AB666" t="s">
        <v>12882</v>
      </c>
      <c r="AC666" t="s">
        <v>74</v>
      </c>
      <c r="AD666" t="s">
        <v>74</v>
      </c>
      <c r="AE666" t="s">
        <v>74</v>
      </c>
      <c r="AF666" t="s">
        <v>74</v>
      </c>
      <c r="AG666">
        <v>58</v>
      </c>
      <c r="AH666">
        <v>4</v>
      </c>
      <c r="AI666">
        <v>4</v>
      </c>
      <c r="AJ666">
        <v>0</v>
      </c>
      <c r="AK666">
        <v>7</v>
      </c>
      <c r="AL666" t="s">
        <v>1040</v>
      </c>
      <c r="AM666" t="s">
        <v>1041</v>
      </c>
      <c r="AN666" t="s">
        <v>1042</v>
      </c>
      <c r="AO666" t="s">
        <v>1043</v>
      </c>
      <c r="AP666" t="s">
        <v>1044</v>
      </c>
      <c r="AQ666" t="s">
        <v>74</v>
      </c>
      <c r="AR666" t="s">
        <v>1045</v>
      </c>
      <c r="AS666" t="s">
        <v>1046</v>
      </c>
      <c r="AT666" t="s">
        <v>634</v>
      </c>
      <c r="AU666">
        <v>2022</v>
      </c>
      <c r="AV666">
        <v>36</v>
      </c>
      <c r="AW666">
        <v>8</v>
      </c>
      <c r="AX666" t="s">
        <v>74</v>
      </c>
      <c r="AY666" t="s">
        <v>74</v>
      </c>
      <c r="AZ666" t="s">
        <v>74</v>
      </c>
      <c r="BA666" t="s">
        <v>74</v>
      </c>
      <c r="BB666">
        <v>545</v>
      </c>
      <c r="BC666">
        <v>556</v>
      </c>
      <c r="BD666" t="s">
        <v>74</v>
      </c>
      <c r="BE666" t="s">
        <v>12883</v>
      </c>
      <c r="BF666" t="str">
        <f>HYPERLINK("http://dx.doi.org/10.1177/15459683221110894","http://dx.doi.org/10.1177/15459683221110894")</f>
        <v>http://dx.doi.org/10.1177/15459683221110894</v>
      </c>
      <c r="BG666" t="s">
        <v>74</v>
      </c>
      <c r="BH666" t="s">
        <v>12884</v>
      </c>
      <c r="BI666">
        <v>12</v>
      </c>
      <c r="BJ666" t="s">
        <v>1049</v>
      </c>
      <c r="BK666" t="s">
        <v>182</v>
      </c>
      <c r="BL666" t="s">
        <v>1050</v>
      </c>
      <c r="BM666" t="s">
        <v>12885</v>
      </c>
      <c r="BN666">
        <v>35880666</v>
      </c>
      <c r="BO666" t="s">
        <v>74</v>
      </c>
      <c r="BP666" t="s">
        <v>74</v>
      </c>
      <c r="BQ666" t="s">
        <v>74</v>
      </c>
      <c r="BR666" t="s">
        <v>105</v>
      </c>
      <c r="BS666" t="s">
        <v>12886</v>
      </c>
      <c r="BT666" t="str">
        <f>HYPERLINK("https%3A%2F%2Fwww.webofscience.com%2Fwos%2Fwoscc%2Ffull-record%2FWOS:000830139600001","View Full Record in Web of Science")</f>
        <v>View Full Record in Web of Science</v>
      </c>
    </row>
    <row r="667" spans="1:72" x14ac:dyDescent="0.25">
      <c r="A667" t="s">
        <v>72</v>
      </c>
      <c r="B667" t="s">
        <v>12887</v>
      </c>
      <c r="C667" t="s">
        <v>74</v>
      </c>
      <c r="D667" t="s">
        <v>74</v>
      </c>
      <c r="E667" t="s">
        <v>74</v>
      </c>
      <c r="F667" t="s">
        <v>12888</v>
      </c>
      <c r="G667" t="s">
        <v>74</v>
      </c>
      <c r="H667" t="s">
        <v>74</v>
      </c>
      <c r="I667" t="s">
        <v>12889</v>
      </c>
      <c r="J667" t="s">
        <v>594</v>
      </c>
      <c r="K667" t="s">
        <v>74</v>
      </c>
      <c r="L667" t="s">
        <v>74</v>
      </c>
      <c r="M667" t="s">
        <v>78</v>
      </c>
      <c r="N667" t="s">
        <v>79</v>
      </c>
      <c r="O667" t="s">
        <v>74</v>
      </c>
      <c r="P667" t="s">
        <v>74</v>
      </c>
      <c r="Q667" t="s">
        <v>74</v>
      </c>
      <c r="R667" t="s">
        <v>74</v>
      </c>
      <c r="S667" t="s">
        <v>74</v>
      </c>
      <c r="T667" t="s">
        <v>12890</v>
      </c>
      <c r="U667" t="s">
        <v>12891</v>
      </c>
      <c r="V667" t="s">
        <v>12892</v>
      </c>
      <c r="W667" t="s">
        <v>12893</v>
      </c>
      <c r="X667" t="s">
        <v>12894</v>
      </c>
      <c r="Y667" t="s">
        <v>12895</v>
      </c>
      <c r="Z667" t="s">
        <v>12896</v>
      </c>
      <c r="AA667" t="s">
        <v>74</v>
      </c>
      <c r="AB667" t="s">
        <v>74</v>
      </c>
      <c r="AC667" t="s">
        <v>12897</v>
      </c>
      <c r="AD667" t="s">
        <v>12898</v>
      </c>
      <c r="AE667" t="s">
        <v>12899</v>
      </c>
      <c r="AF667" t="s">
        <v>74</v>
      </c>
      <c r="AG667">
        <v>51</v>
      </c>
      <c r="AH667">
        <v>27</v>
      </c>
      <c r="AI667">
        <v>31</v>
      </c>
      <c r="AJ667">
        <v>2</v>
      </c>
      <c r="AK667">
        <v>28</v>
      </c>
      <c r="AL667" t="s">
        <v>274</v>
      </c>
      <c r="AM667" t="s">
        <v>275</v>
      </c>
      <c r="AN667" t="s">
        <v>276</v>
      </c>
      <c r="AO667" t="s">
        <v>74</v>
      </c>
      <c r="AP667" t="s">
        <v>606</v>
      </c>
      <c r="AQ667" t="s">
        <v>74</v>
      </c>
      <c r="AR667" t="s">
        <v>607</v>
      </c>
      <c r="AS667" t="s">
        <v>608</v>
      </c>
      <c r="AT667" t="s">
        <v>179</v>
      </c>
      <c r="AU667">
        <v>2022</v>
      </c>
      <c r="AV667">
        <v>19</v>
      </c>
      <c r="AW667">
        <v>1</v>
      </c>
      <c r="AX667" t="s">
        <v>74</v>
      </c>
      <c r="AY667" t="s">
        <v>74</v>
      </c>
      <c r="AZ667" t="s">
        <v>74</v>
      </c>
      <c r="BA667" t="s">
        <v>74</v>
      </c>
      <c r="BB667" t="s">
        <v>74</v>
      </c>
      <c r="BC667" t="s">
        <v>74</v>
      </c>
      <c r="BD667">
        <v>76</v>
      </c>
      <c r="BE667" t="s">
        <v>12900</v>
      </c>
      <c r="BF667" t="str">
        <f>HYPERLINK("http://dx.doi.org/10.1186/s12984-022-01058-8","http://dx.doi.org/10.1186/s12984-022-01058-8")</f>
        <v>http://dx.doi.org/10.1186/s12984-022-01058-8</v>
      </c>
      <c r="BG667" t="s">
        <v>74</v>
      </c>
      <c r="BH667" t="s">
        <v>74</v>
      </c>
      <c r="BI667">
        <v>22</v>
      </c>
      <c r="BJ667" t="s">
        <v>611</v>
      </c>
      <c r="BK667" t="s">
        <v>182</v>
      </c>
      <c r="BL667" t="s">
        <v>612</v>
      </c>
      <c r="BM667" t="s">
        <v>12901</v>
      </c>
      <c r="BN667">
        <v>35864524</v>
      </c>
      <c r="BO667" t="s">
        <v>355</v>
      </c>
      <c r="BP667" t="s">
        <v>74</v>
      </c>
      <c r="BQ667" t="s">
        <v>74</v>
      </c>
      <c r="BR667" t="s">
        <v>105</v>
      </c>
      <c r="BS667" t="s">
        <v>12902</v>
      </c>
      <c r="BT667" t="str">
        <f>HYPERLINK("https%3A%2F%2Fwww.webofscience.com%2Fwos%2Fwoscc%2Ffull-record%2FWOS:000828602800002","View Full Record in Web of Science")</f>
        <v>View Full Record in Web of Science</v>
      </c>
    </row>
    <row r="668" spans="1:72" x14ac:dyDescent="0.25">
      <c r="A668" t="s">
        <v>72</v>
      </c>
      <c r="B668" t="s">
        <v>12903</v>
      </c>
      <c r="C668" t="s">
        <v>74</v>
      </c>
      <c r="D668" t="s">
        <v>74</v>
      </c>
      <c r="E668" t="s">
        <v>74</v>
      </c>
      <c r="F668" t="s">
        <v>12904</v>
      </c>
      <c r="G668" t="s">
        <v>74</v>
      </c>
      <c r="H668" t="s">
        <v>74</v>
      </c>
      <c r="I668" t="s">
        <v>12905</v>
      </c>
      <c r="J668" t="s">
        <v>382</v>
      </c>
      <c r="K668" t="s">
        <v>74</v>
      </c>
      <c r="L668" t="s">
        <v>74</v>
      </c>
      <c r="M668" t="s">
        <v>78</v>
      </c>
      <c r="N668" t="s">
        <v>79</v>
      </c>
      <c r="O668" t="s">
        <v>74</v>
      </c>
      <c r="P668" t="s">
        <v>74</v>
      </c>
      <c r="Q668" t="s">
        <v>74</v>
      </c>
      <c r="R668" t="s">
        <v>74</v>
      </c>
      <c r="S668" t="s">
        <v>74</v>
      </c>
      <c r="T668" t="s">
        <v>12906</v>
      </c>
      <c r="U668" t="s">
        <v>12907</v>
      </c>
      <c r="V668" t="s">
        <v>12908</v>
      </c>
      <c r="W668" t="s">
        <v>12909</v>
      </c>
      <c r="X668" t="s">
        <v>12910</v>
      </c>
      <c r="Y668" t="s">
        <v>12911</v>
      </c>
      <c r="Z668" t="s">
        <v>12912</v>
      </c>
      <c r="AA668" t="s">
        <v>12913</v>
      </c>
      <c r="AB668" t="s">
        <v>12914</v>
      </c>
      <c r="AC668" t="s">
        <v>12915</v>
      </c>
      <c r="AD668" t="s">
        <v>12916</v>
      </c>
      <c r="AE668" t="s">
        <v>12917</v>
      </c>
      <c r="AF668" t="s">
        <v>74</v>
      </c>
      <c r="AG668">
        <v>127</v>
      </c>
      <c r="AH668">
        <v>4</v>
      </c>
      <c r="AI668">
        <v>4</v>
      </c>
      <c r="AJ668">
        <v>1</v>
      </c>
      <c r="AK668">
        <v>12</v>
      </c>
      <c r="AL668" t="s">
        <v>392</v>
      </c>
      <c r="AM668" t="s">
        <v>393</v>
      </c>
      <c r="AN668" t="s">
        <v>394</v>
      </c>
      <c r="AO668" t="s">
        <v>395</v>
      </c>
      <c r="AP668" t="s">
        <v>74</v>
      </c>
      <c r="AQ668" t="s">
        <v>74</v>
      </c>
      <c r="AR668" t="s">
        <v>396</v>
      </c>
      <c r="AS668" t="s">
        <v>397</v>
      </c>
      <c r="AT668" t="s">
        <v>12918</v>
      </c>
      <c r="AU668">
        <v>2022</v>
      </c>
      <c r="AV668">
        <v>13</v>
      </c>
      <c r="AW668" t="s">
        <v>74</v>
      </c>
      <c r="AX668" t="s">
        <v>74</v>
      </c>
      <c r="AY668" t="s">
        <v>74</v>
      </c>
      <c r="AZ668" t="s">
        <v>74</v>
      </c>
      <c r="BA668" t="s">
        <v>74</v>
      </c>
      <c r="BB668" t="s">
        <v>74</v>
      </c>
      <c r="BC668" t="s">
        <v>74</v>
      </c>
      <c r="BD668">
        <v>939748</v>
      </c>
      <c r="BE668" t="s">
        <v>12919</v>
      </c>
      <c r="BF668" t="str">
        <f>HYPERLINK("http://dx.doi.org/10.3389/fneur.2022.939748","http://dx.doi.org/10.3389/fneur.2022.939748")</f>
        <v>http://dx.doi.org/10.3389/fneur.2022.939748</v>
      </c>
      <c r="BG668" t="s">
        <v>74</v>
      </c>
      <c r="BH668" t="s">
        <v>74</v>
      </c>
      <c r="BI668">
        <v>19</v>
      </c>
      <c r="BJ668" t="s">
        <v>400</v>
      </c>
      <c r="BK668" t="s">
        <v>182</v>
      </c>
      <c r="BL668" t="s">
        <v>375</v>
      </c>
      <c r="BM668" t="s">
        <v>12920</v>
      </c>
      <c r="BN668">
        <v>35928130</v>
      </c>
      <c r="BO668" t="s">
        <v>131</v>
      </c>
      <c r="BP668" t="s">
        <v>74</v>
      </c>
      <c r="BQ668" t="s">
        <v>74</v>
      </c>
      <c r="BR668" t="s">
        <v>105</v>
      </c>
      <c r="BS668" t="s">
        <v>12921</v>
      </c>
      <c r="BT668" t="str">
        <f>HYPERLINK("https%3A%2F%2Fwww.webofscience.com%2Fwos%2Fwoscc%2Ffull-record%2FWOS:000836367500001","View Full Record in Web of Science")</f>
        <v>View Full Record in Web of Science</v>
      </c>
    </row>
    <row r="669" spans="1:72" x14ac:dyDescent="0.25">
      <c r="A669" t="s">
        <v>72</v>
      </c>
      <c r="B669" t="s">
        <v>12922</v>
      </c>
      <c r="C669" t="s">
        <v>74</v>
      </c>
      <c r="D669" t="s">
        <v>74</v>
      </c>
      <c r="E669" t="s">
        <v>74</v>
      </c>
      <c r="F669" t="s">
        <v>12923</v>
      </c>
      <c r="G669" t="s">
        <v>74</v>
      </c>
      <c r="H669" t="s">
        <v>74</v>
      </c>
      <c r="I669" t="s">
        <v>12924</v>
      </c>
      <c r="J669" t="s">
        <v>618</v>
      </c>
      <c r="K669" t="s">
        <v>74</v>
      </c>
      <c r="L669" t="s">
        <v>74</v>
      </c>
      <c r="M669" t="s">
        <v>78</v>
      </c>
      <c r="N669" t="s">
        <v>79</v>
      </c>
      <c r="O669" t="s">
        <v>74</v>
      </c>
      <c r="P669" t="s">
        <v>74</v>
      </c>
      <c r="Q669" t="s">
        <v>74</v>
      </c>
      <c r="R669" t="s">
        <v>74</v>
      </c>
      <c r="S669" t="s">
        <v>74</v>
      </c>
      <c r="T669" t="s">
        <v>12925</v>
      </c>
      <c r="U669" t="s">
        <v>12926</v>
      </c>
      <c r="V669" t="s">
        <v>12927</v>
      </c>
      <c r="W669" t="s">
        <v>12928</v>
      </c>
      <c r="X669" t="s">
        <v>12929</v>
      </c>
      <c r="Y669" t="s">
        <v>12930</v>
      </c>
      <c r="Z669" t="s">
        <v>12931</v>
      </c>
      <c r="AA669" t="s">
        <v>12932</v>
      </c>
      <c r="AB669" t="s">
        <v>12933</v>
      </c>
      <c r="AC669" t="s">
        <v>74</v>
      </c>
      <c r="AD669" t="s">
        <v>74</v>
      </c>
      <c r="AE669" t="s">
        <v>74</v>
      </c>
      <c r="AF669" t="s">
        <v>74</v>
      </c>
      <c r="AG669">
        <v>69</v>
      </c>
      <c r="AH669">
        <v>24</v>
      </c>
      <c r="AI669">
        <v>27</v>
      </c>
      <c r="AJ669">
        <v>5</v>
      </c>
      <c r="AK669">
        <v>66</v>
      </c>
      <c r="AL669" t="s">
        <v>583</v>
      </c>
      <c r="AM669" t="s">
        <v>275</v>
      </c>
      <c r="AN669" t="s">
        <v>584</v>
      </c>
      <c r="AO669" t="s">
        <v>630</v>
      </c>
      <c r="AP669" t="s">
        <v>631</v>
      </c>
      <c r="AQ669" t="s">
        <v>74</v>
      </c>
      <c r="AR669" t="s">
        <v>632</v>
      </c>
      <c r="AS669" t="s">
        <v>633</v>
      </c>
      <c r="AT669" t="s">
        <v>151</v>
      </c>
      <c r="AU669">
        <v>2022</v>
      </c>
      <c r="AV669">
        <v>7</v>
      </c>
      <c r="AW669">
        <v>6</v>
      </c>
      <c r="AX669" t="s">
        <v>74</v>
      </c>
      <c r="AY669" t="s">
        <v>74</v>
      </c>
      <c r="AZ669" t="s">
        <v>74</v>
      </c>
      <c r="BA669" t="s">
        <v>74</v>
      </c>
      <c r="BB669">
        <v>541</v>
      </c>
      <c r="BC669">
        <v>549</v>
      </c>
      <c r="BD669" t="s">
        <v>74</v>
      </c>
      <c r="BE669" t="s">
        <v>12934</v>
      </c>
      <c r="BF669" t="str">
        <f>HYPERLINK("http://dx.doi.org/10.1136/svn-2022-001506","http://dx.doi.org/10.1136/svn-2022-001506")</f>
        <v>http://dx.doi.org/10.1136/svn-2022-001506</v>
      </c>
      <c r="BG669" t="s">
        <v>74</v>
      </c>
      <c r="BH669" t="s">
        <v>12884</v>
      </c>
      <c r="BI669">
        <v>9</v>
      </c>
      <c r="BJ669" t="s">
        <v>541</v>
      </c>
      <c r="BK669" t="s">
        <v>182</v>
      </c>
      <c r="BL669" t="s">
        <v>375</v>
      </c>
      <c r="BM669" t="s">
        <v>12935</v>
      </c>
      <c r="BN669">
        <v>35853669</v>
      </c>
      <c r="BO669" t="s">
        <v>355</v>
      </c>
      <c r="BP669" t="s">
        <v>74</v>
      </c>
      <c r="BQ669" t="s">
        <v>74</v>
      </c>
      <c r="BR669" t="s">
        <v>105</v>
      </c>
      <c r="BS669" t="s">
        <v>12936</v>
      </c>
      <c r="BT669" t="str">
        <f>HYPERLINK("https%3A%2F%2Fwww.webofscience.com%2Fwos%2Fwoscc%2Ffull-record%2FWOS:000828202200001","View Full Record in Web of Science")</f>
        <v>View Full Record in Web of Science</v>
      </c>
    </row>
    <row r="670" spans="1:72" x14ac:dyDescent="0.25">
      <c r="A670" t="s">
        <v>72</v>
      </c>
      <c r="B670" t="s">
        <v>12937</v>
      </c>
      <c r="C670" t="s">
        <v>74</v>
      </c>
      <c r="D670" t="s">
        <v>74</v>
      </c>
      <c r="E670" t="s">
        <v>74</v>
      </c>
      <c r="F670" t="s">
        <v>12938</v>
      </c>
      <c r="G670" t="s">
        <v>74</v>
      </c>
      <c r="H670" t="s">
        <v>74</v>
      </c>
      <c r="I670" t="s">
        <v>12939</v>
      </c>
      <c r="J670" t="s">
        <v>12940</v>
      </c>
      <c r="K670" t="s">
        <v>74</v>
      </c>
      <c r="L670" t="s">
        <v>74</v>
      </c>
      <c r="M670" t="s">
        <v>78</v>
      </c>
      <c r="N670" t="s">
        <v>79</v>
      </c>
      <c r="O670" t="s">
        <v>74</v>
      </c>
      <c r="P670" t="s">
        <v>74</v>
      </c>
      <c r="Q670" t="s">
        <v>74</v>
      </c>
      <c r="R670" t="s">
        <v>74</v>
      </c>
      <c r="S670" t="s">
        <v>74</v>
      </c>
      <c r="T670" t="s">
        <v>12941</v>
      </c>
      <c r="U670" t="s">
        <v>12942</v>
      </c>
      <c r="V670" t="s">
        <v>12943</v>
      </c>
      <c r="W670" t="s">
        <v>12944</v>
      </c>
      <c r="X670" t="s">
        <v>12945</v>
      </c>
      <c r="Y670" t="s">
        <v>12946</v>
      </c>
      <c r="Z670" t="s">
        <v>12947</v>
      </c>
      <c r="AA670" t="s">
        <v>74</v>
      </c>
      <c r="AB670" t="s">
        <v>12948</v>
      </c>
      <c r="AC670" t="s">
        <v>12949</v>
      </c>
      <c r="AD670" t="s">
        <v>12950</v>
      </c>
      <c r="AE670" t="s">
        <v>12951</v>
      </c>
      <c r="AF670" t="s">
        <v>74</v>
      </c>
      <c r="AG670">
        <v>69</v>
      </c>
      <c r="AH670">
        <v>6</v>
      </c>
      <c r="AI670">
        <v>6</v>
      </c>
      <c r="AJ670">
        <v>2</v>
      </c>
      <c r="AK670">
        <v>11</v>
      </c>
      <c r="AL670" t="s">
        <v>2529</v>
      </c>
      <c r="AM670" t="s">
        <v>2530</v>
      </c>
      <c r="AN670" t="s">
        <v>2531</v>
      </c>
      <c r="AO670" t="s">
        <v>12952</v>
      </c>
      <c r="AP670" t="s">
        <v>12953</v>
      </c>
      <c r="AQ670" t="s">
        <v>74</v>
      </c>
      <c r="AR670" t="s">
        <v>12954</v>
      </c>
      <c r="AS670" t="s">
        <v>12955</v>
      </c>
      <c r="AT670" t="s">
        <v>1888</v>
      </c>
      <c r="AU670">
        <v>2022</v>
      </c>
      <c r="AV670">
        <v>122</v>
      </c>
      <c r="AW670">
        <v>5</v>
      </c>
      <c r="AX670" t="s">
        <v>74</v>
      </c>
      <c r="AY670" t="s">
        <v>74</v>
      </c>
      <c r="AZ670" t="s">
        <v>74</v>
      </c>
      <c r="BA670" t="s">
        <v>74</v>
      </c>
      <c r="BB670">
        <v>1149</v>
      </c>
      <c r="BC670">
        <v>1162</v>
      </c>
      <c r="BD670" t="s">
        <v>74</v>
      </c>
      <c r="BE670" t="s">
        <v>12956</v>
      </c>
      <c r="BF670" t="str">
        <f>HYPERLINK("http://dx.doi.org/10.1007/s13760-022-02011-1","http://dx.doi.org/10.1007/s13760-022-02011-1")</f>
        <v>http://dx.doi.org/10.1007/s13760-022-02011-1</v>
      </c>
      <c r="BG670" t="s">
        <v>74</v>
      </c>
      <c r="BH670" t="s">
        <v>12884</v>
      </c>
      <c r="BI670">
        <v>14</v>
      </c>
      <c r="BJ670" t="s">
        <v>400</v>
      </c>
      <c r="BK670" t="s">
        <v>182</v>
      </c>
      <c r="BL670" t="s">
        <v>375</v>
      </c>
      <c r="BM670" t="s">
        <v>12957</v>
      </c>
      <c r="BN670">
        <v>35842896</v>
      </c>
      <c r="BO670" t="s">
        <v>74</v>
      </c>
      <c r="BP670" t="s">
        <v>74</v>
      </c>
      <c r="BQ670" t="s">
        <v>74</v>
      </c>
      <c r="BR670" t="s">
        <v>105</v>
      </c>
      <c r="BS670" t="s">
        <v>12958</v>
      </c>
      <c r="BT670" t="str">
        <f>HYPERLINK("https%3A%2F%2Fwww.webofscience.com%2Fwos%2Fwoscc%2Ffull-record%2FWOS:000826273600001","View Full Record in Web of Science")</f>
        <v>View Full Record in Web of Science</v>
      </c>
    </row>
    <row r="671" spans="1:72" x14ac:dyDescent="0.25">
      <c r="A671" t="s">
        <v>72</v>
      </c>
      <c r="B671" t="s">
        <v>12959</v>
      </c>
      <c r="C671" t="s">
        <v>74</v>
      </c>
      <c r="D671" t="s">
        <v>74</v>
      </c>
      <c r="E671" t="s">
        <v>74</v>
      </c>
      <c r="F671" t="s">
        <v>12960</v>
      </c>
      <c r="G671" t="s">
        <v>74</v>
      </c>
      <c r="H671" t="s">
        <v>74</v>
      </c>
      <c r="I671" t="s">
        <v>12961</v>
      </c>
      <c r="J671" t="s">
        <v>12962</v>
      </c>
      <c r="K671" t="s">
        <v>74</v>
      </c>
      <c r="L671" t="s">
        <v>74</v>
      </c>
      <c r="M671" t="s">
        <v>78</v>
      </c>
      <c r="N671" t="s">
        <v>79</v>
      </c>
      <c r="O671" t="s">
        <v>74</v>
      </c>
      <c r="P671" t="s">
        <v>74</v>
      </c>
      <c r="Q671" t="s">
        <v>74</v>
      </c>
      <c r="R671" t="s">
        <v>74</v>
      </c>
      <c r="S671" t="s">
        <v>74</v>
      </c>
      <c r="T671" t="s">
        <v>74</v>
      </c>
      <c r="U671" t="s">
        <v>12963</v>
      </c>
      <c r="V671" t="s">
        <v>12964</v>
      </c>
      <c r="W671" t="s">
        <v>12965</v>
      </c>
      <c r="X671" t="s">
        <v>12966</v>
      </c>
      <c r="Y671" t="s">
        <v>12967</v>
      </c>
      <c r="Z671" t="s">
        <v>12968</v>
      </c>
      <c r="AA671" t="s">
        <v>12969</v>
      </c>
      <c r="AB671" t="s">
        <v>12970</v>
      </c>
      <c r="AC671" t="s">
        <v>12971</v>
      </c>
      <c r="AD671" t="s">
        <v>12971</v>
      </c>
      <c r="AE671" t="s">
        <v>12972</v>
      </c>
      <c r="AF671" t="s">
        <v>74</v>
      </c>
      <c r="AG671">
        <v>56</v>
      </c>
      <c r="AH671">
        <v>7</v>
      </c>
      <c r="AI671">
        <v>8</v>
      </c>
      <c r="AJ671">
        <v>5</v>
      </c>
      <c r="AK671">
        <v>13</v>
      </c>
      <c r="AL671" t="s">
        <v>367</v>
      </c>
      <c r="AM671" t="s">
        <v>275</v>
      </c>
      <c r="AN671" t="s">
        <v>368</v>
      </c>
      <c r="AO671" t="s">
        <v>12973</v>
      </c>
      <c r="AP671" t="s">
        <v>12974</v>
      </c>
      <c r="AQ671" t="s">
        <v>74</v>
      </c>
      <c r="AR671" t="s">
        <v>12975</v>
      </c>
      <c r="AS671" t="s">
        <v>12976</v>
      </c>
      <c r="AT671" t="s">
        <v>12977</v>
      </c>
      <c r="AU671">
        <v>2022</v>
      </c>
      <c r="AV671">
        <v>2022</v>
      </c>
      <c r="AW671" t="s">
        <v>74</v>
      </c>
      <c r="AX671" t="s">
        <v>74</v>
      </c>
      <c r="AY671" t="s">
        <v>74</v>
      </c>
      <c r="AZ671" t="s">
        <v>74</v>
      </c>
      <c r="BA671" t="s">
        <v>74</v>
      </c>
      <c r="BB671" t="s">
        <v>74</v>
      </c>
      <c r="BC671" t="s">
        <v>74</v>
      </c>
      <c r="BD671">
        <v>2357785</v>
      </c>
      <c r="BE671" t="s">
        <v>12978</v>
      </c>
      <c r="BF671" t="str">
        <f>HYPERLINK("http://dx.doi.org/10.1155/2022/2357785","http://dx.doi.org/10.1155/2022/2357785")</f>
        <v>http://dx.doi.org/10.1155/2022/2357785</v>
      </c>
      <c r="BG671" t="s">
        <v>74</v>
      </c>
      <c r="BH671" t="s">
        <v>74</v>
      </c>
      <c r="BI671">
        <v>15</v>
      </c>
      <c r="BJ671" t="s">
        <v>541</v>
      </c>
      <c r="BK671" t="s">
        <v>155</v>
      </c>
      <c r="BL671" t="s">
        <v>375</v>
      </c>
      <c r="BM671" t="s">
        <v>12979</v>
      </c>
      <c r="BN671">
        <v>35860179</v>
      </c>
      <c r="BO671" t="s">
        <v>12980</v>
      </c>
      <c r="BP671" t="s">
        <v>74</v>
      </c>
      <c r="BQ671" t="s">
        <v>74</v>
      </c>
      <c r="BR671" t="s">
        <v>105</v>
      </c>
      <c r="BS671" t="s">
        <v>12981</v>
      </c>
      <c r="BT671" t="str">
        <f>HYPERLINK("https%3A%2F%2Fwww.webofscience.com%2Fwos%2Fwoscc%2Ffull-record%2FWOS:000832053300001","View Full Record in Web of Science")</f>
        <v>View Full Record in Web of Science</v>
      </c>
    </row>
    <row r="672" spans="1:72" x14ac:dyDescent="0.25">
      <c r="A672" t="s">
        <v>72</v>
      </c>
      <c r="B672" t="s">
        <v>12982</v>
      </c>
      <c r="C672" t="s">
        <v>74</v>
      </c>
      <c r="D672" t="s">
        <v>74</v>
      </c>
      <c r="E672" t="s">
        <v>74</v>
      </c>
      <c r="F672" t="s">
        <v>12983</v>
      </c>
      <c r="G672" t="s">
        <v>74</v>
      </c>
      <c r="H672" t="s">
        <v>74</v>
      </c>
      <c r="I672" t="s">
        <v>12984</v>
      </c>
      <c r="J672" t="s">
        <v>2157</v>
      </c>
      <c r="K672" t="s">
        <v>74</v>
      </c>
      <c r="L672" t="s">
        <v>74</v>
      </c>
      <c r="M672" t="s">
        <v>78</v>
      </c>
      <c r="N672" t="s">
        <v>79</v>
      </c>
      <c r="O672" t="s">
        <v>74</v>
      </c>
      <c r="P672" t="s">
        <v>74</v>
      </c>
      <c r="Q672" t="s">
        <v>74</v>
      </c>
      <c r="R672" t="s">
        <v>74</v>
      </c>
      <c r="S672" t="s">
        <v>74</v>
      </c>
      <c r="T672" t="s">
        <v>12985</v>
      </c>
      <c r="U672" t="s">
        <v>12986</v>
      </c>
      <c r="V672" t="s">
        <v>12987</v>
      </c>
      <c r="W672" t="s">
        <v>12988</v>
      </c>
      <c r="X672" t="s">
        <v>12989</v>
      </c>
      <c r="Y672" t="s">
        <v>12990</v>
      </c>
      <c r="Z672" t="s">
        <v>12991</v>
      </c>
      <c r="AA672" t="s">
        <v>12992</v>
      </c>
      <c r="AB672" t="s">
        <v>12993</v>
      </c>
      <c r="AC672" t="s">
        <v>74</v>
      </c>
      <c r="AD672" t="s">
        <v>74</v>
      </c>
      <c r="AE672" t="s">
        <v>74</v>
      </c>
      <c r="AF672" t="s">
        <v>74</v>
      </c>
      <c r="AG672">
        <v>108</v>
      </c>
      <c r="AH672">
        <v>21</v>
      </c>
      <c r="AI672">
        <v>21</v>
      </c>
      <c r="AJ672">
        <v>2</v>
      </c>
      <c r="AK672">
        <v>38</v>
      </c>
      <c r="AL672" t="s">
        <v>92</v>
      </c>
      <c r="AM672" t="s">
        <v>93</v>
      </c>
      <c r="AN672" t="s">
        <v>94</v>
      </c>
      <c r="AO672" t="s">
        <v>2170</v>
      </c>
      <c r="AP672" t="s">
        <v>2171</v>
      </c>
      <c r="AQ672" t="s">
        <v>74</v>
      </c>
      <c r="AR672" t="s">
        <v>2172</v>
      </c>
      <c r="AS672" t="s">
        <v>2173</v>
      </c>
      <c r="AT672" t="s">
        <v>10845</v>
      </c>
      <c r="AU672">
        <v>2022</v>
      </c>
      <c r="AV672">
        <v>19</v>
      </c>
      <c r="AW672">
        <v>5</v>
      </c>
      <c r="AX672" t="s">
        <v>74</v>
      </c>
      <c r="AY672" t="s">
        <v>74</v>
      </c>
      <c r="AZ672" t="s">
        <v>74</v>
      </c>
      <c r="BA672" t="s">
        <v>74</v>
      </c>
      <c r="BB672">
        <v>405</v>
      </c>
      <c r="BC672">
        <v>421</v>
      </c>
      <c r="BD672" t="s">
        <v>74</v>
      </c>
      <c r="BE672" t="s">
        <v>12994</v>
      </c>
      <c r="BF672" t="str">
        <f>HYPERLINK("http://dx.doi.org/10.1080/17434440.2022.2096438","http://dx.doi.org/10.1080/17434440.2022.2096438")</f>
        <v>http://dx.doi.org/10.1080/17434440.2022.2096438</v>
      </c>
      <c r="BG672" t="s">
        <v>74</v>
      </c>
      <c r="BH672" t="s">
        <v>12884</v>
      </c>
      <c r="BI672">
        <v>17</v>
      </c>
      <c r="BJ672" t="s">
        <v>282</v>
      </c>
      <c r="BK672" t="s">
        <v>182</v>
      </c>
      <c r="BL672" t="s">
        <v>183</v>
      </c>
      <c r="BM672" t="s">
        <v>12995</v>
      </c>
      <c r="BN672">
        <v>35786139</v>
      </c>
      <c r="BO672" t="s">
        <v>74</v>
      </c>
      <c r="BP672" t="s">
        <v>74</v>
      </c>
      <c r="BQ672" t="s">
        <v>74</v>
      </c>
      <c r="BR672" t="s">
        <v>105</v>
      </c>
      <c r="BS672" t="s">
        <v>12996</v>
      </c>
      <c r="BT672" t="str">
        <f>HYPERLINK("https%3A%2F%2Fwww.webofscience.com%2Fwos%2Fwoscc%2Ffull-record%2FWOS:000827013400001","View Full Record in Web of Science")</f>
        <v>View Full Record in Web of Science</v>
      </c>
    </row>
    <row r="673" spans="1:72" x14ac:dyDescent="0.25">
      <c r="A673" t="s">
        <v>72</v>
      </c>
      <c r="B673" t="s">
        <v>12997</v>
      </c>
      <c r="C673" t="s">
        <v>74</v>
      </c>
      <c r="D673" t="s">
        <v>74</v>
      </c>
      <c r="E673" t="s">
        <v>74</v>
      </c>
      <c r="F673" t="s">
        <v>12998</v>
      </c>
      <c r="G673" t="s">
        <v>74</v>
      </c>
      <c r="H673" t="s">
        <v>74</v>
      </c>
      <c r="I673" t="s">
        <v>12999</v>
      </c>
      <c r="J673" t="s">
        <v>4311</v>
      </c>
      <c r="K673" t="s">
        <v>74</v>
      </c>
      <c r="L673" t="s">
        <v>74</v>
      </c>
      <c r="M673" t="s">
        <v>78</v>
      </c>
      <c r="N673" t="s">
        <v>79</v>
      </c>
      <c r="O673" t="s">
        <v>74</v>
      </c>
      <c r="P673" t="s">
        <v>74</v>
      </c>
      <c r="Q673" t="s">
        <v>74</v>
      </c>
      <c r="R673" t="s">
        <v>74</v>
      </c>
      <c r="S673" t="s">
        <v>74</v>
      </c>
      <c r="T673" t="s">
        <v>13000</v>
      </c>
      <c r="U673" t="s">
        <v>13001</v>
      </c>
      <c r="V673" t="s">
        <v>13002</v>
      </c>
      <c r="W673" t="s">
        <v>13003</v>
      </c>
      <c r="X673" t="s">
        <v>13004</v>
      </c>
      <c r="Y673" t="s">
        <v>13005</v>
      </c>
      <c r="Z673" t="s">
        <v>13006</v>
      </c>
      <c r="AA673" t="s">
        <v>13007</v>
      </c>
      <c r="AB673" t="s">
        <v>13008</v>
      </c>
      <c r="AC673" t="s">
        <v>74</v>
      </c>
      <c r="AD673" t="s">
        <v>74</v>
      </c>
      <c r="AE673" t="s">
        <v>74</v>
      </c>
      <c r="AF673" t="s">
        <v>74</v>
      </c>
      <c r="AG673">
        <v>141</v>
      </c>
      <c r="AH673">
        <v>31</v>
      </c>
      <c r="AI673">
        <v>33</v>
      </c>
      <c r="AJ673">
        <v>16</v>
      </c>
      <c r="AK673">
        <v>116</v>
      </c>
      <c r="AL673" t="s">
        <v>120</v>
      </c>
      <c r="AM673" t="s">
        <v>121</v>
      </c>
      <c r="AN673" t="s">
        <v>1221</v>
      </c>
      <c r="AO673" t="s">
        <v>74</v>
      </c>
      <c r="AP673" t="s">
        <v>4324</v>
      </c>
      <c r="AQ673" t="s">
        <v>74</v>
      </c>
      <c r="AR673" t="s">
        <v>4325</v>
      </c>
      <c r="AS673" t="s">
        <v>4326</v>
      </c>
      <c r="AT673" t="s">
        <v>1734</v>
      </c>
      <c r="AU673">
        <v>2022</v>
      </c>
      <c r="AV673">
        <v>13</v>
      </c>
      <c r="AW673">
        <v>7</v>
      </c>
      <c r="AX673" t="s">
        <v>74</v>
      </c>
      <c r="AY673" t="s">
        <v>74</v>
      </c>
      <c r="AZ673" t="s">
        <v>74</v>
      </c>
      <c r="BA673" t="s">
        <v>74</v>
      </c>
      <c r="BB673" t="s">
        <v>74</v>
      </c>
      <c r="BC673" t="s">
        <v>74</v>
      </c>
      <c r="BD673">
        <v>1033</v>
      </c>
      <c r="BE673" t="s">
        <v>13009</v>
      </c>
      <c r="BF673" t="str">
        <f>HYPERLINK("http://dx.doi.org/10.3390/mi13071033","http://dx.doi.org/10.3390/mi13071033")</f>
        <v>http://dx.doi.org/10.3390/mi13071033</v>
      </c>
      <c r="BG673" t="s">
        <v>74</v>
      </c>
      <c r="BH673" t="s">
        <v>74</v>
      </c>
      <c r="BI673">
        <v>33</v>
      </c>
      <c r="BJ673" t="s">
        <v>4328</v>
      </c>
      <c r="BK673" t="s">
        <v>182</v>
      </c>
      <c r="BL673" t="s">
        <v>4329</v>
      </c>
      <c r="BM673" t="s">
        <v>13010</v>
      </c>
      <c r="BN673">
        <v>35888850</v>
      </c>
      <c r="BO673" t="s">
        <v>131</v>
      </c>
      <c r="BP673" t="s">
        <v>74</v>
      </c>
      <c r="BQ673" t="s">
        <v>74</v>
      </c>
      <c r="BR673" t="s">
        <v>105</v>
      </c>
      <c r="BS673" t="s">
        <v>13011</v>
      </c>
      <c r="BT673" t="str">
        <f>HYPERLINK("https%3A%2F%2Fwww.webofscience.com%2Fwos%2Fwoscc%2Ffull-record%2FWOS:000833369900001","View Full Record in Web of Science")</f>
        <v>View Full Record in Web of Science</v>
      </c>
    </row>
    <row r="674" spans="1:72" x14ac:dyDescent="0.25">
      <c r="A674" t="s">
        <v>72</v>
      </c>
      <c r="B674" t="s">
        <v>13012</v>
      </c>
      <c r="C674" t="s">
        <v>74</v>
      </c>
      <c r="D674" t="s">
        <v>74</v>
      </c>
      <c r="E674" t="s">
        <v>74</v>
      </c>
      <c r="F674" t="s">
        <v>13013</v>
      </c>
      <c r="G674" t="s">
        <v>74</v>
      </c>
      <c r="H674" t="s">
        <v>74</v>
      </c>
      <c r="I674" t="s">
        <v>13014</v>
      </c>
      <c r="J674" t="s">
        <v>13015</v>
      </c>
      <c r="K674" t="s">
        <v>74</v>
      </c>
      <c r="L674" t="s">
        <v>74</v>
      </c>
      <c r="M674" t="s">
        <v>78</v>
      </c>
      <c r="N674" t="s">
        <v>79</v>
      </c>
      <c r="O674" t="s">
        <v>74</v>
      </c>
      <c r="P674" t="s">
        <v>74</v>
      </c>
      <c r="Q674" t="s">
        <v>74</v>
      </c>
      <c r="R674" t="s">
        <v>74</v>
      </c>
      <c r="S674" t="s">
        <v>74</v>
      </c>
      <c r="T674" t="s">
        <v>13016</v>
      </c>
      <c r="U674" t="s">
        <v>13017</v>
      </c>
      <c r="V674" t="s">
        <v>13018</v>
      </c>
      <c r="W674" t="s">
        <v>13019</v>
      </c>
      <c r="X674" t="s">
        <v>13020</v>
      </c>
      <c r="Y674" t="s">
        <v>13021</v>
      </c>
      <c r="Z674" t="s">
        <v>13022</v>
      </c>
      <c r="AA674" t="s">
        <v>13023</v>
      </c>
      <c r="AB674" t="s">
        <v>13024</v>
      </c>
      <c r="AC674" t="s">
        <v>13025</v>
      </c>
      <c r="AD674" t="s">
        <v>1649</v>
      </c>
      <c r="AE674" t="s">
        <v>13026</v>
      </c>
      <c r="AF674" t="s">
        <v>74</v>
      </c>
      <c r="AG674">
        <v>152</v>
      </c>
      <c r="AH674">
        <v>38</v>
      </c>
      <c r="AI674">
        <v>41</v>
      </c>
      <c r="AJ674">
        <v>7</v>
      </c>
      <c r="AK674">
        <v>90</v>
      </c>
      <c r="AL674" t="s">
        <v>13027</v>
      </c>
      <c r="AM674" t="s">
        <v>13028</v>
      </c>
      <c r="AN674" t="s">
        <v>13029</v>
      </c>
      <c r="AO674" t="s">
        <v>13030</v>
      </c>
      <c r="AP674" t="s">
        <v>13031</v>
      </c>
      <c r="AQ674" t="s">
        <v>74</v>
      </c>
      <c r="AR674" t="s">
        <v>13032</v>
      </c>
      <c r="AS674" t="s">
        <v>13033</v>
      </c>
      <c r="AT674" t="s">
        <v>2033</v>
      </c>
      <c r="AU674">
        <v>2022</v>
      </c>
      <c r="AV674">
        <v>15</v>
      </c>
      <c r="AW674">
        <v>3</v>
      </c>
      <c r="AX674" t="s">
        <v>74</v>
      </c>
      <c r="AY674" t="s">
        <v>74</v>
      </c>
      <c r="AZ674" t="s">
        <v>74</v>
      </c>
      <c r="BA674" t="s">
        <v>74</v>
      </c>
      <c r="BB674">
        <v>479</v>
      </c>
      <c r="BC674">
        <v>496</v>
      </c>
      <c r="BD674" t="s">
        <v>74</v>
      </c>
      <c r="BE674" t="s">
        <v>13034</v>
      </c>
      <c r="BF674" t="str">
        <f>HYPERLINK("http://dx.doi.org/10.1109/TOH.2022.3189866","http://dx.doi.org/10.1109/TOH.2022.3189866")</f>
        <v>http://dx.doi.org/10.1109/TOH.2022.3189866</v>
      </c>
      <c r="BG674" t="s">
        <v>74</v>
      </c>
      <c r="BH674" t="s">
        <v>74</v>
      </c>
      <c r="BI674">
        <v>18</v>
      </c>
      <c r="BJ674" t="s">
        <v>13035</v>
      </c>
      <c r="BK674" t="s">
        <v>182</v>
      </c>
      <c r="BL674" t="s">
        <v>6189</v>
      </c>
      <c r="BM674" t="s">
        <v>13036</v>
      </c>
      <c r="BN674">
        <v>35816531</v>
      </c>
      <c r="BO674" t="s">
        <v>804</v>
      </c>
      <c r="BP674" t="s">
        <v>74</v>
      </c>
      <c r="BQ674" t="s">
        <v>74</v>
      </c>
      <c r="BR674" t="s">
        <v>105</v>
      </c>
      <c r="BS674" t="s">
        <v>13037</v>
      </c>
      <c r="BT674" t="str">
        <f>HYPERLINK("https%3A%2F%2Fwww.webofscience.com%2Fwos%2Fwoscc%2Ffull-record%2FWOS:000861430500003","View Full Record in Web of Science")</f>
        <v>View Full Record in Web of Science</v>
      </c>
    </row>
    <row r="675" spans="1:72" x14ac:dyDescent="0.25">
      <c r="A675" t="s">
        <v>72</v>
      </c>
      <c r="B675" t="s">
        <v>13038</v>
      </c>
      <c r="C675" t="s">
        <v>74</v>
      </c>
      <c r="D675" t="s">
        <v>74</v>
      </c>
      <c r="E675" t="s">
        <v>74</v>
      </c>
      <c r="F675" t="s">
        <v>13039</v>
      </c>
      <c r="G675" t="s">
        <v>74</v>
      </c>
      <c r="H675" t="s">
        <v>74</v>
      </c>
      <c r="I675" t="s">
        <v>13040</v>
      </c>
      <c r="J675" t="s">
        <v>10616</v>
      </c>
      <c r="K675" t="s">
        <v>74</v>
      </c>
      <c r="L675" t="s">
        <v>74</v>
      </c>
      <c r="M675" t="s">
        <v>78</v>
      </c>
      <c r="N675" t="s">
        <v>79</v>
      </c>
      <c r="O675" t="s">
        <v>74</v>
      </c>
      <c r="P675" t="s">
        <v>74</v>
      </c>
      <c r="Q675" t="s">
        <v>74</v>
      </c>
      <c r="R675" t="s">
        <v>74</v>
      </c>
      <c r="S675" t="s">
        <v>74</v>
      </c>
      <c r="T675" t="s">
        <v>13041</v>
      </c>
      <c r="U675" t="s">
        <v>13042</v>
      </c>
      <c r="V675" t="s">
        <v>13043</v>
      </c>
      <c r="W675" t="s">
        <v>13044</v>
      </c>
      <c r="X675" t="s">
        <v>13045</v>
      </c>
      <c r="Y675" t="s">
        <v>13046</v>
      </c>
      <c r="Z675" t="s">
        <v>13047</v>
      </c>
      <c r="AA675" t="s">
        <v>13048</v>
      </c>
      <c r="AB675" t="s">
        <v>13049</v>
      </c>
      <c r="AC675" t="s">
        <v>13050</v>
      </c>
      <c r="AD675" t="s">
        <v>13051</v>
      </c>
      <c r="AE675" t="s">
        <v>13052</v>
      </c>
      <c r="AF675" t="s">
        <v>74</v>
      </c>
      <c r="AG675">
        <v>185</v>
      </c>
      <c r="AH675">
        <v>22</v>
      </c>
      <c r="AI675">
        <v>24</v>
      </c>
      <c r="AJ675">
        <v>1</v>
      </c>
      <c r="AK675">
        <v>45</v>
      </c>
      <c r="AL675" t="s">
        <v>5927</v>
      </c>
      <c r="AM675" t="s">
        <v>5928</v>
      </c>
      <c r="AN675" t="s">
        <v>5929</v>
      </c>
      <c r="AO675" t="s">
        <v>74</v>
      </c>
      <c r="AP675" t="s">
        <v>10627</v>
      </c>
      <c r="AQ675" t="s">
        <v>74</v>
      </c>
      <c r="AR675" t="s">
        <v>10628</v>
      </c>
      <c r="AS675" t="s">
        <v>10629</v>
      </c>
      <c r="AT675" t="s">
        <v>2107</v>
      </c>
      <c r="AU675">
        <v>2022</v>
      </c>
      <c r="AV675">
        <v>4</v>
      </c>
      <c r="AW675">
        <v>3</v>
      </c>
      <c r="AX675" t="s">
        <v>74</v>
      </c>
      <c r="AY675" t="s">
        <v>74</v>
      </c>
      <c r="AZ675" t="s">
        <v>74</v>
      </c>
      <c r="BA675" t="s">
        <v>74</v>
      </c>
      <c r="BB675" t="s">
        <v>74</v>
      </c>
      <c r="BC675" t="s">
        <v>74</v>
      </c>
      <c r="BD675">
        <v>32004</v>
      </c>
      <c r="BE675" t="s">
        <v>13053</v>
      </c>
      <c r="BF675" t="str">
        <f>HYPERLINK("http://dx.doi.org/10.1088/2516-1091/ac8193","http://dx.doi.org/10.1088/2516-1091/ac8193")</f>
        <v>http://dx.doi.org/10.1088/2516-1091/ac8193</v>
      </c>
      <c r="BG675" t="s">
        <v>74</v>
      </c>
      <c r="BH675" t="s">
        <v>74</v>
      </c>
      <c r="BI675">
        <v>21</v>
      </c>
      <c r="BJ675" t="s">
        <v>282</v>
      </c>
      <c r="BK675" t="s">
        <v>155</v>
      </c>
      <c r="BL675" t="s">
        <v>183</v>
      </c>
      <c r="BM675" t="s">
        <v>13054</v>
      </c>
      <c r="BN675" t="s">
        <v>74</v>
      </c>
      <c r="BO675" t="s">
        <v>13055</v>
      </c>
      <c r="BP675" t="s">
        <v>74</v>
      </c>
      <c r="BQ675" t="s">
        <v>74</v>
      </c>
      <c r="BR675" t="s">
        <v>105</v>
      </c>
      <c r="BS675" t="s">
        <v>13056</v>
      </c>
      <c r="BT675" t="str">
        <f>HYPERLINK("https%3A%2F%2Fwww.webofscience.com%2Fwos%2Fwoscc%2Ffull-record%2FWOS:000837834500001","View Full Record in Web of Science")</f>
        <v>View Full Record in Web of Science</v>
      </c>
    </row>
    <row r="676" spans="1:72" x14ac:dyDescent="0.25">
      <c r="A676" t="s">
        <v>72</v>
      </c>
      <c r="B676" t="s">
        <v>13057</v>
      </c>
      <c r="C676" t="s">
        <v>74</v>
      </c>
      <c r="D676" t="s">
        <v>74</v>
      </c>
      <c r="E676" t="s">
        <v>74</v>
      </c>
      <c r="F676" t="s">
        <v>13058</v>
      </c>
      <c r="G676" t="s">
        <v>74</v>
      </c>
      <c r="H676" t="s">
        <v>74</v>
      </c>
      <c r="I676" t="s">
        <v>13059</v>
      </c>
      <c r="J676" t="s">
        <v>6115</v>
      </c>
      <c r="K676" t="s">
        <v>74</v>
      </c>
      <c r="L676" t="s">
        <v>74</v>
      </c>
      <c r="M676" t="s">
        <v>78</v>
      </c>
      <c r="N676" t="s">
        <v>79</v>
      </c>
      <c r="O676" t="s">
        <v>74</v>
      </c>
      <c r="P676" t="s">
        <v>74</v>
      </c>
      <c r="Q676" t="s">
        <v>74</v>
      </c>
      <c r="R676" t="s">
        <v>74</v>
      </c>
      <c r="S676" t="s">
        <v>74</v>
      </c>
      <c r="T676" t="s">
        <v>13060</v>
      </c>
      <c r="U676" t="s">
        <v>13061</v>
      </c>
      <c r="V676" t="s">
        <v>13062</v>
      </c>
      <c r="W676" t="s">
        <v>13063</v>
      </c>
      <c r="X676" t="s">
        <v>13064</v>
      </c>
      <c r="Y676" t="s">
        <v>13065</v>
      </c>
      <c r="Z676" t="s">
        <v>13066</v>
      </c>
      <c r="AA676" t="s">
        <v>13067</v>
      </c>
      <c r="AB676" t="s">
        <v>13068</v>
      </c>
      <c r="AC676" t="s">
        <v>74</v>
      </c>
      <c r="AD676" t="s">
        <v>74</v>
      </c>
      <c r="AE676" t="s">
        <v>74</v>
      </c>
      <c r="AF676" t="s">
        <v>74</v>
      </c>
      <c r="AG676">
        <v>96</v>
      </c>
      <c r="AH676">
        <v>17</v>
      </c>
      <c r="AI676">
        <v>18</v>
      </c>
      <c r="AJ676">
        <v>3</v>
      </c>
      <c r="AK676">
        <v>52</v>
      </c>
      <c r="AL676" t="s">
        <v>120</v>
      </c>
      <c r="AM676" t="s">
        <v>121</v>
      </c>
      <c r="AN676" t="s">
        <v>122</v>
      </c>
      <c r="AO676" t="s">
        <v>74</v>
      </c>
      <c r="AP676" t="s">
        <v>6124</v>
      </c>
      <c r="AQ676" t="s">
        <v>74</v>
      </c>
      <c r="AR676" t="s">
        <v>6115</v>
      </c>
      <c r="AS676" t="s">
        <v>6125</v>
      </c>
      <c r="AT676" t="s">
        <v>1734</v>
      </c>
      <c r="AU676">
        <v>2022</v>
      </c>
      <c r="AV676">
        <v>14</v>
      </c>
      <c r="AW676">
        <v>13</v>
      </c>
      <c r="AX676" t="s">
        <v>74</v>
      </c>
      <c r="AY676" t="s">
        <v>74</v>
      </c>
      <c r="AZ676" t="s">
        <v>74</v>
      </c>
      <c r="BA676" t="s">
        <v>74</v>
      </c>
      <c r="BB676" t="s">
        <v>74</v>
      </c>
      <c r="BC676" t="s">
        <v>74</v>
      </c>
      <c r="BD676">
        <v>3163</v>
      </c>
      <c r="BE676" t="s">
        <v>13069</v>
      </c>
      <c r="BF676" t="str">
        <f>HYPERLINK("http://dx.doi.org/10.3390/cancers14133163","http://dx.doi.org/10.3390/cancers14133163")</f>
        <v>http://dx.doi.org/10.3390/cancers14133163</v>
      </c>
      <c r="BG676" t="s">
        <v>74</v>
      </c>
      <c r="BH676" t="s">
        <v>74</v>
      </c>
      <c r="BI676">
        <v>15</v>
      </c>
      <c r="BJ676" t="s">
        <v>4032</v>
      </c>
      <c r="BK676" t="s">
        <v>182</v>
      </c>
      <c r="BL676" t="s">
        <v>4032</v>
      </c>
      <c r="BM676" t="s">
        <v>13070</v>
      </c>
      <c r="BN676">
        <v>35804933</v>
      </c>
      <c r="BO676" t="s">
        <v>131</v>
      </c>
      <c r="BP676" t="s">
        <v>74</v>
      </c>
      <c r="BQ676" t="s">
        <v>74</v>
      </c>
      <c r="BR676" t="s">
        <v>105</v>
      </c>
      <c r="BS676" t="s">
        <v>13071</v>
      </c>
      <c r="BT676" t="str">
        <f>HYPERLINK("https%3A%2F%2Fwww.webofscience.com%2Fwos%2Fwoscc%2Ffull-record%2FWOS:000824353100001","View Full Record in Web of Science")</f>
        <v>View Full Record in Web of Science</v>
      </c>
    </row>
    <row r="677" spans="1:72" x14ac:dyDescent="0.25">
      <c r="A677" t="s">
        <v>72</v>
      </c>
      <c r="B677" t="s">
        <v>13072</v>
      </c>
      <c r="C677" t="s">
        <v>74</v>
      </c>
      <c r="D677" t="s">
        <v>74</v>
      </c>
      <c r="E677" t="s">
        <v>74</v>
      </c>
      <c r="F677" t="s">
        <v>13073</v>
      </c>
      <c r="G677" t="s">
        <v>74</v>
      </c>
      <c r="H677" t="s">
        <v>74</v>
      </c>
      <c r="I677" t="s">
        <v>13074</v>
      </c>
      <c r="J677" t="s">
        <v>1208</v>
      </c>
      <c r="K677" t="s">
        <v>74</v>
      </c>
      <c r="L677" t="s">
        <v>74</v>
      </c>
      <c r="M677" t="s">
        <v>78</v>
      </c>
      <c r="N677" t="s">
        <v>79</v>
      </c>
      <c r="O677" t="s">
        <v>74</v>
      </c>
      <c r="P677" t="s">
        <v>74</v>
      </c>
      <c r="Q677" t="s">
        <v>74</v>
      </c>
      <c r="R677" t="s">
        <v>74</v>
      </c>
      <c r="S677" t="s">
        <v>74</v>
      </c>
      <c r="T677" t="s">
        <v>13075</v>
      </c>
      <c r="U677" t="s">
        <v>13076</v>
      </c>
      <c r="V677" t="s">
        <v>13077</v>
      </c>
      <c r="W677" t="s">
        <v>13078</v>
      </c>
      <c r="X677" t="s">
        <v>13079</v>
      </c>
      <c r="Y677" t="s">
        <v>13080</v>
      </c>
      <c r="Z677" t="s">
        <v>13081</v>
      </c>
      <c r="AA677" t="s">
        <v>13082</v>
      </c>
      <c r="AB677" t="s">
        <v>13083</v>
      </c>
      <c r="AC677" t="s">
        <v>74</v>
      </c>
      <c r="AD677" t="s">
        <v>74</v>
      </c>
      <c r="AE677" t="s">
        <v>74</v>
      </c>
      <c r="AF677" t="s">
        <v>74</v>
      </c>
      <c r="AG677">
        <v>87</v>
      </c>
      <c r="AH677">
        <v>31</v>
      </c>
      <c r="AI677">
        <v>34</v>
      </c>
      <c r="AJ677">
        <v>13</v>
      </c>
      <c r="AK677">
        <v>151</v>
      </c>
      <c r="AL677" t="s">
        <v>120</v>
      </c>
      <c r="AM677" t="s">
        <v>121</v>
      </c>
      <c r="AN677" t="s">
        <v>1221</v>
      </c>
      <c r="AO677" t="s">
        <v>74</v>
      </c>
      <c r="AP677" t="s">
        <v>1222</v>
      </c>
      <c r="AQ677" t="s">
        <v>74</v>
      </c>
      <c r="AR677" t="s">
        <v>1208</v>
      </c>
      <c r="AS677" t="s">
        <v>1223</v>
      </c>
      <c r="AT677" t="s">
        <v>1734</v>
      </c>
      <c r="AU677">
        <v>2022</v>
      </c>
      <c r="AV677">
        <v>10</v>
      </c>
      <c r="AW677">
        <v>7</v>
      </c>
      <c r="AX677" t="s">
        <v>74</v>
      </c>
      <c r="AY677" t="s">
        <v>74</v>
      </c>
      <c r="AZ677" t="s">
        <v>74</v>
      </c>
      <c r="BA677" t="s">
        <v>74</v>
      </c>
      <c r="BB677" t="s">
        <v>74</v>
      </c>
      <c r="BC677" t="s">
        <v>74</v>
      </c>
      <c r="BD677">
        <v>591</v>
      </c>
      <c r="BE677" t="s">
        <v>13084</v>
      </c>
      <c r="BF677" t="str">
        <f>HYPERLINK("http://dx.doi.org/10.3390/machines10070591","http://dx.doi.org/10.3390/machines10070591")</f>
        <v>http://dx.doi.org/10.3390/machines10070591</v>
      </c>
      <c r="BG677" t="s">
        <v>74</v>
      </c>
      <c r="BH677" t="s">
        <v>74</v>
      </c>
      <c r="BI677">
        <v>24</v>
      </c>
      <c r="BJ677" t="s">
        <v>1225</v>
      </c>
      <c r="BK677" t="s">
        <v>182</v>
      </c>
      <c r="BL677" t="s">
        <v>183</v>
      </c>
      <c r="BM677" t="s">
        <v>13085</v>
      </c>
      <c r="BN677" t="s">
        <v>74</v>
      </c>
      <c r="BO677" t="s">
        <v>185</v>
      </c>
      <c r="BP677" t="s">
        <v>74</v>
      </c>
      <c r="BQ677" t="s">
        <v>74</v>
      </c>
      <c r="BR677" t="s">
        <v>105</v>
      </c>
      <c r="BS677" t="s">
        <v>13086</v>
      </c>
      <c r="BT677" t="str">
        <f>HYPERLINK("https%3A%2F%2Fwww.webofscience.com%2Fwos%2Fwoscc%2Ffull-record%2FWOS:000831578300001","View Full Record in Web of Science")</f>
        <v>View Full Record in Web of Science</v>
      </c>
    </row>
    <row r="678" spans="1:72" x14ac:dyDescent="0.25">
      <c r="A678" t="s">
        <v>72</v>
      </c>
      <c r="B678" t="s">
        <v>13087</v>
      </c>
      <c r="C678" t="s">
        <v>74</v>
      </c>
      <c r="D678" t="s">
        <v>74</v>
      </c>
      <c r="E678" t="s">
        <v>74</v>
      </c>
      <c r="F678" t="s">
        <v>13088</v>
      </c>
      <c r="G678" t="s">
        <v>74</v>
      </c>
      <c r="H678" t="s">
        <v>74</v>
      </c>
      <c r="I678" t="s">
        <v>13089</v>
      </c>
      <c r="J678" t="s">
        <v>594</v>
      </c>
      <c r="K678" t="s">
        <v>74</v>
      </c>
      <c r="L678" t="s">
        <v>74</v>
      </c>
      <c r="M678" t="s">
        <v>78</v>
      </c>
      <c r="N678" t="s">
        <v>79</v>
      </c>
      <c r="O678" t="s">
        <v>74</v>
      </c>
      <c r="P678" t="s">
        <v>74</v>
      </c>
      <c r="Q678" t="s">
        <v>74</v>
      </c>
      <c r="R678" t="s">
        <v>74</v>
      </c>
      <c r="S678" t="s">
        <v>74</v>
      </c>
      <c r="T678" t="s">
        <v>13090</v>
      </c>
      <c r="U678" t="s">
        <v>13091</v>
      </c>
      <c r="V678" t="s">
        <v>13092</v>
      </c>
      <c r="W678" t="s">
        <v>13093</v>
      </c>
      <c r="X678" t="s">
        <v>13094</v>
      </c>
      <c r="Y678" t="s">
        <v>13095</v>
      </c>
      <c r="Z678" t="s">
        <v>13096</v>
      </c>
      <c r="AA678" t="s">
        <v>13097</v>
      </c>
      <c r="AB678" t="s">
        <v>13098</v>
      </c>
      <c r="AC678" t="s">
        <v>74</v>
      </c>
      <c r="AD678" t="s">
        <v>74</v>
      </c>
      <c r="AE678" t="s">
        <v>74</v>
      </c>
      <c r="AF678" t="s">
        <v>74</v>
      </c>
      <c r="AG678">
        <v>99</v>
      </c>
      <c r="AH678">
        <v>10</v>
      </c>
      <c r="AI678">
        <v>10</v>
      </c>
      <c r="AJ678">
        <v>5</v>
      </c>
      <c r="AK678">
        <v>47</v>
      </c>
      <c r="AL678" t="s">
        <v>274</v>
      </c>
      <c r="AM678" t="s">
        <v>275</v>
      </c>
      <c r="AN678" t="s">
        <v>276</v>
      </c>
      <c r="AO678" t="s">
        <v>74</v>
      </c>
      <c r="AP678" t="s">
        <v>606</v>
      </c>
      <c r="AQ678" t="s">
        <v>74</v>
      </c>
      <c r="AR678" t="s">
        <v>607</v>
      </c>
      <c r="AS678" t="s">
        <v>608</v>
      </c>
      <c r="AT678" t="s">
        <v>5933</v>
      </c>
      <c r="AU678">
        <v>2022</v>
      </c>
      <c r="AV678">
        <v>19</v>
      </c>
      <c r="AW678">
        <v>1</v>
      </c>
      <c r="AX678" t="s">
        <v>74</v>
      </c>
      <c r="AY678" t="s">
        <v>74</v>
      </c>
      <c r="AZ678" t="s">
        <v>74</v>
      </c>
      <c r="BA678" t="s">
        <v>74</v>
      </c>
      <c r="BB678" t="s">
        <v>74</v>
      </c>
      <c r="BC678" t="s">
        <v>74</v>
      </c>
      <c r="BD678">
        <v>66</v>
      </c>
      <c r="BE678" t="s">
        <v>13099</v>
      </c>
      <c r="BF678" t="str">
        <f>HYPERLINK("http://dx.doi.org/10.1186/s12984-022-01043-1","http://dx.doi.org/10.1186/s12984-022-01043-1")</f>
        <v>http://dx.doi.org/10.1186/s12984-022-01043-1</v>
      </c>
      <c r="BG678" t="s">
        <v>74</v>
      </c>
      <c r="BH678" t="s">
        <v>74</v>
      </c>
      <c r="BI678">
        <v>24</v>
      </c>
      <c r="BJ678" t="s">
        <v>611</v>
      </c>
      <c r="BK678" t="s">
        <v>182</v>
      </c>
      <c r="BL678" t="s">
        <v>612</v>
      </c>
      <c r="BM678" t="s">
        <v>13100</v>
      </c>
      <c r="BN678">
        <v>35773733</v>
      </c>
      <c r="BO678" t="s">
        <v>131</v>
      </c>
      <c r="BP678" t="s">
        <v>74</v>
      </c>
      <c r="BQ678" t="s">
        <v>74</v>
      </c>
      <c r="BR678" t="s">
        <v>105</v>
      </c>
      <c r="BS678" t="s">
        <v>13101</v>
      </c>
      <c r="BT678" t="str">
        <f>HYPERLINK("https%3A%2F%2Fwww.webofscience.com%2Fwos%2Fwoscc%2Ffull-record%2FWOS:000819418300002","View Full Record in Web of Science")</f>
        <v>View Full Record in Web of Science</v>
      </c>
    </row>
    <row r="679" spans="1:72" x14ac:dyDescent="0.25">
      <c r="A679" t="s">
        <v>72</v>
      </c>
      <c r="B679" t="s">
        <v>13102</v>
      </c>
      <c r="C679" t="s">
        <v>74</v>
      </c>
      <c r="D679" t="s">
        <v>74</v>
      </c>
      <c r="E679" t="s">
        <v>74</v>
      </c>
      <c r="F679" t="s">
        <v>13103</v>
      </c>
      <c r="G679" t="s">
        <v>74</v>
      </c>
      <c r="H679" t="s">
        <v>74</v>
      </c>
      <c r="I679" t="s">
        <v>13104</v>
      </c>
      <c r="J679" t="s">
        <v>13105</v>
      </c>
      <c r="K679" t="s">
        <v>74</v>
      </c>
      <c r="L679" t="s">
        <v>74</v>
      </c>
      <c r="M679" t="s">
        <v>78</v>
      </c>
      <c r="N679" t="s">
        <v>79</v>
      </c>
      <c r="O679" t="s">
        <v>74</v>
      </c>
      <c r="P679" t="s">
        <v>74</v>
      </c>
      <c r="Q679" t="s">
        <v>74</v>
      </c>
      <c r="R679" t="s">
        <v>74</v>
      </c>
      <c r="S679" t="s">
        <v>74</v>
      </c>
      <c r="T679" t="s">
        <v>13106</v>
      </c>
      <c r="U679" t="s">
        <v>13107</v>
      </c>
      <c r="V679" t="s">
        <v>13108</v>
      </c>
      <c r="W679" t="s">
        <v>13109</v>
      </c>
      <c r="X679" t="s">
        <v>13110</v>
      </c>
      <c r="Y679" t="s">
        <v>13111</v>
      </c>
      <c r="Z679" t="s">
        <v>13112</v>
      </c>
      <c r="AA679" t="s">
        <v>13113</v>
      </c>
      <c r="AB679" t="s">
        <v>13114</v>
      </c>
      <c r="AC679" t="s">
        <v>13115</v>
      </c>
      <c r="AD679" t="s">
        <v>13116</v>
      </c>
      <c r="AE679" t="s">
        <v>13117</v>
      </c>
      <c r="AF679" t="s">
        <v>74</v>
      </c>
      <c r="AG679">
        <v>105</v>
      </c>
      <c r="AH679">
        <v>17</v>
      </c>
      <c r="AI679">
        <v>18</v>
      </c>
      <c r="AJ679">
        <v>14</v>
      </c>
      <c r="AK679">
        <v>33</v>
      </c>
      <c r="AL679" t="s">
        <v>172</v>
      </c>
      <c r="AM679" t="s">
        <v>4844</v>
      </c>
      <c r="AN679" t="s">
        <v>4845</v>
      </c>
      <c r="AO679" t="s">
        <v>13118</v>
      </c>
      <c r="AP679" t="s">
        <v>13119</v>
      </c>
      <c r="AQ679" t="s">
        <v>74</v>
      </c>
      <c r="AR679" t="s">
        <v>13120</v>
      </c>
      <c r="AS679" t="s">
        <v>13121</v>
      </c>
      <c r="AT679" t="s">
        <v>1888</v>
      </c>
      <c r="AU679">
        <v>2022</v>
      </c>
      <c r="AV679">
        <v>27</v>
      </c>
      <c r="AW679">
        <v>4</v>
      </c>
      <c r="AX679" t="s">
        <v>74</v>
      </c>
      <c r="AY679" t="s">
        <v>74</v>
      </c>
      <c r="AZ679" t="s">
        <v>74</v>
      </c>
      <c r="BA679" t="s">
        <v>74</v>
      </c>
      <c r="BB679">
        <v>1139</v>
      </c>
      <c r="BC679">
        <v>1176</v>
      </c>
      <c r="BD679" t="s">
        <v>74</v>
      </c>
      <c r="BE679" t="s">
        <v>13122</v>
      </c>
      <c r="BF679" t="str">
        <f>HYPERLINK("http://dx.doi.org/10.1007/s10459-022-10118-6","http://dx.doi.org/10.1007/s10459-022-10118-6")</f>
        <v>http://dx.doi.org/10.1007/s10459-022-10118-6</v>
      </c>
      <c r="BG679" t="s">
        <v>74</v>
      </c>
      <c r="BH679" t="s">
        <v>3093</v>
      </c>
      <c r="BI679">
        <v>38</v>
      </c>
      <c r="BJ679" t="s">
        <v>13123</v>
      </c>
      <c r="BK679" t="s">
        <v>102</v>
      </c>
      <c r="BL679" t="s">
        <v>13124</v>
      </c>
      <c r="BM679" t="s">
        <v>13125</v>
      </c>
      <c r="BN679">
        <v>35771316</v>
      </c>
      <c r="BO679" t="s">
        <v>1276</v>
      </c>
      <c r="BP679" t="s">
        <v>74</v>
      </c>
      <c r="BQ679" t="s">
        <v>74</v>
      </c>
      <c r="BR679" t="s">
        <v>105</v>
      </c>
      <c r="BS679" t="s">
        <v>13126</v>
      </c>
      <c r="BT679" t="str">
        <f>HYPERLINK("https%3A%2F%2Fwww.webofscience.com%2Fwos%2Fwoscc%2Ffull-record%2FWOS:000819295000001","View Full Record in Web of Science")</f>
        <v>View Full Record in Web of Science</v>
      </c>
    </row>
    <row r="680" spans="1:72" x14ac:dyDescent="0.25">
      <c r="A680" t="s">
        <v>72</v>
      </c>
      <c r="B680" t="s">
        <v>13127</v>
      </c>
      <c r="C680" t="s">
        <v>74</v>
      </c>
      <c r="D680" t="s">
        <v>74</v>
      </c>
      <c r="E680" t="s">
        <v>74</v>
      </c>
      <c r="F680" t="s">
        <v>13128</v>
      </c>
      <c r="G680" t="s">
        <v>74</v>
      </c>
      <c r="H680" t="s">
        <v>74</v>
      </c>
      <c r="I680" t="s">
        <v>13129</v>
      </c>
      <c r="J680" t="s">
        <v>6753</v>
      </c>
      <c r="K680" t="s">
        <v>74</v>
      </c>
      <c r="L680" t="s">
        <v>74</v>
      </c>
      <c r="M680" t="s">
        <v>78</v>
      </c>
      <c r="N680" t="s">
        <v>79</v>
      </c>
      <c r="O680" t="s">
        <v>74</v>
      </c>
      <c r="P680" t="s">
        <v>74</v>
      </c>
      <c r="Q680" t="s">
        <v>74</v>
      </c>
      <c r="R680" t="s">
        <v>74</v>
      </c>
      <c r="S680" t="s">
        <v>74</v>
      </c>
      <c r="T680" t="s">
        <v>13130</v>
      </c>
      <c r="U680" t="s">
        <v>13131</v>
      </c>
      <c r="V680" t="s">
        <v>13132</v>
      </c>
      <c r="W680" t="s">
        <v>13133</v>
      </c>
      <c r="X680" t="s">
        <v>13134</v>
      </c>
      <c r="Y680" t="s">
        <v>13135</v>
      </c>
      <c r="Z680" t="s">
        <v>13136</v>
      </c>
      <c r="AA680" t="s">
        <v>13137</v>
      </c>
      <c r="AB680" t="s">
        <v>13138</v>
      </c>
      <c r="AC680" t="s">
        <v>74</v>
      </c>
      <c r="AD680" t="s">
        <v>74</v>
      </c>
      <c r="AE680" t="s">
        <v>74</v>
      </c>
      <c r="AF680" t="s">
        <v>74</v>
      </c>
      <c r="AG680">
        <v>36</v>
      </c>
      <c r="AH680">
        <v>4</v>
      </c>
      <c r="AI680">
        <v>4</v>
      </c>
      <c r="AJ680">
        <v>1</v>
      </c>
      <c r="AK680">
        <v>10</v>
      </c>
      <c r="AL680" t="s">
        <v>92</v>
      </c>
      <c r="AM680" t="s">
        <v>93</v>
      </c>
      <c r="AN680" t="s">
        <v>94</v>
      </c>
      <c r="AO680" t="s">
        <v>6761</v>
      </c>
      <c r="AP680" t="s">
        <v>6762</v>
      </c>
      <c r="AQ680" t="s">
        <v>74</v>
      </c>
      <c r="AR680" t="s">
        <v>6763</v>
      </c>
      <c r="AS680" t="s">
        <v>6764</v>
      </c>
      <c r="AT680" t="s">
        <v>13139</v>
      </c>
      <c r="AU680">
        <v>2022</v>
      </c>
      <c r="AV680">
        <v>27</v>
      </c>
      <c r="AW680">
        <v>5</v>
      </c>
      <c r="AX680" t="s">
        <v>74</v>
      </c>
      <c r="AY680" t="s">
        <v>74</v>
      </c>
      <c r="AZ680" t="s">
        <v>74</v>
      </c>
      <c r="BA680" t="s">
        <v>74</v>
      </c>
      <c r="BB680">
        <v>329</v>
      </c>
      <c r="BC680">
        <v>345</v>
      </c>
      <c r="BD680">
        <v>2094102</v>
      </c>
      <c r="BE680" t="s">
        <v>13140</v>
      </c>
      <c r="BF680" t="str">
        <f>HYPERLINK("http://dx.doi.org/10.1080/10833196.2022.2094102","http://dx.doi.org/10.1080/10833196.2022.2094102")</f>
        <v>http://dx.doi.org/10.1080/10833196.2022.2094102</v>
      </c>
      <c r="BG680" t="s">
        <v>74</v>
      </c>
      <c r="BH680" t="s">
        <v>3093</v>
      </c>
      <c r="BI680">
        <v>17</v>
      </c>
      <c r="BJ680" t="s">
        <v>101</v>
      </c>
      <c r="BK680" t="s">
        <v>155</v>
      </c>
      <c r="BL680" t="s">
        <v>101</v>
      </c>
      <c r="BM680" t="s">
        <v>13141</v>
      </c>
      <c r="BN680" t="s">
        <v>74</v>
      </c>
      <c r="BO680" t="s">
        <v>74</v>
      </c>
      <c r="BP680" t="s">
        <v>74</v>
      </c>
      <c r="BQ680" t="s">
        <v>74</v>
      </c>
      <c r="BR680" t="s">
        <v>105</v>
      </c>
      <c r="BS680" t="s">
        <v>13142</v>
      </c>
      <c r="BT680" t="str">
        <f>HYPERLINK("https%3A%2F%2Fwww.webofscience.com%2Fwos%2Fwoscc%2Ffull-record%2FWOS:000821043500001","View Full Record in Web of Science")</f>
        <v>View Full Record in Web of Science</v>
      </c>
    </row>
    <row r="681" spans="1:72" x14ac:dyDescent="0.25">
      <c r="A681" t="s">
        <v>72</v>
      </c>
      <c r="B681" t="s">
        <v>13143</v>
      </c>
      <c r="C681" t="s">
        <v>74</v>
      </c>
      <c r="D681" t="s">
        <v>74</v>
      </c>
      <c r="E681" t="s">
        <v>74</v>
      </c>
      <c r="F681" t="s">
        <v>13144</v>
      </c>
      <c r="G681" t="s">
        <v>74</v>
      </c>
      <c r="H681" t="s">
        <v>74</v>
      </c>
      <c r="I681" t="s">
        <v>13145</v>
      </c>
      <c r="J681" t="s">
        <v>594</v>
      </c>
      <c r="K681" t="s">
        <v>74</v>
      </c>
      <c r="L681" t="s">
        <v>74</v>
      </c>
      <c r="M681" t="s">
        <v>78</v>
      </c>
      <c r="N681" t="s">
        <v>79</v>
      </c>
      <c r="O681" t="s">
        <v>74</v>
      </c>
      <c r="P681" t="s">
        <v>74</v>
      </c>
      <c r="Q681" t="s">
        <v>74</v>
      </c>
      <c r="R681" t="s">
        <v>74</v>
      </c>
      <c r="S681" t="s">
        <v>74</v>
      </c>
      <c r="T681" t="s">
        <v>13146</v>
      </c>
      <c r="U681" t="s">
        <v>13147</v>
      </c>
      <c r="V681" t="s">
        <v>13148</v>
      </c>
      <c r="W681" t="s">
        <v>13149</v>
      </c>
      <c r="X681" t="s">
        <v>13150</v>
      </c>
      <c r="Y681" t="s">
        <v>13151</v>
      </c>
      <c r="Z681" t="s">
        <v>13152</v>
      </c>
      <c r="AA681" t="s">
        <v>13153</v>
      </c>
      <c r="AB681" t="s">
        <v>74</v>
      </c>
      <c r="AC681" t="s">
        <v>13154</v>
      </c>
      <c r="AD681" t="s">
        <v>13155</v>
      </c>
      <c r="AE681" t="s">
        <v>13156</v>
      </c>
      <c r="AF681" t="s">
        <v>74</v>
      </c>
      <c r="AG681">
        <v>53</v>
      </c>
      <c r="AH681">
        <v>2</v>
      </c>
      <c r="AI681">
        <v>2</v>
      </c>
      <c r="AJ681">
        <v>1</v>
      </c>
      <c r="AK681">
        <v>4</v>
      </c>
      <c r="AL681" t="s">
        <v>274</v>
      </c>
      <c r="AM681" t="s">
        <v>275</v>
      </c>
      <c r="AN681" t="s">
        <v>276</v>
      </c>
      <c r="AO681" t="s">
        <v>74</v>
      </c>
      <c r="AP681" t="s">
        <v>606</v>
      </c>
      <c r="AQ681" t="s">
        <v>74</v>
      </c>
      <c r="AR681" t="s">
        <v>607</v>
      </c>
      <c r="AS681" t="s">
        <v>608</v>
      </c>
      <c r="AT681" t="s">
        <v>13157</v>
      </c>
      <c r="AU681">
        <v>2022</v>
      </c>
      <c r="AV681">
        <v>19</v>
      </c>
      <c r="AW681">
        <v>1</v>
      </c>
      <c r="AX681" t="s">
        <v>74</v>
      </c>
      <c r="AY681" t="s">
        <v>74</v>
      </c>
      <c r="AZ681" t="s">
        <v>74</v>
      </c>
      <c r="BA681" t="s">
        <v>74</v>
      </c>
      <c r="BB681" t="s">
        <v>74</v>
      </c>
      <c r="BC681" t="s">
        <v>74</v>
      </c>
      <c r="BD681">
        <v>61</v>
      </c>
      <c r="BE681" t="s">
        <v>13158</v>
      </c>
      <c r="BF681" t="str">
        <f>HYPERLINK("http://dx.doi.org/10.1186/s12984-022-01041-3","http://dx.doi.org/10.1186/s12984-022-01041-3")</f>
        <v>http://dx.doi.org/10.1186/s12984-022-01041-3</v>
      </c>
      <c r="BG681" t="s">
        <v>74</v>
      </c>
      <c r="BH681" t="s">
        <v>74</v>
      </c>
      <c r="BI681">
        <v>5</v>
      </c>
      <c r="BJ681" t="s">
        <v>611</v>
      </c>
      <c r="BK681" t="s">
        <v>182</v>
      </c>
      <c r="BL681" t="s">
        <v>612</v>
      </c>
      <c r="BM681" t="s">
        <v>13159</v>
      </c>
      <c r="BN681">
        <v>35725474</v>
      </c>
      <c r="BO681" t="s">
        <v>131</v>
      </c>
      <c r="BP681" t="s">
        <v>74</v>
      </c>
      <c r="BQ681" t="s">
        <v>74</v>
      </c>
      <c r="BR681" t="s">
        <v>105</v>
      </c>
      <c r="BS681" t="s">
        <v>13160</v>
      </c>
      <c r="BT681" t="str">
        <f>HYPERLINK("https%3A%2F%2Fwww.webofscience.com%2Fwos%2Fwoscc%2Ffull-record%2FWOS:000813781300001","View Full Record in Web of Science")</f>
        <v>View Full Record in Web of Science</v>
      </c>
    </row>
    <row r="682" spans="1:72" x14ac:dyDescent="0.25">
      <c r="A682" t="s">
        <v>72</v>
      </c>
      <c r="B682" t="s">
        <v>13161</v>
      </c>
      <c r="C682" t="s">
        <v>74</v>
      </c>
      <c r="D682" t="s">
        <v>74</v>
      </c>
      <c r="E682" t="s">
        <v>74</v>
      </c>
      <c r="F682" t="s">
        <v>13162</v>
      </c>
      <c r="G682" t="s">
        <v>74</v>
      </c>
      <c r="H682" t="s">
        <v>74</v>
      </c>
      <c r="I682" t="s">
        <v>13163</v>
      </c>
      <c r="J682" t="s">
        <v>13164</v>
      </c>
      <c r="K682" t="s">
        <v>74</v>
      </c>
      <c r="L682" t="s">
        <v>74</v>
      </c>
      <c r="M682" t="s">
        <v>78</v>
      </c>
      <c r="N682" t="s">
        <v>79</v>
      </c>
      <c r="O682" t="s">
        <v>74</v>
      </c>
      <c r="P682" t="s">
        <v>74</v>
      </c>
      <c r="Q682" t="s">
        <v>74</v>
      </c>
      <c r="R682" t="s">
        <v>74</v>
      </c>
      <c r="S682" t="s">
        <v>74</v>
      </c>
      <c r="T682" t="s">
        <v>13165</v>
      </c>
      <c r="U682" t="s">
        <v>74</v>
      </c>
      <c r="V682" t="s">
        <v>13166</v>
      </c>
      <c r="W682" t="s">
        <v>13167</v>
      </c>
      <c r="X682" t="s">
        <v>13168</v>
      </c>
      <c r="Y682" t="s">
        <v>13169</v>
      </c>
      <c r="Z682" t="s">
        <v>13170</v>
      </c>
      <c r="AA682" t="s">
        <v>13171</v>
      </c>
      <c r="AB682" t="s">
        <v>74</v>
      </c>
      <c r="AC682" t="s">
        <v>74</v>
      </c>
      <c r="AD682" t="s">
        <v>74</v>
      </c>
      <c r="AE682" t="s">
        <v>74</v>
      </c>
      <c r="AF682" t="s">
        <v>74</v>
      </c>
      <c r="AG682">
        <v>68</v>
      </c>
      <c r="AH682">
        <v>10</v>
      </c>
      <c r="AI682">
        <v>10</v>
      </c>
      <c r="AJ682">
        <v>5</v>
      </c>
      <c r="AK682">
        <v>37</v>
      </c>
      <c r="AL682" t="s">
        <v>13172</v>
      </c>
      <c r="AM682" t="s">
        <v>1349</v>
      </c>
      <c r="AN682" t="s">
        <v>13173</v>
      </c>
      <c r="AO682" t="s">
        <v>13174</v>
      </c>
      <c r="AP682" t="s">
        <v>13175</v>
      </c>
      <c r="AQ682" t="s">
        <v>74</v>
      </c>
      <c r="AR682" t="s">
        <v>13176</v>
      </c>
      <c r="AS682" t="s">
        <v>13177</v>
      </c>
      <c r="AT682" t="s">
        <v>74</v>
      </c>
      <c r="AU682">
        <v>2022</v>
      </c>
      <c r="AV682">
        <v>71</v>
      </c>
      <c r="AW682">
        <v>4</v>
      </c>
      <c r="AX682" t="s">
        <v>74</v>
      </c>
      <c r="AY682" t="s">
        <v>74</v>
      </c>
      <c r="AZ682" t="s">
        <v>74</v>
      </c>
      <c r="BA682" t="s">
        <v>74</v>
      </c>
      <c r="BB682">
        <v>82</v>
      </c>
      <c r="BC682">
        <v>92</v>
      </c>
      <c r="BD682" t="s">
        <v>74</v>
      </c>
      <c r="BE682" t="s">
        <v>13178</v>
      </c>
      <c r="BF682" t="str">
        <f>HYPERLINK("http://dx.doi.org/10.2302/kjm.2022-0002-OA","http://dx.doi.org/10.2302/kjm.2022-0002-OA")</f>
        <v>http://dx.doi.org/10.2302/kjm.2022-0002-OA</v>
      </c>
      <c r="BG682" t="s">
        <v>74</v>
      </c>
      <c r="BH682" t="s">
        <v>3093</v>
      </c>
      <c r="BI682">
        <v>11</v>
      </c>
      <c r="BJ682" t="s">
        <v>738</v>
      </c>
      <c r="BK682" t="s">
        <v>155</v>
      </c>
      <c r="BL682" t="s">
        <v>739</v>
      </c>
      <c r="BM682" t="s">
        <v>13179</v>
      </c>
      <c r="BN682">
        <v>35718470</v>
      </c>
      <c r="BO682" t="s">
        <v>185</v>
      </c>
      <c r="BP682" t="s">
        <v>74</v>
      </c>
      <c r="BQ682" t="s">
        <v>74</v>
      </c>
      <c r="BR682" t="s">
        <v>105</v>
      </c>
      <c r="BS682" t="s">
        <v>13180</v>
      </c>
      <c r="BT682" t="str">
        <f>HYPERLINK("https%3A%2F%2Fwww.webofscience.com%2Fwos%2Fwoscc%2Ffull-record%2FWOS:000813255600001","View Full Record in Web of Science")</f>
        <v>View Full Record in Web of Science</v>
      </c>
    </row>
    <row r="683" spans="1:72" x14ac:dyDescent="0.25">
      <c r="A683" t="s">
        <v>72</v>
      </c>
      <c r="B683" t="s">
        <v>13181</v>
      </c>
      <c r="C683" t="s">
        <v>74</v>
      </c>
      <c r="D683" t="s">
        <v>74</v>
      </c>
      <c r="E683" t="s">
        <v>74</v>
      </c>
      <c r="F683" t="s">
        <v>13182</v>
      </c>
      <c r="G683" t="s">
        <v>74</v>
      </c>
      <c r="H683" t="s">
        <v>74</v>
      </c>
      <c r="I683" t="s">
        <v>13183</v>
      </c>
      <c r="J683" t="s">
        <v>1379</v>
      </c>
      <c r="K683" t="s">
        <v>74</v>
      </c>
      <c r="L683" t="s">
        <v>74</v>
      </c>
      <c r="M683" t="s">
        <v>78</v>
      </c>
      <c r="N683" t="s">
        <v>79</v>
      </c>
      <c r="O683" t="s">
        <v>74</v>
      </c>
      <c r="P683" t="s">
        <v>74</v>
      </c>
      <c r="Q683" t="s">
        <v>74</v>
      </c>
      <c r="R683" t="s">
        <v>74</v>
      </c>
      <c r="S683" t="s">
        <v>74</v>
      </c>
      <c r="T683" t="s">
        <v>13184</v>
      </c>
      <c r="U683" t="s">
        <v>13185</v>
      </c>
      <c r="V683" t="s">
        <v>13186</v>
      </c>
      <c r="W683" t="s">
        <v>13187</v>
      </c>
      <c r="X683" t="s">
        <v>13188</v>
      </c>
      <c r="Y683" t="s">
        <v>13189</v>
      </c>
      <c r="Z683" t="s">
        <v>13190</v>
      </c>
      <c r="AA683" t="s">
        <v>13191</v>
      </c>
      <c r="AB683" t="s">
        <v>13192</v>
      </c>
      <c r="AC683" t="s">
        <v>13193</v>
      </c>
      <c r="AD683" t="s">
        <v>4047</v>
      </c>
      <c r="AE683" t="s">
        <v>13194</v>
      </c>
      <c r="AF683" t="s">
        <v>74</v>
      </c>
      <c r="AG683">
        <v>98</v>
      </c>
      <c r="AH683">
        <v>17</v>
      </c>
      <c r="AI683">
        <v>17</v>
      </c>
      <c r="AJ683">
        <v>3</v>
      </c>
      <c r="AK683">
        <v>33</v>
      </c>
      <c r="AL683" t="s">
        <v>1391</v>
      </c>
      <c r="AM683" t="s">
        <v>1392</v>
      </c>
      <c r="AN683" t="s">
        <v>1393</v>
      </c>
      <c r="AO683" t="s">
        <v>1394</v>
      </c>
      <c r="AP683" t="s">
        <v>74</v>
      </c>
      <c r="AQ683" t="s">
        <v>74</v>
      </c>
      <c r="AR683" t="s">
        <v>1395</v>
      </c>
      <c r="AS683" t="s">
        <v>1396</v>
      </c>
      <c r="AT683" t="s">
        <v>10687</v>
      </c>
      <c r="AU683">
        <v>2022</v>
      </c>
      <c r="AV683">
        <v>24</v>
      </c>
      <c r="AW683">
        <v>6</v>
      </c>
      <c r="AX683" t="s">
        <v>74</v>
      </c>
      <c r="AY683" t="s">
        <v>74</v>
      </c>
      <c r="AZ683" t="s">
        <v>74</v>
      </c>
      <c r="BA683" t="s">
        <v>74</v>
      </c>
      <c r="BB683" t="s">
        <v>74</v>
      </c>
      <c r="BC683" t="s">
        <v>74</v>
      </c>
      <c r="BD683" t="s">
        <v>13195</v>
      </c>
      <c r="BE683" t="s">
        <v>13196</v>
      </c>
      <c r="BF683" t="str">
        <f>HYPERLINK("http://dx.doi.org/10.2196/34307","http://dx.doi.org/10.2196/34307")</f>
        <v>http://dx.doi.org/10.2196/34307</v>
      </c>
      <c r="BG683" t="s">
        <v>74</v>
      </c>
      <c r="BH683" t="s">
        <v>74</v>
      </c>
      <c r="BI683">
        <v>25</v>
      </c>
      <c r="BJ683" t="s">
        <v>1400</v>
      </c>
      <c r="BK683" t="s">
        <v>182</v>
      </c>
      <c r="BL683" t="s">
        <v>1400</v>
      </c>
      <c r="BM683" t="s">
        <v>13197</v>
      </c>
      <c r="BN683">
        <v>35699982</v>
      </c>
      <c r="BO683" t="s">
        <v>131</v>
      </c>
      <c r="BP683" t="s">
        <v>74</v>
      </c>
      <c r="BQ683" t="s">
        <v>74</v>
      </c>
      <c r="BR683" t="s">
        <v>105</v>
      </c>
      <c r="BS683" t="s">
        <v>13198</v>
      </c>
      <c r="BT683" t="str">
        <f>HYPERLINK("https%3A%2F%2Fwww.webofscience.com%2Fwos%2Fwoscc%2Ffull-record%2FWOS:000880058100001","View Full Record in Web of Science")</f>
        <v>View Full Record in Web of Science</v>
      </c>
    </row>
    <row r="684" spans="1:72" x14ac:dyDescent="0.25">
      <c r="A684" t="s">
        <v>72</v>
      </c>
      <c r="B684" t="s">
        <v>13199</v>
      </c>
      <c r="C684" t="s">
        <v>74</v>
      </c>
      <c r="D684" t="s">
        <v>74</v>
      </c>
      <c r="E684" t="s">
        <v>74</v>
      </c>
      <c r="F684" t="s">
        <v>13200</v>
      </c>
      <c r="G684" t="s">
        <v>74</v>
      </c>
      <c r="H684" t="s">
        <v>74</v>
      </c>
      <c r="I684" t="s">
        <v>13201</v>
      </c>
      <c r="J684" t="s">
        <v>594</v>
      </c>
      <c r="K684" t="s">
        <v>74</v>
      </c>
      <c r="L684" t="s">
        <v>74</v>
      </c>
      <c r="M684" t="s">
        <v>78</v>
      </c>
      <c r="N684" t="s">
        <v>79</v>
      </c>
      <c r="O684" t="s">
        <v>74</v>
      </c>
      <c r="P684" t="s">
        <v>74</v>
      </c>
      <c r="Q684" t="s">
        <v>74</v>
      </c>
      <c r="R684" t="s">
        <v>74</v>
      </c>
      <c r="S684" t="s">
        <v>74</v>
      </c>
      <c r="T684" t="s">
        <v>13202</v>
      </c>
      <c r="U684" t="s">
        <v>13203</v>
      </c>
      <c r="V684" t="s">
        <v>13204</v>
      </c>
      <c r="W684" t="s">
        <v>13205</v>
      </c>
      <c r="X684" t="s">
        <v>13206</v>
      </c>
      <c r="Y684" t="s">
        <v>13207</v>
      </c>
      <c r="Z684" t="s">
        <v>13208</v>
      </c>
      <c r="AA684" t="s">
        <v>13209</v>
      </c>
      <c r="AB684" t="s">
        <v>13210</v>
      </c>
      <c r="AC684" t="s">
        <v>13211</v>
      </c>
      <c r="AD684" t="s">
        <v>13212</v>
      </c>
      <c r="AE684" t="s">
        <v>13213</v>
      </c>
      <c r="AF684" t="s">
        <v>74</v>
      </c>
      <c r="AG684">
        <v>63</v>
      </c>
      <c r="AH684">
        <v>19</v>
      </c>
      <c r="AI684">
        <v>19</v>
      </c>
      <c r="AJ684">
        <v>7</v>
      </c>
      <c r="AK684">
        <v>77</v>
      </c>
      <c r="AL684" t="s">
        <v>274</v>
      </c>
      <c r="AM684" t="s">
        <v>275</v>
      </c>
      <c r="AN684" t="s">
        <v>276</v>
      </c>
      <c r="AO684" t="s">
        <v>74</v>
      </c>
      <c r="AP684" t="s">
        <v>606</v>
      </c>
      <c r="AQ684" t="s">
        <v>74</v>
      </c>
      <c r="AR684" t="s">
        <v>607</v>
      </c>
      <c r="AS684" t="s">
        <v>608</v>
      </c>
      <c r="AT684" t="s">
        <v>5982</v>
      </c>
      <c r="AU684">
        <v>2022</v>
      </c>
      <c r="AV684">
        <v>19</v>
      </c>
      <c r="AW684">
        <v>1</v>
      </c>
      <c r="AX684" t="s">
        <v>74</v>
      </c>
      <c r="AY684" t="s">
        <v>74</v>
      </c>
      <c r="AZ684" t="s">
        <v>74</v>
      </c>
      <c r="BA684" t="s">
        <v>74</v>
      </c>
      <c r="BB684" t="s">
        <v>74</v>
      </c>
      <c r="BC684" t="s">
        <v>74</v>
      </c>
      <c r="BD684">
        <v>52</v>
      </c>
      <c r="BE684" t="s">
        <v>13214</v>
      </c>
      <c r="BF684" t="str">
        <f>HYPERLINK("http://dx.doi.org/10.1186/s12984-022-01031-5","http://dx.doi.org/10.1186/s12984-022-01031-5")</f>
        <v>http://dx.doi.org/10.1186/s12984-022-01031-5</v>
      </c>
      <c r="BG684" t="s">
        <v>74</v>
      </c>
      <c r="BH684" t="s">
        <v>74</v>
      </c>
      <c r="BI684">
        <v>16</v>
      </c>
      <c r="BJ684" t="s">
        <v>611</v>
      </c>
      <c r="BK684" t="s">
        <v>182</v>
      </c>
      <c r="BL684" t="s">
        <v>612</v>
      </c>
      <c r="BM684" t="s">
        <v>13215</v>
      </c>
      <c r="BN684">
        <v>35659703</v>
      </c>
      <c r="BO684" t="s">
        <v>355</v>
      </c>
      <c r="BP684" t="s">
        <v>74</v>
      </c>
      <c r="BQ684" t="s">
        <v>74</v>
      </c>
      <c r="BR684" t="s">
        <v>105</v>
      </c>
      <c r="BS684" t="s">
        <v>13216</v>
      </c>
      <c r="BT684" t="str">
        <f>HYPERLINK("https%3A%2F%2Fwww.webofscience.com%2Fwos%2Fwoscc%2Ffull-record%2FWOS:000805788700004","View Full Record in Web of Science")</f>
        <v>View Full Record in Web of Science</v>
      </c>
    </row>
    <row r="685" spans="1:72" x14ac:dyDescent="0.25">
      <c r="A685" t="s">
        <v>72</v>
      </c>
      <c r="B685" t="s">
        <v>13217</v>
      </c>
      <c r="C685" t="s">
        <v>74</v>
      </c>
      <c r="D685" t="s">
        <v>74</v>
      </c>
      <c r="E685" t="s">
        <v>74</v>
      </c>
      <c r="F685" t="s">
        <v>13218</v>
      </c>
      <c r="G685" t="s">
        <v>74</v>
      </c>
      <c r="H685" t="s">
        <v>74</v>
      </c>
      <c r="I685" t="s">
        <v>13219</v>
      </c>
      <c r="J685" t="s">
        <v>13220</v>
      </c>
      <c r="K685" t="s">
        <v>74</v>
      </c>
      <c r="L685" t="s">
        <v>74</v>
      </c>
      <c r="M685" t="s">
        <v>78</v>
      </c>
      <c r="N685" t="s">
        <v>79</v>
      </c>
      <c r="O685" t="s">
        <v>74</v>
      </c>
      <c r="P685" t="s">
        <v>74</v>
      </c>
      <c r="Q685" t="s">
        <v>74</v>
      </c>
      <c r="R685" t="s">
        <v>74</v>
      </c>
      <c r="S685" t="s">
        <v>74</v>
      </c>
      <c r="T685" t="s">
        <v>13221</v>
      </c>
      <c r="U685" t="s">
        <v>13222</v>
      </c>
      <c r="V685" t="s">
        <v>13223</v>
      </c>
      <c r="W685" t="s">
        <v>13224</v>
      </c>
      <c r="X685" t="s">
        <v>13225</v>
      </c>
      <c r="Y685" t="s">
        <v>13226</v>
      </c>
      <c r="Z685" t="s">
        <v>13227</v>
      </c>
      <c r="AA685" t="s">
        <v>13228</v>
      </c>
      <c r="AB685" t="s">
        <v>13229</v>
      </c>
      <c r="AC685" t="s">
        <v>13230</v>
      </c>
      <c r="AD685" t="s">
        <v>13231</v>
      </c>
      <c r="AE685" t="s">
        <v>13232</v>
      </c>
      <c r="AF685" t="s">
        <v>74</v>
      </c>
      <c r="AG685">
        <v>168</v>
      </c>
      <c r="AH685">
        <v>9</v>
      </c>
      <c r="AI685">
        <v>10</v>
      </c>
      <c r="AJ685">
        <v>11</v>
      </c>
      <c r="AK685">
        <v>214</v>
      </c>
      <c r="AL685" t="s">
        <v>5927</v>
      </c>
      <c r="AM685" t="s">
        <v>5928</v>
      </c>
      <c r="AN685" t="s">
        <v>5929</v>
      </c>
      <c r="AO685" t="s">
        <v>13233</v>
      </c>
      <c r="AP685" t="s">
        <v>74</v>
      </c>
      <c r="AQ685" t="s">
        <v>74</v>
      </c>
      <c r="AR685" t="s">
        <v>13234</v>
      </c>
      <c r="AS685" t="s">
        <v>13235</v>
      </c>
      <c r="AT685" t="s">
        <v>8614</v>
      </c>
      <c r="AU685">
        <v>2022</v>
      </c>
      <c r="AV685">
        <v>7</v>
      </c>
      <c r="AW685">
        <v>2</v>
      </c>
      <c r="AX685" t="s">
        <v>74</v>
      </c>
      <c r="AY685" t="s">
        <v>74</v>
      </c>
      <c r="AZ685" t="s">
        <v>74</v>
      </c>
      <c r="BA685" t="s">
        <v>74</v>
      </c>
      <c r="BB685" t="s">
        <v>74</v>
      </c>
      <c r="BC685" t="s">
        <v>74</v>
      </c>
      <c r="BD685">
        <v>23002</v>
      </c>
      <c r="BE685" t="s">
        <v>13236</v>
      </c>
      <c r="BF685" t="str">
        <f>HYPERLINK("http://dx.doi.org/10.1088/2058-8585/ac6a96","http://dx.doi.org/10.1088/2058-8585/ac6a96")</f>
        <v>http://dx.doi.org/10.1088/2058-8585/ac6a96</v>
      </c>
      <c r="BG685" t="s">
        <v>74</v>
      </c>
      <c r="BH685" t="s">
        <v>74</v>
      </c>
      <c r="BI685">
        <v>31</v>
      </c>
      <c r="BJ685" t="s">
        <v>13237</v>
      </c>
      <c r="BK685" t="s">
        <v>182</v>
      </c>
      <c r="BL685" t="s">
        <v>13238</v>
      </c>
      <c r="BM685" t="s">
        <v>13239</v>
      </c>
      <c r="BN685" t="s">
        <v>74</v>
      </c>
      <c r="BO685" t="s">
        <v>74</v>
      </c>
      <c r="BP685" t="s">
        <v>74</v>
      </c>
      <c r="BQ685" t="s">
        <v>74</v>
      </c>
      <c r="BR685" t="s">
        <v>105</v>
      </c>
      <c r="BS685" t="s">
        <v>13240</v>
      </c>
      <c r="BT685" t="str">
        <f>HYPERLINK("https%3A%2F%2Fwww.webofscience.com%2Fwos%2Fwoscc%2Ffull-record%2FWOS:000793498500001","View Full Record in Web of Science")</f>
        <v>View Full Record in Web of Science</v>
      </c>
    </row>
    <row r="686" spans="1:72" x14ac:dyDescent="0.25">
      <c r="A686" t="s">
        <v>72</v>
      </c>
      <c r="B686" t="s">
        <v>13241</v>
      </c>
      <c r="C686" t="s">
        <v>74</v>
      </c>
      <c r="D686" t="s">
        <v>74</v>
      </c>
      <c r="E686" t="s">
        <v>74</v>
      </c>
      <c r="F686" t="s">
        <v>13242</v>
      </c>
      <c r="G686" t="s">
        <v>74</v>
      </c>
      <c r="H686" t="s">
        <v>74</v>
      </c>
      <c r="I686" t="s">
        <v>13243</v>
      </c>
      <c r="J686" t="s">
        <v>2543</v>
      </c>
      <c r="K686" t="s">
        <v>74</v>
      </c>
      <c r="L686" t="s">
        <v>74</v>
      </c>
      <c r="M686" t="s">
        <v>78</v>
      </c>
      <c r="N686" t="s">
        <v>79</v>
      </c>
      <c r="O686" t="s">
        <v>74</v>
      </c>
      <c r="P686" t="s">
        <v>74</v>
      </c>
      <c r="Q686" t="s">
        <v>74</v>
      </c>
      <c r="R686" t="s">
        <v>74</v>
      </c>
      <c r="S686" t="s">
        <v>74</v>
      </c>
      <c r="T686" t="s">
        <v>13244</v>
      </c>
      <c r="U686" t="s">
        <v>13245</v>
      </c>
      <c r="V686" t="s">
        <v>13246</v>
      </c>
      <c r="W686" t="s">
        <v>13247</v>
      </c>
      <c r="X686" t="s">
        <v>13248</v>
      </c>
      <c r="Y686" t="s">
        <v>13249</v>
      </c>
      <c r="Z686" t="s">
        <v>13250</v>
      </c>
      <c r="AA686" t="s">
        <v>13251</v>
      </c>
      <c r="AB686" t="s">
        <v>13252</v>
      </c>
      <c r="AC686" t="s">
        <v>13253</v>
      </c>
      <c r="AD686" t="s">
        <v>13254</v>
      </c>
      <c r="AE686" t="s">
        <v>13255</v>
      </c>
      <c r="AF686" t="s">
        <v>74</v>
      </c>
      <c r="AG686">
        <v>61</v>
      </c>
      <c r="AH686">
        <v>9</v>
      </c>
      <c r="AI686">
        <v>10</v>
      </c>
      <c r="AJ686">
        <v>1</v>
      </c>
      <c r="AK686">
        <v>21</v>
      </c>
      <c r="AL686" t="s">
        <v>120</v>
      </c>
      <c r="AM686" t="s">
        <v>121</v>
      </c>
      <c r="AN686" t="s">
        <v>122</v>
      </c>
      <c r="AO686" t="s">
        <v>74</v>
      </c>
      <c r="AP686" t="s">
        <v>2553</v>
      </c>
      <c r="AQ686" t="s">
        <v>74</v>
      </c>
      <c r="AR686" t="s">
        <v>2554</v>
      </c>
      <c r="AS686" t="s">
        <v>2555</v>
      </c>
      <c r="AT686" t="s">
        <v>1070</v>
      </c>
      <c r="AU686">
        <v>2022</v>
      </c>
      <c r="AV686">
        <v>12</v>
      </c>
      <c r="AW686">
        <v>6</v>
      </c>
      <c r="AX686" t="s">
        <v>74</v>
      </c>
      <c r="AY686" t="s">
        <v>74</v>
      </c>
      <c r="AZ686" t="s">
        <v>74</v>
      </c>
      <c r="BA686" t="s">
        <v>74</v>
      </c>
      <c r="BB686" t="s">
        <v>74</v>
      </c>
      <c r="BC686" t="s">
        <v>74</v>
      </c>
      <c r="BD686">
        <v>713</v>
      </c>
      <c r="BE686" t="s">
        <v>13256</v>
      </c>
      <c r="BF686" t="str">
        <f>HYPERLINK("http://dx.doi.org/10.3390/brainsci12060713","http://dx.doi.org/10.3390/brainsci12060713")</f>
        <v>http://dx.doi.org/10.3390/brainsci12060713</v>
      </c>
      <c r="BG686" t="s">
        <v>74</v>
      </c>
      <c r="BH686" t="s">
        <v>74</v>
      </c>
      <c r="BI686">
        <v>18</v>
      </c>
      <c r="BJ686" t="s">
        <v>374</v>
      </c>
      <c r="BK686" t="s">
        <v>182</v>
      </c>
      <c r="BL686" t="s">
        <v>375</v>
      </c>
      <c r="BM686" t="s">
        <v>13257</v>
      </c>
      <c r="BN686">
        <v>35741599</v>
      </c>
      <c r="BO686" t="s">
        <v>355</v>
      </c>
      <c r="BP686" t="s">
        <v>74</v>
      </c>
      <c r="BQ686" t="s">
        <v>74</v>
      </c>
      <c r="BR686" t="s">
        <v>105</v>
      </c>
      <c r="BS686" t="s">
        <v>13258</v>
      </c>
      <c r="BT686" t="str">
        <f>HYPERLINK("https%3A%2F%2Fwww.webofscience.com%2Fwos%2Fwoscc%2Ffull-record%2FWOS:000817564900001","View Full Record in Web of Science")</f>
        <v>View Full Record in Web of Science</v>
      </c>
    </row>
    <row r="687" spans="1:72" x14ac:dyDescent="0.25">
      <c r="A687" t="s">
        <v>72</v>
      </c>
      <c r="B687" t="s">
        <v>13259</v>
      </c>
      <c r="C687" t="s">
        <v>74</v>
      </c>
      <c r="D687" t="s">
        <v>74</v>
      </c>
      <c r="E687" t="s">
        <v>74</v>
      </c>
      <c r="F687" t="s">
        <v>13260</v>
      </c>
      <c r="G687" t="s">
        <v>74</v>
      </c>
      <c r="H687" t="s">
        <v>74</v>
      </c>
      <c r="I687" t="s">
        <v>13261</v>
      </c>
      <c r="J687" t="s">
        <v>2091</v>
      </c>
      <c r="K687" t="s">
        <v>74</v>
      </c>
      <c r="L687" t="s">
        <v>74</v>
      </c>
      <c r="M687" t="s">
        <v>78</v>
      </c>
      <c r="N687" t="s">
        <v>79</v>
      </c>
      <c r="O687" t="s">
        <v>74</v>
      </c>
      <c r="P687" t="s">
        <v>74</v>
      </c>
      <c r="Q687" t="s">
        <v>74</v>
      </c>
      <c r="R687" t="s">
        <v>74</v>
      </c>
      <c r="S687" t="s">
        <v>74</v>
      </c>
      <c r="T687" t="s">
        <v>13262</v>
      </c>
      <c r="U687" t="s">
        <v>13263</v>
      </c>
      <c r="V687" t="s">
        <v>13264</v>
      </c>
      <c r="W687" t="s">
        <v>13265</v>
      </c>
      <c r="X687" t="s">
        <v>13266</v>
      </c>
      <c r="Y687" t="s">
        <v>13267</v>
      </c>
      <c r="Z687" t="s">
        <v>13268</v>
      </c>
      <c r="AA687" t="s">
        <v>13269</v>
      </c>
      <c r="AB687" t="s">
        <v>13270</v>
      </c>
      <c r="AC687" t="s">
        <v>13271</v>
      </c>
      <c r="AD687" t="s">
        <v>13272</v>
      </c>
      <c r="AE687" t="s">
        <v>13273</v>
      </c>
      <c r="AF687" t="s">
        <v>74</v>
      </c>
      <c r="AG687">
        <v>430</v>
      </c>
      <c r="AH687">
        <v>3</v>
      </c>
      <c r="AI687">
        <v>3</v>
      </c>
      <c r="AJ687">
        <v>0</v>
      </c>
      <c r="AK687">
        <v>65</v>
      </c>
      <c r="AL687" t="s">
        <v>120</v>
      </c>
      <c r="AM687" t="s">
        <v>121</v>
      </c>
      <c r="AN687" t="s">
        <v>122</v>
      </c>
      <c r="AO687" t="s">
        <v>74</v>
      </c>
      <c r="AP687" t="s">
        <v>2104</v>
      </c>
      <c r="AQ687" t="s">
        <v>74</v>
      </c>
      <c r="AR687" t="s">
        <v>2105</v>
      </c>
      <c r="AS687" t="s">
        <v>2106</v>
      </c>
      <c r="AT687" t="s">
        <v>1070</v>
      </c>
      <c r="AU687">
        <v>2022</v>
      </c>
      <c r="AV687">
        <v>12</v>
      </c>
      <c r="AW687">
        <v>11</v>
      </c>
      <c r="AX687" t="s">
        <v>74</v>
      </c>
      <c r="AY687" t="s">
        <v>74</v>
      </c>
      <c r="AZ687" t="s">
        <v>74</v>
      </c>
      <c r="BA687" t="s">
        <v>74</v>
      </c>
      <c r="BB687" t="s">
        <v>74</v>
      </c>
      <c r="BC687" t="s">
        <v>74</v>
      </c>
      <c r="BD687">
        <v>5393</v>
      </c>
      <c r="BE687" t="s">
        <v>13274</v>
      </c>
      <c r="BF687" t="str">
        <f>HYPERLINK("http://dx.doi.org/10.3390/app12115393","http://dx.doi.org/10.3390/app12115393")</f>
        <v>http://dx.doi.org/10.3390/app12115393</v>
      </c>
      <c r="BG687" t="s">
        <v>74</v>
      </c>
      <c r="BH687" t="s">
        <v>74</v>
      </c>
      <c r="BI687">
        <v>58</v>
      </c>
      <c r="BJ687" t="s">
        <v>2109</v>
      </c>
      <c r="BK687" t="s">
        <v>182</v>
      </c>
      <c r="BL687" t="s">
        <v>2110</v>
      </c>
      <c r="BM687" t="s">
        <v>13275</v>
      </c>
      <c r="BN687" t="s">
        <v>74</v>
      </c>
      <c r="BO687" t="s">
        <v>185</v>
      </c>
      <c r="BP687" t="s">
        <v>74</v>
      </c>
      <c r="BQ687" t="s">
        <v>74</v>
      </c>
      <c r="BR687" t="s">
        <v>105</v>
      </c>
      <c r="BS687" t="s">
        <v>13276</v>
      </c>
      <c r="BT687" t="str">
        <f>HYPERLINK("https%3A%2F%2Fwww.webofscience.com%2Fwos%2Fwoscc%2Ffull-record%2FWOS:000808625500001","View Full Record in Web of Science")</f>
        <v>View Full Record in Web of Science</v>
      </c>
    </row>
    <row r="688" spans="1:72" x14ac:dyDescent="0.25">
      <c r="A688" t="s">
        <v>72</v>
      </c>
      <c r="B688" t="s">
        <v>13277</v>
      </c>
      <c r="C688" t="s">
        <v>74</v>
      </c>
      <c r="D688" t="s">
        <v>74</v>
      </c>
      <c r="E688" t="s">
        <v>74</v>
      </c>
      <c r="F688" t="s">
        <v>13278</v>
      </c>
      <c r="G688" t="s">
        <v>74</v>
      </c>
      <c r="H688" t="s">
        <v>74</v>
      </c>
      <c r="I688" t="s">
        <v>13279</v>
      </c>
      <c r="J688" t="s">
        <v>8733</v>
      </c>
      <c r="K688" t="s">
        <v>74</v>
      </c>
      <c r="L688" t="s">
        <v>74</v>
      </c>
      <c r="M688" t="s">
        <v>78</v>
      </c>
      <c r="N688" t="s">
        <v>79</v>
      </c>
      <c r="O688" t="s">
        <v>74</v>
      </c>
      <c r="P688" t="s">
        <v>74</v>
      </c>
      <c r="Q688" t="s">
        <v>74</v>
      </c>
      <c r="R688" t="s">
        <v>74</v>
      </c>
      <c r="S688" t="s">
        <v>74</v>
      </c>
      <c r="T688" t="s">
        <v>13280</v>
      </c>
      <c r="U688" t="s">
        <v>13281</v>
      </c>
      <c r="V688" t="s">
        <v>13282</v>
      </c>
      <c r="W688" t="s">
        <v>13283</v>
      </c>
      <c r="X688" t="s">
        <v>13284</v>
      </c>
      <c r="Y688" t="s">
        <v>13285</v>
      </c>
      <c r="Z688" t="s">
        <v>8740</v>
      </c>
      <c r="AA688" t="s">
        <v>13286</v>
      </c>
      <c r="AB688" t="s">
        <v>13287</v>
      </c>
      <c r="AC688" t="s">
        <v>13288</v>
      </c>
      <c r="AD688" t="s">
        <v>4047</v>
      </c>
      <c r="AE688" t="s">
        <v>13289</v>
      </c>
      <c r="AF688" t="s">
        <v>74</v>
      </c>
      <c r="AG688">
        <v>112</v>
      </c>
      <c r="AH688">
        <v>6</v>
      </c>
      <c r="AI688">
        <v>6</v>
      </c>
      <c r="AJ688">
        <v>18</v>
      </c>
      <c r="AK688">
        <v>163</v>
      </c>
      <c r="AL688" t="s">
        <v>8744</v>
      </c>
      <c r="AM688" t="s">
        <v>8745</v>
      </c>
      <c r="AN688" t="s">
        <v>8746</v>
      </c>
      <c r="AO688" t="s">
        <v>8747</v>
      </c>
      <c r="AP688" t="s">
        <v>8748</v>
      </c>
      <c r="AQ688" t="s">
        <v>74</v>
      </c>
      <c r="AR688" t="s">
        <v>8749</v>
      </c>
      <c r="AS688" t="s">
        <v>8750</v>
      </c>
      <c r="AT688" t="s">
        <v>1070</v>
      </c>
      <c r="AU688">
        <v>2022</v>
      </c>
      <c r="AV688">
        <v>17</v>
      </c>
      <c r="AW688">
        <v>2</v>
      </c>
      <c r="AX688" t="s">
        <v>74</v>
      </c>
      <c r="AY688" t="s">
        <v>74</v>
      </c>
      <c r="AZ688" t="s">
        <v>74</v>
      </c>
      <c r="BA688" t="s">
        <v>74</v>
      </c>
      <c r="BB688" t="s">
        <v>74</v>
      </c>
      <c r="BC688" t="s">
        <v>74</v>
      </c>
      <c r="BD688">
        <v>28</v>
      </c>
      <c r="BE688" t="s">
        <v>13290</v>
      </c>
      <c r="BF688" t="str">
        <f>HYPERLINK("http://dx.doi.org/10.1007/s11465-022-0684-4","http://dx.doi.org/10.1007/s11465-022-0684-4")</f>
        <v>http://dx.doi.org/10.1007/s11465-022-0684-4</v>
      </c>
      <c r="BG688" t="s">
        <v>74</v>
      </c>
      <c r="BH688" t="s">
        <v>74</v>
      </c>
      <c r="BI688">
        <v>14</v>
      </c>
      <c r="BJ688" t="s">
        <v>181</v>
      </c>
      <c r="BK688" t="s">
        <v>182</v>
      </c>
      <c r="BL688" t="s">
        <v>183</v>
      </c>
      <c r="BM688" t="s">
        <v>13291</v>
      </c>
      <c r="BN688" t="s">
        <v>74</v>
      </c>
      <c r="BO688" t="s">
        <v>309</v>
      </c>
      <c r="BP688" t="s">
        <v>74</v>
      </c>
      <c r="BQ688" t="s">
        <v>74</v>
      </c>
      <c r="BR688" t="s">
        <v>105</v>
      </c>
      <c r="BS688" t="s">
        <v>13292</v>
      </c>
      <c r="BT688" t="str">
        <f>HYPERLINK("https%3A%2F%2Fwww.webofscience.com%2Fwos%2Fwoscc%2Ffull-record%2FWOS:000838628300001","View Full Record in Web of Science")</f>
        <v>View Full Record in Web of Science</v>
      </c>
    </row>
    <row r="689" spans="1:72" x14ac:dyDescent="0.25">
      <c r="A689" t="s">
        <v>72</v>
      </c>
      <c r="B689" t="s">
        <v>13293</v>
      </c>
      <c r="C689" t="s">
        <v>74</v>
      </c>
      <c r="D689" t="s">
        <v>74</v>
      </c>
      <c r="E689" t="s">
        <v>74</v>
      </c>
      <c r="F689" t="s">
        <v>13294</v>
      </c>
      <c r="G689" t="s">
        <v>74</v>
      </c>
      <c r="H689" t="s">
        <v>74</v>
      </c>
      <c r="I689" t="s">
        <v>13295</v>
      </c>
      <c r="J689" t="s">
        <v>4311</v>
      </c>
      <c r="K689" t="s">
        <v>74</v>
      </c>
      <c r="L689" t="s">
        <v>74</v>
      </c>
      <c r="M689" t="s">
        <v>78</v>
      </c>
      <c r="N689" t="s">
        <v>79</v>
      </c>
      <c r="O689" t="s">
        <v>74</v>
      </c>
      <c r="P689" t="s">
        <v>74</v>
      </c>
      <c r="Q689" t="s">
        <v>74</v>
      </c>
      <c r="R689" t="s">
        <v>74</v>
      </c>
      <c r="S689" t="s">
        <v>74</v>
      </c>
      <c r="T689" t="s">
        <v>13296</v>
      </c>
      <c r="U689" t="s">
        <v>13297</v>
      </c>
      <c r="V689" t="s">
        <v>13298</v>
      </c>
      <c r="W689" t="s">
        <v>13299</v>
      </c>
      <c r="X689" t="s">
        <v>13300</v>
      </c>
      <c r="Y689" t="s">
        <v>13301</v>
      </c>
      <c r="Z689" t="s">
        <v>13302</v>
      </c>
      <c r="AA689" t="s">
        <v>13303</v>
      </c>
      <c r="AB689" t="s">
        <v>74</v>
      </c>
      <c r="AC689" t="s">
        <v>13304</v>
      </c>
      <c r="AD689" t="s">
        <v>13305</v>
      </c>
      <c r="AE689" t="s">
        <v>13306</v>
      </c>
      <c r="AF689" t="s">
        <v>74</v>
      </c>
      <c r="AG689">
        <v>145</v>
      </c>
      <c r="AH689">
        <v>32</v>
      </c>
      <c r="AI689">
        <v>34</v>
      </c>
      <c r="AJ689">
        <v>57</v>
      </c>
      <c r="AK689">
        <v>408</v>
      </c>
      <c r="AL689" t="s">
        <v>120</v>
      </c>
      <c r="AM689" t="s">
        <v>121</v>
      </c>
      <c r="AN689" t="s">
        <v>122</v>
      </c>
      <c r="AO689" t="s">
        <v>74</v>
      </c>
      <c r="AP689" t="s">
        <v>4324</v>
      </c>
      <c r="AQ689" t="s">
        <v>74</v>
      </c>
      <c r="AR689" t="s">
        <v>4325</v>
      </c>
      <c r="AS689" t="s">
        <v>4326</v>
      </c>
      <c r="AT689" t="s">
        <v>1070</v>
      </c>
      <c r="AU689">
        <v>2022</v>
      </c>
      <c r="AV689">
        <v>13</v>
      </c>
      <c r="AW689">
        <v>6</v>
      </c>
      <c r="AX689" t="s">
        <v>74</v>
      </c>
      <c r="AY689" t="s">
        <v>74</v>
      </c>
      <c r="AZ689" t="s">
        <v>74</v>
      </c>
      <c r="BA689" t="s">
        <v>74</v>
      </c>
      <c r="BB689" t="s">
        <v>74</v>
      </c>
      <c r="BC689" t="s">
        <v>74</v>
      </c>
      <c r="BD689">
        <v>900</v>
      </c>
      <c r="BE689" t="s">
        <v>13307</v>
      </c>
      <c r="BF689" t="str">
        <f>HYPERLINK("http://dx.doi.org/10.3390/mi13060900","http://dx.doi.org/10.3390/mi13060900")</f>
        <v>http://dx.doi.org/10.3390/mi13060900</v>
      </c>
      <c r="BG689" t="s">
        <v>74</v>
      </c>
      <c r="BH689" t="s">
        <v>74</v>
      </c>
      <c r="BI689">
        <v>40</v>
      </c>
      <c r="BJ689" t="s">
        <v>4328</v>
      </c>
      <c r="BK689" t="s">
        <v>182</v>
      </c>
      <c r="BL689" t="s">
        <v>4329</v>
      </c>
      <c r="BM689" t="s">
        <v>13308</v>
      </c>
      <c r="BN689">
        <v>35744514</v>
      </c>
      <c r="BO689" t="s">
        <v>131</v>
      </c>
      <c r="BP689" t="s">
        <v>74</v>
      </c>
      <c r="BQ689" t="s">
        <v>74</v>
      </c>
      <c r="BR689" t="s">
        <v>105</v>
      </c>
      <c r="BS689" t="s">
        <v>13309</v>
      </c>
      <c r="BT689" t="str">
        <f>HYPERLINK("https%3A%2F%2Fwww.webofscience.com%2Fwos%2Fwoscc%2Ffull-record%2FWOS:000818234900001","View Full Record in Web of Science")</f>
        <v>View Full Record in Web of Science</v>
      </c>
    </row>
    <row r="690" spans="1:72" x14ac:dyDescent="0.25">
      <c r="A690" t="s">
        <v>72</v>
      </c>
      <c r="B690" t="s">
        <v>13310</v>
      </c>
      <c r="C690" t="s">
        <v>74</v>
      </c>
      <c r="D690" t="s">
        <v>74</v>
      </c>
      <c r="E690" t="s">
        <v>74</v>
      </c>
      <c r="F690" t="s">
        <v>13311</v>
      </c>
      <c r="G690" t="s">
        <v>74</v>
      </c>
      <c r="H690" t="s">
        <v>74</v>
      </c>
      <c r="I690" t="s">
        <v>13312</v>
      </c>
      <c r="J690" t="s">
        <v>8387</v>
      </c>
      <c r="K690" t="s">
        <v>74</v>
      </c>
      <c r="L690" t="s">
        <v>74</v>
      </c>
      <c r="M690" t="s">
        <v>78</v>
      </c>
      <c r="N690" t="s">
        <v>79</v>
      </c>
      <c r="O690" t="s">
        <v>74</v>
      </c>
      <c r="P690" t="s">
        <v>74</v>
      </c>
      <c r="Q690" t="s">
        <v>74</v>
      </c>
      <c r="R690" t="s">
        <v>74</v>
      </c>
      <c r="S690" t="s">
        <v>74</v>
      </c>
      <c r="T690" t="s">
        <v>13313</v>
      </c>
      <c r="U690" t="s">
        <v>13314</v>
      </c>
      <c r="V690" t="s">
        <v>13315</v>
      </c>
      <c r="W690" t="s">
        <v>13316</v>
      </c>
      <c r="X690" t="s">
        <v>13317</v>
      </c>
      <c r="Y690" t="s">
        <v>13318</v>
      </c>
      <c r="Z690" t="s">
        <v>13319</v>
      </c>
      <c r="AA690" t="s">
        <v>13320</v>
      </c>
      <c r="AB690" t="s">
        <v>13321</v>
      </c>
      <c r="AC690" t="s">
        <v>13322</v>
      </c>
      <c r="AD690" t="s">
        <v>13323</v>
      </c>
      <c r="AE690" t="s">
        <v>13324</v>
      </c>
      <c r="AF690" t="s">
        <v>74</v>
      </c>
      <c r="AG690">
        <v>199</v>
      </c>
      <c r="AH690">
        <v>13</v>
      </c>
      <c r="AI690">
        <v>13</v>
      </c>
      <c r="AJ690">
        <v>11</v>
      </c>
      <c r="AK690">
        <v>141</v>
      </c>
      <c r="AL690" t="s">
        <v>392</v>
      </c>
      <c r="AM690" t="s">
        <v>393</v>
      </c>
      <c r="AN690" t="s">
        <v>394</v>
      </c>
      <c r="AO690" t="s">
        <v>8397</v>
      </c>
      <c r="AP690" t="s">
        <v>74</v>
      </c>
      <c r="AQ690" t="s">
        <v>74</v>
      </c>
      <c r="AR690" t="s">
        <v>8398</v>
      </c>
      <c r="AS690" t="s">
        <v>8399</v>
      </c>
      <c r="AT690" t="s">
        <v>10738</v>
      </c>
      <c r="AU690">
        <v>2022</v>
      </c>
      <c r="AV690">
        <v>10</v>
      </c>
      <c r="AW690" t="s">
        <v>74</v>
      </c>
      <c r="AX690" t="s">
        <v>74</v>
      </c>
      <c r="AY690" t="s">
        <v>74</v>
      </c>
      <c r="AZ690" t="s">
        <v>74</v>
      </c>
      <c r="BA690" t="s">
        <v>74</v>
      </c>
      <c r="BB690" t="s">
        <v>74</v>
      </c>
      <c r="BC690" t="s">
        <v>74</v>
      </c>
      <c r="BD690">
        <v>842294</v>
      </c>
      <c r="BE690" t="s">
        <v>13325</v>
      </c>
      <c r="BF690" t="str">
        <f>HYPERLINK("http://dx.doi.org/10.3389/fbioe.2022.842294","http://dx.doi.org/10.3389/fbioe.2022.842294")</f>
        <v>http://dx.doi.org/10.3389/fbioe.2022.842294</v>
      </c>
      <c r="BG690" t="s">
        <v>74</v>
      </c>
      <c r="BH690" t="s">
        <v>74</v>
      </c>
      <c r="BI690">
        <v>20</v>
      </c>
      <c r="BJ690" t="s">
        <v>2760</v>
      </c>
      <c r="BK690" t="s">
        <v>182</v>
      </c>
      <c r="BL690" t="s">
        <v>2761</v>
      </c>
      <c r="BM690" t="s">
        <v>13326</v>
      </c>
      <c r="BN690">
        <v>35694226</v>
      </c>
      <c r="BO690" t="s">
        <v>131</v>
      </c>
      <c r="BP690" t="s">
        <v>74</v>
      </c>
      <c r="BQ690" t="s">
        <v>74</v>
      </c>
      <c r="BR690" t="s">
        <v>105</v>
      </c>
      <c r="BS690" t="s">
        <v>13327</v>
      </c>
      <c r="BT690" t="str">
        <f>HYPERLINK("https%3A%2F%2Fwww.webofscience.com%2Fwos%2Fwoscc%2Ffull-record%2FWOS:000807917000001","View Full Record in Web of Science")</f>
        <v>View Full Record in Web of Science</v>
      </c>
    </row>
    <row r="691" spans="1:72" x14ac:dyDescent="0.25">
      <c r="A691" t="s">
        <v>72</v>
      </c>
      <c r="B691" t="s">
        <v>13328</v>
      </c>
      <c r="C691" t="s">
        <v>74</v>
      </c>
      <c r="D691" t="s">
        <v>74</v>
      </c>
      <c r="E691" t="s">
        <v>74</v>
      </c>
      <c r="F691" t="s">
        <v>13329</v>
      </c>
      <c r="G691" t="s">
        <v>74</v>
      </c>
      <c r="H691" t="s">
        <v>74</v>
      </c>
      <c r="I691" t="s">
        <v>13330</v>
      </c>
      <c r="J691" t="s">
        <v>1379</v>
      </c>
      <c r="K691" t="s">
        <v>74</v>
      </c>
      <c r="L691" t="s">
        <v>74</v>
      </c>
      <c r="M691" t="s">
        <v>78</v>
      </c>
      <c r="N691" t="s">
        <v>79</v>
      </c>
      <c r="O691" t="s">
        <v>74</v>
      </c>
      <c r="P691" t="s">
        <v>74</v>
      </c>
      <c r="Q691" t="s">
        <v>74</v>
      </c>
      <c r="R691" t="s">
        <v>74</v>
      </c>
      <c r="S691" t="s">
        <v>74</v>
      </c>
      <c r="T691" t="s">
        <v>13331</v>
      </c>
      <c r="U691" t="s">
        <v>13332</v>
      </c>
      <c r="V691" t="s">
        <v>13333</v>
      </c>
      <c r="W691" t="s">
        <v>13334</v>
      </c>
      <c r="X691" t="s">
        <v>13335</v>
      </c>
      <c r="Y691" t="s">
        <v>13336</v>
      </c>
      <c r="Z691" t="s">
        <v>13337</v>
      </c>
      <c r="AA691" t="s">
        <v>74</v>
      </c>
      <c r="AB691" t="s">
        <v>13338</v>
      </c>
      <c r="AC691" t="s">
        <v>74</v>
      </c>
      <c r="AD691" t="s">
        <v>74</v>
      </c>
      <c r="AE691" t="s">
        <v>74</v>
      </c>
      <c r="AF691" t="s">
        <v>74</v>
      </c>
      <c r="AG691">
        <v>62</v>
      </c>
      <c r="AH691">
        <v>17</v>
      </c>
      <c r="AI691">
        <v>21</v>
      </c>
      <c r="AJ691">
        <v>1</v>
      </c>
      <c r="AK691">
        <v>17</v>
      </c>
      <c r="AL691" t="s">
        <v>1391</v>
      </c>
      <c r="AM691" t="s">
        <v>1392</v>
      </c>
      <c r="AN691" t="s">
        <v>1393</v>
      </c>
      <c r="AO691" t="s">
        <v>1394</v>
      </c>
      <c r="AP691" t="s">
        <v>74</v>
      </c>
      <c r="AQ691" t="s">
        <v>74</v>
      </c>
      <c r="AR691" t="s">
        <v>1395</v>
      </c>
      <c r="AS691" t="s">
        <v>1396</v>
      </c>
      <c r="AT691" t="s">
        <v>13339</v>
      </c>
      <c r="AU691">
        <v>2022</v>
      </c>
      <c r="AV691">
        <v>24</v>
      </c>
      <c r="AW691">
        <v>5</v>
      </c>
      <c r="AX691" t="s">
        <v>74</v>
      </c>
      <c r="AY691" t="s">
        <v>74</v>
      </c>
      <c r="AZ691" t="s">
        <v>74</v>
      </c>
      <c r="BA691" t="s">
        <v>74</v>
      </c>
      <c r="BB691" t="s">
        <v>74</v>
      </c>
      <c r="BC691" t="s">
        <v>74</v>
      </c>
      <c r="BD691" t="s">
        <v>13340</v>
      </c>
      <c r="BE691" t="s">
        <v>13341</v>
      </c>
      <c r="BF691" t="str">
        <f>HYPERLINK("http://dx.doi.org/10.2196/33380","http://dx.doi.org/10.2196/33380")</f>
        <v>http://dx.doi.org/10.2196/33380</v>
      </c>
      <c r="BG691" t="s">
        <v>74</v>
      </c>
      <c r="BH691" t="s">
        <v>74</v>
      </c>
      <c r="BI691">
        <v>25</v>
      </c>
      <c r="BJ691" t="s">
        <v>1400</v>
      </c>
      <c r="BK691" t="s">
        <v>182</v>
      </c>
      <c r="BL691" t="s">
        <v>1400</v>
      </c>
      <c r="BM691" t="s">
        <v>13342</v>
      </c>
      <c r="BN691">
        <v>35576567</v>
      </c>
      <c r="BO691" t="s">
        <v>355</v>
      </c>
      <c r="BP691" t="s">
        <v>74</v>
      </c>
      <c r="BQ691" t="s">
        <v>74</v>
      </c>
      <c r="BR691" t="s">
        <v>105</v>
      </c>
      <c r="BS691" t="s">
        <v>13343</v>
      </c>
      <c r="BT691" t="str">
        <f>HYPERLINK("https%3A%2F%2Fwww.webofscience.com%2Fwos%2Fwoscc%2Ffull-record%2FWOS:000800589800001","View Full Record in Web of Science")</f>
        <v>View Full Record in Web of Science</v>
      </c>
    </row>
    <row r="692" spans="1:72" x14ac:dyDescent="0.25">
      <c r="A692" t="s">
        <v>72</v>
      </c>
      <c r="B692" t="s">
        <v>13344</v>
      </c>
      <c r="C692" t="s">
        <v>74</v>
      </c>
      <c r="D692" t="s">
        <v>74</v>
      </c>
      <c r="E692" t="s">
        <v>74</v>
      </c>
      <c r="F692" t="s">
        <v>13345</v>
      </c>
      <c r="G692" t="s">
        <v>74</v>
      </c>
      <c r="H692" t="s">
        <v>74</v>
      </c>
      <c r="I692" t="s">
        <v>13346</v>
      </c>
      <c r="J692" t="s">
        <v>9225</v>
      </c>
      <c r="K692" t="s">
        <v>74</v>
      </c>
      <c r="L692" t="s">
        <v>74</v>
      </c>
      <c r="M692" t="s">
        <v>78</v>
      </c>
      <c r="N692" t="s">
        <v>79</v>
      </c>
      <c r="O692" t="s">
        <v>74</v>
      </c>
      <c r="P692" t="s">
        <v>74</v>
      </c>
      <c r="Q692" t="s">
        <v>74</v>
      </c>
      <c r="R692" t="s">
        <v>74</v>
      </c>
      <c r="S692" t="s">
        <v>74</v>
      </c>
      <c r="T692" t="s">
        <v>13347</v>
      </c>
      <c r="U692" t="s">
        <v>13348</v>
      </c>
      <c r="V692" t="s">
        <v>13349</v>
      </c>
      <c r="W692" t="s">
        <v>13350</v>
      </c>
      <c r="X692" t="s">
        <v>13351</v>
      </c>
      <c r="Y692" t="s">
        <v>13352</v>
      </c>
      <c r="Z692" t="s">
        <v>13353</v>
      </c>
      <c r="AA692" t="s">
        <v>74</v>
      </c>
      <c r="AB692" t="s">
        <v>74</v>
      </c>
      <c r="AC692" t="s">
        <v>74</v>
      </c>
      <c r="AD692" t="s">
        <v>74</v>
      </c>
      <c r="AE692" t="s">
        <v>74</v>
      </c>
      <c r="AF692" t="s">
        <v>74</v>
      </c>
      <c r="AG692">
        <v>26</v>
      </c>
      <c r="AH692">
        <v>2</v>
      </c>
      <c r="AI692">
        <v>2</v>
      </c>
      <c r="AJ692">
        <v>0</v>
      </c>
      <c r="AK692">
        <v>3</v>
      </c>
      <c r="AL692" t="s">
        <v>392</v>
      </c>
      <c r="AM692" t="s">
        <v>393</v>
      </c>
      <c r="AN692" t="s">
        <v>394</v>
      </c>
      <c r="AO692" t="s">
        <v>74</v>
      </c>
      <c r="AP692" t="s">
        <v>9234</v>
      </c>
      <c r="AQ692" t="s">
        <v>74</v>
      </c>
      <c r="AR692" t="s">
        <v>9235</v>
      </c>
      <c r="AS692" t="s">
        <v>9236</v>
      </c>
      <c r="AT692" t="s">
        <v>13354</v>
      </c>
      <c r="AU692">
        <v>2022</v>
      </c>
      <c r="AV692">
        <v>3</v>
      </c>
      <c r="AW692" t="s">
        <v>74</v>
      </c>
      <c r="AX692" t="s">
        <v>74</v>
      </c>
      <c r="AY692" t="s">
        <v>74</v>
      </c>
      <c r="AZ692" t="s">
        <v>74</v>
      </c>
      <c r="BA692" t="s">
        <v>74</v>
      </c>
      <c r="BB692" t="s">
        <v>74</v>
      </c>
      <c r="BC692" t="s">
        <v>74</v>
      </c>
      <c r="BD692">
        <v>882614</v>
      </c>
      <c r="BE692" t="s">
        <v>13355</v>
      </c>
      <c r="BF692" t="str">
        <f>HYPERLINK("http://dx.doi.org/10.3389/fresc.2022.882614","http://dx.doi.org/10.3389/fresc.2022.882614")</f>
        <v>http://dx.doi.org/10.3389/fresc.2022.882614</v>
      </c>
      <c r="BG692" t="s">
        <v>74</v>
      </c>
      <c r="BH692" t="s">
        <v>74</v>
      </c>
      <c r="BI692">
        <v>8</v>
      </c>
      <c r="BJ692" t="s">
        <v>101</v>
      </c>
      <c r="BK692" t="s">
        <v>155</v>
      </c>
      <c r="BL692" t="s">
        <v>101</v>
      </c>
      <c r="BM692" t="s">
        <v>13356</v>
      </c>
      <c r="BN692">
        <v>36188915</v>
      </c>
      <c r="BO692" t="s">
        <v>355</v>
      </c>
      <c r="BP692" t="s">
        <v>74</v>
      </c>
      <c r="BQ692" t="s">
        <v>74</v>
      </c>
      <c r="BR692" t="s">
        <v>105</v>
      </c>
      <c r="BS692" t="s">
        <v>13357</v>
      </c>
      <c r="BT692" t="str">
        <f>HYPERLINK("https%3A%2F%2Fwww.webofscience.com%2Fwos%2Fwoscc%2Ffull-record%2FWOS:001006633900001","View Full Record in Web of Science")</f>
        <v>View Full Record in Web of Science</v>
      </c>
    </row>
    <row r="693" spans="1:72" x14ac:dyDescent="0.25">
      <c r="A693" t="s">
        <v>72</v>
      </c>
      <c r="B693" t="s">
        <v>13358</v>
      </c>
      <c r="C693" t="s">
        <v>74</v>
      </c>
      <c r="D693" t="s">
        <v>74</v>
      </c>
      <c r="E693" t="s">
        <v>74</v>
      </c>
      <c r="F693" t="s">
        <v>13359</v>
      </c>
      <c r="G693" t="s">
        <v>74</v>
      </c>
      <c r="H693" t="s">
        <v>74</v>
      </c>
      <c r="I693" t="s">
        <v>13360</v>
      </c>
      <c r="J693" t="s">
        <v>382</v>
      </c>
      <c r="K693" t="s">
        <v>74</v>
      </c>
      <c r="L693" t="s">
        <v>74</v>
      </c>
      <c r="M693" t="s">
        <v>78</v>
      </c>
      <c r="N693" t="s">
        <v>79</v>
      </c>
      <c r="O693" t="s">
        <v>74</v>
      </c>
      <c r="P693" t="s">
        <v>74</v>
      </c>
      <c r="Q693" t="s">
        <v>74</v>
      </c>
      <c r="R693" t="s">
        <v>74</v>
      </c>
      <c r="S693" t="s">
        <v>74</v>
      </c>
      <c r="T693" t="s">
        <v>13361</v>
      </c>
      <c r="U693" t="s">
        <v>13362</v>
      </c>
      <c r="V693" t="s">
        <v>13363</v>
      </c>
      <c r="W693" t="s">
        <v>13364</v>
      </c>
      <c r="X693" t="s">
        <v>13365</v>
      </c>
      <c r="Y693" t="s">
        <v>13366</v>
      </c>
      <c r="Z693" t="s">
        <v>13367</v>
      </c>
      <c r="AA693" t="s">
        <v>13368</v>
      </c>
      <c r="AB693" t="s">
        <v>13369</v>
      </c>
      <c r="AC693" t="s">
        <v>74</v>
      </c>
      <c r="AD693" t="s">
        <v>74</v>
      </c>
      <c r="AE693" t="s">
        <v>74</v>
      </c>
      <c r="AF693" t="s">
        <v>74</v>
      </c>
      <c r="AG693">
        <v>40</v>
      </c>
      <c r="AH693">
        <v>7</v>
      </c>
      <c r="AI693">
        <v>9</v>
      </c>
      <c r="AJ693">
        <v>7</v>
      </c>
      <c r="AK693">
        <v>33</v>
      </c>
      <c r="AL693" t="s">
        <v>392</v>
      </c>
      <c r="AM693" t="s">
        <v>393</v>
      </c>
      <c r="AN693" t="s">
        <v>394</v>
      </c>
      <c r="AO693" t="s">
        <v>395</v>
      </c>
      <c r="AP693" t="s">
        <v>74</v>
      </c>
      <c r="AQ693" t="s">
        <v>74</v>
      </c>
      <c r="AR693" t="s">
        <v>396</v>
      </c>
      <c r="AS693" t="s">
        <v>397</v>
      </c>
      <c r="AT693" t="s">
        <v>712</v>
      </c>
      <c r="AU693">
        <v>2022</v>
      </c>
      <c r="AV693">
        <v>13</v>
      </c>
      <c r="AW693" t="s">
        <v>74</v>
      </c>
      <c r="AX693" t="s">
        <v>74</v>
      </c>
      <c r="AY693" t="s">
        <v>74</v>
      </c>
      <c r="AZ693" t="s">
        <v>74</v>
      </c>
      <c r="BA693" t="s">
        <v>74</v>
      </c>
      <c r="BB693" t="s">
        <v>74</v>
      </c>
      <c r="BC693" t="s">
        <v>74</v>
      </c>
      <c r="BD693">
        <v>795788</v>
      </c>
      <c r="BE693" t="s">
        <v>13370</v>
      </c>
      <c r="BF693" t="str">
        <f>HYPERLINK("http://dx.doi.org/10.3389/fneur.2022.795788","http://dx.doi.org/10.3389/fneur.2022.795788")</f>
        <v>http://dx.doi.org/10.3389/fneur.2022.795788</v>
      </c>
      <c r="BG693" t="s">
        <v>74</v>
      </c>
      <c r="BH693" t="s">
        <v>74</v>
      </c>
      <c r="BI693">
        <v>13</v>
      </c>
      <c r="BJ693" t="s">
        <v>400</v>
      </c>
      <c r="BK693" t="s">
        <v>182</v>
      </c>
      <c r="BL693" t="s">
        <v>375</v>
      </c>
      <c r="BM693" t="s">
        <v>13371</v>
      </c>
      <c r="BN693">
        <v>35585844</v>
      </c>
      <c r="BO693" t="s">
        <v>131</v>
      </c>
      <c r="BP693" t="s">
        <v>74</v>
      </c>
      <c r="BQ693" t="s">
        <v>74</v>
      </c>
      <c r="BR693" t="s">
        <v>105</v>
      </c>
      <c r="BS693" t="s">
        <v>13372</v>
      </c>
      <c r="BT693" t="str">
        <f>HYPERLINK("https%3A%2F%2Fwww.webofscience.com%2Fwos%2Fwoscc%2Ffull-record%2FWOS:000797170100001","View Full Record in Web of Science")</f>
        <v>View Full Record in Web of Science</v>
      </c>
    </row>
    <row r="694" spans="1:72" x14ac:dyDescent="0.25">
      <c r="A694" t="s">
        <v>72</v>
      </c>
      <c r="B694" t="s">
        <v>13373</v>
      </c>
      <c r="C694" t="s">
        <v>74</v>
      </c>
      <c r="D694" t="s">
        <v>74</v>
      </c>
      <c r="E694" t="s">
        <v>74</v>
      </c>
      <c r="F694" t="s">
        <v>13374</v>
      </c>
      <c r="G694" t="s">
        <v>74</v>
      </c>
      <c r="H694" t="s">
        <v>74</v>
      </c>
      <c r="I694" t="s">
        <v>13375</v>
      </c>
      <c r="J694" t="s">
        <v>13376</v>
      </c>
      <c r="K694" t="s">
        <v>74</v>
      </c>
      <c r="L694" t="s">
        <v>74</v>
      </c>
      <c r="M694" t="s">
        <v>78</v>
      </c>
      <c r="N694" t="s">
        <v>79</v>
      </c>
      <c r="O694" t="s">
        <v>74</v>
      </c>
      <c r="P694" t="s">
        <v>74</v>
      </c>
      <c r="Q694" t="s">
        <v>74</v>
      </c>
      <c r="R694" t="s">
        <v>74</v>
      </c>
      <c r="S694" t="s">
        <v>74</v>
      </c>
      <c r="T694" t="s">
        <v>13377</v>
      </c>
      <c r="U694" t="s">
        <v>13378</v>
      </c>
      <c r="V694" t="s">
        <v>13379</v>
      </c>
      <c r="W694" t="s">
        <v>13380</v>
      </c>
      <c r="X694" t="s">
        <v>13381</v>
      </c>
      <c r="Y694" t="s">
        <v>13382</v>
      </c>
      <c r="Z694" t="s">
        <v>13383</v>
      </c>
      <c r="AA694" t="s">
        <v>13384</v>
      </c>
      <c r="AB694" t="s">
        <v>13385</v>
      </c>
      <c r="AC694" t="s">
        <v>13386</v>
      </c>
      <c r="AD694" t="s">
        <v>13387</v>
      </c>
      <c r="AE694" t="s">
        <v>13388</v>
      </c>
      <c r="AF694" t="s">
        <v>74</v>
      </c>
      <c r="AG694">
        <v>110</v>
      </c>
      <c r="AH694">
        <v>4</v>
      </c>
      <c r="AI694">
        <v>4</v>
      </c>
      <c r="AJ694">
        <v>12</v>
      </c>
      <c r="AK694">
        <v>76</v>
      </c>
      <c r="AL694" t="s">
        <v>120</v>
      </c>
      <c r="AM694" t="s">
        <v>121</v>
      </c>
      <c r="AN694" t="s">
        <v>1221</v>
      </c>
      <c r="AO694" t="s">
        <v>13389</v>
      </c>
      <c r="AP694" t="s">
        <v>74</v>
      </c>
      <c r="AQ694" t="s">
        <v>74</v>
      </c>
      <c r="AR694" t="s">
        <v>13390</v>
      </c>
      <c r="AS694" t="s">
        <v>13391</v>
      </c>
      <c r="AT694" t="s">
        <v>326</v>
      </c>
      <c r="AU694">
        <v>2022</v>
      </c>
      <c r="AV694">
        <v>11</v>
      </c>
      <c r="AW694">
        <v>10</v>
      </c>
      <c r="AX694" t="s">
        <v>74</v>
      </c>
      <c r="AY694" t="s">
        <v>74</v>
      </c>
      <c r="AZ694" t="s">
        <v>74</v>
      </c>
      <c r="BA694" t="s">
        <v>74</v>
      </c>
      <c r="BB694" t="s">
        <v>74</v>
      </c>
      <c r="BC694" t="s">
        <v>74</v>
      </c>
      <c r="BD694">
        <v>1633</v>
      </c>
      <c r="BE694" t="s">
        <v>13392</v>
      </c>
      <c r="BF694" t="str">
        <f>HYPERLINK("http://dx.doi.org/10.3390/electronics11101633","http://dx.doi.org/10.3390/electronics11101633")</f>
        <v>http://dx.doi.org/10.3390/electronics11101633</v>
      </c>
      <c r="BG694" t="s">
        <v>74</v>
      </c>
      <c r="BH694" t="s">
        <v>74</v>
      </c>
      <c r="BI694">
        <v>14</v>
      </c>
      <c r="BJ694" t="s">
        <v>13393</v>
      </c>
      <c r="BK694" t="s">
        <v>182</v>
      </c>
      <c r="BL694" t="s">
        <v>13394</v>
      </c>
      <c r="BM694" t="s">
        <v>13395</v>
      </c>
      <c r="BN694" t="s">
        <v>74</v>
      </c>
      <c r="BO694" t="s">
        <v>185</v>
      </c>
      <c r="BP694" t="s">
        <v>74</v>
      </c>
      <c r="BQ694" t="s">
        <v>74</v>
      </c>
      <c r="BR694" t="s">
        <v>105</v>
      </c>
      <c r="BS694" t="s">
        <v>13396</v>
      </c>
      <c r="BT694" t="str">
        <f>HYPERLINK("https%3A%2F%2Fwww.webofscience.com%2Fwos%2Fwoscc%2Ffull-record%2FWOS:000801372800001","View Full Record in Web of Science")</f>
        <v>View Full Record in Web of Science</v>
      </c>
    </row>
    <row r="695" spans="1:72" x14ac:dyDescent="0.25">
      <c r="A695" t="s">
        <v>72</v>
      </c>
      <c r="B695" t="s">
        <v>13397</v>
      </c>
      <c r="C695" t="s">
        <v>74</v>
      </c>
      <c r="D695" t="s">
        <v>74</v>
      </c>
      <c r="E695" t="s">
        <v>74</v>
      </c>
      <c r="F695" t="s">
        <v>13398</v>
      </c>
      <c r="G695" t="s">
        <v>74</v>
      </c>
      <c r="H695" t="s">
        <v>74</v>
      </c>
      <c r="I695" t="s">
        <v>13399</v>
      </c>
      <c r="J695" t="s">
        <v>13400</v>
      </c>
      <c r="K695" t="s">
        <v>74</v>
      </c>
      <c r="L695" t="s">
        <v>74</v>
      </c>
      <c r="M695" t="s">
        <v>78</v>
      </c>
      <c r="N695" t="s">
        <v>79</v>
      </c>
      <c r="O695" t="s">
        <v>74</v>
      </c>
      <c r="P695" t="s">
        <v>74</v>
      </c>
      <c r="Q695" t="s">
        <v>74</v>
      </c>
      <c r="R695" t="s">
        <v>74</v>
      </c>
      <c r="S695" t="s">
        <v>74</v>
      </c>
      <c r="T695" t="s">
        <v>13401</v>
      </c>
      <c r="U695" t="s">
        <v>13402</v>
      </c>
      <c r="V695" t="s">
        <v>13403</v>
      </c>
      <c r="W695" t="s">
        <v>13404</v>
      </c>
      <c r="X695" t="s">
        <v>13405</v>
      </c>
      <c r="Y695" t="s">
        <v>13406</v>
      </c>
      <c r="Z695" t="s">
        <v>13407</v>
      </c>
      <c r="AA695" t="s">
        <v>13408</v>
      </c>
      <c r="AB695" t="s">
        <v>13409</v>
      </c>
      <c r="AC695" t="s">
        <v>13410</v>
      </c>
      <c r="AD695" t="s">
        <v>13411</v>
      </c>
      <c r="AE695" t="s">
        <v>13412</v>
      </c>
      <c r="AF695" t="s">
        <v>74</v>
      </c>
      <c r="AG695">
        <v>45</v>
      </c>
      <c r="AH695">
        <v>8</v>
      </c>
      <c r="AI695">
        <v>9</v>
      </c>
      <c r="AJ695">
        <v>1</v>
      </c>
      <c r="AK695">
        <v>20</v>
      </c>
      <c r="AL695" t="s">
        <v>346</v>
      </c>
      <c r="AM695" t="s">
        <v>227</v>
      </c>
      <c r="AN695" t="s">
        <v>347</v>
      </c>
      <c r="AO695" t="s">
        <v>13413</v>
      </c>
      <c r="AP695" t="s">
        <v>13414</v>
      </c>
      <c r="AQ695" t="s">
        <v>74</v>
      </c>
      <c r="AR695" t="s">
        <v>13400</v>
      </c>
      <c r="AS695" t="s">
        <v>13415</v>
      </c>
      <c r="AT695" t="s">
        <v>326</v>
      </c>
      <c r="AU695">
        <v>2022</v>
      </c>
      <c r="AV695">
        <v>53</v>
      </c>
      <c r="AW695">
        <v>5</v>
      </c>
      <c r="AX695" t="s">
        <v>74</v>
      </c>
      <c r="AY695" t="s">
        <v>74</v>
      </c>
      <c r="AZ695" t="s">
        <v>74</v>
      </c>
      <c r="BA695" t="s">
        <v>74</v>
      </c>
      <c r="BB695">
        <v>1772</v>
      </c>
      <c r="BC695">
        <v>1787</v>
      </c>
      <c r="BD695" t="s">
        <v>74</v>
      </c>
      <c r="BE695" t="s">
        <v>13416</v>
      </c>
      <c r="BF695" t="str">
        <f>HYPERLINK("http://dx.doi.org/10.1161/STROKEAHA.121.035671","http://dx.doi.org/10.1161/STROKEAHA.121.035671")</f>
        <v>http://dx.doi.org/10.1161/STROKEAHA.121.035671</v>
      </c>
      <c r="BG695" t="s">
        <v>74</v>
      </c>
      <c r="BH695" t="s">
        <v>74</v>
      </c>
      <c r="BI695">
        <v>16</v>
      </c>
      <c r="BJ695" t="s">
        <v>13417</v>
      </c>
      <c r="BK695" t="s">
        <v>182</v>
      </c>
      <c r="BL695" t="s">
        <v>13418</v>
      </c>
      <c r="BM695" t="s">
        <v>13419</v>
      </c>
      <c r="BN695">
        <v>35468001</v>
      </c>
      <c r="BO695" t="s">
        <v>8028</v>
      </c>
      <c r="BP695" t="s">
        <v>74</v>
      </c>
      <c r="BQ695" t="s">
        <v>74</v>
      </c>
      <c r="BR695" t="s">
        <v>105</v>
      </c>
      <c r="BS695" t="s">
        <v>13420</v>
      </c>
      <c r="BT695" t="str">
        <f>HYPERLINK("https%3A%2F%2Fwww.webofscience.com%2Fwos%2Fwoscc%2Ffull-record%2FWOS:000786496400049","View Full Record in Web of Science")</f>
        <v>View Full Record in Web of Science</v>
      </c>
    </row>
    <row r="696" spans="1:72" x14ac:dyDescent="0.25">
      <c r="A696" t="s">
        <v>72</v>
      </c>
      <c r="B696" t="s">
        <v>13421</v>
      </c>
      <c r="C696" t="s">
        <v>74</v>
      </c>
      <c r="D696" t="s">
        <v>74</v>
      </c>
      <c r="E696" t="s">
        <v>74</v>
      </c>
      <c r="F696" t="s">
        <v>13422</v>
      </c>
      <c r="G696" t="s">
        <v>74</v>
      </c>
      <c r="H696" t="s">
        <v>74</v>
      </c>
      <c r="I696" t="s">
        <v>13423</v>
      </c>
      <c r="J696" t="s">
        <v>2091</v>
      </c>
      <c r="K696" t="s">
        <v>74</v>
      </c>
      <c r="L696" t="s">
        <v>74</v>
      </c>
      <c r="M696" t="s">
        <v>78</v>
      </c>
      <c r="N696" t="s">
        <v>79</v>
      </c>
      <c r="O696" t="s">
        <v>74</v>
      </c>
      <c r="P696" t="s">
        <v>74</v>
      </c>
      <c r="Q696" t="s">
        <v>74</v>
      </c>
      <c r="R696" t="s">
        <v>74</v>
      </c>
      <c r="S696" t="s">
        <v>74</v>
      </c>
      <c r="T696" t="s">
        <v>13424</v>
      </c>
      <c r="U696" t="s">
        <v>13425</v>
      </c>
      <c r="V696" t="s">
        <v>13426</v>
      </c>
      <c r="W696" t="s">
        <v>13427</v>
      </c>
      <c r="X696" t="s">
        <v>13428</v>
      </c>
      <c r="Y696" t="s">
        <v>13429</v>
      </c>
      <c r="Z696" t="s">
        <v>13430</v>
      </c>
      <c r="AA696" t="s">
        <v>13431</v>
      </c>
      <c r="AB696" t="s">
        <v>13432</v>
      </c>
      <c r="AC696" t="s">
        <v>13433</v>
      </c>
      <c r="AD696" t="s">
        <v>13434</v>
      </c>
      <c r="AE696" t="s">
        <v>13435</v>
      </c>
      <c r="AF696" t="s">
        <v>74</v>
      </c>
      <c r="AG696">
        <v>67</v>
      </c>
      <c r="AH696">
        <v>2</v>
      </c>
      <c r="AI696">
        <v>2</v>
      </c>
      <c r="AJ696">
        <v>1</v>
      </c>
      <c r="AK696">
        <v>34</v>
      </c>
      <c r="AL696" t="s">
        <v>120</v>
      </c>
      <c r="AM696" t="s">
        <v>121</v>
      </c>
      <c r="AN696" t="s">
        <v>122</v>
      </c>
      <c r="AO696" t="s">
        <v>74</v>
      </c>
      <c r="AP696" t="s">
        <v>2104</v>
      </c>
      <c r="AQ696" t="s">
        <v>74</v>
      </c>
      <c r="AR696" t="s">
        <v>2105</v>
      </c>
      <c r="AS696" t="s">
        <v>2106</v>
      </c>
      <c r="AT696" t="s">
        <v>326</v>
      </c>
      <c r="AU696">
        <v>2022</v>
      </c>
      <c r="AV696">
        <v>12</v>
      </c>
      <c r="AW696">
        <v>9</v>
      </c>
      <c r="AX696" t="s">
        <v>74</v>
      </c>
      <c r="AY696" t="s">
        <v>74</v>
      </c>
      <c r="AZ696" t="s">
        <v>74</v>
      </c>
      <c r="BA696" t="s">
        <v>74</v>
      </c>
      <c r="BB696" t="s">
        <v>74</v>
      </c>
      <c r="BC696" t="s">
        <v>74</v>
      </c>
      <c r="BD696">
        <v>4532</v>
      </c>
      <c r="BE696" t="s">
        <v>13436</v>
      </c>
      <c r="BF696" t="str">
        <f>HYPERLINK("http://dx.doi.org/10.3390/app12094532","http://dx.doi.org/10.3390/app12094532")</f>
        <v>http://dx.doi.org/10.3390/app12094532</v>
      </c>
      <c r="BG696" t="s">
        <v>74</v>
      </c>
      <c r="BH696" t="s">
        <v>74</v>
      </c>
      <c r="BI696">
        <v>11</v>
      </c>
      <c r="BJ696" t="s">
        <v>2109</v>
      </c>
      <c r="BK696" t="s">
        <v>182</v>
      </c>
      <c r="BL696" t="s">
        <v>2110</v>
      </c>
      <c r="BM696" t="s">
        <v>13437</v>
      </c>
      <c r="BN696" t="s">
        <v>74</v>
      </c>
      <c r="BO696" t="s">
        <v>185</v>
      </c>
      <c r="BP696" t="s">
        <v>74</v>
      </c>
      <c r="BQ696" t="s">
        <v>74</v>
      </c>
      <c r="BR696" t="s">
        <v>105</v>
      </c>
      <c r="BS696" t="s">
        <v>13438</v>
      </c>
      <c r="BT696" t="str">
        <f>HYPERLINK("https%3A%2F%2Fwww.webofscience.com%2Fwos%2Fwoscc%2Ffull-record%2FWOS:000794605300001","View Full Record in Web of Science")</f>
        <v>View Full Record in Web of Science</v>
      </c>
    </row>
    <row r="697" spans="1:72" x14ac:dyDescent="0.25">
      <c r="A697" t="s">
        <v>72</v>
      </c>
      <c r="B697" t="s">
        <v>13439</v>
      </c>
      <c r="C697" t="s">
        <v>74</v>
      </c>
      <c r="D697" t="s">
        <v>74</v>
      </c>
      <c r="E697" t="s">
        <v>74</v>
      </c>
      <c r="F697" t="s">
        <v>13440</v>
      </c>
      <c r="G697" t="s">
        <v>74</v>
      </c>
      <c r="H697" t="s">
        <v>74</v>
      </c>
      <c r="I697" t="s">
        <v>13441</v>
      </c>
      <c r="J697" t="s">
        <v>2091</v>
      </c>
      <c r="K697" t="s">
        <v>74</v>
      </c>
      <c r="L697" t="s">
        <v>74</v>
      </c>
      <c r="M697" t="s">
        <v>78</v>
      </c>
      <c r="N697" t="s">
        <v>79</v>
      </c>
      <c r="O697" t="s">
        <v>74</v>
      </c>
      <c r="P697" t="s">
        <v>74</v>
      </c>
      <c r="Q697" t="s">
        <v>74</v>
      </c>
      <c r="R697" t="s">
        <v>74</v>
      </c>
      <c r="S697" t="s">
        <v>74</v>
      </c>
      <c r="T697" t="s">
        <v>13442</v>
      </c>
      <c r="U697" t="s">
        <v>13443</v>
      </c>
      <c r="V697" t="s">
        <v>13444</v>
      </c>
      <c r="W697" t="s">
        <v>13445</v>
      </c>
      <c r="X697" t="s">
        <v>13446</v>
      </c>
      <c r="Y697" t="s">
        <v>13447</v>
      </c>
      <c r="Z697" t="s">
        <v>13448</v>
      </c>
      <c r="AA697" t="s">
        <v>13449</v>
      </c>
      <c r="AB697" t="s">
        <v>11825</v>
      </c>
      <c r="AC697" t="s">
        <v>11826</v>
      </c>
      <c r="AD697" t="s">
        <v>11827</v>
      </c>
      <c r="AE697" t="s">
        <v>13450</v>
      </c>
      <c r="AF697" t="s">
        <v>74</v>
      </c>
      <c r="AG697">
        <v>126</v>
      </c>
      <c r="AH697">
        <v>18</v>
      </c>
      <c r="AI697">
        <v>19</v>
      </c>
      <c r="AJ697">
        <v>29</v>
      </c>
      <c r="AK697">
        <v>231</v>
      </c>
      <c r="AL697" t="s">
        <v>120</v>
      </c>
      <c r="AM697" t="s">
        <v>121</v>
      </c>
      <c r="AN697" t="s">
        <v>122</v>
      </c>
      <c r="AO697" t="s">
        <v>74</v>
      </c>
      <c r="AP697" t="s">
        <v>2104</v>
      </c>
      <c r="AQ697" t="s">
        <v>74</v>
      </c>
      <c r="AR697" t="s">
        <v>2105</v>
      </c>
      <c r="AS697" t="s">
        <v>2106</v>
      </c>
      <c r="AT697" t="s">
        <v>326</v>
      </c>
      <c r="AU697">
        <v>2022</v>
      </c>
      <c r="AV697">
        <v>12</v>
      </c>
      <c r="AW697">
        <v>9</v>
      </c>
      <c r="AX697" t="s">
        <v>74</v>
      </c>
      <c r="AY697" t="s">
        <v>74</v>
      </c>
      <c r="AZ697" t="s">
        <v>74</v>
      </c>
      <c r="BA697" t="s">
        <v>74</v>
      </c>
      <c r="BB697" t="s">
        <v>74</v>
      </c>
      <c r="BC697" t="s">
        <v>74</v>
      </c>
      <c r="BD697">
        <v>4540</v>
      </c>
      <c r="BE697" t="s">
        <v>13451</v>
      </c>
      <c r="BF697" t="str">
        <f>HYPERLINK("http://dx.doi.org/10.3390/app12094540","http://dx.doi.org/10.3390/app12094540")</f>
        <v>http://dx.doi.org/10.3390/app12094540</v>
      </c>
      <c r="BG697" t="s">
        <v>74</v>
      </c>
      <c r="BH697" t="s">
        <v>74</v>
      </c>
      <c r="BI697">
        <v>26</v>
      </c>
      <c r="BJ697" t="s">
        <v>2109</v>
      </c>
      <c r="BK697" t="s">
        <v>102</v>
      </c>
      <c r="BL697" t="s">
        <v>2110</v>
      </c>
      <c r="BM697" t="s">
        <v>13452</v>
      </c>
      <c r="BN697" t="s">
        <v>74</v>
      </c>
      <c r="BO697" t="s">
        <v>185</v>
      </c>
      <c r="BP697" t="s">
        <v>74</v>
      </c>
      <c r="BQ697" t="s">
        <v>74</v>
      </c>
      <c r="BR697" t="s">
        <v>105</v>
      </c>
      <c r="BS697" t="s">
        <v>13453</v>
      </c>
      <c r="BT697" t="str">
        <f>HYPERLINK("https%3A%2F%2Fwww.webofscience.com%2Fwos%2Fwoscc%2Ffull-record%2FWOS:000799239000001","View Full Record in Web of Science")</f>
        <v>View Full Record in Web of Science</v>
      </c>
    </row>
    <row r="698" spans="1:72" x14ac:dyDescent="0.25">
      <c r="A698" t="s">
        <v>72</v>
      </c>
      <c r="B698" t="s">
        <v>13454</v>
      </c>
      <c r="C698" t="s">
        <v>74</v>
      </c>
      <c r="D698" t="s">
        <v>74</v>
      </c>
      <c r="E698" t="s">
        <v>74</v>
      </c>
      <c r="F698" t="s">
        <v>13455</v>
      </c>
      <c r="G698" t="s">
        <v>74</v>
      </c>
      <c r="H698" t="s">
        <v>74</v>
      </c>
      <c r="I698" t="s">
        <v>13456</v>
      </c>
      <c r="J698" t="s">
        <v>7912</v>
      </c>
      <c r="K698" t="s">
        <v>74</v>
      </c>
      <c r="L698" t="s">
        <v>74</v>
      </c>
      <c r="M698" t="s">
        <v>78</v>
      </c>
      <c r="N698" t="s">
        <v>79</v>
      </c>
      <c r="O698" t="s">
        <v>74</v>
      </c>
      <c r="P698" t="s">
        <v>74</v>
      </c>
      <c r="Q698" t="s">
        <v>74</v>
      </c>
      <c r="R698" t="s">
        <v>74</v>
      </c>
      <c r="S698" t="s">
        <v>74</v>
      </c>
      <c r="T698" t="s">
        <v>13457</v>
      </c>
      <c r="U698" t="s">
        <v>13458</v>
      </c>
      <c r="V698" t="s">
        <v>13459</v>
      </c>
      <c r="W698" t="s">
        <v>13460</v>
      </c>
      <c r="X698" t="s">
        <v>13461</v>
      </c>
      <c r="Y698" t="s">
        <v>13462</v>
      </c>
      <c r="Z698" t="s">
        <v>13463</v>
      </c>
      <c r="AA698" t="s">
        <v>13464</v>
      </c>
      <c r="AB698" t="s">
        <v>13465</v>
      </c>
      <c r="AC698" t="s">
        <v>13466</v>
      </c>
      <c r="AD698" t="s">
        <v>13466</v>
      </c>
      <c r="AE698" t="s">
        <v>13467</v>
      </c>
      <c r="AF698" t="s">
        <v>74</v>
      </c>
      <c r="AG698">
        <v>32</v>
      </c>
      <c r="AH698">
        <v>4</v>
      </c>
      <c r="AI698">
        <v>4</v>
      </c>
      <c r="AJ698">
        <v>5</v>
      </c>
      <c r="AK698">
        <v>26</v>
      </c>
      <c r="AL698" t="s">
        <v>92</v>
      </c>
      <c r="AM698" t="s">
        <v>93</v>
      </c>
      <c r="AN698" t="s">
        <v>94</v>
      </c>
      <c r="AO698" t="s">
        <v>7922</v>
      </c>
      <c r="AP698" t="s">
        <v>7923</v>
      </c>
      <c r="AQ698" t="s">
        <v>74</v>
      </c>
      <c r="AR698" t="s">
        <v>7924</v>
      </c>
      <c r="AS698" t="s">
        <v>7925</v>
      </c>
      <c r="AT698" t="s">
        <v>12781</v>
      </c>
      <c r="AU698">
        <v>2023</v>
      </c>
      <c r="AV698">
        <v>30</v>
      </c>
      <c r="AW698">
        <v>5</v>
      </c>
      <c r="AX698" t="s">
        <v>74</v>
      </c>
      <c r="AY698" t="s">
        <v>74</v>
      </c>
      <c r="AZ698" t="s">
        <v>74</v>
      </c>
      <c r="BA698" t="s">
        <v>74</v>
      </c>
      <c r="BB698">
        <v>493</v>
      </c>
      <c r="BC698">
        <v>500</v>
      </c>
      <c r="BD698" t="s">
        <v>74</v>
      </c>
      <c r="BE698" t="s">
        <v>13468</v>
      </c>
      <c r="BF698" t="str">
        <f>HYPERLINK("http://dx.doi.org/10.1080/10749357.2022.2070364","http://dx.doi.org/10.1080/10749357.2022.2070364")</f>
        <v>http://dx.doi.org/10.1080/10749357.2022.2070364</v>
      </c>
      <c r="BG698" t="s">
        <v>74</v>
      </c>
      <c r="BH698" t="s">
        <v>13469</v>
      </c>
      <c r="BI698">
        <v>8</v>
      </c>
      <c r="BJ698" t="s">
        <v>101</v>
      </c>
      <c r="BK698" t="s">
        <v>182</v>
      </c>
      <c r="BL698" t="s">
        <v>101</v>
      </c>
      <c r="BM698" t="s">
        <v>13470</v>
      </c>
      <c r="BN698">
        <v>35488362</v>
      </c>
      <c r="BO698" t="s">
        <v>74</v>
      </c>
      <c r="BP698" t="s">
        <v>74</v>
      </c>
      <c r="BQ698" t="s">
        <v>74</v>
      </c>
      <c r="BR698" t="s">
        <v>105</v>
      </c>
      <c r="BS698" t="s">
        <v>13471</v>
      </c>
      <c r="BT698" t="str">
        <f>HYPERLINK("https%3A%2F%2Fwww.webofscience.com%2Fwos%2Fwoscc%2Ffull-record%2FWOS:000788827200001","View Full Record in Web of Science")</f>
        <v>View Full Record in Web of Science</v>
      </c>
    </row>
    <row r="699" spans="1:72" x14ac:dyDescent="0.25">
      <c r="A699" t="s">
        <v>72</v>
      </c>
      <c r="B699" t="s">
        <v>13472</v>
      </c>
      <c r="C699" t="s">
        <v>74</v>
      </c>
      <c r="D699" t="s">
        <v>74</v>
      </c>
      <c r="E699" t="s">
        <v>74</v>
      </c>
      <c r="F699" t="s">
        <v>13473</v>
      </c>
      <c r="G699" t="s">
        <v>74</v>
      </c>
      <c r="H699" t="s">
        <v>74</v>
      </c>
      <c r="I699" t="s">
        <v>13474</v>
      </c>
      <c r="J699" t="s">
        <v>684</v>
      </c>
      <c r="K699" t="s">
        <v>74</v>
      </c>
      <c r="L699" t="s">
        <v>74</v>
      </c>
      <c r="M699" t="s">
        <v>78</v>
      </c>
      <c r="N699" t="s">
        <v>79</v>
      </c>
      <c r="O699" t="s">
        <v>74</v>
      </c>
      <c r="P699" t="s">
        <v>74</v>
      </c>
      <c r="Q699" t="s">
        <v>74</v>
      </c>
      <c r="R699" t="s">
        <v>74</v>
      </c>
      <c r="S699" t="s">
        <v>74</v>
      </c>
      <c r="T699" t="s">
        <v>13475</v>
      </c>
      <c r="U699" t="s">
        <v>13476</v>
      </c>
      <c r="V699" t="s">
        <v>13477</v>
      </c>
      <c r="W699" t="s">
        <v>13478</v>
      </c>
      <c r="X699" t="s">
        <v>13479</v>
      </c>
      <c r="Y699" t="s">
        <v>13480</v>
      </c>
      <c r="Z699" t="s">
        <v>13481</v>
      </c>
      <c r="AA699" t="s">
        <v>13482</v>
      </c>
      <c r="AB699" t="s">
        <v>13483</v>
      </c>
      <c r="AC699" t="s">
        <v>74</v>
      </c>
      <c r="AD699" t="s">
        <v>74</v>
      </c>
      <c r="AE699" t="s">
        <v>74</v>
      </c>
      <c r="AF699" t="s">
        <v>74</v>
      </c>
      <c r="AG699">
        <v>214</v>
      </c>
      <c r="AH699">
        <v>21</v>
      </c>
      <c r="AI699">
        <v>21</v>
      </c>
      <c r="AJ699">
        <v>11</v>
      </c>
      <c r="AK699">
        <v>122</v>
      </c>
      <c r="AL699" t="s">
        <v>557</v>
      </c>
      <c r="AM699" t="s">
        <v>275</v>
      </c>
      <c r="AN699" t="s">
        <v>558</v>
      </c>
      <c r="AO699" t="s">
        <v>691</v>
      </c>
      <c r="AP699" t="s">
        <v>692</v>
      </c>
      <c r="AQ699" t="s">
        <v>74</v>
      </c>
      <c r="AR699" t="s">
        <v>693</v>
      </c>
      <c r="AS699" t="s">
        <v>694</v>
      </c>
      <c r="AT699" t="s">
        <v>1734</v>
      </c>
      <c r="AU699">
        <v>2022</v>
      </c>
      <c r="AV699">
        <v>236</v>
      </c>
      <c r="AW699">
        <v>7</v>
      </c>
      <c r="AX699" t="s">
        <v>74</v>
      </c>
      <c r="AY699" t="s">
        <v>74</v>
      </c>
      <c r="AZ699" t="s">
        <v>74</v>
      </c>
      <c r="BA699" t="s">
        <v>74</v>
      </c>
      <c r="BB699">
        <v>923</v>
      </c>
      <c r="BC699">
        <v>950</v>
      </c>
      <c r="BD699">
        <v>9544119221093460</v>
      </c>
      <c r="BE699" t="s">
        <v>13484</v>
      </c>
      <c r="BF699" t="str">
        <f>HYPERLINK("http://dx.doi.org/10.1177/09544119221093460","http://dx.doi.org/10.1177/09544119221093460")</f>
        <v>http://dx.doi.org/10.1177/09544119221093460</v>
      </c>
      <c r="BG699" t="s">
        <v>74</v>
      </c>
      <c r="BH699" t="s">
        <v>4923</v>
      </c>
      <c r="BI699">
        <v>28</v>
      </c>
      <c r="BJ699" t="s">
        <v>282</v>
      </c>
      <c r="BK699" t="s">
        <v>182</v>
      </c>
      <c r="BL699" t="s">
        <v>183</v>
      </c>
      <c r="BM699" t="s">
        <v>13485</v>
      </c>
      <c r="BN699">
        <v>35486134</v>
      </c>
      <c r="BO699" t="s">
        <v>74</v>
      </c>
      <c r="BP699" t="s">
        <v>74</v>
      </c>
      <c r="BQ699" t="s">
        <v>74</v>
      </c>
      <c r="BR699" t="s">
        <v>105</v>
      </c>
      <c r="BS699" t="s">
        <v>13486</v>
      </c>
      <c r="BT699" t="str">
        <f>HYPERLINK("https%3A%2F%2Fwww.webofscience.com%2Fwos%2Fwoscc%2Ffull-record%2FWOS:000789249400001","View Full Record in Web of Science")</f>
        <v>View Full Record in Web of Science</v>
      </c>
    </row>
    <row r="700" spans="1:72" x14ac:dyDescent="0.25">
      <c r="A700" t="s">
        <v>72</v>
      </c>
      <c r="B700" t="s">
        <v>13487</v>
      </c>
      <c r="C700" t="s">
        <v>74</v>
      </c>
      <c r="D700" t="s">
        <v>74</v>
      </c>
      <c r="E700" t="s">
        <v>74</v>
      </c>
      <c r="F700" t="s">
        <v>13488</v>
      </c>
      <c r="G700" t="s">
        <v>74</v>
      </c>
      <c r="H700" t="s">
        <v>74</v>
      </c>
      <c r="I700" t="s">
        <v>13489</v>
      </c>
      <c r="J700" t="s">
        <v>594</v>
      </c>
      <c r="K700" t="s">
        <v>74</v>
      </c>
      <c r="L700" t="s">
        <v>74</v>
      </c>
      <c r="M700" t="s">
        <v>78</v>
      </c>
      <c r="N700" t="s">
        <v>79</v>
      </c>
      <c r="O700" t="s">
        <v>74</v>
      </c>
      <c r="P700" t="s">
        <v>74</v>
      </c>
      <c r="Q700" t="s">
        <v>74</v>
      </c>
      <c r="R700" t="s">
        <v>74</v>
      </c>
      <c r="S700" t="s">
        <v>74</v>
      </c>
      <c r="T700" t="s">
        <v>13490</v>
      </c>
      <c r="U700" t="s">
        <v>13491</v>
      </c>
      <c r="V700" t="s">
        <v>13492</v>
      </c>
      <c r="W700" t="s">
        <v>13493</v>
      </c>
      <c r="X700" t="s">
        <v>13494</v>
      </c>
      <c r="Y700" t="s">
        <v>13495</v>
      </c>
      <c r="Z700" t="s">
        <v>13496</v>
      </c>
      <c r="AA700" t="s">
        <v>13497</v>
      </c>
      <c r="AB700" t="s">
        <v>13498</v>
      </c>
      <c r="AC700" t="s">
        <v>13499</v>
      </c>
      <c r="AD700" t="s">
        <v>13500</v>
      </c>
      <c r="AE700" t="s">
        <v>13501</v>
      </c>
      <c r="AF700" t="s">
        <v>74</v>
      </c>
      <c r="AG700">
        <v>105</v>
      </c>
      <c r="AH700">
        <v>18</v>
      </c>
      <c r="AI700">
        <v>18</v>
      </c>
      <c r="AJ700">
        <v>1</v>
      </c>
      <c r="AK700">
        <v>24</v>
      </c>
      <c r="AL700" t="s">
        <v>274</v>
      </c>
      <c r="AM700" t="s">
        <v>275</v>
      </c>
      <c r="AN700" t="s">
        <v>276</v>
      </c>
      <c r="AO700" t="s">
        <v>74</v>
      </c>
      <c r="AP700" t="s">
        <v>606</v>
      </c>
      <c r="AQ700" t="s">
        <v>74</v>
      </c>
      <c r="AR700" t="s">
        <v>607</v>
      </c>
      <c r="AS700" t="s">
        <v>608</v>
      </c>
      <c r="AT700" t="s">
        <v>10921</v>
      </c>
      <c r="AU700">
        <v>2022</v>
      </c>
      <c r="AV700">
        <v>19</v>
      </c>
      <c r="AW700">
        <v>1</v>
      </c>
      <c r="AX700" t="s">
        <v>74</v>
      </c>
      <c r="AY700" t="s">
        <v>74</v>
      </c>
      <c r="AZ700" t="s">
        <v>74</v>
      </c>
      <c r="BA700" t="s">
        <v>74</v>
      </c>
      <c r="BB700" t="s">
        <v>74</v>
      </c>
      <c r="BC700" t="s">
        <v>74</v>
      </c>
      <c r="BD700">
        <v>40</v>
      </c>
      <c r="BE700" t="s">
        <v>13502</v>
      </c>
      <c r="BF700" t="str">
        <f>HYPERLINK("http://dx.doi.org/10.1186/s12984-022-01017-3","http://dx.doi.org/10.1186/s12984-022-01017-3")</f>
        <v>http://dx.doi.org/10.1186/s12984-022-01017-3</v>
      </c>
      <c r="BG700" t="s">
        <v>74</v>
      </c>
      <c r="BH700" t="s">
        <v>74</v>
      </c>
      <c r="BI700">
        <v>13</v>
      </c>
      <c r="BJ700" t="s">
        <v>611</v>
      </c>
      <c r="BK700" t="s">
        <v>102</v>
      </c>
      <c r="BL700" t="s">
        <v>612</v>
      </c>
      <c r="BM700" t="s">
        <v>13503</v>
      </c>
      <c r="BN700">
        <v>35459246</v>
      </c>
      <c r="BO700" t="s">
        <v>131</v>
      </c>
      <c r="BP700" t="s">
        <v>74</v>
      </c>
      <c r="BQ700" t="s">
        <v>74</v>
      </c>
      <c r="BR700" t="s">
        <v>105</v>
      </c>
      <c r="BS700" t="s">
        <v>13504</v>
      </c>
      <c r="BT700" t="str">
        <f>HYPERLINK("https%3A%2F%2Fwww.webofscience.com%2Fwos%2Fwoscc%2Ffull-record%2FWOS:000785717800001","View Full Record in Web of Science")</f>
        <v>View Full Record in Web of Science</v>
      </c>
    </row>
    <row r="701" spans="1:72" x14ac:dyDescent="0.25">
      <c r="A701" t="s">
        <v>72</v>
      </c>
      <c r="B701" t="s">
        <v>13505</v>
      </c>
      <c r="C701" t="s">
        <v>74</v>
      </c>
      <c r="D701" t="s">
        <v>74</v>
      </c>
      <c r="E701" t="s">
        <v>74</v>
      </c>
      <c r="F701" t="s">
        <v>13506</v>
      </c>
      <c r="G701" t="s">
        <v>74</v>
      </c>
      <c r="H701" t="s">
        <v>74</v>
      </c>
      <c r="I701" t="s">
        <v>13507</v>
      </c>
      <c r="J701" t="s">
        <v>243</v>
      </c>
      <c r="K701" t="s">
        <v>74</v>
      </c>
      <c r="L701" t="s">
        <v>74</v>
      </c>
      <c r="M701" t="s">
        <v>78</v>
      </c>
      <c r="N701" t="s">
        <v>79</v>
      </c>
      <c r="O701" t="s">
        <v>74</v>
      </c>
      <c r="P701" t="s">
        <v>74</v>
      </c>
      <c r="Q701" t="s">
        <v>74</v>
      </c>
      <c r="R701" t="s">
        <v>74</v>
      </c>
      <c r="S701" t="s">
        <v>74</v>
      </c>
      <c r="T701" t="s">
        <v>13508</v>
      </c>
      <c r="U701" t="s">
        <v>13509</v>
      </c>
      <c r="V701" t="s">
        <v>13510</v>
      </c>
      <c r="W701" t="s">
        <v>13511</v>
      </c>
      <c r="X701" t="s">
        <v>13512</v>
      </c>
      <c r="Y701" t="s">
        <v>13513</v>
      </c>
      <c r="Z701" t="s">
        <v>13514</v>
      </c>
      <c r="AA701" t="s">
        <v>13515</v>
      </c>
      <c r="AB701" t="s">
        <v>13516</v>
      </c>
      <c r="AC701" t="s">
        <v>74</v>
      </c>
      <c r="AD701" t="s">
        <v>74</v>
      </c>
      <c r="AE701" t="s">
        <v>74</v>
      </c>
      <c r="AF701" t="s">
        <v>74</v>
      </c>
      <c r="AG701">
        <v>76</v>
      </c>
      <c r="AH701">
        <v>12</v>
      </c>
      <c r="AI701">
        <v>12</v>
      </c>
      <c r="AJ701">
        <v>6</v>
      </c>
      <c r="AK701">
        <v>68</v>
      </c>
      <c r="AL701" t="s">
        <v>253</v>
      </c>
      <c r="AM701" t="s">
        <v>227</v>
      </c>
      <c r="AN701" t="s">
        <v>254</v>
      </c>
      <c r="AO701" t="s">
        <v>255</v>
      </c>
      <c r="AP701" t="s">
        <v>256</v>
      </c>
      <c r="AQ701" t="s">
        <v>74</v>
      </c>
      <c r="AR701" t="s">
        <v>257</v>
      </c>
      <c r="AS701" t="s">
        <v>258</v>
      </c>
      <c r="AT701" t="s">
        <v>863</v>
      </c>
      <c r="AU701">
        <v>2024</v>
      </c>
      <c r="AV701">
        <v>19</v>
      </c>
      <c r="AW701">
        <v>1</v>
      </c>
      <c r="AX701" t="s">
        <v>74</v>
      </c>
      <c r="AY701" t="s">
        <v>74</v>
      </c>
      <c r="AZ701" t="s">
        <v>74</v>
      </c>
      <c r="BA701" t="s">
        <v>74</v>
      </c>
      <c r="BB701">
        <v>30</v>
      </c>
      <c r="BC701">
        <v>41</v>
      </c>
      <c r="BD701" t="s">
        <v>74</v>
      </c>
      <c r="BE701" t="s">
        <v>13517</v>
      </c>
      <c r="BF701" t="str">
        <f>HYPERLINK("http://dx.doi.org/10.1080/17483107.2022.2060354","http://dx.doi.org/10.1080/17483107.2022.2060354")</f>
        <v>http://dx.doi.org/10.1080/17483107.2022.2060354</v>
      </c>
      <c r="BG701" t="s">
        <v>74</v>
      </c>
      <c r="BH701" t="s">
        <v>4923</v>
      </c>
      <c r="BI701">
        <v>12</v>
      </c>
      <c r="BJ701" t="s">
        <v>101</v>
      </c>
      <c r="BK701" t="s">
        <v>462</v>
      </c>
      <c r="BL701" t="s">
        <v>101</v>
      </c>
      <c r="BM701" t="s">
        <v>13518</v>
      </c>
      <c r="BN701">
        <v>35450498</v>
      </c>
      <c r="BO701" t="s">
        <v>74</v>
      </c>
      <c r="BP701" t="s">
        <v>74</v>
      </c>
      <c r="BQ701" t="s">
        <v>74</v>
      </c>
      <c r="BR701" t="s">
        <v>105</v>
      </c>
      <c r="BS701" t="s">
        <v>13519</v>
      </c>
      <c r="BT701" t="str">
        <f>HYPERLINK("https%3A%2F%2Fwww.webofscience.com%2Fwos%2Fwoscc%2Ffull-record%2FWOS:000784482900001","View Full Record in Web of Science")</f>
        <v>View Full Record in Web of Science</v>
      </c>
    </row>
    <row r="702" spans="1:72" x14ac:dyDescent="0.25">
      <c r="A702" t="s">
        <v>72</v>
      </c>
      <c r="B702" t="s">
        <v>13520</v>
      </c>
      <c r="C702" t="s">
        <v>74</v>
      </c>
      <c r="D702" t="s">
        <v>74</v>
      </c>
      <c r="E702" t="s">
        <v>74</v>
      </c>
      <c r="F702" t="s">
        <v>13521</v>
      </c>
      <c r="G702" t="s">
        <v>74</v>
      </c>
      <c r="H702" t="s">
        <v>74</v>
      </c>
      <c r="I702" t="s">
        <v>13522</v>
      </c>
      <c r="J702" t="s">
        <v>382</v>
      </c>
      <c r="K702" t="s">
        <v>74</v>
      </c>
      <c r="L702" t="s">
        <v>74</v>
      </c>
      <c r="M702" t="s">
        <v>78</v>
      </c>
      <c r="N702" t="s">
        <v>79</v>
      </c>
      <c r="O702" t="s">
        <v>74</v>
      </c>
      <c r="P702" t="s">
        <v>74</v>
      </c>
      <c r="Q702" t="s">
        <v>74</v>
      </c>
      <c r="R702" t="s">
        <v>74</v>
      </c>
      <c r="S702" t="s">
        <v>74</v>
      </c>
      <c r="T702" t="s">
        <v>13523</v>
      </c>
      <c r="U702" t="s">
        <v>13524</v>
      </c>
      <c r="V702" t="s">
        <v>13525</v>
      </c>
      <c r="W702" t="s">
        <v>74</v>
      </c>
      <c r="X702" t="s">
        <v>74</v>
      </c>
      <c r="Y702" t="s">
        <v>74</v>
      </c>
      <c r="Z702" t="s">
        <v>13526</v>
      </c>
      <c r="AA702" t="s">
        <v>13527</v>
      </c>
      <c r="AB702" t="s">
        <v>74</v>
      </c>
      <c r="AC702" t="s">
        <v>74</v>
      </c>
      <c r="AD702" t="s">
        <v>74</v>
      </c>
      <c r="AE702" t="s">
        <v>74</v>
      </c>
      <c r="AF702" t="s">
        <v>74</v>
      </c>
      <c r="AG702">
        <v>63</v>
      </c>
      <c r="AH702">
        <v>19</v>
      </c>
      <c r="AI702">
        <v>22</v>
      </c>
      <c r="AJ702">
        <v>1</v>
      </c>
      <c r="AK702">
        <v>17</v>
      </c>
      <c r="AL702" t="s">
        <v>392</v>
      </c>
      <c r="AM702" t="s">
        <v>393</v>
      </c>
      <c r="AN702" t="s">
        <v>394</v>
      </c>
      <c r="AO702" t="s">
        <v>395</v>
      </c>
      <c r="AP702" t="s">
        <v>74</v>
      </c>
      <c r="AQ702" t="s">
        <v>74</v>
      </c>
      <c r="AR702" t="s">
        <v>396</v>
      </c>
      <c r="AS702" t="s">
        <v>397</v>
      </c>
      <c r="AT702" t="s">
        <v>6384</v>
      </c>
      <c r="AU702">
        <v>2022</v>
      </c>
      <c r="AV702">
        <v>13</v>
      </c>
      <c r="AW702" t="s">
        <v>74</v>
      </c>
      <c r="AX702" t="s">
        <v>74</v>
      </c>
      <c r="AY702" t="s">
        <v>74</v>
      </c>
      <c r="AZ702" t="s">
        <v>74</v>
      </c>
      <c r="BA702" t="s">
        <v>74</v>
      </c>
      <c r="BB702" t="s">
        <v>74</v>
      </c>
      <c r="BC702" t="s">
        <v>74</v>
      </c>
      <c r="BD702">
        <v>772660</v>
      </c>
      <c r="BE702" t="s">
        <v>13528</v>
      </c>
      <c r="BF702" t="str">
        <f>HYPERLINK("http://dx.doi.org/10.3389/fneur.2022.772660","http://dx.doi.org/10.3389/fneur.2022.772660")</f>
        <v>http://dx.doi.org/10.3389/fneur.2022.772660</v>
      </c>
      <c r="BG702" t="s">
        <v>74</v>
      </c>
      <c r="BH702" t="s">
        <v>74</v>
      </c>
      <c r="BI702">
        <v>14</v>
      </c>
      <c r="BJ702" t="s">
        <v>400</v>
      </c>
      <c r="BK702" t="s">
        <v>182</v>
      </c>
      <c r="BL702" t="s">
        <v>375</v>
      </c>
      <c r="BM702" t="s">
        <v>13529</v>
      </c>
      <c r="BN702">
        <v>35493806</v>
      </c>
      <c r="BO702" t="s">
        <v>131</v>
      </c>
      <c r="BP702" t="s">
        <v>74</v>
      </c>
      <c r="BQ702" t="s">
        <v>74</v>
      </c>
      <c r="BR702" t="s">
        <v>105</v>
      </c>
      <c r="BS702" t="s">
        <v>13530</v>
      </c>
      <c r="BT702" t="str">
        <f>HYPERLINK("https%3A%2F%2Fwww.webofscience.com%2Fwos%2Fwoscc%2Ffull-record%2FWOS:000808827600001","View Full Record in Web of Science")</f>
        <v>View Full Record in Web of Science</v>
      </c>
    </row>
    <row r="703" spans="1:72" x14ac:dyDescent="0.25">
      <c r="A703" t="s">
        <v>72</v>
      </c>
      <c r="B703" t="s">
        <v>13531</v>
      </c>
      <c r="C703" t="s">
        <v>74</v>
      </c>
      <c r="D703" t="s">
        <v>74</v>
      </c>
      <c r="E703" t="s">
        <v>74</v>
      </c>
      <c r="F703" t="s">
        <v>13532</v>
      </c>
      <c r="G703" t="s">
        <v>74</v>
      </c>
      <c r="H703" t="s">
        <v>74</v>
      </c>
      <c r="I703" t="s">
        <v>13533</v>
      </c>
      <c r="J703" t="s">
        <v>13534</v>
      </c>
      <c r="K703" t="s">
        <v>74</v>
      </c>
      <c r="L703" t="s">
        <v>74</v>
      </c>
      <c r="M703" t="s">
        <v>78</v>
      </c>
      <c r="N703" t="s">
        <v>79</v>
      </c>
      <c r="O703" t="s">
        <v>74</v>
      </c>
      <c r="P703" t="s">
        <v>74</v>
      </c>
      <c r="Q703" t="s">
        <v>74</v>
      </c>
      <c r="R703" t="s">
        <v>74</v>
      </c>
      <c r="S703" t="s">
        <v>74</v>
      </c>
      <c r="T703" t="s">
        <v>74</v>
      </c>
      <c r="U703" t="s">
        <v>13535</v>
      </c>
      <c r="V703" t="s">
        <v>13536</v>
      </c>
      <c r="W703" t="s">
        <v>13537</v>
      </c>
      <c r="X703" t="s">
        <v>13538</v>
      </c>
      <c r="Y703" t="s">
        <v>13539</v>
      </c>
      <c r="Z703" t="s">
        <v>13540</v>
      </c>
      <c r="AA703" t="s">
        <v>13541</v>
      </c>
      <c r="AB703" t="s">
        <v>74</v>
      </c>
      <c r="AC703" t="s">
        <v>13542</v>
      </c>
      <c r="AD703" t="s">
        <v>13543</v>
      </c>
      <c r="AE703" t="s">
        <v>13544</v>
      </c>
      <c r="AF703" t="s">
        <v>74</v>
      </c>
      <c r="AG703">
        <v>57</v>
      </c>
      <c r="AH703">
        <v>6</v>
      </c>
      <c r="AI703">
        <v>6</v>
      </c>
      <c r="AJ703">
        <v>5</v>
      </c>
      <c r="AK703">
        <v>62</v>
      </c>
      <c r="AL703" t="s">
        <v>13545</v>
      </c>
      <c r="AM703" t="s">
        <v>173</v>
      </c>
      <c r="AN703" t="s">
        <v>13546</v>
      </c>
      <c r="AO703" t="s">
        <v>13547</v>
      </c>
      <c r="AP703" t="s">
        <v>13548</v>
      </c>
      <c r="AQ703" t="s">
        <v>74</v>
      </c>
      <c r="AR703" t="s">
        <v>13549</v>
      </c>
      <c r="AS703" t="s">
        <v>13550</v>
      </c>
      <c r="AT703" t="s">
        <v>487</v>
      </c>
      <c r="AU703">
        <v>2022</v>
      </c>
      <c r="AV703">
        <v>61</v>
      </c>
      <c r="AW703">
        <v>2</v>
      </c>
      <c r="AX703" t="s">
        <v>74</v>
      </c>
      <c r="AY703" t="s">
        <v>74</v>
      </c>
      <c r="AZ703" t="s">
        <v>74</v>
      </c>
      <c r="BA703" t="s">
        <v>74</v>
      </c>
      <c r="BB703">
        <v>270</v>
      </c>
      <c r="BC703">
        <v>293</v>
      </c>
      <c r="BD703" t="s">
        <v>74</v>
      </c>
      <c r="BE703" t="s">
        <v>13551</v>
      </c>
      <c r="BF703" t="str">
        <f>HYPERLINK("http://dx.doi.org/10.1134/S1064230722010026","http://dx.doi.org/10.1134/S1064230722010026")</f>
        <v>http://dx.doi.org/10.1134/S1064230722010026</v>
      </c>
      <c r="BG703" t="s">
        <v>74</v>
      </c>
      <c r="BH703" t="s">
        <v>74</v>
      </c>
      <c r="BI703">
        <v>24</v>
      </c>
      <c r="BJ703" t="s">
        <v>13552</v>
      </c>
      <c r="BK703" t="s">
        <v>182</v>
      </c>
      <c r="BL703" t="s">
        <v>6189</v>
      </c>
      <c r="BM703" t="s">
        <v>13553</v>
      </c>
      <c r="BN703" t="s">
        <v>74</v>
      </c>
      <c r="BO703" t="s">
        <v>74</v>
      </c>
      <c r="BP703" t="s">
        <v>74</v>
      </c>
      <c r="BQ703" t="s">
        <v>74</v>
      </c>
      <c r="BR703" t="s">
        <v>105</v>
      </c>
      <c r="BS703" t="s">
        <v>13554</v>
      </c>
      <c r="BT703" t="str">
        <f>HYPERLINK("https%3A%2F%2Fwww.webofscience.com%2Fwos%2Fwoscc%2Ffull-record%2FWOS:000783832700012","View Full Record in Web of Science")</f>
        <v>View Full Record in Web of Science</v>
      </c>
    </row>
    <row r="704" spans="1:72" x14ac:dyDescent="0.25">
      <c r="A704" t="s">
        <v>72</v>
      </c>
      <c r="B704" t="s">
        <v>13555</v>
      </c>
      <c r="C704" t="s">
        <v>74</v>
      </c>
      <c r="D704" t="s">
        <v>74</v>
      </c>
      <c r="E704" t="s">
        <v>74</v>
      </c>
      <c r="F704" t="s">
        <v>13556</v>
      </c>
      <c r="G704" t="s">
        <v>74</v>
      </c>
      <c r="H704" t="s">
        <v>74</v>
      </c>
      <c r="I704" t="s">
        <v>13557</v>
      </c>
      <c r="J704" t="s">
        <v>2040</v>
      </c>
      <c r="K704" t="s">
        <v>74</v>
      </c>
      <c r="L704" t="s">
        <v>74</v>
      </c>
      <c r="M704" t="s">
        <v>78</v>
      </c>
      <c r="N704" t="s">
        <v>79</v>
      </c>
      <c r="O704" t="s">
        <v>74</v>
      </c>
      <c r="P704" t="s">
        <v>74</v>
      </c>
      <c r="Q704" t="s">
        <v>74</v>
      </c>
      <c r="R704" t="s">
        <v>74</v>
      </c>
      <c r="S704" t="s">
        <v>74</v>
      </c>
      <c r="T704" t="s">
        <v>13558</v>
      </c>
      <c r="U704" t="s">
        <v>13559</v>
      </c>
      <c r="V704" t="s">
        <v>13560</v>
      </c>
      <c r="W704" t="s">
        <v>13561</v>
      </c>
      <c r="X704" t="s">
        <v>13562</v>
      </c>
      <c r="Y704" t="s">
        <v>13563</v>
      </c>
      <c r="Z704" t="s">
        <v>13564</v>
      </c>
      <c r="AA704" t="s">
        <v>13565</v>
      </c>
      <c r="AB704" t="s">
        <v>13566</v>
      </c>
      <c r="AC704" t="s">
        <v>74</v>
      </c>
      <c r="AD704" t="s">
        <v>74</v>
      </c>
      <c r="AE704" t="s">
        <v>74</v>
      </c>
      <c r="AF704" t="s">
        <v>74</v>
      </c>
      <c r="AG704">
        <v>56</v>
      </c>
      <c r="AH704">
        <v>43</v>
      </c>
      <c r="AI704">
        <v>44</v>
      </c>
      <c r="AJ704">
        <v>14</v>
      </c>
      <c r="AK704">
        <v>75</v>
      </c>
      <c r="AL704" t="s">
        <v>120</v>
      </c>
      <c r="AM704" t="s">
        <v>121</v>
      </c>
      <c r="AN704" t="s">
        <v>122</v>
      </c>
      <c r="AO704" t="s">
        <v>74</v>
      </c>
      <c r="AP704" t="s">
        <v>2050</v>
      </c>
      <c r="AQ704" t="s">
        <v>74</v>
      </c>
      <c r="AR704" t="s">
        <v>2051</v>
      </c>
      <c r="AS704" t="s">
        <v>2052</v>
      </c>
      <c r="AT704" t="s">
        <v>487</v>
      </c>
      <c r="AU704">
        <v>2022</v>
      </c>
      <c r="AV704">
        <v>22</v>
      </c>
      <c r="AW704">
        <v>7</v>
      </c>
      <c r="AX704" t="s">
        <v>74</v>
      </c>
      <c r="AY704" t="s">
        <v>74</v>
      </c>
      <c r="AZ704" t="s">
        <v>74</v>
      </c>
      <c r="BA704" t="s">
        <v>74</v>
      </c>
      <c r="BB704" t="s">
        <v>74</v>
      </c>
      <c r="BC704" t="s">
        <v>74</v>
      </c>
      <c r="BD704">
        <v>2625</v>
      </c>
      <c r="BE704" t="s">
        <v>13567</v>
      </c>
      <c r="BF704" t="str">
        <f>HYPERLINK("http://dx.doi.org/10.3390/s22072625","http://dx.doi.org/10.3390/s22072625")</f>
        <v>http://dx.doi.org/10.3390/s22072625</v>
      </c>
      <c r="BG704" t="s">
        <v>74</v>
      </c>
      <c r="BH704" t="s">
        <v>74</v>
      </c>
      <c r="BI704">
        <v>20</v>
      </c>
      <c r="BJ704" t="s">
        <v>2054</v>
      </c>
      <c r="BK704" t="s">
        <v>102</v>
      </c>
      <c r="BL704" t="s">
        <v>2055</v>
      </c>
      <c r="BM704" t="s">
        <v>13568</v>
      </c>
      <c r="BN704">
        <v>35408238</v>
      </c>
      <c r="BO704" t="s">
        <v>355</v>
      </c>
      <c r="BP704" t="s">
        <v>74</v>
      </c>
      <c r="BQ704" t="s">
        <v>74</v>
      </c>
      <c r="BR704" t="s">
        <v>105</v>
      </c>
      <c r="BS704" t="s">
        <v>13569</v>
      </c>
      <c r="BT704" t="str">
        <f>HYPERLINK("https%3A%2F%2Fwww.webofscience.com%2Fwos%2Fwoscc%2Ffull-record%2FWOS:000781319200001","View Full Record in Web of Science")</f>
        <v>View Full Record in Web of Science</v>
      </c>
    </row>
    <row r="705" spans="1:72" x14ac:dyDescent="0.25">
      <c r="A705" t="s">
        <v>72</v>
      </c>
      <c r="B705" t="s">
        <v>13570</v>
      </c>
      <c r="C705" t="s">
        <v>74</v>
      </c>
      <c r="D705" t="s">
        <v>74</v>
      </c>
      <c r="E705" t="s">
        <v>74</v>
      </c>
      <c r="F705" t="s">
        <v>13571</v>
      </c>
      <c r="G705" t="s">
        <v>74</v>
      </c>
      <c r="H705" t="s">
        <v>74</v>
      </c>
      <c r="I705" t="s">
        <v>13572</v>
      </c>
      <c r="J705" t="s">
        <v>190</v>
      </c>
      <c r="K705" t="s">
        <v>74</v>
      </c>
      <c r="L705" t="s">
        <v>74</v>
      </c>
      <c r="M705" t="s">
        <v>78</v>
      </c>
      <c r="N705" t="s">
        <v>79</v>
      </c>
      <c r="O705" t="s">
        <v>74</v>
      </c>
      <c r="P705" t="s">
        <v>74</v>
      </c>
      <c r="Q705" t="s">
        <v>74</v>
      </c>
      <c r="R705" t="s">
        <v>74</v>
      </c>
      <c r="S705" t="s">
        <v>74</v>
      </c>
      <c r="T705" t="s">
        <v>13573</v>
      </c>
      <c r="U705" t="s">
        <v>13574</v>
      </c>
      <c r="V705" t="s">
        <v>13575</v>
      </c>
      <c r="W705" t="s">
        <v>13576</v>
      </c>
      <c r="X705" t="s">
        <v>13577</v>
      </c>
      <c r="Y705" t="s">
        <v>13578</v>
      </c>
      <c r="Z705" t="s">
        <v>12947</v>
      </c>
      <c r="AA705" t="s">
        <v>13579</v>
      </c>
      <c r="AB705" t="s">
        <v>13580</v>
      </c>
      <c r="AC705" t="s">
        <v>13581</v>
      </c>
      <c r="AD705" t="s">
        <v>13582</v>
      </c>
      <c r="AE705" t="s">
        <v>13583</v>
      </c>
      <c r="AF705" t="s">
        <v>74</v>
      </c>
      <c r="AG705">
        <v>65</v>
      </c>
      <c r="AH705">
        <v>29</v>
      </c>
      <c r="AI705">
        <v>29</v>
      </c>
      <c r="AJ705">
        <v>2</v>
      </c>
      <c r="AK705">
        <v>33</v>
      </c>
      <c r="AL705" t="s">
        <v>202</v>
      </c>
      <c r="AM705" t="s">
        <v>203</v>
      </c>
      <c r="AN705" t="s">
        <v>204</v>
      </c>
      <c r="AO705" t="s">
        <v>205</v>
      </c>
      <c r="AP705" t="s">
        <v>206</v>
      </c>
      <c r="AQ705" t="s">
        <v>74</v>
      </c>
      <c r="AR705" t="s">
        <v>207</v>
      </c>
      <c r="AS705" t="s">
        <v>208</v>
      </c>
      <c r="AT705" t="s">
        <v>487</v>
      </c>
      <c r="AU705">
        <v>2022</v>
      </c>
      <c r="AV705">
        <v>58</v>
      </c>
      <c r="AW705">
        <v>4</v>
      </c>
      <c r="AX705" t="s">
        <v>74</v>
      </c>
      <c r="AY705" t="s">
        <v>74</v>
      </c>
      <c r="AZ705" t="s">
        <v>74</v>
      </c>
      <c r="BA705" t="s">
        <v>74</v>
      </c>
      <c r="BB705">
        <v>530</v>
      </c>
      <c r="BC705">
        <v>548</v>
      </c>
      <c r="BD705" t="s">
        <v>74</v>
      </c>
      <c r="BE705" t="s">
        <v>13584</v>
      </c>
      <c r="BF705" t="str">
        <f>HYPERLINK("http://dx.doi.org/10.23736/S1973-9087.22.07404-4","http://dx.doi.org/10.23736/S1973-9087.22.07404-4")</f>
        <v>http://dx.doi.org/10.23736/S1973-9087.22.07404-4</v>
      </c>
      <c r="BG705" t="s">
        <v>74</v>
      </c>
      <c r="BH705" t="s">
        <v>74</v>
      </c>
      <c r="BI705">
        <v>19</v>
      </c>
      <c r="BJ705" t="s">
        <v>101</v>
      </c>
      <c r="BK705" t="s">
        <v>182</v>
      </c>
      <c r="BL705" t="s">
        <v>101</v>
      </c>
      <c r="BM705" t="s">
        <v>13585</v>
      </c>
      <c r="BN705">
        <v>35666491</v>
      </c>
      <c r="BO705" t="s">
        <v>131</v>
      </c>
      <c r="BP705" t="s">
        <v>74</v>
      </c>
      <c r="BQ705" t="s">
        <v>74</v>
      </c>
      <c r="BR705" t="s">
        <v>105</v>
      </c>
      <c r="BS705" t="s">
        <v>13586</v>
      </c>
      <c r="BT705" t="str">
        <f>HYPERLINK("https%3A%2F%2Fwww.webofscience.com%2Fwos%2Fwoscc%2Ffull-record%2FWOS:000890683600004","View Full Record in Web of Science")</f>
        <v>View Full Record in Web of Science</v>
      </c>
    </row>
    <row r="706" spans="1:72" x14ac:dyDescent="0.25">
      <c r="A706" t="s">
        <v>72</v>
      </c>
      <c r="B706" t="s">
        <v>13587</v>
      </c>
      <c r="C706" t="s">
        <v>74</v>
      </c>
      <c r="D706" t="s">
        <v>74</v>
      </c>
      <c r="E706" t="s">
        <v>74</v>
      </c>
      <c r="F706" t="s">
        <v>13588</v>
      </c>
      <c r="G706" t="s">
        <v>74</v>
      </c>
      <c r="H706" t="s">
        <v>74</v>
      </c>
      <c r="I706" t="s">
        <v>13589</v>
      </c>
      <c r="J706" t="s">
        <v>2745</v>
      </c>
      <c r="K706" t="s">
        <v>74</v>
      </c>
      <c r="L706" t="s">
        <v>74</v>
      </c>
      <c r="M706" t="s">
        <v>78</v>
      </c>
      <c r="N706" t="s">
        <v>79</v>
      </c>
      <c r="O706" t="s">
        <v>74</v>
      </c>
      <c r="P706" t="s">
        <v>74</v>
      </c>
      <c r="Q706" t="s">
        <v>74</v>
      </c>
      <c r="R706" t="s">
        <v>74</v>
      </c>
      <c r="S706" t="s">
        <v>74</v>
      </c>
      <c r="T706" t="s">
        <v>13590</v>
      </c>
      <c r="U706" t="s">
        <v>74</v>
      </c>
      <c r="V706" t="s">
        <v>13591</v>
      </c>
      <c r="W706" t="s">
        <v>13592</v>
      </c>
      <c r="X706" t="s">
        <v>13593</v>
      </c>
      <c r="Y706" t="s">
        <v>13594</v>
      </c>
      <c r="Z706" t="s">
        <v>13595</v>
      </c>
      <c r="AA706" t="s">
        <v>13596</v>
      </c>
      <c r="AB706" t="s">
        <v>13597</v>
      </c>
      <c r="AC706" t="s">
        <v>74</v>
      </c>
      <c r="AD706" t="s">
        <v>74</v>
      </c>
      <c r="AE706" t="s">
        <v>74</v>
      </c>
      <c r="AF706" t="s">
        <v>74</v>
      </c>
      <c r="AG706">
        <v>64</v>
      </c>
      <c r="AH706">
        <v>34</v>
      </c>
      <c r="AI706">
        <v>38</v>
      </c>
      <c r="AJ706">
        <v>9</v>
      </c>
      <c r="AK706">
        <v>47</v>
      </c>
      <c r="AL706" t="s">
        <v>120</v>
      </c>
      <c r="AM706" t="s">
        <v>121</v>
      </c>
      <c r="AN706" t="s">
        <v>1221</v>
      </c>
      <c r="AO706" t="s">
        <v>74</v>
      </c>
      <c r="AP706" t="s">
        <v>2757</v>
      </c>
      <c r="AQ706" t="s">
        <v>74</v>
      </c>
      <c r="AR706" t="s">
        <v>2745</v>
      </c>
      <c r="AS706" t="s">
        <v>2758</v>
      </c>
      <c r="AT706" t="s">
        <v>487</v>
      </c>
      <c r="AU706">
        <v>2022</v>
      </c>
      <c r="AV706">
        <v>9</v>
      </c>
      <c r="AW706">
        <v>4</v>
      </c>
      <c r="AX706" t="s">
        <v>74</v>
      </c>
      <c r="AY706" t="s">
        <v>74</v>
      </c>
      <c r="AZ706" t="s">
        <v>74</v>
      </c>
      <c r="BA706" t="s">
        <v>74</v>
      </c>
      <c r="BB706" t="s">
        <v>74</v>
      </c>
      <c r="BC706" t="s">
        <v>74</v>
      </c>
      <c r="BD706">
        <v>129</v>
      </c>
      <c r="BE706" t="s">
        <v>13598</v>
      </c>
      <c r="BF706" t="str">
        <f>HYPERLINK("http://dx.doi.org/10.3390/bioengineering9040129","http://dx.doi.org/10.3390/bioengineering9040129")</f>
        <v>http://dx.doi.org/10.3390/bioengineering9040129</v>
      </c>
      <c r="BG706" t="s">
        <v>74</v>
      </c>
      <c r="BH706" t="s">
        <v>74</v>
      </c>
      <c r="BI706">
        <v>21</v>
      </c>
      <c r="BJ706" t="s">
        <v>2760</v>
      </c>
      <c r="BK706" t="s">
        <v>182</v>
      </c>
      <c r="BL706" t="s">
        <v>2761</v>
      </c>
      <c r="BM706" t="s">
        <v>13599</v>
      </c>
      <c r="BN706">
        <v>35447689</v>
      </c>
      <c r="BO706" t="s">
        <v>131</v>
      </c>
      <c r="BP706" t="s">
        <v>74</v>
      </c>
      <c r="BQ706" t="s">
        <v>74</v>
      </c>
      <c r="BR706" t="s">
        <v>105</v>
      </c>
      <c r="BS706" t="s">
        <v>13600</v>
      </c>
      <c r="BT706" t="str">
        <f>HYPERLINK("https%3A%2F%2Fwww.webofscience.com%2Fwos%2Fwoscc%2Ffull-record%2FWOS:000785333500001","View Full Record in Web of Science")</f>
        <v>View Full Record in Web of Science</v>
      </c>
    </row>
    <row r="707" spans="1:72" x14ac:dyDescent="0.25">
      <c r="A707" t="s">
        <v>72</v>
      </c>
      <c r="B707" t="s">
        <v>13601</v>
      </c>
      <c r="C707" t="s">
        <v>74</v>
      </c>
      <c r="D707" t="s">
        <v>74</v>
      </c>
      <c r="E707" t="s">
        <v>74</v>
      </c>
      <c r="F707" t="s">
        <v>13602</v>
      </c>
      <c r="G707" t="s">
        <v>74</v>
      </c>
      <c r="H707" t="s">
        <v>74</v>
      </c>
      <c r="I707" t="s">
        <v>13603</v>
      </c>
      <c r="J707" t="s">
        <v>2040</v>
      </c>
      <c r="K707" t="s">
        <v>74</v>
      </c>
      <c r="L707" t="s">
        <v>74</v>
      </c>
      <c r="M707" t="s">
        <v>78</v>
      </c>
      <c r="N707" t="s">
        <v>79</v>
      </c>
      <c r="O707" t="s">
        <v>74</v>
      </c>
      <c r="P707" t="s">
        <v>74</v>
      </c>
      <c r="Q707" t="s">
        <v>74</v>
      </c>
      <c r="R707" t="s">
        <v>74</v>
      </c>
      <c r="S707" t="s">
        <v>74</v>
      </c>
      <c r="T707" t="s">
        <v>13604</v>
      </c>
      <c r="U707" t="s">
        <v>13605</v>
      </c>
      <c r="V707" t="s">
        <v>13606</v>
      </c>
      <c r="W707" t="s">
        <v>13607</v>
      </c>
      <c r="X707" t="s">
        <v>13608</v>
      </c>
      <c r="Y707" t="s">
        <v>13609</v>
      </c>
      <c r="Z707" t="s">
        <v>13610</v>
      </c>
      <c r="AA707" t="s">
        <v>13611</v>
      </c>
      <c r="AB707" t="s">
        <v>13612</v>
      </c>
      <c r="AC707" t="s">
        <v>74</v>
      </c>
      <c r="AD707" t="s">
        <v>74</v>
      </c>
      <c r="AE707" t="s">
        <v>74</v>
      </c>
      <c r="AF707" t="s">
        <v>74</v>
      </c>
      <c r="AG707">
        <v>56</v>
      </c>
      <c r="AH707">
        <v>8</v>
      </c>
      <c r="AI707">
        <v>8</v>
      </c>
      <c r="AJ707">
        <v>4</v>
      </c>
      <c r="AK707">
        <v>13</v>
      </c>
      <c r="AL707" t="s">
        <v>120</v>
      </c>
      <c r="AM707" t="s">
        <v>121</v>
      </c>
      <c r="AN707" t="s">
        <v>1221</v>
      </c>
      <c r="AO707" t="s">
        <v>74</v>
      </c>
      <c r="AP707" t="s">
        <v>2050</v>
      </c>
      <c r="AQ707" t="s">
        <v>74</v>
      </c>
      <c r="AR707" t="s">
        <v>2051</v>
      </c>
      <c r="AS707" t="s">
        <v>2052</v>
      </c>
      <c r="AT707" t="s">
        <v>487</v>
      </c>
      <c r="AU707">
        <v>2022</v>
      </c>
      <c r="AV707">
        <v>22</v>
      </c>
      <c r="AW707">
        <v>7</v>
      </c>
      <c r="AX707" t="s">
        <v>74</v>
      </c>
      <c r="AY707" t="s">
        <v>74</v>
      </c>
      <c r="AZ707" t="s">
        <v>74</v>
      </c>
      <c r="BA707" t="s">
        <v>74</v>
      </c>
      <c r="BB707" t="s">
        <v>74</v>
      </c>
      <c r="BC707" t="s">
        <v>74</v>
      </c>
      <c r="BD707">
        <v>2580</v>
      </c>
      <c r="BE707" t="s">
        <v>13613</v>
      </c>
      <c r="BF707" t="str">
        <f>HYPERLINK("http://dx.doi.org/10.3390/s22072580","http://dx.doi.org/10.3390/s22072580")</f>
        <v>http://dx.doi.org/10.3390/s22072580</v>
      </c>
      <c r="BG707" t="s">
        <v>74</v>
      </c>
      <c r="BH707" t="s">
        <v>74</v>
      </c>
      <c r="BI707">
        <v>16</v>
      </c>
      <c r="BJ707" t="s">
        <v>2054</v>
      </c>
      <c r="BK707" t="s">
        <v>182</v>
      </c>
      <c r="BL707" t="s">
        <v>2055</v>
      </c>
      <c r="BM707" t="s">
        <v>13614</v>
      </c>
      <c r="BN707">
        <v>35408195</v>
      </c>
      <c r="BO707" t="s">
        <v>355</v>
      </c>
      <c r="BP707" t="s">
        <v>74</v>
      </c>
      <c r="BQ707" t="s">
        <v>74</v>
      </c>
      <c r="BR707" t="s">
        <v>105</v>
      </c>
      <c r="BS707" t="s">
        <v>13615</v>
      </c>
      <c r="BT707" t="str">
        <f>HYPERLINK("https%3A%2F%2Fwww.webofscience.com%2Fwos%2Fwoscc%2Ffull-record%2FWOS:000781426600001","View Full Record in Web of Science")</f>
        <v>View Full Record in Web of Science</v>
      </c>
    </row>
    <row r="708" spans="1:72" x14ac:dyDescent="0.25">
      <c r="A708" t="s">
        <v>72</v>
      </c>
      <c r="B708" t="s">
        <v>13616</v>
      </c>
      <c r="C708" t="s">
        <v>74</v>
      </c>
      <c r="D708" t="s">
        <v>74</v>
      </c>
      <c r="E708" t="s">
        <v>74</v>
      </c>
      <c r="F708" t="s">
        <v>13617</v>
      </c>
      <c r="G708" t="s">
        <v>74</v>
      </c>
      <c r="H708" t="s">
        <v>74</v>
      </c>
      <c r="I708" t="s">
        <v>13618</v>
      </c>
      <c r="J708" t="s">
        <v>13619</v>
      </c>
      <c r="K708" t="s">
        <v>74</v>
      </c>
      <c r="L708" t="s">
        <v>74</v>
      </c>
      <c r="M708" t="s">
        <v>78</v>
      </c>
      <c r="N708" t="s">
        <v>79</v>
      </c>
      <c r="O708" t="s">
        <v>74</v>
      </c>
      <c r="P708" t="s">
        <v>74</v>
      </c>
      <c r="Q708" t="s">
        <v>74</v>
      </c>
      <c r="R708" t="s">
        <v>74</v>
      </c>
      <c r="S708" t="s">
        <v>74</v>
      </c>
      <c r="T708" t="s">
        <v>13620</v>
      </c>
      <c r="U708" t="s">
        <v>13621</v>
      </c>
      <c r="V708" t="s">
        <v>13622</v>
      </c>
      <c r="W708" t="s">
        <v>13623</v>
      </c>
      <c r="X708" t="s">
        <v>13624</v>
      </c>
      <c r="Y708" t="s">
        <v>13625</v>
      </c>
      <c r="Z708" t="s">
        <v>13626</v>
      </c>
      <c r="AA708" t="s">
        <v>13627</v>
      </c>
      <c r="AB708" t="s">
        <v>74</v>
      </c>
      <c r="AC708" t="s">
        <v>13628</v>
      </c>
      <c r="AD708" t="s">
        <v>13629</v>
      </c>
      <c r="AE708" t="s">
        <v>13630</v>
      </c>
      <c r="AF708" t="s">
        <v>74</v>
      </c>
      <c r="AG708">
        <v>124</v>
      </c>
      <c r="AH708">
        <v>13</v>
      </c>
      <c r="AI708">
        <v>13</v>
      </c>
      <c r="AJ708">
        <v>15</v>
      </c>
      <c r="AK708">
        <v>195</v>
      </c>
      <c r="AL708" t="s">
        <v>557</v>
      </c>
      <c r="AM708" t="s">
        <v>275</v>
      </c>
      <c r="AN708" t="s">
        <v>558</v>
      </c>
      <c r="AO708" t="s">
        <v>13631</v>
      </c>
      <c r="AP708" t="s">
        <v>13632</v>
      </c>
      <c r="AQ708" t="s">
        <v>74</v>
      </c>
      <c r="AR708" t="s">
        <v>13633</v>
      </c>
      <c r="AS708" t="s">
        <v>13634</v>
      </c>
      <c r="AT708" t="s">
        <v>1734</v>
      </c>
      <c r="AU708">
        <v>2022</v>
      </c>
      <c r="AV708">
        <v>236</v>
      </c>
      <c r="AW708">
        <v>6</v>
      </c>
      <c r="AX708" t="s">
        <v>74</v>
      </c>
      <c r="AY708" t="s">
        <v>74</v>
      </c>
      <c r="AZ708" t="s">
        <v>74</v>
      </c>
      <c r="BA708" t="s">
        <v>74</v>
      </c>
      <c r="BB708">
        <v>1067</v>
      </c>
      <c r="BC708">
        <v>1086</v>
      </c>
      <c r="BD708">
        <v>9596518221085792</v>
      </c>
      <c r="BE708" t="s">
        <v>13635</v>
      </c>
      <c r="BF708" t="str">
        <f>HYPERLINK("http://dx.doi.org/10.1177/09596518221085793","http://dx.doi.org/10.1177/09596518221085793")</f>
        <v>http://dx.doi.org/10.1177/09596518221085793</v>
      </c>
      <c r="BG708" t="s">
        <v>74</v>
      </c>
      <c r="BH708" t="s">
        <v>3296</v>
      </c>
      <c r="BI708">
        <v>20</v>
      </c>
      <c r="BJ708" t="s">
        <v>7020</v>
      </c>
      <c r="BK708" t="s">
        <v>182</v>
      </c>
      <c r="BL708" t="s">
        <v>7020</v>
      </c>
      <c r="BM708" t="s">
        <v>13636</v>
      </c>
      <c r="BN708" t="s">
        <v>74</v>
      </c>
      <c r="BO708" t="s">
        <v>74</v>
      </c>
      <c r="BP708" t="s">
        <v>74</v>
      </c>
      <c r="BQ708" t="s">
        <v>74</v>
      </c>
      <c r="BR708" t="s">
        <v>105</v>
      </c>
      <c r="BS708" t="s">
        <v>13637</v>
      </c>
      <c r="BT708" t="str">
        <f>HYPERLINK("https%3A%2F%2Fwww.webofscience.com%2Fwos%2Fwoscc%2Ffull-record%2FWOS:000776699600001","View Full Record in Web of Science")</f>
        <v>View Full Record in Web of Science</v>
      </c>
    </row>
    <row r="709" spans="1:72" x14ac:dyDescent="0.25">
      <c r="A709" t="s">
        <v>72</v>
      </c>
      <c r="B709" t="s">
        <v>13638</v>
      </c>
      <c r="C709" t="s">
        <v>74</v>
      </c>
      <c r="D709" t="s">
        <v>74</v>
      </c>
      <c r="E709" t="s">
        <v>74</v>
      </c>
      <c r="F709" t="s">
        <v>13639</v>
      </c>
      <c r="G709" t="s">
        <v>74</v>
      </c>
      <c r="H709" t="s">
        <v>74</v>
      </c>
      <c r="I709" t="s">
        <v>13640</v>
      </c>
      <c r="J709" t="s">
        <v>13641</v>
      </c>
      <c r="K709" t="s">
        <v>74</v>
      </c>
      <c r="L709" t="s">
        <v>74</v>
      </c>
      <c r="M709" t="s">
        <v>78</v>
      </c>
      <c r="N709" t="s">
        <v>79</v>
      </c>
      <c r="O709" t="s">
        <v>74</v>
      </c>
      <c r="P709" t="s">
        <v>74</v>
      </c>
      <c r="Q709" t="s">
        <v>74</v>
      </c>
      <c r="R709" t="s">
        <v>74</v>
      </c>
      <c r="S709" t="s">
        <v>74</v>
      </c>
      <c r="T709" t="s">
        <v>74</v>
      </c>
      <c r="U709" t="s">
        <v>13642</v>
      </c>
      <c r="V709" t="s">
        <v>13643</v>
      </c>
      <c r="W709" t="s">
        <v>13644</v>
      </c>
      <c r="X709" t="s">
        <v>13645</v>
      </c>
      <c r="Y709" t="s">
        <v>13646</v>
      </c>
      <c r="Z709" t="s">
        <v>13647</v>
      </c>
      <c r="AA709" t="s">
        <v>74</v>
      </c>
      <c r="AB709" t="s">
        <v>13648</v>
      </c>
      <c r="AC709" t="s">
        <v>13649</v>
      </c>
      <c r="AD709" t="s">
        <v>13650</v>
      </c>
      <c r="AE709" t="s">
        <v>13651</v>
      </c>
      <c r="AF709" t="s">
        <v>74</v>
      </c>
      <c r="AG709">
        <v>142</v>
      </c>
      <c r="AH709">
        <v>15</v>
      </c>
      <c r="AI709">
        <v>15</v>
      </c>
      <c r="AJ709">
        <v>19</v>
      </c>
      <c r="AK709">
        <v>146</v>
      </c>
      <c r="AL709" t="s">
        <v>297</v>
      </c>
      <c r="AM709" t="s">
        <v>298</v>
      </c>
      <c r="AN709" t="s">
        <v>299</v>
      </c>
      <c r="AO709" t="s">
        <v>13652</v>
      </c>
      <c r="AP709" t="s">
        <v>13653</v>
      </c>
      <c r="AQ709" t="s">
        <v>74</v>
      </c>
      <c r="AR709" t="s">
        <v>13654</v>
      </c>
      <c r="AS709" t="s">
        <v>13655</v>
      </c>
      <c r="AT709" t="s">
        <v>99</v>
      </c>
      <c r="AU709">
        <v>2022</v>
      </c>
      <c r="AV709">
        <v>2022</v>
      </c>
      <c r="AW709" t="s">
        <v>74</v>
      </c>
      <c r="AX709" t="s">
        <v>74</v>
      </c>
      <c r="AY709" t="s">
        <v>74</v>
      </c>
      <c r="AZ709" t="s">
        <v>74</v>
      </c>
      <c r="BA709" t="s">
        <v>74</v>
      </c>
      <c r="BB709" t="s">
        <v>74</v>
      </c>
      <c r="BC709" t="s">
        <v>74</v>
      </c>
      <c r="BD709">
        <v>9933018</v>
      </c>
      <c r="BE709" t="s">
        <v>13656</v>
      </c>
      <c r="BF709" t="str">
        <f>HYPERLINK("http://dx.doi.org/10.1155/2022/9933018","http://dx.doi.org/10.1155/2022/9933018")</f>
        <v>http://dx.doi.org/10.1155/2022/9933018</v>
      </c>
      <c r="BG709" t="s">
        <v>74</v>
      </c>
      <c r="BH709" t="s">
        <v>74</v>
      </c>
      <c r="BI709">
        <v>19</v>
      </c>
      <c r="BJ709" t="s">
        <v>1937</v>
      </c>
      <c r="BK709" t="s">
        <v>182</v>
      </c>
      <c r="BL709" t="s">
        <v>1938</v>
      </c>
      <c r="BM709" t="s">
        <v>13657</v>
      </c>
      <c r="BN709">
        <v>35378794</v>
      </c>
      <c r="BO709" t="s">
        <v>355</v>
      </c>
      <c r="BP709" t="s">
        <v>74</v>
      </c>
      <c r="BQ709" t="s">
        <v>74</v>
      </c>
      <c r="BR709" t="s">
        <v>105</v>
      </c>
      <c r="BS709" t="s">
        <v>13658</v>
      </c>
      <c r="BT709" t="str">
        <f>HYPERLINK("https%3A%2F%2Fwww.webofscience.com%2Fwos%2Fwoscc%2Ffull-record%2FWOS:000806579600001","View Full Record in Web of Science")</f>
        <v>View Full Record in Web of Science</v>
      </c>
    </row>
    <row r="710" spans="1:72" x14ac:dyDescent="0.25">
      <c r="A710" t="s">
        <v>72</v>
      </c>
      <c r="B710" t="s">
        <v>13659</v>
      </c>
      <c r="C710" t="s">
        <v>74</v>
      </c>
      <c r="D710" t="s">
        <v>74</v>
      </c>
      <c r="E710" t="s">
        <v>74</v>
      </c>
      <c r="F710" t="s">
        <v>13660</v>
      </c>
      <c r="G710" t="s">
        <v>74</v>
      </c>
      <c r="H710" t="s">
        <v>74</v>
      </c>
      <c r="I710" t="s">
        <v>13661</v>
      </c>
      <c r="J710" t="s">
        <v>13662</v>
      </c>
      <c r="K710" t="s">
        <v>74</v>
      </c>
      <c r="L710" t="s">
        <v>74</v>
      </c>
      <c r="M710" t="s">
        <v>78</v>
      </c>
      <c r="N710" t="s">
        <v>79</v>
      </c>
      <c r="O710" t="s">
        <v>74</v>
      </c>
      <c r="P710" t="s">
        <v>74</v>
      </c>
      <c r="Q710" t="s">
        <v>74</v>
      </c>
      <c r="R710" t="s">
        <v>74</v>
      </c>
      <c r="S710" t="s">
        <v>74</v>
      </c>
      <c r="T710" t="s">
        <v>13663</v>
      </c>
      <c r="U710" t="s">
        <v>13664</v>
      </c>
      <c r="V710" t="s">
        <v>13665</v>
      </c>
      <c r="W710" t="s">
        <v>13666</v>
      </c>
      <c r="X710" t="s">
        <v>74</v>
      </c>
      <c r="Y710" t="s">
        <v>13667</v>
      </c>
      <c r="Z710" t="s">
        <v>13668</v>
      </c>
      <c r="AA710" t="s">
        <v>13669</v>
      </c>
      <c r="AB710" t="s">
        <v>74</v>
      </c>
      <c r="AC710" t="s">
        <v>13670</v>
      </c>
      <c r="AD710" t="s">
        <v>13671</v>
      </c>
      <c r="AE710" t="s">
        <v>13672</v>
      </c>
      <c r="AF710" t="s">
        <v>74</v>
      </c>
      <c r="AG710">
        <v>109</v>
      </c>
      <c r="AH710">
        <v>22</v>
      </c>
      <c r="AI710">
        <v>24</v>
      </c>
      <c r="AJ710">
        <v>3</v>
      </c>
      <c r="AK710">
        <v>77</v>
      </c>
      <c r="AL710" t="s">
        <v>392</v>
      </c>
      <c r="AM710" t="s">
        <v>393</v>
      </c>
      <c r="AN710" t="s">
        <v>394</v>
      </c>
      <c r="AO710" t="s">
        <v>13673</v>
      </c>
      <c r="AP710" t="s">
        <v>74</v>
      </c>
      <c r="AQ710" t="s">
        <v>74</v>
      </c>
      <c r="AR710" t="s">
        <v>13674</v>
      </c>
      <c r="AS710" t="s">
        <v>13675</v>
      </c>
      <c r="AT710" t="s">
        <v>1448</v>
      </c>
      <c r="AU710">
        <v>2022</v>
      </c>
      <c r="AV710">
        <v>14</v>
      </c>
      <c r="AW710" t="s">
        <v>74</v>
      </c>
      <c r="AX710" t="s">
        <v>74</v>
      </c>
      <c r="AY710" t="s">
        <v>74</v>
      </c>
      <c r="AZ710" t="s">
        <v>74</v>
      </c>
      <c r="BA710" t="s">
        <v>74</v>
      </c>
      <c r="BB710" t="s">
        <v>74</v>
      </c>
      <c r="BC710" t="s">
        <v>74</v>
      </c>
      <c r="BD710">
        <v>863379</v>
      </c>
      <c r="BE710" t="s">
        <v>13676</v>
      </c>
      <c r="BF710" t="str">
        <f>HYPERLINK("http://dx.doi.org/10.3389/fnagi.2022.863379","http://dx.doi.org/10.3389/fnagi.2022.863379")</f>
        <v>http://dx.doi.org/10.3389/fnagi.2022.863379</v>
      </c>
      <c r="BG710" t="s">
        <v>74</v>
      </c>
      <c r="BH710" t="s">
        <v>74</v>
      </c>
      <c r="BI710">
        <v>8</v>
      </c>
      <c r="BJ710" t="s">
        <v>13677</v>
      </c>
      <c r="BK710" t="s">
        <v>102</v>
      </c>
      <c r="BL710" t="s">
        <v>13678</v>
      </c>
      <c r="BM710" t="s">
        <v>13679</v>
      </c>
      <c r="BN710">
        <v>35401147</v>
      </c>
      <c r="BO710" t="s">
        <v>355</v>
      </c>
      <c r="BP710" t="s">
        <v>74</v>
      </c>
      <c r="BQ710" t="s">
        <v>74</v>
      </c>
      <c r="BR710" t="s">
        <v>105</v>
      </c>
      <c r="BS710" t="s">
        <v>13680</v>
      </c>
      <c r="BT710" t="str">
        <f>HYPERLINK("https%3A%2F%2Fwww.webofscience.com%2Fwos%2Fwoscc%2Ffull-record%2FWOS:000780826200001","View Full Record in Web of Science")</f>
        <v>View Full Record in Web of Science</v>
      </c>
    </row>
    <row r="711" spans="1:72" x14ac:dyDescent="0.25">
      <c r="A711" t="s">
        <v>72</v>
      </c>
      <c r="B711" t="s">
        <v>13681</v>
      </c>
      <c r="C711" t="s">
        <v>74</v>
      </c>
      <c r="D711" t="s">
        <v>74</v>
      </c>
      <c r="E711" t="s">
        <v>74</v>
      </c>
      <c r="F711" t="s">
        <v>13682</v>
      </c>
      <c r="G711" t="s">
        <v>74</v>
      </c>
      <c r="H711" t="s">
        <v>74</v>
      </c>
      <c r="I711" t="s">
        <v>13683</v>
      </c>
      <c r="J711" t="s">
        <v>594</v>
      </c>
      <c r="K711" t="s">
        <v>74</v>
      </c>
      <c r="L711" t="s">
        <v>74</v>
      </c>
      <c r="M711" t="s">
        <v>78</v>
      </c>
      <c r="N711" t="s">
        <v>79</v>
      </c>
      <c r="O711" t="s">
        <v>74</v>
      </c>
      <c r="P711" t="s">
        <v>74</v>
      </c>
      <c r="Q711" t="s">
        <v>74</v>
      </c>
      <c r="R711" t="s">
        <v>74</v>
      </c>
      <c r="S711" t="s">
        <v>74</v>
      </c>
      <c r="T711" t="s">
        <v>13684</v>
      </c>
      <c r="U711" t="s">
        <v>13685</v>
      </c>
      <c r="V711" t="s">
        <v>13686</v>
      </c>
      <c r="W711" t="s">
        <v>13687</v>
      </c>
      <c r="X711" t="s">
        <v>74</v>
      </c>
      <c r="Y711" t="s">
        <v>13688</v>
      </c>
      <c r="Z711" t="s">
        <v>13689</v>
      </c>
      <c r="AA711" t="s">
        <v>13690</v>
      </c>
      <c r="AB711" t="s">
        <v>13691</v>
      </c>
      <c r="AC711" t="s">
        <v>13253</v>
      </c>
      <c r="AD711" t="s">
        <v>13254</v>
      </c>
      <c r="AE711" t="s">
        <v>13692</v>
      </c>
      <c r="AF711" t="s">
        <v>74</v>
      </c>
      <c r="AG711">
        <v>113</v>
      </c>
      <c r="AH711">
        <v>28</v>
      </c>
      <c r="AI711">
        <v>30</v>
      </c>
      <c r="AJ711">
        <v>2</v>
      </c>
      <c r="AK711">
        <v>38</v>
      </c>
      <c r="AL711" t="s">
        <v>274</v>
      </c>
      <c r="AM711" t="s">
        <v>275</v>
      </c>
      <c r="AN711" t="s">
        <v>276</v>
      </c>
      <c r="AO711" t="s">
        <v>74</v>
      </c>
      <c r="AP711" t="s">
        <v>606</v>
      </c>
      <c r="AQ711" t="s">
        <v>74</v>
      </c>
      <c r="AR711" t="s">
        <v>607</v>
      </c>
      <c r="AS711" t="s">
        <v>608</v>
      </c>
      <c r="AT711" t="s">
        <v>13693</v>
      </c>
      <c r="AU711">
        <v>2022</v>
      </c>
      <c r="AV711">
        <v>19</v>
      </c>
      <c r="AW711">
        <v>1</v>
      </c>
      <c r="AX711" t="s">
        <v>74</v>
      </c>
      <c r="AY711" t="s">
        <v>74</v>
      </c>
      <c r="AZ711" t="s">
        <v>74</v>
      </c>
      <c r="BA711" t="s">
        <v>74</v>
      </c>
      <c r="BB711" t="s">
        <v>74</v>
      </c>
      <c r="BC711" t="s">
        <v>74</v>
      </c>
      <c r="BD711">
        <v>27</v>
      </c>
      <c r="BE711" t="s">
        <v>13694</v>
      </c>
      <c r="BF711" t="str">
        <f>HYPERLINK("http://dx.doi.org/10.1186/s12984-022-01003-9","http://dx.doi.org/10.1186/s12984-022-01003-9")</f>
        <v>http://dx.doi.org/10.1186/s12984-022-01003-9</v>
      </c>
      <c r="BG711" t="s">
        <v>74</v>
      </c>
      <c r="BH711" t="s">
        <v>74</v>
      </c>
      <c r="BI711">
        <v>56</v>
      </c>
      <c r="BJ711" t="s">
        <v>611</v>
      </c>
      <c r="BK711" t="s">
        <v>102</v>
      </c>
      <c r="BL711" t="s">
        <v>612</v>
      </c>
      <c r="BM711" t="s">
        <v>13695</v>
      </c>
      <c r="BN711">
        <v>35292044</v>
      </c>
      <c r="BO711" t="s">
        <v>355</v>
      </c>
      <c r="BP711" t="s">
        <v>74</v>
      </c>
      <c r="BQ711" t="s">
        <v>74</v>
      </c>
      <c r="BR711" t="s">
        <v>105</v>
      </c>
      <c r="BS711" t="s">
        <v>13696</v>
      </c>
      <c r="BT711" t="str">
        <f>HYPERLINK("https%3A%2F%2Fwww.webofscience.com%2Fwos%2Fwoscc%2Ffull-record%2FWOS:000769437700001","View Full Record in Web of Science")</f>
        <v>View Full Record in Web of Science</v>
      </c>
    </row>
    <row r="712" spans="1:72" x14ac:dyDescent="0.25">
      <c r="A712" t="s">
        <v>72</v>
      </c>
      <c r="B712" t="s">
        <v>13697</v>
      </c>
      <c r="C712" t="s">
        <v>74</v>
      </c>
      <c r="D712" t="s">
        <v>74</v>
      </c>
      <c r="E712" t="s">
        <v>74</v>
      </c>
      <c r="F712" t="s">
        <v>13698</v>
      </c>
      <c r="G712" t="s">
        <v>74</v>
      </c>
      <c r="H712" t="s">
        <v>74</v>
      </c>
      <c r="I712" t="s">
        <v>13699</v>
      </c>
      <c r="J712" t="s">
        <v>382</v>
      </c>
      <c r="K712" t="s">
        <v>74</v>
      </c>
      <c r="L712" t="s">
        <v>74</v>
      </c>
      <c r="M712" t="s">
        <v>78</v>
      </c>
      <c r="N712" t="s">
        <v>79</v>
      </c>
      <c r="O712" t="s">
        <v>74</v>
      </c>
      <c r="P712" t="s">
        <v>74</v>
      </c>
      <c r="Q712" t="s">
        <v>74</v>
      </c>
      <c r="R712" t="s">
        <v>74</v>
      </c>
      <c r="S712" t="s">
        <v>74</v>
      </c>
      <c r="T712" t="s">
        <v>13700</v>
      </c>
      <c r="U712" t="s">
        <v>13701</v>
      </c>
      <c r="V712" t="s">
        <v>13702</v>
      </c>
      <c r="W712" t="s">
        <v>13703</v>
      </c>
      <c r="X712" t="s">
        <v>13704</v>
      </c>
      <c r="Y712" t="s">
        <v>13705</v>
      </c>
      <c r="Z712" t="s">
        <v>13706</v>
      </c>
      <c r="AA712" t="s">
        <v>13707</v>
      </c>
      <c r="AB712" t="s">
        <v>13708</v>
      </c>
      <c r="AC712" t="s">
        <v>74</v>
      </c>
      <c r="AD712" t="s">
        <v>74</v>
      </c>
      <c r="AE712" t="s">
        <v>74</v>
      </c>
      <c r="AF712" t="s">
        <v>74</v>
      </c>
      <c r="AG712">
        <v>99</v>
      </c>
      <c r="AH712">
        <v>3</v>
      </c>
      <c r="AI712">
        <v>4</v>
      </c>
      <c r="AJ712">
        <v>1</v>
      </c>
      <c r="AK712">
        <v>10</v>
      </c>
      <c r="AL712" t="s">
        <v>392</v>
      </c>
      <c r="AM712" t="s">
        <v>393</v>
      </c>
      <c r="AN712" t="s">
        <v>394</v>
      </c>
      <c r="AO712" t="s">
        <v>395</v>
      </c>
      <c r="AP712" t="s">
        <v>74</v>
      </c>
      <c r="AQ712" t="s">
        <v>74</v>
      </c>
      <c r="AR712" t="s">
        <v>396</v>
      </c>
      <c r="AS712" t="s">
        <v>397</v>
      </c>
      <c r="AT712" t="s">
        <v>5812</v>
      </c>
      <c r="AU712">
        <v>2022</v>
      </c>
      <c r="AV712">
        <v>13</v>
      </c>
      <c r="AW712" t="s">
        <v>74</v>
      </c>
      <c r="AX712" t="s">
        <v>74</v>
      </c>
      <c r="AY712" t="s">
        <v>74</v>
      </c>
      <c r="AZ712" t="s">
        <v>74</v>
      </c>
      <c r="BA712" t="s">
        <v>74</v>
      </c>
      <c r="BB712" t="s">
        <v>74</v>
      </c>
      <c r="BC712" t="s">
        <v>74</v>
      </c>
      <c r="BD712">
        <v>792295</v>
      </c>
      <c r="BE712" t="s">
        <v>13709</v>
      </c>
      <c r="BF712" t="str">
        <f>HYPERLINK("http://dx.doi.org/10.3389/fneur.2022.792295","http://dx.doi.org/10.3389/fneur.2022.792295")</f>
        <v>http://dx.doi.org/10.3389/fneur.2022.792295</v>
      </c>
      <c r="BG712" t="s">
        <v>74</v>
      </c>
      <c r="BH712" t="s">
        <v>74</v>
      </c>
      <c r="BI712">
        <v>22</v>
      </c>
      <c r="BJ712" t="s">
        <v>400</v>
      </c>
      <c r="BK712" t="s">
        <v>102</v>
      </c>
      <c r="BL712" t="s">
        <v>375</v>
      </c>
      <c r="BM712" t="s">
        <v>13710</v>
      </c>
      <c r="BN712">
        <v>35359657</v>
      </c>
      <c r="BO712" t="s">
        <v>355</v>
      </c>
      <c r="BP712" t="s">
        <v>74</v>
      </c>
      <c r="BQ712" t="s">
        <v>74</v>
      </c>
      <c r="BR712" t="s">
        <v>105</v>
      </c>
      <c r="BS712" t="s">
        <v>13711</v>
      </c>
      <c r="BT712" t="str">
        <f>HYPERLINK("https%3A%2F%2Fwww.webofscience.com%2Fwos%2Fwoscc%2Ffull-record%2FWOS:000783868900001","View Full Record in Web of Science")</f>
        <v>View Full Record in Web of Science</v>
      </c>
    </row>
    <row r="713" spans="1:72" x14ac:dyDescent="0.25">
      <c r="A713" t="s">
        <v>72</v>
      </c>
      <c r="B713" t="s">
        <v>13712</v>
      </c>
      <c r="C713" t="s">
        <v>74</v>
      </c>
      <c r="D713" t="s">
        <v>74</v>
      </c>
      <c r="E713" t="s">
        <v>74</v>
      </c>
      <c r="F713" t="s">
        <v>13713</v>
      </c>
      <c r="G713" t="s">
        <v>74</v>
      </c>
      <c r="H713" t="s">
        <v>74</v>
      </c>
      <c r="I713" t="s">
        <v>13714</v>
      </c>
      <c r="J713" t="s">
        <v>9225</v>
      </c>
      <c r="K713" t="s">
        <v>74</v>
      </c>
      <c r="L713" t="s">
        <v>74</v>
      </c>
      <c r="M713" t="s">
        <v>78</v>
      </c>
      <c r="N713" t="s">
        <v>79</v>
      </c>
      <c r="O713" t="s">
        <v>74</v>
      </c>
      <c r="P713" t="s">
        <v>74</v>
      </c>
      <c r="Q713" t="s">
        <v>74</v>
      </c>
      <c r="R713" t="s">
        <v>74</v>
      </c>
      <c r="S713" t="s">
        <v>74</v>
      </c>
      <c r="T713" t="s">
        <v>13715</v>
      </c>
      <c r="U713" t="s">
        <v>13716</v>
      </c>
      <c r="V713" t="s">
        <v>13717</v>
      </c>
      <c r="W713" t="s">
        <v>13718</v>
      </c>
      <c r="X713" t="s">
        <v>13719</v>
      </c>
      <c r="Y713" t="s">
        <v>13720</v>
      </c>
      <c r="Z713" t="s">
        <v>13721</v>
      </c>
      <c r="AA713" t="s">
        <v>13722</v>
      </c>
      <c r="AB713" t="s">
        <v>74</v>
      </c>
      <c r="AC713" t="s">
        <v>74</v>
      </c>
      <c r="AD713" t="s">
        <v>74</v>
      </c>
      <c r="AE713" t="s">
        <v>74</v>
      </c>
      <c r="AF713" t="s">
        <v>74</v>
      </c>
      <c r="AG713">
        <v>154</v>
      </c>
      <c r="AH713">
        <v>9</v>
      </c>
      <c r="AI713">
        <v>9</v>
      </c>
      <c r="AJ713">
        <v>1</v>
      </c>
      <c r="AK713">
        <v>13</v>
      </c>
      <c r="AL713" t="s">
        <v>392</v>
      </c>
      <c r="AM713" t="s">
        <v>393</v>
      </c>
      <c r="AN713" t="s">
        <v>394</v>
      </c>
      <c r="AO713" t="s">
        <v>74</v>
      </c>
      <c r="AP713" t="s">
        <v>9234</v>
      </c>
      <c r="AQ713" t="s">
        <v>74</v>
      </c>
      <c r="AR713" t="s">
        <v>9235</v>
      </c>
      <c r="AS713" t="s">
        <v>9236</v>
      </c>
      <c r="AT713" t="s">
        <v>6701</v>
      </c>
      <c r="AU713">
        <v>2022</v>
      </c>
      <c r="AV713">
        <v>3</v>
      </c>
      <c r="AW713" t="s">
        <v>74</v>
      </c>
      <c r="AX713" t="s">
        <v>74</v>
      </c>
      <c r="AY713" t="s">
        <v>74</v>
      </c>
      <c r="AZ713" t="s">
        <v>74</v>
      </c>
      <c r="BA713" t="s">
        <v>74</v>
      </c>
      <c r="BB713" t="s">
        <v>74</v>
      </c>
      <c r="BC713" t="s">
        <v>74</v>
      </c>
      <c r="BD713">
        <v>789479</v>
      </c>
      <c r="BE713" t="s">
        <v>13723</v>
      </c>
      <c r="BF713" t="str">
        <f>HYPERLINK("http://dx.doi.org/10.3389/fresc.2022.789479","http://dx.doi.org/10.3389/fresc.2022.789479")</f>
        <v>http://dx.doi.org/10.3389/fresc.2022.789479</v>
      </c>
      <c r="BG713" t="s">
        <v>74</v>
      </c>
      <c r="BH713" t="s">
        <v>74</v>
      </c>
      <c r="BI713">
        <v>15</v>
      </c>
      <c r="BJ713" t="s">
        <v>101</v>
      </c>
      <c r="BK713" t="s">
        <v>155</v>
      </c>
      <c r="BL713" t="s">
        <v>101</v>
      </c>
      <c r="BM713" t="s">
        <v>13724</v>
      </c>
      <c r="BN713">
        <v>36188924</v>
      </c>
      <c r="BO713" t="s">
        <v>355</v>
      </c>
      <c r="BP713" t="s">
        <v>74</v>
      </c>
      <c r="BQ713" t="s">
        <v>74</v>
      </c>
      <c r="BR713" t="s">
        <v>105</v>
      </c>
      <c r="BS713" t="s">
        <v>13725</v>
      </c>
      <c r="BT713" t="str">
        <f>HYPERLINK("https%3A%2F%2Fwww.webofscience.com%2Fwos%2Fwoscc%2Ffull-record%2FWOS:001006644900001","View Full Record in Web of Science")</f>
        <v>View Full Record in Web of Science</v>
      </c>
    </row>
    <row r="714" spans="1:72" x14ac:dyDescent="0.25">
      <c r="A714" t="s">
        <v>72</v>
      </c>
      <c r="B714" t="s">
        <v>13726</v>
      </c>
      <c r="C714" t="s">
        <v>74</v>
      </c>
      <c r="D714" t="s">
        <v>74</v>
      </c>
      <c r="E714" t="s">
        <v>74</v>
      </c>
      <c r="F714" t="s">
        <v>13727</v>
      </c>
      <c r="G714" t="s">
        <v>74</v>
      </c>
      <c r="H714" t="s">
        <v>74</v>
      </c>
      <c r="I714" t="s">
        <v>13728</v>
      </c>
      <c r="J714" t="s">
        <v>2690</v>
      </c>
      <c r="K714" t="s">
        <v>74</v>
      </c>
      <c r="L714" t="s">
        <v>74</v>
      </c>
      <c r="M714" t="s">
        <v>78</v>
      </c>
      <c r="N714" t="s">
        <v>79</v>
      </c>
      <c r="O714" t="s">
        <v>74</v>
      </c>
      <c r="P714" t="s">
        <v>74</v>
      </c>
      <c r="Q714" t="s">
        <v>74</v>
      </c>
      <c r="R714" t="s">
        <v>74</v>
      </c>
      <c r="S714" t="s">
        <v>74</v>
      </c>
      <c r="T714" t="s">
        <v>13729</v>
      </c>
      <c r="U714" t="s">
        <v>13730</v>
      </c>
      <c r="V714" t="s">
        <v>13731</v>
      </c>
      <c r="W714" t="s">
        <v>13732</v>
      </c>
      <c r="X714" t="s">
        <v>13733</v>
      </c>
      <c r="Y714" t="s">
        <v>13734</v>
      </c>
      <c r="Z714" t="s">
        <v>13735</v>
      </c>
      <c r="AA714" t="s">
        <v>13736</v>
      </c>
      <c r="AB714" t="s">
        <v>13737</v>
      </c>
      <c r="AC714" t="s">
        <v>74</v>
      </c>
      <c r="AD714" t="s">
        <v>74</v>
      </c>
      <c r="AE714" t="s">
        <v>74</v>
      </c>
      <c r="AF714" t="s">
        <v>74</v>
      </c>
      <c r="AG714">
        <v>105</v>
      </c>
      <c r="AH714">
        <v>83</v>
      </c>
      <c r="AI714">
        <v>87</v>
      </c>
      <c r="AJ714">
        <v>44</v>
      </c>
      <c r="AK714">
        <v>391</v>
      </c>
      <c r="AL714" t="s">
        <v>120</v>
      </c>
      <c r="AM714" t="s">
        <v>121</v>
      </c>
      <c r="AN714" t="s">
        <v>122</v>
      </c>
      <c r="AO714" t="s">
        <v>74</v>
      </c>
      <c r="AP714" t="s">
        <v>2698</v>
      </c>
      <c r="AQ714" t="s">
        <v>74</v>
      </c>
      <c r="AR714" t="s">
        <v>2690</v>
      </c>
      <c r="AS714" t="s">
        <v>2699</v>
      </c>
      <c r="AT714" t="s">
        <v>1471</v>
      </c>
      <c r="AU714">
        <v>2022</v>
      </c>
      <c r="AV714">
        <v>11</v>
      </c>
      <c r="AW714">
        <v>3</v>
      </c>
      <c r="AX714" t="s">
        <v>74</v>
      </c>
      <c r="AY714" t="s">
        <v>74</v>
      </c>
      <c r="AZ714" t="s">
        <v>74</v>
      </c>
      <c r="BA714" t="s">
        <v>74</v>
      </c>
      <c r="BB714" t="s">
        <v>74</v>
      </c>
      <c r="BC714" t="s">
        <v>74</v>
      </c>
      <c r="BD714">
        <v>92</v>
      </c>
      <c r="BE714" t="s">
        <v>13738</v>
      </c>
      <c r="BF714" t="str">
        <f>HYPERLINK("http://dx.doi.org/10.3390/act11030092","http://dx.doi.org/10.3390/act11030092")</f>
        <v>http://dx.doi.org/10.3390/act11030092</v>
      </c>
      <c r="BG714" t="s">
        <v>74</v>
      </c>
      <c r="BH714" t="s">
        <v>74</v>
      </c>
      <c r="BI714">
        <v>14</v>
      </c>
      <c r="BJ714" t="s">
        <v>2701</v>
      </c>
      <c r="BK714" t="s">
        <v>182</v>
      </c>
      <c r="BL714" t="s">
        <v>2702</v>
      </c>
      <c r="BM714" t="s">
        <v>13739</v>
      </c>
      <c r="BN714" t="s">
        <v>74</v>
      </c>
      <c r="BO714" t="s">
        <v>185</v>
      </c>
      <c r="BP714" t="s">
        <v>74</v>
      </c>
      <c r="BQ714" t="s">
        <v>74</v>
      </c>
      <c r="BR714" t="s">
        <v>105</v>
      </c>
      <c r="BS714" t="s">
        <v>13740</v>
      </c>
      <c r="BT714" t="str">
        <f>HYPERLINK("https%3A%2F%2Fwww.webofscience.com%2Fwos%2Fwoscc%2Ffull-record%2FWOS:000775431000001","View Full Record in Web of Science")</f>
        <v>View Full Record in Web of Science</v>
      </c>
    </row>
    <row r="715" spans="1:72" x14ac:dyDescent="0.25">
      <c r="A715" t="s">
        <v>72</v>
      </c>
      <c r="B715" t="s">
        <v>13741</v>
      </c>
      <c r="C715" t="s">
        <v>74</v>
      </c>
      <c r="D715" t="s">
        <v>74</v>
      </c>
      <c r="E715" t="s">
        <v>74</v>
      </c>
      <c r="F715" t="s">
        <v>13742</v>
      </c>
      <c r="G715" t="s">
        <v>74</v>
      </c>
      <c r="H715" t="s">
        <v>74</v>
      </c>
      <c r="I715" t="s">
        <v>13743</v>
      </c>
      <c r="J715" t="s">
        <v>4514</v>
      </c>
      <c r="K715" t="s">
        <v>74</v>
      </c>
      <c r="L715" t="s">
        <v>74</v>
      </c>
      <c r="M715" t="s">
        <v>78</v>
      </c>
      <c r="N715" t="s">
        <v>79</v>
      </c>
      <c r="O715" t="s">
        <v>74</v>
      </c>
      <c r="P715" t="s">
        <v>74</v>
      </c>
      <c r="Q715" t="s">
        <v>74</v>
      </c>
      <c r="R715" t="s">
        <v>74</v>
      </c>
      <c r="S715" t="s">
        <v>74</v>
      </c>
      <c r="T715" t="s">
        <v>13744</v>
      </c>
      <c r="U715" t="s">
        <v>13745</v>
      </c>
      <c r="V715" t="s">
        <v>13746</v>
      </c>
      <c r="W715" t="s">
        <v>13747</v>
      </c>
      <c r="X715" t="s">
        <v>7558</v>
      </c>
      <c r="Y715" t="s">
        <v>13748</v>
      </c>
      <c r="Z715" t="s">
        <v>7560</v>
      </c>
      <c r="AA715" t="s">
        <v>13749</v>
      </c>
      <c r="AB715" t="s">
        <v>13750</v>
      </c>
      <c r="AC715" t="s">
        <v>13751</v>
      </c>
      <c r="AD715" t="s">
        <v>13752</v>
      </c>
      <c r="AE715" t="s">
        <v>13753</v>
      </c>
      <c r="AF715" t="s">
        <v>74</v>
      </c>
      <c r="AG715">
        <v>617</v>
      </c>
      <c r="AH715">
        <v>363</v>
      </c>
      <c r="AI715">
        <v>376</v>
      </c>
      <c r="AJ715">
        <v>177</v>
      </c>
      <c r="AK715">
        <v>1900</v>
      </c>
      <c r="AL715" t="s">
        <v>2998</v>
      </c>
      <c r="AM715" t="s">
        <v>2999</v>
      </c>
      <c r="AN715" t="s">
        <v>3000</v>
      </c>
      <c r="AO715" t="s">
        <v>4527</v>
      </c>
      <c r="AP715" t="s">
        <v>4528</v>
      </c>
      <c r="AQ715" t="s">
        <v>74</v>
      </c>
      <c r="AR715" t="s">
        <v>4529</v>
      </c>
      <c r="AS715" t="s">
        <v>4530</v>
      </c>
      <c r="AT715" t="s">
        <v>487</v>
      </c>
      <c r="AU715">
        <v>2022</v>
      </c>
      <c r="AV715">
        <v>34</v>
      </c>
      <c r="AW715">
        <v>16</v>
      </c>
      <c r="AX715" t="s">
        <v>74</v>
      </c>
      <c r="AY715" t="s">
        <v>74</v>
      </c>
      <c r="AZ715" t="s">
        <v>74</v>
      </c>
      <c r="BA715" t="s">
        <v>74</v>
      </c>
      <c r="BB715" t="s">
        <v>74</v>
      </c>
      <c r="BC715" t="s">
        <v>74</v>
      </c>
      <c r="BD715">
        <v>2107902</v>
      </c>
      <c r="BE715" t="s">
        <v>13754</v>
      </c>
      <c r="BF715" t="str">
        <f>HYPERLINK("http://dx.doi.org/10.1002/adma.202107902","http://dx.doi.org/10.1002/adma.202107902")</f>
        <v>http://dx.doi.org/10.1002/adma.202107902</v>
      </c>
      <c r="BG715" t="s">
        <v>74</v>
      </c>
      <c r="BH715" t="s">
        <v>4670</v>
      </c>
      <c r="BI715">
        <v>48</v>
      </c>
      <c r="BJ715" t="s">
        <v>3702</v>
      </c>
      <c r="BK715" t="s">
        <v>102</v>
      </c>
      <c r="BL715" t="s">
        <v>3703</v>
      </c>
      <c r="BM715" t="s">
        <v>13755</v>
      </c>
      <c r="BN715">
        <v>34897836</v>
      </c>
      <c r="BO715" t="s">
        <v>13756</v>
      </c>
      <c r="BP715" t="s">
        <v>869</v>
      </c>
      <c r="BQ715" t="s">
        <v>870</v>
      </c>
      <c r="BR715" t="s">
        <v>105</v>
      </c>
      <c r="BS715" t="s">
        <v>13757</v>
      </c>
      <c r="BT715" t="str">
        <f>HYPERLINK("https%3A%2F%2Fwww.webofscience.com%2Fwos%2Fwoscc%2Ffull-record%2FWOS:000760886300001","View Full Record in Web of Science")</f>
        <v>View Full Record in Web of Science</v>
      </c>
    </row>
    <row r="716" spans="1:72" x14ac:dyDescent="0.25">
      <c r="A716" t="s">
        <v>72</v>
      </c>
      <c r="B716" t="s">
        <v>13758</v>
      </c>
      <c r="C716" t="s">
        <v>74</v>
      </c>
      <c r="D716" t="s">
        <v>74</v>
      </c>
      <c r="E716" t="s">
        <v>74</v>
      </c>
      <c r="F716" t="s">
        <v>13759</v>
      </c>
      <c r="G716" t="s">
        <v>74</v>
      </c>
      <c r="H716" t="s">
        <v>74</v>
      </c>
      <c r="I716" t="s">
        <v>13760</v>
      </c>
      <c r="J716" t="s">
        <v>13761</v>
      </c>
      <c r="K716" t="s">
        <v>74</v>
      </c>
      <c r="L716" t="s">
        <v>74</v>
      </c>
      <c r="M716" t="s">
        <v>78</v>
      </c>
      <c r="N716" t="s">
        <v>79</v>
      </c>
      <c r="O716" t="s">
        <v>74</v>
      </c>
      <c r="P716" t="s">
        <v>74</v>
      </c>
      <c r="Q716" t="s">
        <v>74</v>
      </c>
      <c r="R716" t="s">
        <v>74</v>
      </c>
      <c r="S716" t="s">
        <v>74</v>
      </c>
      <c r="T716" t="s">
        <v>13762</v>
      </c>
      <c r="U716" t="s">
        <v>13763</v>
      </c>
      <c r="V716" t="s">
        <v>13764</v>
      </c>
      <c r="W716" t="s">
        <v>13765</v>
      </c>
      <c r="X716" t="s">
        <v>13766</v>
      </c>
      <c r="Y716" t="s">
        <v>13767</v>
      </c>
      <c r="Z716" t="s">
        <v>13768</v>
      </c>
      <c r="AA716" t="s">
        <v>13769</v>
      </c>
      <c r="AB716" t="s">
        <v>13770</v>
      </c>
      <c r="AC716" t="s">
        <v>74</v>
      </c>
      <c r="AD716" t="s">
        <v>74</v>
      </c>
      <c r="AE716" t="s">
        <v>74</v>
      </c>
      <c r="AF716" t="s">
        <v>74</v>
      </c>
      <c r="AG716">
        <v>65</v>
      </c>
      <c r="AH716">
        <v>0</v>
      </c>
      <c r="AI716">
        <v>0</v>
      </c>
      <c r="AJ716">
        <v>0</v>
      </c>
      <c r="AK716">
        <v>6</v>
      </c>
      <c r="AL716" t="s">
        <v>226</v>
      </c>
      <c r="AM716" t="s">
        <v>227</v>
      </c>
      <c r="AN716" t="s">
        <v>228</v>
      </c>
      <c r="AO716" t="s">
        <v>13771</v>
      </c>
      <c r="AP716" t="s">
        <v>13772</v>
      </c>
      <c r="AQ716" t="s">
        <v>74</v>
      </c>
      <c r="AR716" t="s">
        <v>13773</v>
      </c>
      <c r="AS716" t="s">
        <v>13774</v>
      </c>
      <c r="AT716" t="s">
        <v>11314</v>
      </c>
      <c r="AU716">
        <v>2022</v>
      </c>
      <c r="AV716">
        <v>43</v>
      </c>
      <c r="AW716">
        <v>2</v>
      </c>
      <c r="AX716" t="s">
        <v>74</v>
      </c>
      <c r="AY716" t="s">
        <v>74</v>
      </c>
      <c r="AZ716" t="s">
        <v>74</v>
      </c>
      <c r="BA716" t="s">
        <v>74</v>
      </c>
      <c r="BB716" t="s">
        <v>74</v>
      </c>
      <c r="BC716" t="s">
        <v>74</v>
      </c>
      <c r="BD716">
        <v>103386</v>
      </c>
      <c r="BE716" t="s">
        <v>13775</v>
      </c>
      <c r="BF716" t="str">
        <f>HYPERLINK("http://dx.doi.org/10.1016/j.amjoto.2022.103386","http://dx.doi.org/10.1016/j.amjoto.2022.103386")</f>
        <v>http://dx.doi.org/10.1016/j.amjoto.2022.103386</v>
      </c>
      <c r="BG716" t="s">
        <v>74</v>
      </c>
      <c r="BH716" t="s">
        <v>4670</v>
      </c>
      <c r="BI716">
        <v>6</v>
      </c>
      <c r="BJ716" t="s">
        <v>5169</v>
      </c>
      <c r="BK716" t="s">
        <v>182</v>
      </c>
      <c r="BL716" t="s">
        <v>5169</v>
      </c>
      <c r="BM716" t="s">
        <v>13776</v>
      </c>
      <c r="BN716">
        <v>35158265</v>
      </c>
      <c r="BO716" t="s">
        <v>74</v>
      </c>
      <c r="BP716" t="s">
        <v>74</v>
      </c>
      <c r="BQ716" t="s">
        <v>74</v>
      </c>
      <c r="BR716" t="s">
        <v>105</v>
      </c>
      <c r="BS716" t="s">
        <v>13777</v>
      </c>
      <c r="BT716" t="str">
        <f>HYPERLINK("https%3A%2F%2Fwww.webofscience.com%2Fwos%2Fwoscc%2Ffull-record%2FWOS:000788869300006","View Full Record in Web of Science")</f>
        <v>View Full Record in Web of Science</v>
      </c>
    </row>
    <row r="717" spans="1:72" x14ac:dyDescent="0.25">
      <c r="A717" t="s">
        <v>72</v>
      </c>
      <c r="B717" t="s">
        <v>13778</v>
      </c>
      <c r="C717" t="s">
        <v>74</v>
      </c>
      <c r="D717" t="s">
        <v>74</v>
      </c>
      <c r="E717" t="s">
        <v>74</v>
      </c>
      <c r="F717" t="s">
        <v>13779</v>
      </c>
      <c r="G717" t="s">
        <v>74</v>
      </c>
      <c r="H717" t="s">
        <v>74</v>
      </c>
      <c r="I717" t="s">
        <v>13780</v>
      </c>
      <c r="J717" t="s">
        <v>4263</v>
      </c>
      <c r="K717" t="s">
        <v>74</v>
      </c>
      <c r="L717" t="s">
        <v>74</v>
      </c>
      <c r="M717" t="s">
        <v>78</v>
      </c>
      <c r="N717" t="s">
        <v>79</v>
      </c>
      <c r="O717" t="s">
        <v>74</v>
      </c>
      <c r="P717" t="s">
        <v>74</v>
      </c>
      <c r="Q717" t="s">
        <v>74</v>
      </c>
      <c r="R717" t="s">
        <v>74</v>
      </c>
      <c r="S717" t="s">
        <v>74</v>
      </c>
      <c r="T717" t="s">
        <v>13781</v>
      </c>
      <c r="U717" t="s">
        <v>13782</v>
      </c>
      <c r="V717" t="s">
        <v>13783</v>
      </c>
      <c r="W717" t="s">
        <v>13784</v>
      </c>
      <c r="X717" t="s">
        <v>13785</v>
      </c>
      <c r="Y717" t="s">
        <v>13786</v>
      </c>
      <c r="Z717" t="s">
        <v>13787</v>
      </c>
      <c r="AA717" t="s">
        <v>13788</v>
      </c>
      <c r="AB717" t="s">
        <v>13789</v>
      </c>
      <c r="AC717" t="s">
        <v>74</v>
      </c>
      <c r="AD717" t="s">
        <v>74</v>
      </c>
      <c r="AE717" t="s">
        <v>74</v>
      </c>
      <c r="AF717" t="s">
        <v>74</v>
      </c>
      <c r="AG717">
        <v>121</v>
      </c>
      <c r="AH717">
        <v>10</v>
      </c>
      <c r="AI717">
        <v>10</v>
      </c>
      <c r="AJ717">
        <v>2</v>
      </c>
      <c r="AK717">
        <v>15</v>
      </c>
      <c r="AL717" t="s">
        <v>392</v>
      </c>
      <c r="AM717" t="s">
        <v>393</v>
      </c>
      <c r="AN717" t="s">
        <v>394</v>
      </c>
      <c r="AO717" t="s">
        <v>74</v>
      </c>
      <c r="AP717" t="s">
        <v>4274</v>
      </c>
      <c r="AQ717" t="s">
        <v>74</v>
      </c>
      <c r="AR717" t="s">
        <v>4275</v>
      </c>
      <c r="AS717" t="s">
        <v>4276</v>
      </c>
      <c r="AT717" t="s">
        <v>6822</v>
      </c>
      <c r="AU717">
        <v>2022</v>
      </c>
      <c r="AV717">
        <v>9</v>
      </c>
      <c r="AW717" t="s">
        <v>74</v>
      </c>
      <c r="AX717" t="s">
        <v>74</v>
      </c>
      <c r="AY717" t="s">
        <v>74</v>
      </c>
      <c r="AZ717" t="s">
        <v>74</v>
      </c>
      <c r="BA717" t="s">
        <v>74</v>
      </c>
      <c r="BB717" t="s">
        <v>74</v>
      </c>
      <c r="BC717" t="s">
        <v>74</v>
      </c>
      <c r="BD717">
        <v>783565</v>
      </c>
      <c r="BE717" t="s">
        <v>13790</v>
      </c>
      <c r="BF717" t="str">
        <f>HYPERLINK("http://dx.doi.org/10.3389/fpubh.2021.783565","http://dx.doi.org/10.3389/fpubh.2021.783565")</f>
        <v>http://dx.doi.org/10.3389/fpubh.2021.783565</v>
      </c>
      <c r="BG717" t="s">
        <v>74</v>
      </c>
      <c r="BH717" t="s">
        <v>74</v>
      </c>
      <c r="BI717">
        <v>12</v>
      </c>
      <c r="BJ717" t="s">
        <v>2512</v>
      </c>
      <c r="BK717" t="s">
        <v>102</v>
      </c>
      <c r="BL717" t="s">
        <v>2512</v>
      </c>
      <c r="BM717" t="s">
        <v>13791</v>
      </c>
      <c r="BN717">
        <v>35198531</v>
      </c>
      <c r="BO717" t="s">
        <v>11550</v>
      </c>
      <c r="BP717" t="s">
        <v>74</v>
      </c>
      <c r="BQ717" t="s">
        <v>74</v>
      </c>
      <c r="BR717" t="s">
        <v>105</v>
      </c>
      <c r="BS717" t="s">
        <v>13792</v>
      </c>
      <c r="BT717" t="str">
        <f>HYPERLINK("https%3A%2F%2Fwww.webofscience.com%2Fwos%2Fwoscc%2Ffull-record%2FWOS:000761029400001","View Full Record in Web of Science")</f>
        <v>View Full Record in Web of Science</v>
      </c>
    </row>
    <row r="718" spans="1:72" x14ac:dyDescent="0.25">
      <c r="A718" t="s">
        <v>72</v>
      </c>
      <c r="B718" t="s">
        <v>13793</v>
      </c>
      <c r="C718" t="s">
        <v>74</v>
      </c>
      <c r="D718" t="s">
        <v>74</v>
      </c>
      <c r="E718" t="s">
        <v>74</v>
      </c>
      <c r="F718" t="s">
        <v>13794</v>
      </c>
      <c r="G718" t="s">
        <v>74</v>
      </c>
      <c r="H718" t="s">
        <v>74</v>
      </c>
      <c r="I718" t="s">
        <v>13795</v>
      </c>
      <c r="J718" t="s">
        <v>13796</v>
      </c>
      <c r="K718" t="s">
        <v>74</v>
      </c>
      <c r="L718" t="s">
        <v>74</v>
      </c>
      <c r="M718" t="s">
        <v>78</v>
      </c>
      <c r="N718" t="s">
        <v>79</v>
      </c>
      <c r="O718" t="s">
        <v>74</v>
      </c>
      <c r="P718" t="s">
        <v>74</v>
      </c>
      <c r="Q718" t="s">
        <v>74</v>
      </c>
      <c r="R718" t="s">
        <v>74</v>
      </c>
      <c r="S718" t="s">
        <v>74</v>
      </c>
      <c r="T718" t="s">
        <v>13797</v>
      </c>
      <c r="U718" t="s">
        <v>13798</v>
      </c>
      <c r="V718" t="s">
        <v>13799</v>
      </c>
      <c r="W718" t="s">
        <v>13800</v>
      </c>
      <c r="X718" t="s">
        <v>74</v>
      </c>
      <c r="Y718" t="s">
        <v>13801</v>
      </c>
      <c r="Z718" t="s">
        <v>13802</v>
      </c>
      <c r="AA718" t="s">
        <v>13803</v>
      </c>
      <c r="AB718" t="s">
        <v>74</v>
      </c>
      <c r="AC718" t="s">
        <v>74</v>
      </c>
      <c r="AD718" t="s">
        <v>74</v>
      </c>
      <c r="AE718" t="s">
        <v>74</v>
      </c>
      <c r="AF718" t="s">
        <v>74</v>
      </c>
      <c r="AG718">
        <v>29</v>
      </c>
      <c r="AH718">
        <v>5</v>
      </c>
      <c r="AI718">
        <v>5</v>
      </c>
      <c r="AJ718">
        <v>1</v>
      </c>
      <c r="AK718">
        <v>17</v>
      </c>
      <c r="AL718" t="s">
        <v>13804</v>
      </c>
      <c r="AM718" t="s">
        <v>93</v>
      </c>
      <c r="AN718" t="s">
        <v>13805</v>
      </c>
      <c r="AO718" t="s">
        <v>13806</v>
      </c>
      <c r="AP718" t="s">
        <v>13807</v>
      </c>
      <c r="AQ718" t="s">
        <v>74</v>
      </c>
      <c r="AR718" t="s">
        <v>13808</v>
      </c>
      <c r="AS718" t="s">
        <v>13809</v>
      </c>
      <c r="AT718" t="s">
        <v>863</v>
      </c>
      <c r="AU718">
        <v>2022</v>
      </c>
      <c r="AV718">
        <v>43</v>
      </c>
      <c r="AW718">
        <v>1</v>
      </c>
      <c r="AX718" t="s">
        <v>74</v>
      </c>
      <c r="AY718" t="s">
        <v>74</v>
      </c>
      <c r="AZ718" t="s">
        <v>74</v>
      </c>
      <c r="BA718" t="s">
        <v>74</v>
      </c>
      <c r="BB718">
        <v>132</v>
      </c>
      <c r="BC718">
        <v>178</v>
      </c>
      <c r="BD718" t="s">
        <v>74</v>
      </c>
      <c r="BE718" t="s">
        <v>13810</v>
      </c>
      <c r="BF718" t="str">
        <f>HYPERLINK("http://dx.doi.org/10.1080/02109395.2021.2009677","http://dx.doi.org/10.1080/02109395.2021.2009677")</f>
        <v>http://dx.doi.org/10.1080/02109395.2021.2009677</v>
      </c>
      <c r="BG718" t="s">
        <v>74</v>
      </c>
      <c r="BH718" t="s">
        <v>4670</v>
      </c>
      <c r="BI718">
        <v>47</v>
      </c>
      <c r="BJ718" t="s">
        <v>8001</v>
      </c>
      <c r="BK718" t="s">
        <v>462</v>
      </c>
      <c r="BL718" t="s">
        <v>565</v>
      </c>
      <c r="BM718" t="s">
        <v>13811</v>
      </c>
      <c r="BN718" t="s">
        <v>74</v>
      </c>
      <c r="BO718" t="s">
        <v>74</v>
      </c>
      <c r="BP718" t="s">
        <v>74</v>
      </c>
      <c r="BQ718" t="s">
        <v>74</v>
      </c>
      <c r="BR718" t="s">
        <v>105</v>
      </c>
      <c r="BS718" t="s">
        <v>13812</v>
      </c>
      <c r="BT718" t="str">
        <f>HYPERLINK("https%3A%2F%2Fwww.webofscience.com%2Fwos%2Fwoscc%2Ffull-record%2FWOS:000753759200001","View Full Record in Web of Science")</f>
        <v>View Full Record in Web of Science</v>
      </c>
    </row>
    <row r="719" spans="1:72" x14ac:dyDescent="0.25">
      <c r="A719" t="s">
        <v>72</v>
      </c>
      <c r="B719" t="s">
        <v>13813</v>
      </c>
      <c r="C719" t="s">
        <v>74</v>
      </c>
      <c r="D719" t="s">
        <v>74</v>
      </c>
      <c r="E719" t="s">
        <v>74</v>
      </c>
      <c r="F719" t="s">
        <v>13814</v>
      </c>
      <c r="G719" t="s">
        <v>74</v>
      </c>
      <c r="H719" t="s">
        <v>74</v>
      </c>
      <c r="I719" t="s">
        <v>13815</v>
      </c>
      <c r="J719" t="s">
        <v>13816</v>
      </c>
      <c r="K719" t="s">
        <v>74</v>
      </c>
      <c r="L719" t="s">
        <v>74</v>
      </c>
      <c r="M719" t="s">
        <v>78</v>
      </c>
      <c r="N719" t="s">
        <v>79</v>
      </c>
      <c r="O719" t="s">
        <v>74</v>
      </c>
      <c r="P719" t="s">
        <v>74</v>
      </c>
      <c r="Q719" t="s">
        <v>74</v>
      </c>
      <c r="R719" t="s">
        <v>74</v>
      </c>
      <c r="S719" t="s">
        <v>74</v>
      </c>
      <c r="T719" t="s">
        <v>13817</v>
      </c>
      <c r="U719" t="s">
        <v>5356</v>
      </c>
      <c r="V719" t="s">
        <v>13818</v>
      </c>
      <c r="W719" t="s">
        <v>13819</v>
      </c>
      <c r="X719" t="s">
        <v>13820</v>
      </c>
      <c r="Y719" t="s">
        <v>13821</v>
      </c>
      <c r="Z719" t="s">
        <v>74</v>
      </c>
      <c r="AA719" t="s">
        <v>74</v>
      </c>
      <c r="AB719" t="s">
        <v>74</v>
      </c>
      <c r="AC719" t="s">
        <v>74</v>
      </c>
      <c r="AD719" t="s">
        <v>74</v>
      </c>
      <c r="AE719" t="s">
        <v>74</v>
      </c>
      <c r="AF719" t="s">
        <v>74</v>
      </c>
      <c r="AG719">
        <v>11</v>
      </c>
      <c r="AH719">
        <v>5</v>
      </c>
      <c r="AI719">
        <v>5</v>
      </c>
      <c r="AJ719">
        <v>1</v>
      </c>
      <c r="AK719">
        <v>5</v>
      </c>
      <c r="AL719" t="s">
        <v>13822</v>
      </c>
      <c r="AM719" t="s">
        <v>13823</v>
      </c>
      <c r="AN719" t="s">
        <v>13824</v>
      </c>
      <c r="AO719" t="s">
        <v>13825</v>
      </c>
      <c r="AP719" t="s">
        <v>13826</v>
      </c>
      <c r="AQ719" t="s">
        <v>74</v>
      </c>
      <c r="AR719" t="s">
        <v>13827</v>
      </c>
      <c r="AS719" t="s">
        <v>13828</v>
      </c>
      <c r="AT719" t="s">
        <v>351</v>
      </c>
      <c r="AU719">
        <v>2022</v>
      </c>
      <c r="AV719">
        <v>69</v>
      </c>
      <c r="AW719" t="s">
        <v>13829</v>
      </c>
      <c r="AX719" t="s">
        <v>74</v>
      </c>
      <c r="AY719" t="s">
        <v>74</v>
      </c>
      <c r="AZ719" t="s">
        <v>74</v>
      </c>
      <c r="BA719" t="s">
        <v>74</v>
      </c>
      <c r="BB719">
        <v>145</v>
      </c>
      <c r="BC719">
        <v>147</v>
      </c>
      <c r="BD719" t="s">
        <v>74</v>
      </c>
      <c r="BE719" t="s">
        <v>74</v>
      </c>
      <c r="BF719" t="s">
        <v>74</v>
      </c>
      <c r="BG719" t="s">
        <v>74</v>
      </c>
      <c r="BH719" t="s">
        <v>74</v>
      </c>
      <c r="BI719">
        <v>3</v>
      </c>
      <c r="BJ719" t="s">
        <v>738</v>
      </c>
      <c r="BK719" t="s">
        <v>155</v>
      </c>
      <c r="BL719" t="s">
        <v>739</v>
      </c>
      <c r="BM719" t="s">
        <v>13830</v>
      </c>
      <c r="BN719">
        <v>35466137</v>
      </c>
      <c r="BO719" t="s">
        <v>185</v>
      </c>
      <c r="BP719" t="s">
        <v>74</v>
      </c>
      <c r="BQ719" t="s">
        <v>74</v>
      </c>
      <c r="BR719" t="s">
        <v>105</v>
      </c>
      <c r="BS719" t="s">
        <v>13831</v>
      </c>
      <c r="BT719" t="str">
        <f>HYPERLINK("https%3A%2F%2Fwww.webofscience.com%2Fwos%2Fwoscc%2Ffull-record%2FWOS:000810526400020","View Full Record in Web of Science")</f>
        <v>View Full Record in Web of Science</v>
      </c>
    </row>
    <row r="720" spans="1:72" x14ac:dyDescent="0.25">
      <c r="A720" t="s">
        <v>72</v>
      </c>
      <c r="B720" t="s">
        <v>13832</v>
      </c>
      <c r="C720" t="s">
        <v>74</v>
      </c>
      <c r="D720" t="s">
        <v>74</v>
      </c>
      <c r="E720" t="s">
        <v>74</v>
      </c>
      <c r="F720" t="s">
        <v>13833</v>
      </c>
      <c r="G720" t="s">
        <v>74</v>
      </c>
      <c r="H720" t="s">
        <v>74</v>
      </c>
      <c r="I720" t="s">
        <v>13834</v>
      </c>
      <c r="J720" t="s">
        <v>13835</v>
      </c>
      <c r="K720" t="s">
        <v>74</v>
      </c>
      <c r="L720" t="s">
        <v>74</v>
      </c>
      <c r="M720" t="s">
        <v>78</v>
      </c>
      <c r="N720" t="s">
        <v>79</v>
      </c>
      <c r="O720" t="s">
        <v>74</v>
      </c>
      <c r="P720" t="s">
        <v>74</v>
      </c>
      <c r="Q720" t="s">
        <v>74</v>
      </c>
      <c r="R720" t="s">
        <v>74</v>
      </c>
      <c r="S720" t="s">
        <v>74</v>
      </c>
      <c r="T720" t="s">
        <v>13836</v>
      </c>
      <c r="U720" t="s">
        <v>13837</v>
      </c>
      <c r="V720" t="s">
        <v>13838</v>
      </c>
      <c r="W720" t="s">
        <v>13839</v>
      </c>
      <c r="X720" t="s">
        <v>13840</v>
      </c>
      <c r="Y720" t="s">
        <v>13841</v>
      </c>
      <c r="Z720" t="s">
        <v>13842</v>
      </c>
      <c r="AA720" t="s">
        <v>13843</v>
      </c>
      <c r="AB720" t="s">
        <v>13844</v>
      </c>
      <c r="AC720" t="s">
        <v>13845</v>
      </c>
      <c r="AD720" t="s">
        <v>13846</v>
      </c>
      <c r="AE720" t="s">
        <v>13847</v>
      </c>
      <c r="AF720" t="s">
        <v>74</v>
      </c>
      <c r="AG720">
        <v>156</v>
      </c>
      <c r="AH720">
        <v>55</v>
      </c>
      <c r="AI720">
        <v>56</v>
      </c>
      <c r="AJ720">
        <v>8</v>
      </c>
      <c r="AK720">
        <v>109</v>
      </c>
      <c r="AL720" t="s">
        <v>1605</v>
      </c>
      <c r="AM720" t="s">
        <v>1606</v>
      </c>
      <c r="AN720" t="s">
        <v>1607</v>
      </c>
      <c r="AO720" t="s">
        <v>13848</v>
      </c>
      <c r="AP720" t="s">
        <v>13849</v>
      </c>
      <c r="AQ720" t="s">
        <v>74</v>
      </c>
      <c r="AR720" t="s">
        <v>13850</v>
      </c>
      <c r="AS720" t="s">
        <v>13851</v>
      </c>
      <c r="AT720" t="s">
        <v>351</v>
      </c>
      <c r="AU720">
        <v>2022</v>
      </c>
      <c r="AV720">
        <v>88</v>
      </c>
      <c r="AW720" t="s">
        <v>74</v>
      </c>
      <c r="AX720" t="s">
        <v>74</v>
      </c>
      <c r="AY720" t="s">
        <v>74</v>
      </c>
      <c r="AZ720" t="s">
        <v>74</v>
      </c>
      <c r="BA720" t="s">
        <v>74</v>
      </c>
      <c r="BB720" t="s">
        <v>74</v>
      </c>
      <c r="BC720" t="s">
        <v>74</v>
      </c>
      <c r="BD720">
        <v>104392</v>
      </c>
      <c r="BE720" t="s">
        <v>13852</v>
      </c>
      <c r="BF720" t="str">
        <f>HYPERLINK("http://dx.doi.org/10.1016/j.micpro.2021.104392","http://dx.doi.org/10.1016/j.micpro.2021.104392")</f>
        <v>http://dx.doi.org/10.1016/j.micpro.2021.104392</v>
      </c>
      <c r="BG720" t="s">
        <v>74</v>
      </c>
      <c r="BH720" t="s">
        <v>74</v>
      </c>
      <c r="BI720">
        <v>13</v>
      </c>
      <c r="BJ720" t="s">
        <v>13853</v>
      </c>
      <c r="BK720" t="s">
        <v>182</v>
      </c>
      <c r="BL720" t="s">
        <v>6039</v>
      </c>
      <c r="BM720" t="s">
        <v>13854</v>
      </c>
      <c r="BN720" t="s">
        <v>74</v>
      </c>
      <c r="BO720" t="s">
        <v>74</v>
      </c>
      <c r="BP720" t="s">
        <v>74</v>
      </c>
      <c r="BQ720" t="s">
        <v>74</v>
      </c>
      <c r="BR720" t="s">
        <v>105</v>
      </c>
      <c r="BS720" t="s">
        <v>13855</v>
      </c>
      <c r="BT720" t="str">
        <f>HYPERLINK("https%3A%2F%2Fwww.webofscience.com%2Fwos%2Fwoscc%2Ffull-record%2FWOS:000819846200005","View Full Record in Web of Science")</f>
        <v>View Full Record in Web of Science</v>
      </c>
    </row>
    <row r="721" spans="1:72" x14ac:dyDescent="0.25">
      <c r="A721" t="s">
        <v>72</v>
      </c>
      <c r="B721" t="s">
        <v>13856</v>
      </c>
      <c r="C721" t="s">
        <v>74</v>
      </c>
      <c r="D721" t="s">
        <v>74</v>
      </c>
      <c r="E721" t="s">
        <v>74</v>
      </c>
      <c r="F721" t="s">
        <v>13857</v>
      </c>
      <c r="G721" t="s">
        <v>74</v>
      </c>
      <c r="H721" t="s">
        <v>74</v>
      </c>
      <c r="I721" t="s">
        <v>13858</v>
      </c>
      <c r="J721" t="s">
        <v>2040</v>
      </c>
      <c r="K721" t="s">
        <v>74</v>
      </c>
      <c r="L721" t="s">
        <v>74</v>
      </c>
      <c r="M721" t="s">
        <v>78</v>
      </c>
      <c r="N721" t="s">
        <v>79</v>
      </c>
      <c r="O721" t="s">
        <v>74</v>
      </c>
      <c r="P721" t="s">
        <v>74</v>
      </c>
      <c r="Q721" t="s">
        <v>74</v>
      </c>
      <c r="R721" t="s">
        <v>74</v>
      </c>
      <c r="S721" t="s">
        <v>74</v>
      </c>
      <c r="T721" t="s">
        <v>13859</v>
      </c>
      <c r="U721" t="s">
        <v>13860</v>
      </c>
      <c r="V721" t="s">
        <v>13861</v>
      </c>
      <c r="W721" t="s">
        <v>13862</v>
      </c>
      <c r="X721" t="s">
        <v>13863</v>
      </c>
      <c r="Y721" t="s">
        <v>13864</v>
      </c>
      <c r="Z721" t="s">
        <v>13865</v>
      </c>
      <c r="AA721" t="s">
        <v>13866</v>
      </c>
      <c r="AB721" t="s">
        <v>13867</v>
      </c>
      <c r="AC721" t="s">
        <v>74</v>
      </c>
      <c r="AD721" t="s">
        <v>74</v>
      </c>
      <c r="AE721" t="s">
        <v>74</v>
      </c>
      <c r="AF721" t="s">
        <v>74</v>
      </c>
      <c r="AG721">
        <v>255</v>
      </c>
      <c r="AH721">
        <v>75</v>
      </c>
      <c r="AI721">
        <v>79</v>
      </c>
      <c r="AJ721">
        <v>22</v>
      </c>
      <c r="AK721">
        <v>292</v>
      </c>
      <c r="AL721" t="s">
        <v>120</v>
      </c>
      <c r="AM721" t="s">
        <v>121</v>
      </c>
      <c r="AN721" t="s">
        <v>122</v>
      </c>
      <c r="AO721" t="s">
        <v>74</v>
      </c>
      <c r="AP721" t="s">
        <v>2050</v>
      </c>
      <c r="AQ721" t="s">
        <v>74</v>
      </c>
      <c r="AR721" t="s">
        <v>2051</v>
      </c>
      <c r="AS721" t="s">
        <v>2052</v>
      </c>
      <c r="AT721" t="s">
        <v>351</v>
      </c>
      <c r="AU721">
        <v>2022</v>
      </c>
      <c r="AV721">
        <v>22</v>
      </c>
      <c r="AW721">
        <v>3</v>
      </c>
      <c r="AX721" t="s">
        <v>74</v>
      </c>
      <c r="AY721" t="s">
        <v>74</v>
      </c>
      <c r="AZ721" t="s">
        <v>74</v>
      </c>
      <c r="BA721" t="s">
        <v>74</v>
      </c>
      <c r="BB721" t="s">
        <v>74</v>
      </c>
      <c r="BC721" t="s">
        <v>74</v>
      </c>
      <c r="BD721">
        <v>884</v>
      </c>
      <c r="BE721" t="s">
        <v>13868</v>
      </c>
      <c r="BF721" t="str">
        <f>HYPERLINK("http://dx.doi.org/10.3390/s22030884","http://dx.doi.org/10.3390/s22030884")</f>
        <v>http://dx.doi.org/10.3390/s22030884</v>
      </c>
      <c r="BG721" t="s">
        <v>74</v>
      </c>
      <c r="BH721" t="s">
        <v>74</v>
      </c>
      <c r="BI721">
        <v>61</v>
      </c>
      <c r="BJ721" t="s">
        <v>2054</v>
      </c>
      <c r="BK721" t="s">
        <v>182</v>
      </c>
      <c r="BL721" t="s">
        <v>2055</v>
      </c>
      <c r="BM721" t="s">
        <v>13869</v>
      </c>
      <c r="BN721">
        <v>35161629</v>
      </c>
      <c r="BO721" t="s">
        <v>355</v>
      </c>
      <c r="BP721" t="s">
        <v>74</v>
      </c>
      <c r="BQ721" t="s">
        <v>74</v>
      </c>
      <c r="BR721" t="s">
        <v>105</v>
      </c>
      <c r="BS721" t="s">
        <v>13870</v>
      </c>
      <c r="BT721" t="str">
        <f>HYPERLINK("https%3A%2F%2Fwww.webofscience.com%2Fwos%2Fwoscc%2Ffull-record%2FWOS:000755373900001","View Full Record in Web of Science")</f>
        <v>View Full Record in Web of Science</v>
      </c>
    </row>
    <row r="722" spans="1:72" x14ac:dyDescent="0.25">
      <c r="A722" t="s">
        <v>72</v>
      </c>
      <c r="B722" t="s">
        <v>13871</v>
      </c>
      <c r="C722" t="s">
        <v>74</v>
      </c>
      <c r="D722" t="s">
        <v>74</v>
      </c>
      <c r="E722" t="s">
        <v>74</v>
      </c>
      <c r="F722" t="s">
        <v>13872</v>
      </c>
      <c r="G722" t="s">
        <v>74</v>
      </c>
      <c r="H722" t="s">
        <v>74</v>
      </c>
      <c r="I722" t="s">
        <v>13873</v>
      </c>
      <c r="J722" t="s">
        <v>13874</v>
      </c>
      <c r="K722" t="s">
        <v>74</v>
      </c>
      <c r="L722" t="s">
        <v>74</v>
      </c>
      <c r="M722" t="s">
        <v>78</v>
      </c>
      <c r="N722" t="s">
        <v>79</v>
      </c>
      <c r="O722" t="s">
        <v>74</v>
      </c>
      <c r="P722" t="s">
        <v>74</v>
      </c>
      <c r="Q722" t="s">
        <v>74</v>
      </c>
      <c r="R722" t="s">
        <v>74</v>
      </c>
      <c r="S722" t="s">
        <v>74</v>
      </c>
      <c r="T722" t="s">
        <v>13875</v>
      </c>
      <c r="U722" t="s">
        <v>13876</v>
      </c>
      <c r="V722" t="s">
        <v>13877</v>
      </c>
      <c r="W722" t="s">
        <v>13878</v>
      </c>
      <c r="X722" t="s">
        <v>13879</v>
      </c>
      <c r="Y722" t="s">
        <v>13880</v>
      </c>
      <c r="Z722" t="s">
        <v>2671</v>
      </c>
      <c r="AA722" t="s">
        <v>13881</v>
      </c>
      <c r="AB722" t="s">
        <v>74</v>
      </c>
      <c r="AC722" t="s">
        <v>13882</v>
      </c>
      <c r="AD722" t="s">
        <v>13882</v>
      </c>
      <c r="AE722" t="s">
        <v>13883</v>
      </c>
      <c r="AF722" t="s">
        <v>74</v>
      </c>
      <c r="AG722">
        <v>61</v>
      </c>
      <c r="AH722">
        <v>14</v>
      </c>
      <c r="AI722">
        <v>14</v>
      </c>
      <c r="AJ722">
        <v>0</v>
      </c>
      <c r="AK722">
        <v>27</v>
      </c>
      <c r="AL722" t="s">
        <v>392</v>
      </c>
      <c r="AM722" t="s">
        <v>393</v>
      </c>
      <c r="AN722" t="s">
        <v>394</v>
      </c>
      <c r="AO722" t="s">
        <v>13884</v>
      </c>
      <c r="AP722" t="s">
        <v>74</v>
      </c>
      <c r="AQ722" t="s">
        <v>74</v>
      </c>
      <c r="AR722" t="s">
        <v>13885</v>
      </c>
      <c r="AS722" t="s">
        <v>13886</v>
      </c>
      <c r="AT722" t="s">
        <v>13887</v>
      </c>
      <c r="AU722">
        <v>2022</v>
      </c>
      <c r="AV722">
        <v>10</v>
      </c>
      <c r="AW722" t="s">
        <v>74</v>
      </c>
      <c r="AX722" t="s">
        <v>74</v>
      </c>
      <c r="AY722" t="s">
        <v>74</v>
      </c>
      <c r="AZ722" t="s">
        <v>74</v>
      </c>
      <c r="BA722" t="s">
        <v>74</v>
      </c>
      <c r="BB722" t="s">
        <v>74</v>
      </c>
      <c r="BC722" t="s">
        <v>74</v>
      </c>
      <c r="BD722">
        <v>775356</v>
      </c>
      <c r="BE722" t="s">
        <v>13888</v>
      </c>
      <c r="BF722" t="str">
        <f>HYPERLINK("http://dx.doi.org/10.3389/fped.2022.775356","http://dx.doi.org/10.3389/fped.2022.775356")</f>
        <v>http://dx.doi.org/10.3389/fped.2022.775356</v>
      </c>
      <c r="BG722" t="s">
        <v>74</v>
      </c>
      <c r="BH722" t="s">
        <v>74</v>
      </c>
      <c r="BI722">
        <v>9</v>
      </c>
      <c r="BJ722" t="s">
        <v>2684</v>
      </c>
      <c r="BK722" t="s">
        <v>102</v>
      </c>
      <c r="BL722" t="s">
        <v>2684</v>
      </c>
      <c r="BM722" t="s">
        <v>13889</v>
      </c>
      <c r="BN722">
        <v>35155305</v>
      </c>
      <c r="BO722" t="s">
        <v>355</v>
      </c>
      <c r="BP722" t="s">
        <v>74</v>
      </c>
      <c r="BQ722" t="s">
        <v>74</v>
      </c>
      <c r="BR722" t="s">
        <v>105</v>
      </c>
      <c r="BS722" t="s">
        <v>13890</v>
      </c>
      <c r="BT722" t="str">
        <f>HYPERLINK("https%3A%2F%2Fwww.webofscience.com%2Fwos%2Fwoscc%2Ffull-record%2FWOS:000760614000001","View Full Record in Web of Science")</f>
        <v>View Full Record in Web of Science</v>
      </c>
    </row>
    <row r="723" spans="1:72" x14ac:dyDescent="0.25">
      <c r="A723" t="s">
        <v>72</v>
      </c>
      <c r="B723" t="s">
        <v>13891</v>
      </c>
      <c r="C723" t="s">
        <v>74</v>
      </c>
      <c r="D723" t="s">
        <v>74</v>
      </c>
      <c r="E723" t="s">
        <v>74</v>
      </c>
      <c r="F723" t="s">
        <v>13892</v>
      </c>
      <c r="G723" t="s">
        <v>74</v>
      </c>
      <c r="H723" t="s">
        <v>74</v>
      </c>
      <c r="I723" t="s">
        <v>13893</v>
      </c>
      <c r="J723" t="s">
        <v>333</v>
      </c>
      <c r="K723" t="s">
        <v>74</v>
      </c>
      <c r="L723" t="s">
        <v>74</v>
      </c>
      <c r="M723" t="s">
        <v>78</v>
      </c>
      <c r="N723" t="s">
        <v>79</v>
      </c>
      <c r="O723" t="s">
        <v>74</v>
      </c>
      <c r="P723" t="s">
        <v>74</v>
      </c>
      <c r="Q723" t="s">
        <v>74</v>
      </c>
      <c r="R723" t="s">
        <v>74</v>
      </c>
      <c r="S723" t="s">
        <v>74</v>
      </c>
      <c r="T723" t="s">
        <v>13894</v>
      </c>
      <c r="U723" t="s">
        <v>74</v>
      </c>
      <c r="V723" t="s">
        <v>13895</v>
      </c>
      <c r="W723" t="s">
        <v>13896</v>
      </c>
      <c r="X723" t="s">
        <v>13897</v>
      </c>
      <c r="Y723" t="s">
        <v>13898</v>
      </c>
      <c r="Z723" t="s">
        <v>13899</v>
      </c>
      <c r="AA723" t="s">
        <v>13900</v>
      </c>
      <c r="AB723" t="s">
        <v>10214</v>
      </c>
      <c r="AC723" t="s">
        <v>13901</v>
      </c>
      <c r="AD723" t="s">
        <v>11523</v>
      </c>
      <c r="AE723" t="s">
        <v>13902</v>
      </c>
      <c r="AF723" t="s">
        <v>74</v>
      </c>
      <c r="AG723">
        <v>23</v>
      </c>
      <c r="AH723">
        <v>6</v>
      </c>
      <c r="AI723">
        <v>6</v>
      </c>
      <c r="AJ723">
        <v>4</v>
      </c>
      <c r="AK723">
        <v>53</v>
      </c>
      <c r="AL723" t="s">
        <v>346</v>
      </c>
      <c r="AM723" t="s">
        <v>227</v>
      </c>
      <c r="AN723" t="s">
        <v>347</v>
      </c>
      <c r="AO723" t="s">
        <v>348</v>
      </c>
      <c r="AP723" t="s">
        <v>349</v>
      </c>
      <c r="AQ723" t="s">
        <v>74</v>
      </c>
      <c r="AR723" t="s">
        <v>333</v>
      </c>
      <c r="AS723" t="s">
        <v>350</v>
      </c>
      <c r="AT723" t="s">
        <v>13887</v>
      </c>
      <c r="AU723">
        <v>2022</v>
      </c>
      <c r="AV723">
        <v>101</v>
      </c>
      <c r="AW723">
        <v>4</v>
      </c>
      <c r="AX723" t="s">
        <v>74</v>
      </c>
      <c r="AY723" t="s">
        <v>74</v>
      </c>
      <c r="AZ723" t="s">
        <v>74</v>
      </c>
      <c r="BA723" t="s">
        <v>74</v>
      </c>
      <c r="BB723" t="s">
        <v>74</v>
      </c>
      <c r="BC723" t="s">
        <v>74</v>
      </c>
      <c r="BD723" t="s">
        <v>13903</v>
      </c>
      <c r="BE723" t="s">
        <v>13904</v>
      </c>
      <c r="BF723" t="str">
        <f>HYPERLINK("http://dx.doi.org/10.1097/MD.0000000000028709","http://dx.doi.org/10.1097/MD.0000000000028709")</f>
        <v>http://dx.doi.org/10.1097/MD.0000000000028709</v>
      </c>
      <c r="BG723" t="s">
        <v>74</v>
      </c>
      <c r="BH723" t="s">
        <v>74</v>
      </c>
      <c r="BI723">
        <v>6</v>
      </c>
      <c r="BJ723" t="s">
        <v>128</v>
      </c>
      <c r="BK723" t="s">
        <v>182</v>
      </c>
      <c r="BL723" t="s">
        <v>129</v>
      </c>
      <c r="BM723" t="s">
        <v>13905</v>
      </c>
      <c r="BN723">
        <v>35089234</v>
      </c>
      <c r="BO723" t="s">
        <v>355</v>
      </c>
      <c r="BP723" t="s">
        <v>74</v>
      </c>
      <c r="BQ723" t="s">
        <v>74</v>
      </c>
      <c r="BR723" t="s">
        <v>105</v>
      </c>
      <c r="BS723" t="s">
        <v>13906</v>
      </c>
      <c r="BT723" t="str">
        <f>HYPERLINK("https%3A%2F%2Fwww.webofscience.com%2Fwos%2Fwoscc%2Ffull-record%2FWOS:000748355900040","View Full Record in Web of Science")</f>
        <v>View Full Record in Web of Science</v>
      </c>
    </row>
    <row r="724" spans="1:72" x14ac:dyDescent="0.25">
      <c r="A724" t="s">
        <v>72</v>
      </c>
      <c r="B724" t="s">
        <v>13907</v>
      </c>
      <c r="C724" t="s">
        <v>74</v>
      </c>
      <c r="D724" t="s">
        <v>74</v>
      </c>
      <c r="E724" t="s">
        <v>74</v>
      </c>
      <c r="F724" t="s">
        <v>13908</v>
      </c>
      <c r="G724" t="s">
        <v>74</v>
      </c>
      <c r="H724" t="s">
        <v>74</v>
      </c>
      <c r="I724" t="s">
        <v>13909</v>
      </c>
      <c r="J724" t="s">
        <v>1759</v>
      </c>
      <c r="K724" t="s">
        <v>74</v>
      </c>
      <c r="L724" t="s">
        <v>74</v>
      </c>
      <c r="M724" t="s">
        <v>78</v>
      </c>
      <c r="N724" t="s">
        <v>79</v>
      </c>
      <c r="O724" t="s">
        <v>74</v>
      </c>
      <c r="P724" t="s">
        <v>74</v>
      </c>
      <c r="Q724" t="s">
        <v>74</v>
      </c>
      <c r="R724" t="s">
        <v>74</v>
      </c>
      <c r="S724" t="s">
        <v>74</v>
      </c>
      <c r="T724" t="s">
        <v>13910</v>
      </c>
      <c r="U724" t="s">
        <v>13911</v>
      </c>
      <c r="V724" t="s">
        <v>13912</v>
      </c>
      <c r="W724" t="s">
        <v>13913</v>
      </c>
      <c r="X724" t="s">
        <v>13914</v>
      </c>
      <c r="Y724" t="s">
        <v>13915</v>
      </c>
      <c r="Z724" t="s">
        <v>13916</v>
      </c>
      <c r="AA724" t="s">
        <v>13917</v>
      </c>
      <c r="AB724" t="s">
        <v>13918</v>
      </c>
      <c r="AC724" t="s">
        <v>74</v>
      </c>
      <c r="AD724" t="s">
        <v>74</v>
      </c>
      <c r="AE724" t="s">
        <v>74</v>
      </c>
      <c r="AF724" t="s">
        <v>74</v>
      </c>
      <c r="AG724">
        <v>66</v>
      </c>
      <c r="AH724">
        <v>19</v>
      </c>
      <c r="AI724">
        <v>21</v>
      </c>
      <c r="AJ724">
        <v>6</v>
      </c>
      <c r="AK724">
        <v>54</v>
      </c>
      <c r="AL724" t="s">
        <v>1769</v>
      </c>
      <c r="AM724" t="s">
        <v>1770</v>
      </c>
      <c r="AN724" t="s">
        <v>1771</v>
      </c>
      <c r="AO724" t="s">
        <v>1772</v>
      </c>
      <c r="AP724" t="s">
        <v>1773</v>
      </c>
      <c r="AQ724" t="s">
        <v>74</v>
      </c>
      <c r="AR724" t="s">
        <v>1774</v>
      </c>
      <c r="AS724" t="s">
        <v>1775</v>
      </c>
      <c r="AT724" t="s">
        <v>1471</v>
      </c>
      <c r="AU724">
        <v>2022</v>
      </c>
      <c r="AV724">
        <v>43</v>
      </c>
      <c r="AW724">
        <v>3</v>
      </c>
      <c r="AX724" t="s">
        <v>74</v>
      </c>
      <c r="AY724" t="s">
        <v>74</v>
      </c>
      <c r="AZ724" t="s">
        <v>74</v>
      </c>
      <c r="BA724" t="s">
        <v>74</v>
      </c>
      <c r="BB724">
        <v>1641</v>
      </c>
      <c r="BC724">
        <v>1657</v>
      </c>
      <c r="BD724" t="s">
        <v>74</v>
      </c>
      <c r="BE724" t="s">
        <v>13919</v>
      </c>
      <c r="BF724" t="str">
        <f>HYPERLINK("http://dx.doi.org/10.1007/s10072-022-05913-3","http://dx.doi.org/10.1007/s10072-022-05913-3")</f>
        <v>http://dx.doi.org/10.1007/s10072-022-05913-3</v>
      </c>
      <c r="BG724" t="s">
        <v>74</v>
      </c>
      <c r="BH724" t="s">
        <v>13920</v>
      </c>
      <c r="BI724">
        <v>17</v>
      </c>
      <c r="BJ724" t="s">
        <v>400</v>
      </c>
      <c r="BK724" t="s">
        <v>102</v>
      </c>
      <c r="BL724" t="s">
        <v>375</v>
      </c>
      <c r="BM724" t="s">
        <v>13921</v>
      </c>
      <c r="BN724">
        <v>35089447</v>
      </c>
      <c r="BO724" t="s">
        <v>74</v>
      </c>
      <c r="BP724" t="s">
        <v>74</v>
      </c>
      <c r="BQ724" t="s">
        <v>74</v>
      </c>
      <c r="BR724" t="s">
        <v>105</v>
      </c>
      <c r="BS724" t="s">
        <v>13922</v>
      </c>
      <c r="BT724" t="str">
        <f>HYPERLINK("https%3A%2F%2Fwww.webofscience.com%2Fwos%2Fwoscc%2Ffull-record%2FWOS:000749124700001","View Full Record in Web of Science")</f>
        <v>View Full Record in Web of Science</v>
      </c>
    </row>
    <row r="725" spans="1:72" x14ac:dyDescent="0.25">
      <c r="A725" t="s">
        <v>72</v>
      </c>
      <c r="B725" t="s">
        <v>13923</v>
      </c>
      <c r="C725" t="s">
        <v>74</v>
      </c>
      <c r="D725" t="s">
        <v>74</v>
      </c>
      <c r="E725" t="s">
        <v>74</v>
      </c>
      <c r="F725" t="s">
        <v>13924</v>
      </c>
      <c r="G725" t="s">
        <v>74</v>
      </c>
      <c r="H725" t="s">
        <v>74</v>
      </c>
      <c r="I725" t="s">
        <v>13925</v>
      </c>
      <c r="J725" t="s">
        <v>701</v>
      </c>
      <c r="K725" t="s">
        <v>74</v>
      </c>
      <c r="L725" t="s">
        <v>74</v>
      </c>
      <c r="M725" t="s">
        <v>78</v>
      </c>
      <c r="N725" t="s">
        <v>79</v>
      </c>
      <c r="O725" t="s">
        <v>74</v>
      </c>
      <c r="P725" t="s">
        <v>74</v>
      </c>
      <c r="Q725" t="s">
        <v>74</v>
      </c>
      <c r="R725" t="s">
        <v>74</v>
      </c>
      <c r="S725" t="s">
        <v>74</v>
      </c>
      <c r="T725" t="s">
        <v>13926</v>
      </c>
      <c r="U725" t="s">
        <v>13927</v>
      </c>
      <c r="V725" t="s">
        <v>13928</v>
      </c>
      <c r="W725" t="s">
        <v>13929</v>
      </c>
      <c r="X725" t="s">
        <v>13930</v>
      </c>
      <c r="Y725" t="s">
        <v>13931</v>
      </c>
      <c r="Z725" t="s">
        <v>13932</v>
      </c>
      <c r="AA725" t="s">
        <v>74</v>
      </c>
      <c r="AB725" t="s">
        <v>13933</v>
      </c>
      <c r="AC725" t="s">
        <v>74</v>
      </c>
      <c r="AD725" t="s">
        <v>74</v>
      </c>
      <c r="AE725" t="s">
        <v>74</v>
      </c>
      <c r="AF725" t="s">
        <v>74</v>
      </c>
      <c r="AG725">
        <v>208</v>
      </c>
      <c r="AH725">
        <v>10</v>
      </c>
      <c r="AI725">
        <v>10</v>
      </c>
      <c r="AJ725">
        <v>0</v>
      </c>
      <c r="AK725">
        <v>24</v>
      </c>
      <c r="AL725" t="s">
        <v>392</v>
      </c>
      <c r="AM725" t="s">
        <v>393</v>
      </c>
      <c r="AN725" t="s">
        <v>394</v>
      </c>
      <c r="AO725" t="s">
        <v>709</v>
      </c>
      <c r="AP725" t="s">
        <v>74</v>
      </c>
      <c r="AQ725" t="s">
        <v>74</v>
      </c>
      <c r="AR725" t="s">
        <v>710</v>
      </c>
      <c r="AS725" t="s">
        <v>711</v>
      </c>
      <c r="AT725" t="s">
        <v>13934</v>
      </c>
      <c r="AU725">
        <v>2022</v>
      </c>
      <c r="AV725">
        <v>8</v>
      </c>
      <c r="AW725" t="s">
        <v>74</v>
      </c>
      <c r="AX725" t="s">
        <v>74</v>
      </c>
      <c r="AY725" t="s">
        <v>74</v>
      </c>
      <c r="AZ725" t="s">
        <v>74</v>
      </c>
      <c r="BA725" t="s">
        <v>74</v>
      </c>
      <c r="BB725" t="s">
        <v>74</v>
      </c>
      <c r="BC725" t="s">
        <v>74</v>
      </c>
      <c r="BD725">
        <v>720319</v>
      </c>
      <c r="BE725" t="s">
        <v>13935</v>
      </c>
      <c r="BF725" t="str">
        <f>HYPERLINK("http://dx.doi.org/10.3389/frobt.2021.720319","http://dx.doi.org/10.3389/frobt.2021.720319")</f>
        <v>http://dx.doi.org/10.3389/frobt.2021.720319</v>
      </c>
      <c r="BG725" t="s">
        <v>74</v>
      </c>
      <c r="BH725" t="s">
        <v>74</v>
      </c>
      <c r="BI725">
        <v>20</v>
      </c>
      <c r="BJ725" t="s">
        <v>714</v>
      </c>
      <c r="BK725" t="s">
        <v>155</v>
      </c>
      <c r="BL725" t="s">
        <v>714</v>
      </c>
      <c r="BM725" t="s">
        <v>13936</v>
      </c>
      <c r="BN725">
        <v>35155586</v>
      </c>
      <c r="BO725" t="s">
        <v>131</v>
      </c>
      <c r="BP725" t="s">
        <v>74</v>
      </c>
      <c r="BQ725" t="s">
        <v>74</v>
      </c>
      <c r="BR725" t="s">
        <v>105</v>
      </c>
      <c r="BS725" t="s">
        <v>13937</v>
      </c>
      <c r="BT725" t="str">
        <f>HYPERLINK("https%3A%2F%2Fwww.webofscience.com%2Fwos%2Fwoscc%2Ffull-record%2FWOS:000753484600001","View Full Record in Web of Science")</f>
        <v>View Full Record in Web of Science</v>
      </c>
    </row>
    <row r="726" spans="1:72" x14ac:dyDescent="0.25">
      <c r="A726" t="s">
        <v>72</v>
      </c>
      <c r="B726" t="s">
        <v>13938</v>
      </c>
      <c r="C726" t="s">
        <v>74</v>
      </c>
      <c r="D726" t="s">
        <v>74</v>
      </c>
      <c r="E726" t="s">
        <v>74</v>
      </c>
      <c r="F726" t="s">
        <v>13939</v>
      </c>
      <c r="G726" t="s">
        <v>74</v>
      </c>
      <c r="H726" t="s">
        <v>74</v>
      </c>
      <c r="I726" t="s">
        <v>13940</v>
      </c>
      <c r="J726" t="s">
        <v>1837</v>
      </c>
      <c r="K726" t="s">
        <v>74</v>
      </c>
      <c r="L726" t="s">
        <v>74</v>
      </c>
      <c r="M726" t="s">
        <v>78</v>
      </c>
      <c r="N726" t="s">
        <v>79</v>
      </c>
      <c r="O726" t="s">
        <v>74</v>
      </c>
      <c r="P726" t="s">
        <v>74</v>
      </c>
      <c r="Q726" t="s">
        <v>74</v>
      </c>
      <c r="R726" t="s">
        <v>74</v>
      </c>
      <c r="S726" t="s">
        <v>74</v>
      </c>
      <c r="T726" t="s">
        <v>13941</v>
      </c>
      <c r="U726" t="s">
        <v>13942</v>
      </c>
      <c r="V726" t="s">
        <v>13943</v>
      </c>
      <c r="W726" t="s">
        <v>13944</v>
      </c>
      <c r="X726" t="s">
        <v>13945</v>
      </c>
      <c r="Y726" t="s">
        <v>13946</v>
      </c>
      <c r="Z726" t="s">
        <v>13947</v>
      </c>
      <c r="AA726" t="s">
        <v>13948</v>
      </c>
      <c r="AB726" t="s">
        <v>13949</v>
      </c>
      <c r="AC726" t="s">
        <v>13950</v>
      </c>
      <c r="AD726" t="s">
        <v>13951</v>
      </c>
      <c r="AE726" t="s">
        <v>13952</v>
      </c>
      <c r="AF726" t="s">
        <v>74</v>
      </c>
      <c r="AG726">
        <v>119</v>
      </c>
      <c r="AH726">
        <v>6</v>
      </c>
      <c r="AI726">
        <v>6</v>
      </c>
      <c r="AJ726">
        <v>5</v>
      </c>
      <c r="AK726">
        <v>65</v>
      </c>
      <c r="AL726" t="s">
        <v>1114</v>
      </c>
      <c r="AM726" t="s">
        <v>1115</v>
      </c>
      <c r="AN726" t="s">
        <v>1116</v>
      </c>
      <c r="AO726" t="s">
        <v>1850</v>
      </c>
      <c r="AP726" t="s">
        <v>74</v>
      </c>
      <c r="AQ726" t="s">
        <v>74</v>
      </c>
      <c r="AR726" t="s">
        <v>1837</v>
      </c>
      <c r="AS726" t="s">
        <v>1851</v>
      </c>
      <c r="AT726" t="s">
        <v>74</v>
      </c>
      <c r="AU726">
        <v>2022</v>
      </c>
      <c r="AV726">
        <v>10</v>
      </c>
      <c r="AW726" t="s">
        <v>74</v>
      </c>
      <c r="AX726" t="s">
        <v>74</v>
      </c>
      <c r="AY726" t="s">
        <v>74</v>
      </c>
      <c r="AZ726" t="s">
        <v>74</v>
      </c>
      <c r="BA726" t="s">
        <v>74</v>
      </c>
      <c r="BB726">
        <v>51964</v>
      </c>
      <c r="BC726">
        <v>51994</v>
      </c>
      <c r="BD726" t="s">
        <v>74</v>
      </c>
      <c r="BE726" t="s">
        <v>13953</v>
      </c>
      <c r="BF726" t="str">
        <f>HYPERLINK("http://dx.doi.org/10.1109/ACCESS.2022.3174686","http://dx.doi.org/10.1109/ACCESS.2022.3174686")</f>
        <v>http://dx.doi.org/10.1109/ACCESS.2022.3174686</v>
      </c>
      <c r="BG726" t="s">
        <v>74</v>
      </c>
      <c r="BH726" t="s">
        <v>74</v>
      </c>
      <c r="BI726">
        <v>31</v>
      </c>
      <c r="BJ726" t="s">
        <v>1853</v>
      </c>
      <c r="BK726" t="s">
        <v>182</v>
      </c>
      <c r="BL726" t="s">
        <v>1854</v>
      </c>
      <c r="BM726" t="s">
        <v>13954</v>
      </c>
      <c r="BN726" t="s">
        <v>74</v>
      </c>
      <c r="BO726" t="s">
        <v>185</v>
      </c>
      <c r="BP726" t="s">
        <v>74</v>
      </c>
      <c r="BQ726" t="s">
        <v>74</v>
      </c>
      <c r="BR726" t="s">
        <v>105</v>
      </c>
      <c r="BS726" t="s">
        <v>13955</v>
      </c>
      <c r="BT726" t="str">
        <f>HYPERLINK("https%3A%2F%2Fwww.webofscience.com%2Fwos%2Fwoscc%2Ffull-record%2FWOS:000798449200001","View Full Record in Web of Science")</f>
        <v>View Full Record in Web of Science</v>
      </c>
    </row>
    <row r="727" spans="1:72" x14ac:dyDescent="0.25">
      <c r="A727" t="s">
        <v>72</v>
      </c>
      <c r="B727" t="s">
        <v>13956</v>
      </c>
      <c r="C727" t="s">
        <v>74</v>
      </c>
      <c r="D727" t="s">
        <v>74</v>
      </c>
      <c r="E727" t="s">
        <v>74</v>
      </c>
      <c r="F727" t="s">
        <v>13957</v>
      </c>
      <c r="G727" t="s">
        <v>74</v>
      </c>
      <c r="H727" t="s">
        <v>74</v>
      </c>
      <c r="I727" t="s">
        <v>13958</v>
      </c>
      <c r="J727" t="s">
        <v>1837</v>
      </c>
      <c r="K727" t="s">
        <v>74</v>
      </c>
      <c r="L727" t="s">
        <v>74</v>
      </c>
      <c r="M727" t="s">
        <v>78</v>
      </c>
      <c r="N727" t="s">
        <v>79</v>
      </c>
      <c r="O727" t="s">
        <v>74</v>
      </c>
      <c r="P727" t="s">
        <v>74</v>
      </c>
      <c r="Q727" t="s">
        <v>74</v>
      </c>
      <c r="R727" t="s">
        <v>74</v>
      </c>
      <c r="S727" t="s">
        <v>74</v>
      </c>
      <c r="T727" t="s">
        <v>13959</v>
      </c>
      <c r="U727" t="s">
        <v>13960</v>
      </c>
      <c r="V727" t="s">
        <v>13961</v>
      </c>
      <c r="W727" t="s">
        <v>13962</v>
      </c>
      <c r="X727" t="s">
        <v>13963</v>
      </c>
      <c r="Y727" t="s">
        <v>13964</v>
      </c>
      <c r="Z727" t="s">
        <v>13965</v>
      </c>
      <c r="AA727" t="s">
        <v>13966</v>
      </c>
      <c r="AB727" t="s">
        <v>13967</v>
      </c>
      <c r="AC727" t="s">
        <v>13968</v>
      </c>
      <c r="AD727" t="s">
        <v>13968</v>
      </c>
      <c r="AE727" t="s">
        <v>13969</v>
      </c>
      <c r="AF727" t="s">
        <v>74</v>
      </c>
      <c r="AG727">
        <v>132</v>
      </c>
      <c r="AH727">
        <v>13</v>
      </c>
      <c r="AI727">
        <v>13</v>
      </c>
      <c r="AJ727">
        <v>15</v>
      </c>
      <c r="AK727">
        <v>97</v>
      </c>
      <c r="AL727" t="s">
        <v>1114</v>
      </c>
      <c r="AM727" t="s">
        <v>1115</v>
      </c>
      <c r="AN727" t="s">
        <v>1116</v>
      </c>
      <c r="AO727" t="s">
        <v>1850</v>
      </c>
      <c r="AP727" t="s">
        <v>74</v>
      </c>
      <c r="AQ727" t="s">
        <v>74</v>
      </c>
      <c r="AR727" t="s">
        <v>1837</v>
      </c>
      <c r="AS727" t="s">
        <v>1851</v>
      </c>
      <c r="AT727" t="s">
        <v>74</v>
      </c>
      <c r="AU727">
        <v>2022</v>
      </c>
      <c r="AV727">
        <v>10</v>
      </c>
      <c r="AW727" t="s">
        <v>74</v>
      </c>
      <c r="AX727" t="s">
        <v>74</v>
      </c>
      <c r="AY727" t="s">
        <v>74</v>
      </c>
      <c r="AZ727" t="s">
        <v>74</v>
      </c>
      <c r="BA727" t="s">
        <v>74</v>
      </c>
      <c r="BB727">
        <v>608</v>
      </c>
      <c r="BC727">
        <v>625</v>
      </c>
      <c r="BD727" t="s">
        <v>74</v>
      </c>
      <c r="BE727" t="s">
        <v>13970</v>
      </c>
      <c r="BF727" t="str">
        <f>HYPERLINK("http://dx.doi.org/10.1109/ACCESS.2021.3137082","http://dx.doi.org/10.1109/ACCESS.2021.3137082")</f>
        <v>http://dx.doi.org/10.1109/ACCESS.2021.3137082</v>
      </c>
      <c r="BG727" t="s">
        <v>74</v>
      </c>
      <c r="BH727" t="s">
        <v>74</v>
      </c>
      <c r="BI727">
        <v>18</v>
      </c>
      <c r="BJ727" t="s">
        <v>1853</v>
      </c>
      <c r="BK727" t="s">
        <v>102</v>
      </c>
      <c r="BL727" t="s">
        <v>1854</v>
      </c>
      <c r="BM727" t="s">
        <v>13971</v>
      </c>
      <c r="BN727" t="s">
        <v>74</v>
      </c>
      <c r="BO727" t="s">
        <v>185</v>
      </c>
      <c r="BP727" t="s">
        <v>74</v>
      </c>
      <c r="BQ727" t="s">
        <v>74</v>
      </c>
      <c r="BR727" t="s">
        <v>105</v>
      </c>
      <c r="BS727" t="s">
        <v>13972</v>
      </c>
      <c r="BT727" t="str">
        <f>HYPERLINK("https%3A%2F%2Fwww.webofscience.com%2Fwos%2Fwoscc%2Ffull-record%2FWOS:000739978500001","View Full Record in Web of Science")</f>
        <v>View Full Record in Web of Science</v>
      </c>
    </row>
    <row r="728" spans="1:72" x14ac:dyDescent="0.25">
      <c r="A728" t="s">
        <v>72</v>
      </c>
      <c r="B728" t="s">
        <v>13973</v>
      </c>
      <c r="C728" t="s">
        <v>74</v>
      </c>
      <c r="D728" t="s">
        <v>74</v>
      </c>
      <c r="E728" t="s">
        <v>74</v>
      </c>
      <c r="F728" t="s">
        <v>13974</v>
      </c>
      <c r="G728" t="s">
        <v>74</v>
      </c>
      <c r="H728" t="s">
        <v>13975</v>
      </c>
      <c r="I728" t="s">
        <v>13976</v>
      </c>
      <c r="J728" t="s">
        <v>6967</v>
      </c>
      <c r="K728" t="s">
        <v>74</v>
      </c>
      <c r="L728" t="s">
        <v>74</v>
      </c>
      <c r="M728" t="s">
        <v>78</v>
      </c>
      <c r="N728" t="s">
        <v>79</v>
      </c>
      <c r="O728" t="s">
        <v>74</v>
      </c>
      <c r="P728" t="s">
        <v>74</v>
      </c>
      <c r="Q728" t="s">
        <v>74</v>
      </c>
      <c r="R728" t="s">
        <v>74</v>
      </c>
      <c r="S728" t="s">
        <v>74</v>
      </c>
      <c r="T728" t="s">
        <v>13977</v>
      </c>
      <c r="U728" t="s">
        <v>13978</v>
      </c>
      <c r="V728" t="s">
        <v>13979</v>
      </c>
      <c r="W728" t="s">
        <v>13980</v>
      </c>
      <c r="X728" t="s">
        <v>13981</v>
      </c>
      <c r="Y728" t="s">
        <v>13982</v>
      </c>
      <c r="Z728" t="s">
        <v>13983</v>
      </c>
      <c r="AA728" t="s">
        <v>13984</v>
      </c>
      <c r="AB728" t="s">
        <v>13985</v>
      </c>
      <c r="AC728" t="s">
        <v>74</v>
      </c>
      <c r="AD728" t="s">
        <v>74</v>
      </c>
      <c r="AE728" t="s">
        <v>74</v>
      </c>
      <c r="AF728" t="s">
        <v>74</v>
      </c>
      <c r="AG728">
        <v>125</v>
      </c>
      <c r="AH728">
        <v>4</v>
      </c>
      <c r="AI728">
        <v>4</v>
      </c>
      <c r="AJ728">
        <v>2</v>
      </c>
      <c r="AK728">
        <v>22</v>
      </c>
      <c r="AL728" t="s">
        <v>9434</v>
      </c>
      <c r="AM728" t="s">
        <v>1606</v>
      </c>
      <c r="AN728" t="s">
        <v>9435</v>
      </c>
      <c r="AO728" t="s">
        <v>6979</v>
      </c>
      <c r="AP728" t="s">
        <v>6980</v>
      </c>
      <c r="AQ728" t="s">
        <v>74</v>
      </c>
      <c r="AR728" t="s">
        <v>6967</v>
      </c>
      <c r="AS728" t="s">
        <v>6981</v>
      </c>
      <c r="AT728" t="s">
        <v>74</v>
      </c>
      <c r="AU728">
        <v>2022</v>
      </c>
      <c r="AV728">
        <v>51</v>
      </c>
      <c r="AW728">
        <v>4</v>
      </c>
      <c r="AX728" t="s">
        <v>74</v>
      </c>
      <c r="AY728" t="s">
        <v>74</v>
      </c>
      <c r="AZ728" t="s">
        <v>74</v>
      </c>
      <c r="BA728" t="s">
        <v>74</v>
      </c>
      <c r="BB728">
        <v>541</v>
      </c>
      <c r="BC728">
        <v>558</v>
      </c>
      <c r="BD728" t="s">
        <v>74</v>
      </c>
      <c r="BE728" t="s">
        <v>13986</v>
      </c>
      <c r="BF728" t="str">
        <f>HYPERLINK("http://dx.doi.org/10.3233/NRE-220149","http://dx.doi.org/10.3233/NRE-220149")</f>
        <v>http://dx.doi.org/10.3233/NRE-220149</v>
      </c>
      <c r="BG728" t="s">
        <v>74</v>
      </c>
      <c r="BH728" t="s">
        <v>74</v>
      </c>
      <c r="BI728">
        <v>18</v>
      </c>
      <c r="BJ728" t="s">
        <v>1049</v>
      </c>
      <c r="BK728" t="s">
        <v>102</v>
      </c>
      <c r="BL728" t="s">
        <v>1050</v>
      </c>
      <c r="BM728" t="s">
        <v>13987</v>
      </c>
      <c r="BN728">
        <v>36530099</v>
      </c>
      <c r="BO728" t="s">
        <v>238</v>
      </c>
      <c r="BP728" t="s">
        <v>74</v>
      </c>
      <c r="BQ728" t="s">
        <v>74</v>
      </c>
      <c r="BR728" t="s">
        <v>105</v>
      </c>
      <c r="BS728" t="s">
        <v>13988</v>
      </c>
      <c r="BT728" t="str">
        <f>HYPERLINK("https%3A%2F%2Fwww.webofscience.com%2Fwos%2Fwoscc%2Ffull-record%2FWOS:000908350900002","View Full Record in Web of Science")</f>
        <v>View Full Record in Web of Science</v>
      </c>
    </row>
    <row r="729" spans="1:72" x14ac:dyDescent="0.25">
      <c r="A729" t="s">
        <v>72</v>
      </c>
      <c r="B729" t="s">
        <v>13989</v>
      </c>
      <c r="C729" t="s">
        <v>74</v>
      </c>
      <c r="D729" t="s">
        <v>74</v>
      </c>
      <c r="E729" t="s">
        <v>74</v>
      </c>
      <c r="F729" t="s">
        <v>13990</v>
      </c>
      <c r="G729" t="s">
        <v>74</v>
      </c>
      <c r="H729" t="s">
        <v>74</v>
      </c>
      <c r="I729" t="s">
        <v>13991</v>
      </c>
      <c r="J729" t="s">
        <v>6967</v>
      </c>
      <c r="K729" t="s">
        <v>74</v>
      </c>
      <c r="L729" t="s">
        <v>74</v>
      </c>
      <c r="M729" t="s">
        <v>78</v>
      </c>
      <c r="N729" t="s">
        <v>79</v>
      </c>
      <c r="O729" t="s">
        <v>74</v>
      </c>
      <c r="P729" t="s">
        <v>74</v>
      </c>
      <c r="Q729" t="s">
        <v>74</v>
      </c>
      <c r="R729" t="s">
        <v>74</v>
      </c>
      <c r="S729" t="s">
        <v>74</v>
      </c>
      <c r="T729" t="s">
        <v>13992</v>
      </c>
      <c r="U729" t="s">
        <v>13993</v>
      </c>
      <c r="V729" t="s">
        <v>13994</v>
      </c>
      <c r="W729" t="s">
        <v>13995</v>
      </c>
      <c r="X729" t="s">
        <v>13996</v>
      </c>
      <c r="Y729" t="s">
        <v>13997</v>
      </c>
      <c r="Z729" t="s">
        <v>13998</v>
      </c>
      <c r="AA729" t="s">
        <v>13999</v>
      </c>
      <c r="AB729" t="s">
        <v>14000</v>
      </c>
      <c r="AC729" t="s">
        <v>74</v>
      </c>
      <c r="AD729" t="s">
        <v>74</v>
      </c>
      <c r="AE729" t="s">
        <v>74</v>
      </c>
      <c r="AF729" t="s">
        <v>74</v>
      </c>
      <c r="AG729">
        <v>57</v>
      </c>
      <c r="AH729">
        <v>23</v>
      </c>
      <c r="AI729">
        <v>25</v>
      </c>
      <c r="AJ729">
        <v>6</v>
      </c>
      <c r="AK729">
        <v>19</v>
      </c>
      <c r="AL729" t="s">
        <v>9434</v>
      </c>
      <c r="AM729" t="s">
        <v>1606</v>
      </c>
      <c r="AN729" t="s">
        <v>9435</v>
      </c>
      <c r="AO729" t="s">
        <v>6979</v>
      </c>
      <c r="AP729" t="s">
        <v>6980</v>
      </c>
      <c r="AQ729" t="s">
        <v>74</v>
      </c>
      <c r="AR729" t="s">
        <v>6967</v>
      </c>
      <c r="AS729" t="s">
        <v>6981</v>
      </c>
      <c r="AT729" t="s">
        <v>74</v>
      </c>
      <c r="AU729">
        <v>2022</v>
      </c>
      <c r="AV729">
        <v>51</v>
      </c>
      <c r="AW729">
        <v>4</v>
      </c>
      <c r="AX729" t="s">
        <v>74</v>
      </c>
      <c r="AY729" t="s">
        <v>74</v>
      </c>
      <c r="AZ729" t="s">
        <v>74</v>
      </c>
      <c r="BA729" t="s">
        <v>74</v>
      </c>
      <c r="BB729">
        <v>649</v>
      </c>
      <c r="BC729">
        <v>663</v>
      </c>
      <c r="BD729" t="s">
        <v>74</v>
      </c>
      <c r="BE729" t="s">
        <v>14001</v>
      </c>
      <c r="BF729" t="str">
        <f>HYPERLINK("http://dx.doi.org/10.3233/NRE-220026","http://dx.doi.org/10.3233/NRE-220026")</f>
        <v>http://dx.doi.org/10.3233/NRE-220026</v>
      </c>
      <c r="BG729" t="s">
        <v>74</v>
      </c>
      <c r="BH729" t="s">
        <v>74</v>
      </c>
      <c r="BI729">
        <v>15</v>
      </c>
      <c r="BJ729" t="s">
        <v>1049</v>
      </c>
      <c r="BK729" t="s">
        <v>102</v>
      </c>
      <c r="BL729" t="s">
        <v>1050</v>
      </c>
      <c r="BM729" t="s">
        <v>13987</v>
      </c>
      <c r="BN729">
        <v>35570502</v>
      </c>
      <c r="BO729" t="s">
        <v>74</v>
      </c>
      <c r="BP729" t="s">
        <v>74</v>
      </c>
      <c r="BQ729" t="s">
        <v>74</v>
      </c>
      <c r="BR729" t="s">
        <v>105</v>
      </c>
      <c r="BS729" t="s">
        <v>14002</v>
      </c>
      <c r="BT729" t="str">
        <f>HYPERLINK("https%3A%2F%2Fwww.webofscience.com%2Fwos%2Fwoscc%2Ffull-record%2FWOS:000908350900007","View Full Record in Web of Science")</f>
        <v>View Full Record in Web of Science</v>
      </c>
    </row>
    <row r="730" spans="1:72" x14ac:dyDescent="0.25">
      <c r="A730" t="s">
        <v>72</v>
      </c>
      <c r="B730" t="s">
        <v>14003</v>
      </c>
      <c r="C730" t="s">
        <v>74</v>
      </c>
      <c r="D730" t="s">
        <v>74</v>
      </c>
      <c r="E730" t="s">
        <v>74</v>
      </c>
      <c r="F730" t="s">
        <v>14004</v>
      </c>
      <c r="G730" t="s">
        <v>74</v>
      </c>
      <c r="H730" t="s">
        <v>74</v>
      </c>
      <c r="I730" t="s">
        <v>14005</v>
      </c>
      <c r="J730" t="s">
        <v>6967</v>
      </c>
      <c r="K730" t="s">
        <v>74</v>
      </c>
      <c r="L730" t="s">
        <v>74</v>
      </c>
      <c r="M730" t="s">
        <v>78</v>
      </c>
      <c r="N730" t="s">
        <v>79</v>
      </c>
      <c r="O730" t="s">
        <v>74</v>
      </c>
      <c r="P730" t="s">
        <v>74</v>
      </c>
      <c r="Q730" t="s">
        <v>74</v>
      </c>
      <c r="R730" t="s">
        <v>74</v>
      </c>
      <c r="S730" t="s">
        <v>74</v>
      </c>
      <c r="T730" t="s">
        <v>14006</v>
      </c>
      <c r="U730" t="s">
        <v>14007</v>
      </c>
      <c r="V730" t="s">
        <v>14008</v>
      </c>
      <c r="W730" t="s">
        <v>14009</v>
      </c>
      <c r="X730" t="s">
        <v>14010</v>
      </c>
      <c r="Y730" t="s">
        <v>14011</v>
      </c>
      <c r="Z730" t="s">
        <v>14012</v>
      </c>
      <c r="AA730" t="s">
        <v>14013</v>
      </c>
      <c r="AB730" t="s">
        <v>14014</v>
      </c>
      <c r="AC730" t="s">
        <v>74</v>
      </c>
      <c r="AD730" t="s">
        <v>74</v>
      </c>
      <c r="AE730" t="s">
        <v>74</v>
      </c>
      <c r="AF730" t="s">
        <v>74</v>
      </c>
      <c r="AG730">
        <v>71</v>
      </c>
      <c r="AH730">
        <v>2</v>
      </c>
      <c r="AI730">
        <v>2</v>
      </c>
      <c r="AJ730">
        <v>0</v>
      </c>
      <c r="AK730">
        <v>10</v>
      </c>
      <c r="AL730" t="s">
        <v>9434</v>
      </c>
      <c r="AM730" t="s">
        <v>1606</v>
      </c>
      <c r="AN730" t="s">
        <v>9435</v>
      </c>
      <c r="AO730" t="s">
        <v>6979</v>
      </c>
      <c r="AP730" t="s">
        <v>6980</v>
      </c>
      <c r="AQ730" t="s">
        <v>74</v>
      </c>
      <c r="AR730" t="s">
        <v>6967</v>
      </c>
      <c r="AS730" t="s">
        <v>6981</v>
      </c>
      <c r="AT730" t="s">
        <v>74</v>
      </c>
      <c r="AU730">
        <v>2022</v>
      </c>
      <c r="AV730">
        <v>51</v>
      </c>
      <c r="AW730">
        <v>4</v>
      </c>
      <c r="AX730" t="s">
        <v>74</v>
      </c>
      <c r="AY730" t="s">
        <v>74</v>
      </c>
      <c r="AZ730" t="s">
        <v>74</v>
      </c>
      <c r="BA730" t="s">
        <v>74</v>
      </c>
      <c r="BB730">
        <v>665</v>
      </c>
      <c r="BC730">
        <v>679</v>
      </c>
      <c r="BD730" t="s">
        <v>74</v>
      </c>
      <c r="BE730" t="s">
        <v>14015</v>
      </c>
      <c r="BF730" t="str">
        <f>HYPERLINK("http://dx.doi.org/10.3233/NRE-220036","http://dx.doi.org/10.3233/NRE-220036")</f>
        <v>http://dx.doi.org/10.3233/NRE-220036</v>
      </c>
      <c r="BG730" t="s">
        <v>74</v>
      </c>
      <c r="BH730" t="s">
        <v>74</v>
      </c>
      <c r="BI730">
        <v>15</v>
      </c>
      <c r="BJ730" t="s">
        <v>1049</v>
      </c>
      <c r="BK730" t="s">
        <v>102</v>
      </c>
      <c r="BL730" t="s">
        <v>1050</v>
      </c>
      <c r="BM730" t="s">
        <v>13987</v>
      </c>
      <c r="BN730">
        <v>36530098</v>
      </c>
      <c r="BO730" t="s">
        <v>74</v>
      </c>
      <c r="BP730" t="s">
        <v>74</v>
      </c>
      <c r="BQ730" t="s">
        <v>74</v>
      </c>
      <c r="BR730" t="s">
        <v>105</v>
      </c>
      <c r="BS730" t="s">
        <v>14016</v>
      </c>
      <c r="BT730" t="str">
        <f>HYPERLINK("https%3A%2F%2Fwww.webofscience.com%2Fwos%2Fwoscc%2Ffull-record%2FWOS:000908350900008","View Full Record in Web of Science")</f>
        <v>View Full Record in Web of Science</v>
      </c>
    </row>
    <row r="731" spans="1:72" x14ac:dyDescent="0.25">
      <c r="A731" t="s">
        <v>72</v>
      </c>
      <c r="B731" t="s">
        <v>14017</v>
      </c>
      <c r="C731" t="s">
        <v>74</v>
      </c>
      <c r="D731" t="s">
        <v>74</v>
      </c>
      <c r="E731" t="s">
        <v>74</v>
      </c>
      <c r="F731" t="s">
        <v>14018</v>
      </c>
      <c r="G731" t="s">
        <v>74</v>
      </c>
      <c r="H731" t="s">
        <v>74</v>
      </c>
      <c r="I731" t="s">
        <v>14019</v>
      </c>
      <c r="J731" t="s">
        <v>14020</v>
      </c>
      <c r="K731" t="s">
        <v>74</v>
      </c>
      <c r="L731" t="s">
        <v>74</v>
      </c>
      <c r="M731" t="s">
        <v>78</v>
      </c>
      <c r="N731" t="s">
        <v>79</v>
      </c>
      <c r="O731" t="s">
        <v>74</v>
      </c>
      <c r="P731" t="s">
        <v>74</v>
      </c>
      <c r="Q731" t="s">
        <v>74</v>
      </c>
      <c r="R731" t="s">
        <v>74</v>
      </c>
      <c r="S731" t="s">
        <v>74</v>
      </c>
      <c r="T731" t="s">
        <v>14021</v>
      </c>
      <c r="U731" t="s">
        <v>14022</v>
      </c>
      <c r="V731" t="s">
        <v>14023</v>
      </c>
      <c r="W731" t="s">
        <v>14024</v>
      </c>
      <c r="X731" t="s">
        <v>14025</v>
      </c>
      <c r="Y731" t="s">
        <v>14026</v>
      </c>
      <c r="Z731" t="s">
        <v>14027</v>
      </c>
      <c r="AA731" t="s">
        <v>74</v>
      </c>
      <c r="AB731" t="s">
        <v>74</v>
      </c>
      <c r="AC731" t="s">
        <v>74</v>
      </c>
      <c r="AD731" t="s">
        <v>74</v>
      </c>
      <c r="AE731" t="s">
        <v>74</v>
      </c>
      <c r="AF731" t="s">
        <v>74</v>
      </c>
      <c r="AG731">
        <v>70</v>
      </c>
      <c r="AH731">
        <v>0</v>
      </c>
      <c r="AI731">
        <v>0</v>
      </c>
      <c r="AJ731">
        <v>1</v>
      </c>
      <c r="AK731">
        <v>27</v>
      </c>
      <c r="AL731" t="s">
        <v>14028</v>
      </c>
      <c r="AM731" t="s">
        <v>505</v>
      </c>
      <c r="AN731" t="s">
        <v>14029</v>
      </c>
      <c r="AO731" t="s">
        <v>14030</v>
      </c>
      <c r="AP731" t="s">
        <v>14031</v>
      </c>
      <c r="AQ731" t="s">
        <v>74</v>
      </c>
      <c r="AR731" t="s">
        <v>14032</v>
      </c>
      <c r="AS731" t="s">
        <v>14033</v>
      </c>
      <c r="AT731" t="s">
        <v>74</v>
      </c>
      <c r="AU731">
        <v>2022</v>
      </c>
      <c r="AV731">
        <v>84</v>
      </c>
      <c r="AW731" t="s">
        <v>74</v>
      </c>
      <c r="AX731" t="s">
        <v>74</v>
      </c>
      <c r="AY731" t="s">
        <v>74</v>
      </c>
      <c r="AZ731">
        <v>4</v>
      </c>
      <c r="BA731" t="s">
        <v>74</v>
      </c>
      <c r="BB731">
        <v>68</v>
      </c>
      <c r="BC731">
        <v>76</v>
      </c>
      <c r="BD731" t="s">
        <v>74</v>
      </c>
      <c r="BE731" t="s">
        <v>14034</v>
      </c>
      <c r="BF731" t="str">
        <f>HYPERLINK("http://dx.doi.org/10.36468/pharmaceutical-sciences.spl.534","http://dx.doi.org/10.36468/pharmaceutical-sciences.spl.534")</f>
        <v>http://dx.doi.org/10.36468/pharmaceutical-sciences.spl.534</v>
      </c>
      <c r="BG731" t="s">
        <v>74</v>
      </c>
      <c r="BH731" t="s">
        <v>74</v>
      </c>
      <c r="BI731">
        <v>9</v>
      </c>
      <c r="BJ731" t="s">
        <v>2268</v>
      </c>
      <c r="BK731" t="s">
        <v>182</v>
      </c>
      <c r="BL731" t="s">
        <v>2268</v>
      </c>
      <c r="BM731" t="s">
        <v>14035</v>
      </c>
      <c r="BN731" t="s">
        <v>74</v>
      </c>
      <c r="BO731" t="s">
        <v>309</v>
      </c>
      <c r="BP731" t="s">
        <v>74</v>
      </c>
      <c r="BQ731" t="s">
        <v>74</v>
      </c>
      <c r="BR731" t="s">
        <v>105</v>
      </c>
      <c r="BS731" t="s">
        <v>14036</v>
      </c>
      <c r="BT731" t="str">
        <f>HYPERLINK("https%3A%2F%2Fwww.webofscience.com%2Fwos%2Fwoscc%2Ffull-record%2FWOS:000896023900010","View Full Record in Web of Science")</f>
        <v>View Full Record in Web of Science</v>
      </c>
    </row>
    <row r="732" spans="1:72" x14ac:dyDescent="0.25">
      <c r="A732" t="s">
        <v>72</v>
      </c>
      <c r="B732" t="s">
        <v>14037</v>
      </c>
      <c r="C732" t="s">
        <v>74</v>
      </c>
      <c r="D732" t="s">
        <v>74</v>
      </c>
      <c r="E732" t="s">
        <v>74</v>
      </c>
      <c r="F732" t="s">
        <v>14038</v>
      </c>
      <c r="G732" t="s">
        <v>74</v>
      </c>
      <c r="H732" t="s">
        <v>74</v>
      </c>
      <c r="I732" t="s">
        <v>14039</v>
      </c>
      <c r="J732" t="s">
        <v>14040</v>
      </c>
      <c r="K732" t="s">
        <v>74</v>
      </c>
      <c r="L732" t="s">
        <v>74</v>
      </c>
      <c r="M732" t="s">
        <v>78</v>
      </c>
      <c r="N732" t="s">
        <v>79</v>
      </c>
      <c r="O732" t="s">
        <v>74</v>
      </c>
      <c r="P732" t="s">
        <v>74</v>
      </c>
      <c r="Q732" t="s">
        <v>74</v>
      </c>
      <c r="R732" t="s">
        <v>74</v>
      </c>
      <c r="S732" t="s">
        <v>74</v>
      </c>
      <c r="T732" t="s">
        <v>14041</v>
      </c>
      <c r="U732" t="s">
        <v>14042</v>
      </c>
      <c r="V732" t="s">
        <v>14043</v>
      </c>
      <c r="W732" t="s">
        <v>14044</v>
      </c>
      <c r="X732" t="s">
        <v>14045</v>
      </c>
      <c r="Y732" t="s">
        <v>14046</v>
      </c>
      <c r="Z732" t="s">
        <v>14047</v>
      </c>
      <c r="AA732" t="s">
        <v>14048</v>
      </c>
      <c r="AB732" t="s">
        <v>14049</v>
      </c>
      <c r="AC732" t="s">
        <v>14050</v>
      </c>
      <c r="AD732" t="s">
        <v>14051</v>
      </c>
      <c r="AE732" t="s">
        <v>74</v>
      </c>
      <c r="AF732" t="s">
        <v>74</v>
      </c>
      <c r="AG732">
        <v>104</v>
      </c>
      <c r="AH732">
        <v>17</v>
      </c>
      <c r="AI732">
        <v>18</v>
      </c>
      <c r="AJ732">
        <v>3</v>
      </c>
      <c r="AK732">
        <v>24</v>
      </c>
      <c r="AL732" t="s">
        <v>3456</v>
      </c>
      <c r="AM732" t="s">
        <v>3457</v>
      </c>
      <c r="AN732" t="s">
        <v>3458</v>
      </c>
      <c r="AO732" t="s">
        <v>74</v>
      </c>
      <c r="AP732" t="s">
        <v>14052</v>
      </c>
      <c r="AQ732" t="s">
        <v>74</v>
      </c>
      <c r="AR732" t="s">
        <v>14053</v>
      </c>
      <c r="AS732" t="s">
        <v>14054</v>
      </c>
      <c r="AT732" t="s">
        <v>74</v>
      </c>
      <c r="AU732">
        <v>2022</v>
      </c>
      <c r="AV732">
        <v>18</v>
      </c>
      <c r="AW732" t="s">
        <v>74</v>
      </c>
      <c r="AX732" t="s">
        <v>74</v>
      </c>
      <c r="AY732" t="s">
        <v>74</v>
      </c>
      <c r="AZ732" t="s">
        <v>74</v>
      </c>
      <c r="BA732" t="s">
        <v>74</v>
      </c>
      <c r="BB732">
        <v>2251</v>
      </c>
      <c r="BC732">
        <v>2263</v>
      </c>
      <c r="BD732" t="s">
        <v>74</v>
      </c>
      <c r="BE732" t="s">
        <v>14055</v>
      </c>
      <c r="BF732" t="str">
        <f>HYPERLINK("http://dx.doi.org/10.2147/NDT.S371624","http://dx.doi.org/10.2147/NDT.S371624")</f>
        <v>http://dx.doi.org/10.2147/NDT.S371624</v>
      </c>
      <c r="BG732" t="s">
        <v>74</v>
      </c>
      <c r="BH732" t="s">
        <v>74</v>
      </c>
      <c r="BI732">
        <v>13</v>
      </c>
      <c r="BJ732" t="s">
        <v>1890</v>
      </c>
      <c r="BK732" t="s">
        <v>182</v>
      </c>
      <c r="BL732" t="s">
        <v>1891</v>
      </c>
      <c r="BM732" t="s">
        <v>14056</v>
      </c>
      <c r="BN732">
        <v>36268265</v>
      </c>
      <c r="BO732" t="s">
        <v>355</v>
      </c>
      <c r="BP732" t="s">
        <v>74</v>
      </c>
      <c r="BQ732" t="s">
        <v>74</v>
      </c>
      <c r="BR732" t="s">
        <v>105</v>
      </c>
      <c r="BS732" t="s">
        <v>14057</v>
      </c>
      <c r="BT732" t="str">
        <f>HYPERLINK("https%3A%2F%2Fwww.webofscience.com%2Fwos%2Fwoscc%2Ffull-record%2FWOS:000872429400001","View Full Record in Web of Science")</f>
        <v>View Full Record in Web of Science</v>
      </c>
    </row>
    <row r="733" spans="1:72" x14ac:dyDescent="0.25">
      <c r="A733" t="s">
        <v>72</v>
      </c>
      <c r="B733" t="s">
        <v>14058</v>
      </c>
      <c r="C733" t="s">
        <v>74</v>
      </c>
      <c r="D733" t="s">
        <v>74</v>
      </c>
      <c r="E733" t="s">
        <v>74</v>
      </c>
      <c r="F733" t="s">
        <v>14059</v>
      </c>
      <c r="G733" t="s">
        <v>74</v>
      </c>
      <c r="H733" t="s">
        <v>74</v>
      </c>
      <c r="I733" t="s">
        <v>14060</v>
      </c>
      <c r="J733" t="s">
        <v>14061</v>
      </c>
      <c r="K733" t="s">
        <v>74</v>
      </c>
      <c r="L733" t="s">
        <v>74</v>
      </c>
      <c r="M733" t="s">
        <v>78</v>
      </c>
      <c r="N733" t="s">
        <v>79</v>
      </c>
      <c r="O733" t="s">
        <v>74</v>
      </c>
      <c r="P733" t="s">
        <v>74</v>
      </c>
      <c r="Q733" t="s">
        <v>74</v>
      </c>
      <c r="R733" t="s">
        <v>74</v>
      </c>
      <c r="S733" t="s">
        <v>74</v>
      </c>
      <c r="T733" t="s">
        <v>14062</v>
      </c>
      <c r="U733" t="s">
        <v>14063</v>
      </c>
      <c r="V733" t="s">
        <v>14064</v>
      </c>
      <c r="W733" t="s">
        <v>14065</v>
      </c>
      <c r="X733" t="s">
        <v>14066</v>
      </c>
      <c r="Y733" t="s">
        <v>14067</v>
      </c>
      <c r="Z733" t="s">
        <v>14068</v>
      </c>
      <c r="AA733" t="s">
        <v>14069</v>
      </c>
      <c r="AB733" t="s">
        <v>14070</v>
      </c>
      <c r="AC733" t="s">
        <v>14071</v>
      </c>
      <c r="AD733" t="s">
        <v>14072</v>
      </c>
      <c r="AE733" t="s">
        <v>14073</v>
      </c>
      <c r="AF733" t="s">
        <v>74</v>
      </c>
      <c r="AG733">
        <v>39</v>
      </c>
      <c r="AH733">
        <v>10</v>
      </c>
      <c r="AI733">
        <v>10</v>
      </c>
      <c r="AJ733">
        <v>2</v>
      </c>
      <c r="AK733">
        <v>31</v>
      </c>
      <c r="AL733" t="s">
        <v>3456</v>
      </c>
      <c r="AM733" t="s">
        <v>3457</v>
      </c>
      <c r="AN733" t="s">
        <v>3458</v>
      </c>
      <c r="AO733" t="s">
        <v>74</v>
      </c>
      <c r="AP733" t="s">
        <v>14074</v>
      </c>
      <c r="AQ733" t="s">
        <v>74</v>
      </c>
      <c r="AR733" t="s">
        <v>14075</v>
      </c>
      <c r="AS733" t="s">
        <v>14076</v>
      </c>
      <c r="AT733" t="s">
        <v>74</v>
      </c>
      <c r="AU733">
        <v>2022</v>
      </c>
      <c r="AV733">
        <v>15</v>
      </c>
      <c r="AW733" t="s">
        <v>74</v>
      </c>
      <c r="AX733" t="s">
        <v>74</v>
      </c>
      <c r="AY733" t="s">
        <v>74</v>
      </c>
      <c r="AZ733" t="s">
        <v>74</v>
      </c>
      <c r="BA733" t="s">
        <v>74</v>
      </c>
      <c r="BB733">
        <v>3767</v>
      </c>
      <c r="BC733">
        <v>3777</v>
      </c>
      <c r="BD733" t="s">
        <v>74</v>
      </c>
      <c r="BE733" t="s">
        <v>14077</v>
      </c>
      <c r="BF733" t="str">
        <f>HYPERLINK("http://dx.doi.org/10.2147/IJGM.S355734","http://dx.doi.org/10.2147/IJGM.S355734")</f>
        <v>http://dx.doi.org/10.2147/IJGM.S355734</v>
      </c>
      <c r="BG733" t="s">
        <v>74</v>
      </c>
      <c r="BH733" t="s">
        <v>74</v>
      </c>
      <c r="BI733">
        <v>11</v>
      </c>
      <c r="BJ733" t="s">
        <v>128</v>
      </c>
      <c r="BK733" t="s">
        <v>182</v>
      </c>
      <c r="BL733" t="s">
        <v>129</v>
      </c>
      <c r="BM733" t="s">
        <v>14078</v>
      </c>
      <c r="BN733">
        <v>35418776</v>
      </c>
      <c r="BO733" t="s">
        <v>131</v>
      </c>
      <c r="BP733" t="s">
        <v>74</v>
      </c>
      <c r="BQ733" t="s">
        <v>74</v>
      </c>
      <c r="BR733" t="s">
        <v>105</v>
      </c>
      <c r="BS733" t="s">
        <v>14079</v>
      </c>
      <c r="BT733" t="str">
        <f>HYPERLINK("https%3A%2F%2Fwww.webofscience.com%2Fwos%2Fwoscc%2Ffull-record%2FWOS:000787456700001","View Full Record in Web of Science")</f>
        <v>View Full Record in Web of Science</v>
      </c>
    </row>
    <row r="734" spans="1:72" x14ac:dyDescent="0.25">
      <c r="A734" t="s">
        <v>72</v>
      </c>
      <c r="B734" t="s">
        <v>14080</v>
      </c>
      <c r="C734" t="s">
        <v>74</v>
      </c>
      <c r="D734" t="s">
        <v>74</v>
      </c>
      <c r="E734" t="s">
        <v>74</v>
      </c>
      <c r="F734" t="s">
        <v>14081</v>
      </c>
      <c r="G734" t="s">
        <v>74</v>
      </c>
      <c r="H734" t="s">
        <v>74</v>
      </c>
      <c r="I734" t="s">
        <v>14082</v>
      </c>
      <c r="J734" t="s">
        <v>14083</v>
      </c>
      <c r="K734" t="s">
        <v>74</v>
      </c>
      <c r="L734" t="s">
        <v>74</v>
      </c>
      <c r="M734" t="s">
        <v>78</v>
      </c>
      <c r="N734" t="s">
        <v>79</v>
      </c>
      <c r="O734" t="s">
        <v>74</v>
      </c>
      <c r="P734" t="s">
        <v>74</v>
      </c>
      <c r="Q734" t="s">
        <v>74</v>
      </c>
      <c r="R734" t="s">
        <v>74</v>
      </c>
      <c r="S734" t="s">
        <v>74</v>
      </c>
      <c r="T734" t="s">
        <v>14084</v>
      </c>
      <c r="U734" t="s">
        <v>14085</v>
      </c>
      <c r="V734" t="s">
        <v>14086</v>
      </c>
      <c r="W734" t="s">
        <v>14087</v>
      </c>
      <c r="X734" t="s">
        <v>14088</v>
      </c>
      <c r="Y734" t="s">
        <v>14089</v>
      </c>
      <c r="Z734" t="s">
        <v>14090</v>
      </c>
      <c r="AA734" t="s">
        <v>14091</v>
      </c>
      <c r="AB734" t="s">
        <v>74</v>
      </c>
      <c r="AC734" t="s">
        <v>14092</v>
      </c>
      <c r="AD734" t="s">
        <v>14093</v>
      </c>
      <c r="AE734" t="s">
        <v>14094</v>
      </c>
      <c r="AF734" t="s">
        <v>74</v>
      </c>
      <c r="AG734">
        <v>41</v>
      </c>
      <c r="AH734">
        <v>4</v>
      </c>
      <c r="AI734">
        <v>5</v>
      </c>
      <c r="AJ734">
        <v>2</v>
      </c>
      <c r="AK734">
        <v>10</v>
      </c>
      <c r="AL734" t="s">
        <v>14095</v>
      </c>
      <c r="AM734" t="s">
        <v>14096</v>
      </c>
      <c r="AN734" t="s">
        <v>14097</v>
      </c>
      <c r="AO734" t="s">
        <v>14098</v>
      </c>
      <c r="AP734" t="s">
        <v>74</v>
      </c>
      <c r="AQ734" t="s">
        <v>74</v>
      </c>
      <c r="AR734" t="s">
        <v>14099</v>
      </c>
      <c r="AS734" t="s">
        <v>14100</v>
      </c>
      <c r="AT734" t="s">
        <v>74</v>
      </c>
      <c r="AU734">
        <v>2022</v>
      </c>
      <c r="AV734">
        <v>21</v>
      </c>
      <c r="AW734">
        <v>2</v>
      </c>
      <c r="AX734" t="s">
        <v>74</v>
      </c>
      <c r="AY734" t="s">
        <v>74</v>
      </c>
      <c r="AZ734" t="s">
        <v>74</v>
      </c>
      <c r="BA734" t="s">
        <v>74</v>
      </c>
      <c r="BB734">
        <v>125</v>
      </c>
      <c r="BC734">
        <v>132</v>
      </c>
      <c r="BD734" t="s">
        <v>74</v>
      </c>
      <c r="BE734" t="s">
        <v>14101</v>
      </c>
      <c r="BF734" t="str">
        <f>HYPERLINK("http://dx.doi.org/10.18502/cjn.v21i2.10496","http://dx.doi.org/10.18502/cjn.v21i2.10496")</f>
        <v>http://dx.doi.org/10.18502/cjn.v21i2.10496</v>
      </c>
      <c r="BG734" t="s">
        <v>74</v>
      </c>
      <c r="BH734" t="s">
        <v>74</v>
      </c>
      <c r="BI734">
        <v>8</v>
      </c>
      <c r="BJ734" t="s">
        <v>541</v>
      </c>
      <c r="BK734" t="s">
        <v>155</v>
      </c>
      <c r="BL734" t="s">
        <v>375</v>
      </c>
      <c r="BM734" t="s">
        <v>14102</v>
      </c>
      <c r="BN734">
        <v>38011474</v>
      </c>
      <c r="BO734" t="s">
        <v>355</v>
      </c>
      <c r="BP734" t="s">
        <v>74</v>
      </c>
      <c r="BQ734" t="s">
        <v>74</v>
      </c>
      <c r="BR734" t="s">
        <v>105</v>
      </c>
      <c r="BS734" t="s">
        <v>14103</v>
      </c>
      <c r="BT734" t="str">
        <f>HYPERLINK("https%3A%2F%2Fwww.webofscience.com%2Fwos%2Fwoscc%2Ffull-record%2FWOS:000858766700008","View Full Record in Web of Science")</f>
        <v>View Full Record in Web of Science</v>
      </c>
    </row>
    <row r="735" spans="1:72" x14ac:dyDescent="0.25">
      <c r="A735" t="s">
        <v>72</v>
      </c>
      <c r="B735" t="s">
        <v>14104</v>
      </c>
      <c r="C735" t="s">
        <v>74</v>
      </c>
      <c r="D735" t="s">
        <v>74</v>
      </c>
      <c r="E735" t="s">
        <v>74</v>
      </c>
      <c r="F735" t="s">
        <v>14105</v>
      </c>
      <c r="G735" t="s">
        <v>74</v>
      </c>
      <c r="H735" t="s">
        <v>74</v>
      </c>
      <c r="I735" t="s">
        <v>14106</v>
      </c>
      <c r="J735" t="s">
        <v>6967</v>
      </c>
      <c r="K735" t="s">
        <v>74</v>
      </c>
      <c r="L735" t="s">
        <v>74</v>
      </c>
      <c r="M735" t="s">
        <v>78</v>
      </c>
      <c r="N735" t="s">
        <v>79</v>
      </c>
      <c r="O735" t="s">
        <v>74</v>
      </c>
      <c r="P735" t="s">
        <v>74</v>
      </c>
      <c r="Q735" t="s">
        <v>74</v>
      </c>
      <c r="R735" t="s">
        <v>74</v>
      </c>
      <c r="S735" t="s">
        <v>74</v>
      </c>
      <c r="T735" t="s">
        <v>14107</v>
      </c>
      <c r="U735" t="s">
        <v>14108</v>
      </c>
      <c r="V735" t="s">
        <v>14109</v>
      </c>
      <c r="W735" t="s">
        <v>14110</v>
      </c>
      <c r="X735" t="s">
        <v>74</v>
      </c>
      <c r="Y735" t="s">
        <v>14111</v>
      </c>
      <c r="Z735" t="s">
        <v>1664</v>
      </c>
      <c r="AA735" t="s">
        <v>14112</v>
      </c>
      <c r="AB735" t="s">
        <v>1666</v>
      </c>
      <c r="AC735" t="s">
        <v>74</v>
      </c>
      <c r="AD735" t="s">
        <v>74</v>
      </c>
      <c r="AE735" t="s">
        <v>74</v>
      </c>
      <c r="AF735" t="s">
        <v>74</v>
      </c>
      <c r="AG735">
        <v>149</v>
      </c>
      <c r="AH735">
        <v>3</v>
      </c>
      <c r="AI735">
        <v>3</v>
      </c>
      <c r="AJ735">
        <v>2</v>
      </c>
      <c r="AK735">
        <v>21</v>
      </c>
      <c r="AL735" t="s">
        <v>9434</v>
      </c>
      <c r="AM735" t="s">
        <v>1606</v>
      </c>
      <c r="AN735" t="s">
        <v>9435</v>
      </c>
      <c r="AO735" t="s">
        <v>6979</v>
      </c>
      <c r="AP735" t="s">
        <v>6980</v>
      </c>
      <c r="AQ735" t="s">
        <v>74</v>
      </c>
      <c r="AR735" t="s">
        <v>6967</v>
      </c>
      <c r="AS735" t="s">
        <v>6981</v>
      </c>
      <c r="AT735" t="s">
        <v>74</v>
      </c>
      <c r="AU735">
        <v>2022</v>
      </c>
      <c r="AV735">
        <v>51</v>
      </c>
      <c r="AW735">
        <v>4</v>
      </c>
      <c r="AX735" t="s">
        <v>74</v>
      </c>
      <c r="AY735" t="s">
        <v>74</v>
      </c>
      <c r="AZ735" t="s">
        <v>74</v>
      </c>
      <c r="BA735" t="s">
        <v>74</v>
      </c>
      <c r="BB735">
        <v>577</v>
      </c>
      <c r="BC735">
        <v>593</v>
      </c>
      <c r="BD735" t="s">
        <v>74</v>
      </c>
      <c r="BE735" t="s">
        <v>14113</v>
      </c>
      <c r="BF735" t="str">
        <f>HYPERLINK("http://dx.doi.org/10.3233/NRE-220025","http://dx.doi.org/10.3233/NRE-220025")</f>
        <v>http://dx.doi.org/10.3233/NRE-220025</v>
      </c>
      <c r="BG735" t="s">
        <v>74</v>
      </c>
      <c r="BH735" t="s">
        <v>74</v>
      </c>
      <c r="BI735">
        <v>17</v>
      </c>
      <c r="BJ735" t="s">
        <v>1049</v>
      </c>
      <c r="BK735" t="s">
        <v>102</v>
      </c>
      <c r="BL735" t="s">
        <v>1050</v>
      </c>
      <c r="BM735" t="s">
        <v>13987</v>
      </c>
      <c r="BN735">
        <v>36530096</v>
      </c>
      <c r="BO735" t="s">
        <v>1052</v>
      </c>
      <c r="BP735" t="s">
        <v>74</v>
      </c>
      <c r="BQ735" t="s">
        <v>74</v>
      </c>
      <c r="BR735" t="s">
        <v>105</v>
      </c>
      <c r="BS735" t="s">
        <v>14114</v>
      </c>
      <c r="BT735" t="str">
        <f>HYPERLINK("https%3A%2F%2Fwww.webofscience.com%2Fwos%2Fwoscc%2Ffull-record%2FWOS:000908350900004","View Full Record in Web of Science")</f>
        <v>View Full Record in Web of Science</v>
      </c>
    </row>
    <row r="736" spans="1:72" x14ac:dyDescent="0.25">
      <c r="A736" t="s">
        <v>72</v>
      </c>
      <c r="B736" t="s">
        <v>14115</v>
      </c>
      <c r="C736" t="s">
        <v>74</v>
      </c>
      <c r="D736" t="s">
        <v>74</v>
      </c>
      <c r="E736" t="s">
        <v>74</v>
      </c>
      <c r="F736" t="s">
        <v>14116</v>
      </c>
      <c r="G736" t="s">
        <v>74</v>
      </c>
      <c r="H736" t="s">
        <v>74</v>
      </c>
      <c r="I736" t="s">
        <v>14117</v>
      </c>
      <c r="J736" t="s">
        <v>4424</v>
      </c>
      <c r="K736" t="s">
        <v>74</v>
      </c>
      <c r="L736" t="s">
        <v>74</v>
      </c>
      <c r="M736" t="s">
        <v>78</v>
      </c>
      <c r="N736" t="s">
        <v>79</v>
      </c>
      <c r="O736" t="s">
        <v>74</v>
      </c>
      <c r="P736" t="s">
        <v>74</v>
      </c>
      <c r="Q736" t="s">
        <v>74</v>
      </c>
      <c r="R736" t="s">
        <v>74</v>
      </c>
      <c r="S736" t="s">
        <v>74</v>
      </c>
      <c r="T736" t="s">
        <v>14118</v>
      </c>
      <c r="U736" t="s">
        <v>14119</v>
      </c>
      <c r="V736" t="s">
        <v>14120</v>
      </c>
      <c r="W736" t="s">
        <v>14121</v>
      </c>
      <c r="X736" t="s">
        <v>14122</v>
      </c>
      <c r="Y736" t="s">
        <v>14123</v>
      </c>
      <c r="Z736" t="s">
        <v>14124</v>
      </c>
      <c r="AA736" t="s">
        <v>14125</v>
      </c>
      <c r="AB736" t="s">
        <v>74</v>
      </c>
      <c r="AC736" t="s">
        <v>14126</v>
      </c>
      <c r="AD736" t="s">
        <v>14127</v>
      </c>
      <c r="AE736" t="s">
        <v>14128</v>
      </c>
      <c r="AF736" t="s">
        <v>74</v>
      </c>
      <c r="AG736">
        <v>134</v>
      </c>
      <c r="AH736">
        <v>15</v>
      </c>
      <c r="AI736">
        <v>15</v>
      </c>
      <c r="AJ736">
        <v>25</v>
      </c>
      <c r="AK736">
        <v>256</v>
      </c>
      <c r="AL736" t="s">
        <v>4437</v>
      </c>
      <c r="AM736" t="s">
        <v>4438</v>
      </c>
      <c r="AN736" t="s">
        <v>4439</v>
      </c>
      <c r="AO736" t="s">
        <v>74</v>
      </c>
      <c r="AP736" t="s">
        <v>4440</v>
      </c>
      <c r="AQ736" t="s">
        <v>74</v>
      </c>
      <c r="AR736" t="s">
        <v>4441</v>
      </c>
      <c r="AS736" t="s">
        <v>4442</v>
      </c>
      <c r="AT736" t="s">
        <v>74</v>
      </c>
      <c r="AU736">
        <v>2022</v>
      </c>
      <c r="AV736">
        <v>5</v>
      </c>
      <c r="AW736" t="s">
        <v>74</v>
      </c>
      <c r="AX736" t="s">
        <v>74</v>
      </c>
      <c r="AY736" t="s">
        <v>74</v>
      </c>
      <c r="AZ736" t="s">
        <v>74</v>
      </c>
      <c r="BA736" t="s">
        <v>74</v>
      </c>
      <c r="BB736">
        <v>361</v>
      </c>
      <c r="BC736">
        <v>383</v>
      </c>
      <c r="BD736" t="s">
        <v>74</v>
      </c>
      <c r="BE736" t="s">
        <v>14129</v>
      </c>
      <c r="BF736" t="str">
        <f>HYPERLINK("http://dx.doi.org/10.1146/annurev-control-061521-070251","http://dx.doi.org/10.1146/annurev-control-061521-070251")</f>
        <v>http://dx.doi.org/10.1146/annurev-control-061521-070251</v>
      </c>
      <c r="BG736" t="s">
        <v>74</v>
      </c>
      <c r="BH736" t="s">
        <v>74</v>
      </c>
      <c r="BI736">
        <v>23</v>
      </c>
      <c r="BJ736" t="s">
        <v>4444</v>
      </c>
      <c r="BK736" t="s">
        <v>182</v>
      </c>
      <c r="BL736" t="s">
        <v>4444</v>
      </c>
      <c r="BM736" t="s">
        <v>14130</v>
      </c>
      <c r="BN736" t="s">
        <v>74</v>
      </c>
      <c r="BO736" t="s">
        <v>1052</v>
      </c>
      <c r="BP736" t="s">
        <v>74</v>
      </c>
      <c r="BQ736" t="s">
        <v>74</v>
      </c>
      <c r="BR736" t="s">
        <v>105</v>
      </c>
      <c r="BS736" t="s">
        <v>14131</v>
      </c>
      <c r="BT736" t="str">
        <f>HYPERLINK("https%3A%2F%2Fwww.webofscience.com%2Fwos%2Fwoscc%2Ffull-record%2FWOS:000795864800015","View Full Record in Web of Science")</f>
        <v>View Full Record in Web of Science</v>
      </c>
    </row>
    <row r="737" spans="1:72" x14ac:dyDescent="0.25">
      <c r="A737" t="s">
        <v>72</v>
      </c>
      <c r="B737" t="s">
        <v>14132</v>
      </c>
      <c r="C737" t="s">
        <v>74</v>
      </c>
      <c r="D737" t="s">
        <v>74</v>
      </c>
      <c r="E737" t="s">
        <v>74</v>
      </c>
      <c r="F737" t="s">
        <v>14133</v>
      </c>
      <c r="G737" t="s">
        <v>74</v>
      </c>
      <c r="H737" t="s">
        <v>74</v>
      </c>
      <c r="I737" t="s">
        <v>14134</v>
      </c>
      <c r="J737" t="s">
        <v>9289</v>
      </c>
      <c r="K737" t="s">
        <v>74</v>
      </c>
      <c r="L737" t="s">
        <v>74</v>
      </c>
      <c r="M737" t="s">
        <v>78</v>
      </c>
      <c r="N737" t="s">
        <v>79</v>
      </c>
      <c r="O737" t="s">
        <v>74</v>
      </c>
      <c r="P737" t="s">
        <v>74</v>
      </c>
      <c r="Q737" t="s">
        <v>74</v>
      </c>
      <c r="R737" t="s">
        <v>74</v>
      </c>
      <c r="S737" t="s">
        <v>74</v>
      </c>
      <c r="T737" t="s">
        <v>14135</v>
      </c>
      <c r="U737" t="s">
        <v>14136</v>
      </c>
      <c r="V737" t="s">
        <v>14137</v>
      </c>
      <c r="W737" t="s">
        <v>14138</v>
      </c>
      <c r="X737" t="s">
        <v>14139</v>
      </c>
      <c r="Y737" t="s">
        <v>14140</v>
      </c>
      <c r="Z737" t="s">
        <v>14141</v>
      </c>
      <c r="AA737" t="s">
        <v>14142</v>
      </c>
      <c r="AB737" t="s">
        <v>74</v>
      </c>
      <c r="AC737" t="s">
        <v>14143</v>
      </c>
      <c r="AD737" t="s">
        <v>14144</v>
      </c>
      <c r="AE737" t="s">
        <v>14145</v>
      </c>
      <c r="AF737" t="s">
        <v>74</v>
      </c>
      <c r="AG737">
        <v>221</v>
      </c>
      <c r="AH737">
        <v>13</v>
      </c>
      <c r="AI737">
        <v>13</v>
      </c>
      <c r="AJ737">
        <v>6</v>
      </c>
      <c r="AK737">
        <v>84</v>
      </c>
      <c r="AL737" t="s">
        <v>9301</v>
      </c>
      <c r="AM737" t="s">
        <v>9302</v>
      </c>
      <c r="AN737" t="s">
        <v>9303</v>
      </c>
      <c r="AO737" t="s">
        <v>9304</v>
      </c>
      <c r="AP737" t="s">
        <v>74</v>
      </c>
      <c r="AQ737" t="s">
        <v>74</v>
      </c>
      <c r="AR737" t="s">
        <v>9305</v>
      </c>
      <c r="AS737" t="s">
        <v>9306</v>
      </c>
      <c r="AT737" t="s">
        <v>74</v>
      </c>
      <c r="AU737">
        <v>2022</v>
      </c>
      <c r="AV737">
        <v>14</v>
      </c>
      <c r="AW737">
        <v>4</v>
      </c>
      <c r="AX737" t="s">
        <v>74</v>
      </c>
      <c r="AY737" t="s">
        <v>74</v>
      </c>
      <c r="AZ737" t="s">
        <v>74</v>
      </c>
      <c r="BA737" t="s">
        <v>74</v>
      </c>
      <c r="BB737">
        <v>89</v>
      </c>
      <c r="BC737">
        <v>115</v>
      </c>
      <c r="BD737" t="s">
        <v>74</v>
      </c>
      <c r="BE737" t="s">
        <v>14146</v>
      </c>
      <c r="BF737" t="str">
        <f>HYPERLINK("http://dx.doi.org/10.30880/ijie.2022.14.04.009","http://dx.doi.org/10.30880/ijie.2022.14.04.009")</f>
        <v>http://dx.doi.org/10.30880/ijie.2022.14.04.009</v>
      </c>
      <c r="BG737" t="s">
        <v>74</v>
      </c>
      <c r="BH737" t="s">
        <v>74</v>
      </c>
      <c r="BI737">
        <v>27</v>
      </c>
      <c r="BJ737" t="s">
        <v>1202</v>
      </c>
      <c r="BK737" t="s">
        <v>155</v>
      </c>
      <c r="BL737" t="s">
        <v>183</v>
      </c>
      <c r="BM737" t="s">
        <v>14147</v>
      </c>
      <c r="BN737" t="s">
        <v>74</v>
      </c>
      <c r="BO737" t="s">
        <v>238</v>
      </c>
      <c r="BP737" t="s">
        <v>74</v>
      </c>
      <c r="BQ737" t="s">
        <v>74</v>
      </c>
      <c r="BR737" t="s">
        <v>105</v>
      </c>
      <c r="BS737" t="s">
        <v>14148</v>
      </c>
      <c r="BT737" t="str">
        <f>HYPERLINK("https%3A%2F%2Fwww.webofscience.com%2Fwos%2Fwoscc%2Ffull-record%2FWOS:000816970200009","View Full Record in Web of Science")</f>
        <v>View Full Record in Web of Science</v>
      </c>
    </row>
    <row r="738" spans="1:72" x14ac:dyDescent="0.25">
      <c r="A738" t="s">
        <v>72</v>
      </c>
      <c r="B738" t="s">
        <v>14149</v>
      </c>
      <c r="C738" t="s">
        <v>74</v>
      </c>
      <c r="D738" t="s">
        <v>74</v>
      </c>
      <c r="E738" t="s">
        <v>74</v>
      </c>
      <c r="F738" t="s">
        <v>14150</v>
      </c>
      <c r="G738" t="s">
        <v>74</v>
      </c>
      <c r="H738" t="s">
        <v>74</v>
      </c>
      <c r="I738" t="s">
        <v>14151</v>
      </c>
      <c r="J738" t="s">
        <v>4424</v>
      </c>
      <c r="K738" t="s">
        <v>74</v>
      </c>
      <c r="L738" t="s">
        <v>74</v>
      </c>
      <c r="M738" t="s">
        <v>78</v>
      </c>
      <c r="N738" t="s">
        <v>79</v>
      </c>
      <c r="O738" t="s">
        <v>74</v>
      </c>
      <c r="P738" t="s">
        <v>74</v>
      </c>
      <c r="Q738" t="s">
        <v>74</v>
      </c>
      <c r="R738" t="s">
        <v>74</v>
      </c>
      <c r="S738" t="s">
        <v>74</v>
      </c>
      <c r="T738" t="s">
        <v>14152</v>
      </c>
      <c r="U738" t="s">
        <v>14153</v>
      </c>
      <c r="V738" t="s">
        <v>14154</v>
      </c>
      <c r="W738" t="s">
        <v>14155</v>
      </c>
      <c r="X738" t="s">
        <v>14156</v>
      </c>
      <c r="Y738" t="s">
        <v>14157</v>
      </c>
      <c r="Z738" t="s">
        <v>14158</v>
      </c>
      <c r="AA738" t="s">
        <v>74</v>
      </c>
      <c r="AB738" t="s">
        <v>14159</v>
      </c>
      <c r="AC738" t="s">
        <v>14160</v>
      </c>
      <c r="AD738" t="s">
        <v>8904</v>
      </c>
      <c r="AE738" t="s">
        <v>14161</v>
      </c>
      <c r="AF738" t="s">
        <v>74</v>
      </c>
      <c r="AG738">
        <v>133</v>
      </c>
      <c r="AH738">
        <v>10</v>
      </c>
      <c r="AI738">
        <v>12</v>
      </c>
      <c r="AJ738">
        <v>2</v>
      </c>
      <c r="AK738">
        <v>28</v>
      </c>
      <c r="AL738" t="s">
        <v>4437</v>
      </c>
      <c r="AM738" t="s">
        <v>4438</v>
      </c>
      <c r="AN738" t="s">
        <v>4439</v>
      </c>
      <c r="AO738" t="s">
        <v>74</v>
      </c>
      <c r="AP738" t="s">
        <v>4440</v>
      </c>
      <c r="AQ738" t="s">
        <v>74</v>
      </c>
      <c r="AR738" t="s">
        <v>4441</v>
      </c>
      <c r="AS738" t="s">
        <v>4442</v>
      </c>
      <c r="AT738" t="s">
        <v>74</v>
      </c>
      <c r="AU738">
        <v>2022</v>
      </c>
      <c r="AV738">
        <v>5</v>
      </c>
      <c r="AW738" t="s">
        <v>74</v>
      </c>
      <c r="AX738" t="s">
        <v>74</v>
      </c>
      <c r="AY738" t="s">
        <v>74</v>
      </c>
      <c r="AZ738" t="s">
        <v>74</v>
      </c>
      <c r="BA738" t="s">
        <v>74</v>
      </c>
      <c r="BB738">
        <v>109</v>
      </c>
      <c r="BC738">
        <v>135</v>
      </c>
      <c r="BD738" t="s">
        <v>74</v>
      </c>
      <c r="BE738" t="s">
        <v>14162</v>
      </c>
      <c r="BF738" t="str">
        <f>HYPERLINK("http://dx.doi.org/10.1146/annurev-control-042920-093225","http://dx.doi.org/10.1146/annurev-control-042920-093225")</f>
        <v>http://dx.doi.org/10.1146/annurev-control-042920-093225</v>
      </c>
      <c r="BG738" t="s">
        <v>74</v>
      </c>
      <c r="BH738" t="s">
        <v>74</v>
      </c>
      <c r="BI738">
        <v>27</v>
      </c>
      <c r="BJ738" t="s">
        <v>4444</v>
      </c>
      <c r="BK738" t="s">
        <v>102</v>
      </c>
      <c r="BL738" t="s">
        <v>4444</v>
      </c>
      <c r="BM738" t="s">
        <v>14130</v>
      </c>
      <c r="BN738" t="s">
        <v>74</v>
      </c>
      <c r="BO738" t="s">
        <v>1052</v>
      </c>
      <c r="BP738" t="s">
        <v>74</v>
      </c>
      <c r="BQ738" t="s">
        <v>74</v>
      </c>
      <c r="BR738" t="s">
        <v>105</v>
      </c>
      <c r="BS738" t="s">
        <v>14163</v>
      </c>
      <c r="BT738" t="str">
        <f>HYPERLINK("https%3A%2F%2Fwww.webofscience.com%2Fwos%2Fwoscc%2Ffull-record%2FWOS:000795864800005","View Full Record in Web of Science")</f>
        <v>View Full Record in Web of Science</v>
      </c>
    </row>
    <row r="739" spans="1:72" x14ac:dyDescent="0.25">
      <c r="A739" t="s">
        <v>72</v>
      </c>
      <c r="B739" t="s">
        <v>14164</v>
      </c>
      <c r="C739" t="s">
        <v>74</v>
      </c>
      <c r="D739" t="s">
        <v>74</v>
      </c>
      <c r="E739" t="s">
        <v>74</v>
      </c>
      <c r="F739" t="s">
        <v>14165</v>
      </c>
      <c r="G739" t="s">
        <v>74</v>
      </c>
      <c r="H739" t="s">
        <v>74</v>
      </c>
      <c r="I739" t="s">
        <v>14166</v>
      </c>
      <c r="J739" t="s">
        <v>14167</v>
      </c>
      <c r="K739" t="s">
        <v>74</v>
      </c>
      <c r="L739" t="s">
        <v>74</v>
      </c>
      <c r="M739" t="s">
        <v>78</v>
      </c>
      <c r="N739" t="s">
        <v>79</v>
      </c>
      <c r="O739" t="s">
        <v>74</v>
      </c>
      <c r="P739" t="s">
        <v>74</v>
      </c>
      <c r="Q739" t="s">
        <v>74</v>
      </c>
      <c r="R739" t="s">
        <v>74</v>
      </c>
      <c r="S739" t="s">
        <v>74</v>
      </c>
      <c r="T739" t="s">
        <v>14168</v>
      </c>
      <c r="U739" t="s">
        <v>14169</v>
      </c>
      <c r="V739" t="s">
        <v>14170</v>
      </c>
      <c r="W739" t="s">
        <v>14171</v>
      </c>
      <c r="X739" t="s">
        <v>14172</v>
      </c>
      <c r="Y739" t="s">
        <v>14173</v>
      </c>
      <c r="Z739" t="s">
        <v>14174</v>
      </c>
      <c r="AA739" t="s">
        <v>14175</v>
      </c>
      <c r="AB739" t="s">
        <v>14176</v>
      </c>
      <c r="AC739" t="s">
        <v>74</v>
      </c>
      <c r="AD739" t="s">
        <v>74</v>
      </c>
      <c r="AE739" t="s">
        <v>74</v>
      </c>
      <c r="AF739" t="s">
        <v>74</v>
      </c>
      <c r="AG739">
        <v>268</v>
      </c>
      <c r="AH739">
        <v>8</v>
      </c>
      <c r="AI739">
        <v>8</v>
      </c>
      <c r="AJ739">
        <v>16</v>
      </c>
      <c r="AK739">
        <v>72</v>
      </c>
      <c r="AL739" t="s">
        <v>14177</v>
      </c>
      <c r="AM739" t="s">
        <v>14178</v>
      </c>
      <c r="AN739" t="s">
        <v>14179</v>
      </c>
      <c r="AO739" t="s">
        <v>14180</v>
      </c>
      <c r="AP739" t="s">
        <v>14181</v>
      </c>
      <c r="AQ739" t="s">
        <v>74</v>
      </c>
      <c r="AR739" t="s">
        <v>14182</v>
      </c>
      <c r="AS739" t="s">
        <v>14183</v>
      </c>
      <c r="AT739" t="s">
        <v>74</v>
      </c>
      <c r="AU739">
        <v>2022</v>
      </c>
      <c r="AV739">
        <v>19</v>
      </c>
      <c r="AW739">
        <v>14</v>
      </c>
      <c r="AX739" t="s">
        <v>74</v>
      </c>
      <c r="AY739" t="s">
        <v>74</v>
      </c>
      <c r="AZ739" t="s">
        <v>74</v>
      </c>
      <c r="BA739" t="s">
        <v>74</v>
      </c>
      <c r="BB739">
        <v>909</v>
      </c>
      <c r="BC739">
        <v>932</v>
      </c>
      <c r="BD739" t="s">
        <v>74</v>
      </c>
      <c r="BE739" t="s">
        <v>14184</v>
      </c>
      <c r="BF739" t="str">
        <f>HYPERLINK("http://dx.doi.org/10.2174/1567205020666230206124155","http://dx.doi.org/10.2174/1567205020666230206124155")</f>
        <v>http://dx.doi.org/10.2174/1567205020666230206124155</v>
      </c>
      <c r="BG739" t="s">
        <v>74</v>
      </c>
      <c r="BH739" t="s">
        <v>74</v>
      </c>
      <c r="BI739">
        <v>24</v>
      </c>
      <c r="BJ739" t="s">
        <v>400</v>
      </c>
      <c r="BK739" t="s">
        <v>182</v>
      </c>
      <c r="BL739" t="s">
        <v>375</v>
      </c>
      <c r="BM739" t="s">
        <v>14185</v>
      </c>
      <c r="BN739">
        <v>36744687</v>
      </c>
      <c r="BO739" t="s">
        <v>74</v>
      </c>
      <c r="BP739" t="s">
        <v>74</v>
      </c>
      <c r="BQ739" t="s">
        <v>74</v>
      </c>
      <c r="BR739" t="s">
        <v>105</v>
      </c>
      <c r="BS739" t="s">
        <v>14186</v>
      </c>
      <c r="BT739" t="str">
        <f>HYPERLINK("https%3A%2F%2Fwww.webofscience.com%2Fwos%2Fwoscc%2Ffull-record%2FWOS:000992742900002","View Full Record in Web of Science")</f>
        <v>View Full Record in Web of Science</v>
      </c>
    </row>
    <row r="740" spans="1:72" x14ac:dyDescent="0.25">
      <c r="A740" t="s">
        <v>72</v>
      </c>
      <c r="B740" t="s">
        <v>14187</v>
      </c>
      <c r="C740" t="s">
        <v>74</v>
      </c>
      <c r="D740" t="s">
        <v>74</v>
      </c>
      <c r="E740" t="s">
        <v>74</v>
      </c>
      <c r="F740" t="s">
        <v>14188</v>
      </c>
      <c r="G740" t="s">
        <v>74</v>
      </c>
      <c r="H740" t="s">
        <v>74</v>
      </c>
      <c r="I740" t="s">
        <v>14189</v>
      </c>
      <c r="J740" t="s">
        <v>6967</v>
      </c>
      <c r="K740" t="s">
        <v>74</v>
      </c>
      <c r="L740" t="s">
        <v>74</v>
      </c>
      <c r="M740" t="s">
        <v>78</v>
      </c>
      <c r="N740" t="s">
        <v>79</v>
      </c>
      <c r="O740" t="s">
        <v>74</v>
      </c>
      <c r="P740" t="s">
        <v>74</v>
      </c>
      <c r="Q740" t="s">
        <v>74</v>
      </c>
      <c r="R740" t="s">
        <v>74</v>
      </c>
      <c r="S740" t="s">
        <v>74</v>
      </c>
      <c r="T740" t="s">
        <v>14190</v>
      </c>
      <c r="U740" t="s">
        <v>14191</v>
      </c>
      <c r="V740" t="s">
        <v>14192</v>
      </c>
      <c r="W740" t="s">
        <v>14193</v>
      </c>
      <c r="X740" t="s">
        <v>14194</v>
      </c>
      <c r="Y740" t="s">
        <v>14195</v>
      </c>
      <c r="Z740" t="s">
        <v>14196</v>
      </c>
      <c r="AA740" t="s">
        <v>14197</v>
      </c>
      <c r="AB740" t="s">
        <v>14198</v>
      </c>
      <c r="AC740" t="s">
        <v>74</v>
      </c>
      <c r="AD740" t="s">
        <v>74</v>
      </c>
      <c r="AE740" t="s">
        <v>74</v>
      </c>
      <c r="AF740" t="s">
        <v>74</v>
      </c>
      <c r="AG740">
        <v>88</v>
      </c>
      <c r="AH740">
        <v>2</v>
      </c>
      <c r="AI740">
        <v>3</v>
      </c>
      <c r="AJ740">
        <v>5</v>
      </c>
      <c r="AK740">
        <v>10</v>
      </c>
      <c r="AL740" t="s">
        <v>9434</v>
      </c>
      <c r="AM740" t="s">
        <v>1606</v>
      </c>
      <c r="AN740" t="s">
        <v>9435</v>
      </c>
      <c r="AO740" t="s">
        <v>6979</v>
      </c>
      <c r="AP740" t="s">
        <v>6980</v>
      </c>
      <c r="AQ740" t="s">
        <v>74</v>
      </c>
      <c r="AR740" t="s">
        <v>6967</v>
      </c>
      <c r="AS740" t="s">
        <v>6981</v>
      </c>
      <c r="AT740" t="s">
        <v>74</v>
      </c>
      <c r="AU740">
        <v>2022</v>
      </c>
      <c r="AV740">
        <v>51</v>
      </c>
      <c r="AW740">
        <v>4</v>
      </c>
      <c r="AX740" t="s">
        <v>74</v>
      </c>
      <c r="AY740" t="s">
        <v>74</v>
      </c>
      <c r="AZ740" t="s">
        <v>74</v>
      </c>
      <c r="BA740" t="s">
        <v>74</v>
      </c>
      <c r="BB740">
        <v>595</v>
      </c>
      <c r="BC740">
        <v>608</v>
      </c>
      <c r="BD740" t="s">
        <v>74</v>
      </c>
      <c r="BE740" t="s">
        <v>14199</v>
      </c>
      <c r="BF740" t="str">
        <f>HYPERLINK("http://dx.doi.org/10.3233/NRE-220024","http://dx.doi.org/10.3233/NRE-220024")</f>
        <v>http://dx.doi.org/10.3233/NRE-220024</v>
      </c>
      <c r="BG740" t="s">
        <v>74</v>
      </c>
      <c r="BH740" t="s">
        <v>74</v>
      </c>
      <c r="BI740">
        <v>14</v>
      </c>
      <c r="BJ740" t="s">
        <v>1049</v>
      </c>
      <c r="BK740" t="s">
        <v>102</v>
      </c>
      <c r="BL740" t="s">
        <v>1050</v>
      </c>
      <c r="BM740" t="s">
        <v>13987</v>
      </c>
      <c r="BN740">
        <v>36502342</v>
      </c>
      <c r="BO740" t="s">
        <v>74</v>
      </c>
      <c r="BP740" t="s">
        <v>74</v>
      </c>
      <c r="BQ740" t="s">
        <v>74</v>
      </c>
      <c r="BR740" t="s">
        <v>105</v>
      </c>
      <c r="BS740" t="s">
        <v>14200</v>
      </c>
      <c r="BT740" t="str">
        <f>HYPERLINK("https%3A%2F%2Fwww.webofscience.com%2Fwos%2Fwoscc%2Ffull-record%2FWOS:000908350900005","View Full Record in Web of Science")</f>
        <v>View Full Record in Web of Science</v>
      </c>
    </row>
    <row r="741" spans="1:72" x14ac:dyDescent="0.25">
      <c r="A741" t="s">
        <v>72</v>
      </c>
      <c r="B741" t="s">
        <v>14201</v>
      </c>
      <c r="C741" t="s">
        <v>74</v>
      </c>
      <c r="D741" t="s">
        <v>74</v>
      </c>
      <c r="E741" t="s">
        <v>74</v>
      </c>
      <c r="F741" t="s">
        <v>14202</v>
      </c>
      <c r="G741" t="s">
        <v>74</v>
      </c>
      <c r="H741" t="s">
        <v>74</v>
      </c>
      <c r="I741" t="s">
        <v>14203</v>
      </c>
      <c r="J741" t="s">
        <v>6967</v>
      </c>
      <c r="K741" t="s">
        <v>74</v>
      </c>
      <c r="L741" t="s">
        <v>74</v>
      </c>
      <c r="M741" t="s">
        <v>78</v>
      </c>
      <c r="N741" t="s">
        <v>79</v>
      </c>
      <c r="O741" t="s">
        <v>74</v>
      </c>
      <c r="P741" t="s">
        <v>74</v>
      </c>
      <c r="Q741" t="s">
        <v>74</v>
      </c>
      <c r="R741" t="s">
        <v>74</v>
      </c>
      <c r="S741" t="s">
        <v>74</v>
      </c>
      <c r="T741" t="s">
        <v>14204</v>
      </c>
      <c r="U741" t="s">
        <v>14205</v>
      </c>
      <c r="V741" t="s">
        <v>14206</v>
      </c>
      <c r="W741" t="s">
        <v>14207</v>
      </c>
      <c r="X741" t="s">
        <v>14208</v>
      </c>
      <c r="Y741" t="s">
        <v>14209</v>
      </c>
      <c r="Z741" t="s">
        <v>14210</v>
      </c>
      <c r="AA741" t="s">
        <v>14211</v>
      </c>
      <c r="AB741" t="s">
        <v>74</v>
      </c>
      <c r="AC741" t="s">
        <v>14212</v>
      </c>
      <c r="AD741" t="s">
        <v>14213</v>
      </c>
      <c r="AE741" t="s">
        <v>14214</v>
      </c>
      <c r="AF741" t="s">
        <v>74</v>
      </c>
      <c r="AG741">
        <v>92</v>
      </c>
      <c r="AH741">
        <v>20</v>
      </c>
      <c r="AI741">
        <v>20</v>
      </c>
      <c r="AJ741">
        <v>38</v>
      </c>
      <c r="AK741">
        <v>344</v>
      </c>
      <c r="AL741" t="s">
        <v>9434</v>
      </c>
      <c r="AM741" t="s">
        <v>1606</v>
      </c>
      <c r="AN741" t="s">
        <v>9435</v>
      </c>
      <c r="AO741" t="s">
        <v>6979</v>
      </c>
      <c r="AP741" t="s">
        <v>6980</v>
      </c>
      <c r="AQ741" t="s">
        <v>74</v>
      </c>
      <c r="AR741" t="s">
        <v>6967</v>
      </c>
      <c r="AS741" t="s">
        <v>6981</v>
      </c>
      <c r="AT741" t="s">
        <v>74</v>
      </c>
      <c r="AU741">
        <v>2022</v>
      </c>
      <c r="AV741">
        <v>50</v>
      </c>
      <c r="AW741">
        <v>4</v>
      </c>
      <c r="AX741" t="s">
        <v>74</v>
      </c>
      <c r="AY741" t="s">
        <v>74</v>
      </c>
      <c r="AZ741" t="s">
        <v>74</v>
      </c>
      <c r="BA741" t="s">
        <v>74</v>
      </c>
      <c r="BB741">
        <v>367</v>
      </c>
      <c r="BC741">
        <v>390</v>
      </c>
      <c r="BD741" t="s">
        <v>74</v>
      </c>
      <c r="BE741" t="s">
        <v>14215</v>
      </c>
      <c r="BF741" t="str">
        <f>HYPERLINK("http://dx.doi.org/10.3233/NRE-210300","http://dx.doi.org/10.3233/NRE-210300")</f>
        <v>http://dx.doi.org/10.3233/NRE-210300</v>
      </c>
      <c r="BG741" t="s">
        <v>74</v>
      </c>
      <c r="BH741" t="s">
        <v>74</v>
      </c>
      <c r="BI741">
        <v>24</v>
      </c>
      <c r="BJ741" t="s">
        <v>1049</v>
      </c>
      <c r="BK741" t="s">
        <v>102</v>
      </c>
      <c r="BL741" t="s">
        <v>1050</v>
      </c>
      <c r="BM741" t="s">
        <v>14216</v>
      </c>
      <c r="BN741">
        <v>35147568</v>
      </c>
      <c r="BO741" t="s">
        <v>74</v>
      </c>
      <c r="BP741" t="s">
        <v>74</v>
      </c>
      <c r="BQ741" t="s">
        <v>74</v>
      </c>
      <c r="BR741" t="s">
        <v>105</v>
      </c>
      <c r="BS741" t="s">
        <v>14217</v>
      </c>
      <c r="BT741" t="str">
        <f>HYPERLINK("https%3A%2F%2Fwww.webofscience.com%2Fwos%2Fwoscc%2Ffull-record%2FWOS:000963130000002","View Full Record in Web of Science")</f>
        <v>View Full Record in Web of Science</v>
      </c>
    </row>
    <row r="742" spans="1:72" x14ac:dyDescent="0.25">
      <c r="A742" t="s">
        <v>72</v>
      </c>
      <c r="B742" t="s">
        <v>14218</v>
      </c>
      <c r="C742" t="s">
        <v>74</v>
      </c>
      <c r="D742" t="s">
        <v>74</v>
      </c>
      <c r="E742" t="s">
        <v>74</v>
      </c>
      <c r="F742" t="s">
        <v>14219</v>
      </c>
      <c r="G742" t="s">
        <v>74</v>
      </c>
      <c r="H742" t="s">
        <v>74</v>
      </c>
      <c r="I742" t="s">
        <v>14220</v>
      </c>
      <c r="J742" t="s">
        <v>2040</v>
      </c>
      <c r="K742" t="s">
        <v>74</v>
      </c>
      <c r="L742" t="s">
        <v>74</v>
      </c>
      <c r="M742" t="s">
        <v>78</v>
      </c>
      <c r="N742" t="s">
        <v>79</v>
      </c>
      <c r="O742" t="s">
        <v>74</v>
      </c>
      <c r="P742" t="s">
        <v>74</v>
      </c>
      <c r="Q742" t="s">
        <v>74</v>
      </c>
      <c r="R742" t="s">
        <v>74</v>
      </c>
      <c r="S742" t="s">
        <v>74</v>
      </c>
      <c r="T742" t="s">
        <v>14221</v>
      </c>
      <c r="U742" t="s">
        <v>14222</v>
      </c>
      <c r="V742" t="s">
        <v>14223</v>
      </c>
      <c r="W742" t="s">
        <v>14224</v>
      </c>
      <c r="X742" t="s">
        <v>14225</v>
      </c>
      <c r="Y742" t="s">
        <v>14226</v>
      </c>
      <c r="Z742" t="s">
        <v>14227</v>
      </c>
      <c r="AA742" t="s">
        <v>14228</v>
      </c>
      <c r="AB742" t="s">
        <v>14229</v>
      </c>
      <c r="AC742" t="s">
        <v>74</v>
      </c>
      <c r="AD742" t="s">
        <v>74</v>
      </c>
      <c r="AE742" t="s">
        <v>74</v>
      </c>
      <c r="AF742" t="s">
        <v>74</v>
      </c>
      <c r="AG742">
        <v>60</v>
      </c>
      <c r="AH742">
        <v>7</v>
      </c>
      <c r="AI742">
        <v>7</v>
      </c>
      <c r="AJ742">
        <v>4</v>
      </c>
      <c r="AK742">
        <v>37</v>
      </c>
      <c r="AL742" t="s">
        <v>120</v>
      </c>
      <c r="AM742" t="s">
        <v>121</v>
      </c>
      <c r="AN742" t="s">
        <v>1221</v>
      </c>
      <c r="AO742" t="s">
        <v>74</v>
      </c>
      <c r="AP742" t="s">
        <v>2050</v>
      </c>
      <c r="AQ742" t="s">
        <v>74</v>
      </c>
      <c r="AR742" t="s">
        <v>2051</v>
      </c>
      <c r="AS742" t="s">
        <v>2052</v>
      </c>
      <c r="AT742" t="s">
        <v>538</v>
      </c>
      <c r="AU742">
        <v>2022</v>
      </c>
      <c r="AV742">
        <v>22</v>
      </c>
      <c r="AW742">
        <v>1</v>
      </c>
      <c r="AX742" t="s">
        <v>74</v>
      </c>
      <c r="AY742" t="s">
        <v>74</v>
      </c>
      <c r="AZ742" t="s">
        <v>74</v>
      </c>
      <c r="BA742" t="s">
        <v>74</v>
      </c>
      <c r="BB742" t="s">
        <v>74</v>
      </c>
      <c r="BC742" t="s">
        <v>74</v>
      </c>
      <c r="BD742">
        <v>199</v>
      </c>
      <c r="BE742" t="s">
        <v>14230</v>
      </c>
      <c r="BF742" t="str">
        <f>HYPERLINK("http://dx.doi.org/10.3390/s22010199","http://dx.doi.org/10.3390/s22010199")</f>
        <v>http://dx.doi.org/10.3390/s22010199</v>
      </c>
      <c r="BG742" t="s">
        <v>74</v>
      </c>
      <c r="BH742" t="s">
        <v>74</v>
      </c>
      <c r="BI742">
        <v>14</v>
      </c>
      <c r="BJ742" t="s">
        <v>2054</v>
      </c>
      <c r="BK742" t="s">
        <v>182</v>
      </c>
      <c r="BL742" t="s">
        <v>2055</v>
      </c>
      <c r="BM742" t="s">
        <v>14231</v>
      </c>
      <c r="BN742">
        <v>35009742</v>
      </c>
      <c r="BO742" t="s">
        <v>131</v>
      </c>
      <c r="BP742" t="s">
        <v>74</v>
      </c>
      <c r="BQ742" t="s">
        <v>74</v>
      </c>
      <c r="BR742" t="s">
        <v>105</v>
      </c>
      <c r="BS742" t="s">
        <v>14232</v>
      </c>
      <c r="BT742" t="str">
        <f>HYPERLINK("https%3A%2F%2Fwww.webofscience.com%2Fwos%2Fwoscc%2Ffull-record%2FWOS:000742964500001","View Full Record in Web of Science")</f>
        <v>View Full Record in Web of Science</v>
      </c>
    </row>
    <row r="743" spans="1:72" x14ac:dyDescent="0.25">
      <c r="A743" t="s">
        <v>72</v>
      </c>
      <c r="B743" t="s">
        <v>14233</v>
      </c>
      <c r="C743" t="s">
        <v>74</v>
      </c>
      <c r="D743" t="s">
        <v>74</v>
      </c>
      <c r="E743" t="s">
        <v>74</v>
      </c>
      <c r="F743" t="s">
        <v>14234</v>
      </c>
      <c r="G743" t="s">
        <v>74</v>
      </c>
      <c r="H743" t="s">
        <v>74</v>
      </c>
      <c r="I743" t="s">
        <v>14235</v>
      </c>
      <c r="J743" t="s">
        <v>6967</v>
      </c>
      <c r="K743" t="s">
        <v>74</v>
      </c>
      <c r="L743" t="s">
        <v>74</v>
      </c>
      <c r="M743" t="s">
        <v>78</v>
      </c>
      <c r="N743" t="s">
        <v>79</v>
      </c>
      <c r="O743" t="s">
        <v>74</v>
      </c>
      <c r="P743" t="s">
        <v>74</v>
      </c>
      <c r="Q743" t="s">
        <v>74</v>
      </c>
      <c r="R743" t="s">
        <v>74</v>
      </c>
      <c r="S743" t="s">
        <v>74</v>
      </c>
      <c r="T743" t="s">
        <v>14236</v>
      </c>
      <c r="U743" t="s">
        <v>14237</v>
      </c>
      <c r="V743" t="s">
        <v>14238</v>
      </c>
      <c r="W743" t="s">
        <v>14239</v>
      </c>
      <c r="X743" t="s">
        <v>14240</v>
      </c>
      <c r="Y743" t="s">
        <v>14241</v>
      </c>
      <c r="Z743" t="s">
        <v>14242</v>
      </c>
      <c r="AA743" t="s">
        <v>14243</v>
      </c>
      <c r="AB743" t="s">
        <v>14244</v>
      </c>
      <c r="AC743" t="s">
        <v>74</v>
      </c>
      <c r="AD743" t="s">
        <v>74</v>
      </c>
      <c r="AE743" t="s">
        <v>74</v>
      </c>
      <c r="AF743" t="s">
        <v>74</v>
      </c>
      <c r="AG743">
        <v>91</v>
      </c>
      <c r="AH743">
        <v>11</v>
      </c>
      <c r="AI743">
        <v>13</v>
      </c>
      <c r="AJ743">
        <v>2</v>
      </c>
      <c r="AK743">
        <v>23</v>
      </c>
      <c r="AL743" t="s">
        <v>9434</v>
      </c>
      <c r="AM743" t="s">
        <v>1606</v>
      </c>
      <c r="AN743" t="s">
        <v>9435</v>
      </c>
      <c r="AO743" t="s">
        <v>6979</v>
      </c>
      <c r="AP743" t="s">
        <v>6980</v>
      </c>
      <c r="AQ743" t="s">
        <v>74</v>
      </c>
      <c r="AR743" t="s">
        <v>6967</v>
      </c>
      <c r="AS743" t="s">
        <v>6981</v>
      </c>
      <c r="AT743" t="s">
        <v>74</v>
      </c>
      <c r="AU743">
        <v>2022</v>
      </c>
      <c r="AV743">
        <v>51</v>
      </c>
      <c r="AW743">
        <v>4</v>
      </c>
      <c r="AX743" t="s">
        <v>74</v>
      </c>
      <c r="AY743" t="s">
        <v>74</v>
      </c>
      <c r="AZ743" t="s">
        <v>74</v>
      </c>
      <c r="BA743" t="s">
        <v>74</v>
      </c>
      <c r="BB743">
        <v>609</v>
      </c>
      <c r="BC743">
        <v>647</v>
      </c>
      <c r="BD743" t="s">
        <v>74</v>
      </c>
      <c r="BE743" t="s">
        <v>14245</v>
      </c>
      <c r="BF743" t="str">
        <f>HYPERLINK("http://dx.doi.org/10.3233/NRE-220061","http://dx.doi.org/10.3233/NRE-220061")</f>
        <v>http://dx.doi.org/10.3233/NRE-220061</v>
      </c>
      <c r="BG743" t="s">
        <v>74</v>
      </c>
      <c r="BH743" t="s">
        <v>74</v>
      </c>
      <c r="BI743">
        <v>39</v>
      </c>
      <c r="BJ743" t="s">
        <v>1049</v>
      </c>
      <c r="BK743" t="s">
        <v>102</v>
      </c>
      <c r="BL743" t="s">
        <v>1050</v>
      </c>
      <c r="BM743" t="s">
        <v>13987</v>
      </c>
      <c r="BN743">
        <v>36502343</v>
      </c>
      <c r="BO743" t="s">
        <v>74</v>
      </c>
      <c r="BP743" t="s">
        <v>74</v>
      </c>
      <c r="BQ743" t="s">
        <v>74</v>
      </c>
      <c r="BR743" t="s">
        <v>105</v>
      </c>
      <c r="BS743" t="s">
        <v>14246</v>
      </c>
      <c r="BT743" t="str">
        <f>HYPERLINK("https%3A%2F%2Fwww.webofscience.com%2Fwos%2Fwoscc%2Ffull-record%2FWOS:000908350900006","View Full Record in Web of Science")</f>
        <v>View Full Record in Web of Science</v>
      </c>
    </row>
    <row r="744" spans="1:72" x14ac:dyDescent="0.25">
      <c r="A744" t="s">
        <v>72</v>
      </c>
      <c r="B744" t="s">
        <v>14247</v>
      </c>
      <c r="C744" t="s">
        <v>74</v>
      </c>
      <c r="D744" t="s">
        <v>74</v>
      </c>
      <c r="E744" t="s">
        <v>74</v>
      </c>
      <c r="F744" t="s">
        <v>14248</v>
      </c>
      <c r="G744" t="s">
        <v>74</v>
      </c>
      <c r="H744" t="s">
        <v>13975</v>
      </c>
      <c r="I744" t="s">
        <v>14249</v>
      </c>
      <c r="J744" t="s">
        <v>6967</v>
      </c>
      <c r="K744" t="s">
        <v>74</v>
      </c>
      <c r="L744" t="s">
        <v>74</v>
      </c>
      <c r="M744" t="s">
        <v>78</v>
      </c>
      <c r="N744" t="s">
        <v>79</v>
      </c>
      <c r="O744" t="s">
        <v>74</v>
      </c>
      <c r="P744" t="s">
        <v>74</v>
      </c>
      <c r="Q744" t="s">
        <v>74</v>
      </c>
      <c r="R744" t="s">
        <v>74</v>
      </c>
      <c r="S744" t="s">
        <v>74</v>
      </c>
      <c r="T744" t="s">
        <v>14250</v>
      </c>
      <c r="U744" t="s">
        <v>14251</v>
      </c>
      <c r="V744" t="s">
        <v>14252</v>
      </c>
      <c r="W744" t="s">
        <v>14253</v>
      </c>
      <c r="X744" t="s">
        <v>14254</v>
      </c>
      <c r="Y744" t="s">
        <v>14255</v>
      </c>
      <c r="Z744" t="s">
        <v>14256</v>
      </c>
      <c r="AA744" t="s">
        <v>14257</v>
      </c>
      <c r="AB744" t="s">
        <v>14258</v>
      </c>
      <c r="AC744" t="s">
        <v>74</v>
      </c>
      <c r="AD744" t="s">
        <v>74</v>
      </c>
      <c r="AE744" t="s">
        <v>74</v>
      </c>
      <c r="AF744" t="s">
        <v>74</v>
      </c>
      <c r="AG744">
        <v>52</v>
      </c>
      <c r="AH744">
        <v>12</v>
      </c>
      <c r="AI744">
        <v>12</v>
      </c>
      <c r="AJ744">
        <v>4</v>
      </c>
      <c r="AK744">
        <v>23</v>
      </c>
      <c r="AL744" t="s">
        <v>9434</v>
      </c>
      <c r="AM744" t="s">
        <v>1606</v>
      </c>
      <c r="AN744" t="s">
        <v>9435</v>
      </c>
      <c r="AO744" t="s">
        <v>6979</v>
      </c>
      <c r="AP744" t="s">
        <v>6980</v>
      </c>
      <c r="AQ744" t="s">
        <v>74</v>
      </c>
      <c r="AR744" t="s">
        <v>6967</v>
      </c>
      <c r="AS744" t="s">
        <v>6981</v>
      </c>
      <c r="AT744" t="s">
        <v>74</v>
      </c>
      <c r="AU744">
        <v>2022</v>
      </c>
      <c r="AV744">
        <v>51</v>
      </c>
      <c r="AW744">
        <v>4</v>
      </c>
      <c r="AX744" t="s">
        <v>74</v>
      </c>
      <c r="AY744" t="s">
        <v>74</v>
      </c>
      <c r="AZ744" t="s">
        <v>74</v>
      </c>
      <c r="BA744" t="s">
        <v>74</v>
      </c>
      <c r="BB744">
        <v>559</v>
      </c>
      <c r="BC744">
        <v>576</v>
      </c>
      <c r="BD744" t="s">
        <v>74</v>
      </c>
      <c r="BE744" t="s">
        <v>14259</v>
      </c>
      <c r="BF744" t="str">
        <f>HYPERLINK("http://dx.doi.org/10.3233/NRE-220027","http://dx.doi.org/10.3233/NRE-220027")</f>
        <v>http://dx.doi.org/10.3233/NRE-220027</v>
      </c>
      <c r="BG744" t="s">
        <v>74</v>
      </c>
      <c r="BH744" t="s">
        <v>74</v>
      </c>
      <c r="BI744">
        <v>18</v>
      </c>
      <c r="BJ744" t="s">
        <v>1049</v>
      </c>
      <c r="BK744" t="s">
        <v>102</v>
      </c>
      <c r="BL744" t="s">
        <v>1050</v>
      </c>
      <c r="BM744" t="s">
        <v>13987</v>
      </c>
      <c r="BN744">
        <v>36530097</v>
      </c>
      <c r="BO744" t="s">
        <v>104</v>
      </c>
      <c r="BP744" t="s">
        <v>74</v>
      </c>
      <c r="BQ744" t="s">
        <v>74</v>
      </c>
      <c r="BR744" t="s">
        <v>105</v>
      </c>
      <c r="BS744" t="s">
        <v>14260</v>
      </c>
      <c r="BT744" t="str">
        <f>HYPERLINK("https%3A%2F%2Fwww.webofscience.com%2Fwos%2Fwoscc%2Ffull-record%2FWOS:000908350900003","View Full Record in Web of Science")</f>
        <v>View Full Record in Web of Science</v>
      </c>
    </row>
    <row r="745" spans="1:72" x14ac:dyDescent="0.25">
      <c r="A745" t="s">
        <v>72</v>
      </c>
      <c r="B745" t="s">
        <v>14261</v>
      </c>
      <c r="C745" t="s">
        <v>74</v>
      </c>
      <c r="D745" t="s">
        <v>74</v>
      </c>
      <c r="E745" t="s">
        <v>74</v>
      </c>
      <c r="F745" t="s">
        <v>14262</v>
      </c>
      <c r="G745" t="s">
        <v>74</v>
      </c>
      <c r="H745" t="s">
        <v>14263</v>
      </c>
      <c r="I745" t="s">
        <v>14264</v>
      </c>
      <c r="J745" t="s">
        <v>6967</v>
      </c>
      <c r="K745" t="s">
        <v>74</v>
      </c>
      <c r="L745" t="s">
        <v>74</v>
      </c>
      <c r="M745" t="s">
        <v>78</v>
      </c>
      <c r="N745" t="s">
        <v>79</v>
      </c>
      <c r="O745" t="s">
        <v>74</v>
      </c>
      <c r="P745" t="s">
        <v>74</v>
      </c>
      <c r="Q745" t="s">
        <v>74</v>
      </c>
      <c r="R745" t="s">
        <v>74</v>
      </c>
      <c r="S745" t="s">
        <v>74</v>
      </c>
      <c r="T745" t="s">
        <v>14265</v>
      </c>
      <c r="U745" t="s">
        <v>14266</v>
      </c>
      <c r="V745" t="s">
        <v>14267</v>
      </c>
      <c r="W745" t="s">
        <v>14268</v>
      </c>
      <c r="X745" t="s">
        <v>14269</v>
      </c>
      <c r="Y745" t="s">
        <v>14270</v>
      </c>
      <c r="Z745" t="s">
        <v>14271</v>
      </c>
      <c r="AA745" t="s">
        <v>14272</v>
      </c>
      <c r="AB745" t="s">
        <v>14273</v>
      </c>
      <c r="AC745" t="s">
        <v>74</v>
      </c>
      <c r="AD745" t="s">
        <v>74</v>
      </c>
      <c r="AE745" t="s">
        <v>74</v>
      </c>
      <c r="AF745" t="s">
        <v>74</v>
      </c>
      <c r="AG745">
        <v>45</v>
      </c>
      <c r="AH745">
        <v>6</v>
      </c>
      <c r="AI745">
        <v>6</v>
      </c>
      <c r="AJ745">
        <v>1</v>
      </c>
      <c r="AK745">
        <v>16</v>
      </c>
      <c r="AL745" t="s">
        <v>9434</v>
      </c>
      <c r="AM745" t="s">
        <v>1606</v>
      </c>
      <c r="AN745" t="s">
        <v>9435</v>
      </c>
      <c r="AO745" t="s">
        <v>6979</v>
      </c>
      <c r="AP745" t="s">
        <v>6980</v>
      </c>
      <c r="AQ745" t="s">
        <v>74</v>
      </c>
      <c r="AR745" t="s">
        <v>6967</v>
      </c>
      <c r="AS745" t="s">
        <v>6981</v>
      </c>
      <c r="AT745" t="s">
        <v>74</v>
      </c>
      <c r="AU745">
        <v>2022</v>
      </c>
      <c r="AV745">
        <v>51</v>
      </c>
      <c r="AW745">
        <v>4</v>
      </c>
      <c r="AX745" t="s">
        <v>74</v>
      </c>
      <c r="AY745" t="s">
        <v>74</v>
      </c>
      <c r="AZ745" t="s">
        <v>74</v>
      </c>
      <c r="BA745" t="s">
        <v>74</v>
      </c>
      <c r="BB745">
        <v>681</v>
      </c>
      <c r="BC745">
        <v>691</v>
      </c>
      <c r="BD745" t="s">
        <v>74</v>
      </c>
      <c r="BE745" t="s">
        <v>14274</v>
      </c>
      <c r="BF745" t="str">
        <f>HYPERLINK("http://dx.doi.org/10.3233/NRE-220160","http://dx.doi.org/10.3233/NRE-220160")</f>
        <v>http://dx.doi.org/10.3233/NRE-220160</v>
      </c>
      <c r="BG745" t="s">
        <v>74</v>
      </c>
      <c r="BH745" t="s">
        <v>74</v>
      </c>
      <c r="BI745">
        <v>11</v>
      </c>
      <c r="BJ745" t="s">
        <v>1049</v>
      </c>
      <c r="BK745" t="s">
        <v>102</v>
      </c>
      <c r="BL745" t="s">
        <v>1050</v>
      </c>
      <c r="BM745" t="s">
        <v>13987</v>
      </c>
      <c r="BN745">
        <v>36530100</v>
      </c>
      <c r="BO745" t="s">
        <v>1052</v>
      </c>
      <c r="BP745" t="s">
        <v>74</v>
      </c>
      <c r="BQ745" t="s">
        <v>74</v>
      </c>
      <c r="BR745" t="s">
        <v>105</v>
      </c>
      <c r="BS745" t="s">
        <v>14275</v>
      </c>
      <c r="BT745" t="str">
        <f>HYPERLINK("https%3A%2F%2Fwww.webofscience.com%2Fwos%2Fwoscc%2Ffull-record%2FWOS:000908350900009","View Full Record in Web of Science")</f>
        <v>View Full Record in Web of Science</v>
      </c>
    </row>
    <row r="746" spans="1:72" x14ac:dyDescent="0.25">
      <c r="A746" t="s">
        <v>72</v>
      </c>
      <c r="B746" t="s">
        <v>14276</v>
      </c>
      <c r="C746" t="s">
        <v>74</v>
      </c>
      <c r="D746" t="s">
        <v>74</v>
      </c>
      <c r="E746" t="s">
        <v>74</v>
      </c>
      <c r="F746" t="s">
        <v>14277</v>
      </c>
      <c r="G746" t="s">
        <v>74</v>
      </c>
      <c r="H746" t="s">
        <v>74</v>
      </c>
      <c r="I746" t="s">
        <v>14278</v>
      </c>
      <c r="J746" t="s">
        <v>594</v>
      </c>
      <c r="K746" t="s">
        <v>74</v>
      </c>
      <c r="L746" t="s">
        <v>74</v>
      </c>
      <c r="M746" t="s">
        <v>78</v>
      </c>
      <c r="N746" t="s">
        <v>79</v>
      </c>
      <c r="O746" t="s">
        <v>74</v>
      </c>
      <c r="P746" t="s">
        <v>74</v>
      </c>
      <c r="Q746" t="s">
        <v>74</v>
      </c>
      <c r="R746" t="s">
        <v>74</v>
      </c>
      <c r="S746" t="s">
        <v>74</v>
      </c>
      <c r="T746" t="s">
        <v>14279</v>
      </c>
      <c r="U746" t="s">
        <v>14280</v>
      </c>
      <c r="V746" t="s">
        <v>14281</v>
      </c>
      <c r="W746" t="s">
        <v>14282</v>
      </c>
      <c r="X746" t="s">
        <v>14283</v>
      </c>
      <c r="Y746" t="s">
        <v>14284</v>
      </c>
      <c r="Z746" t="s">
        <v>14285</v>
      </c>
      <c r="AA746" t="s">
        <v>14286</v>
      </c>
      <c r="AB746" t="s">
        <v>14287</v>
      </c>
      <c r="AC746" t="s">
        <v>14288</v>
      </c>
      <c r="AD746" t="s">
        <v>14289</v>
      </c>
      <c r="AE746" t="s">
        <v>14290</v>
      </c>
      <c r="AF746" t="s">
        <v>74</v>
      </c>
      <c r="AG746">
        <v>82</v>
      </c>
      <c r="AH746">
        <v>19</v>
      </c>
      <c r="AI746">
        <v>20</v>
      </c>
      <c r="AJ746">
        <v>11</v>
      </c>
      <c r="AK746">
        <v>72</v>
      </c>
      <c r="AL746" t="s">
        <v>274</v>
      </c>
      <c r="AM746" t="s">
        <v>275</v>
      </c>
      <c r="AN746" t="s">
        <v>276</v>
      </c>
      <c r="AO746" t="s">
        <v>74</v>
      </c>
      <c r="AP746" t="s">
        <v>606</v>
      </c>
      <c r="AQ746" t="s">
        <v>74</v>
      </c>
      <c r="AR746" t="s">
        <v>607</v>
      </c>
      <c r="AS746" t="s">
        <v>608</v>
      </c>
      <c r="AT746" t="s">
        <v>14291</v>
      </c>
      <c r="AU746">
        <v>2021</v>
      </c>
      <c r="AV746">
        <v>18</v>
      </c>
      <c r="AW746">
        <v>1</v>
      </c>
      <c r="AX746" t="s">
        <v>74</v>
      </c>
      <c r="AY746" t="s">
        <v>74</v>
      </c>
      <c r="AZ746" t="s">
        <v>74</v>
      </c>
      <c r="BA746" t="s">
        <v>74</v>
      </c>
      <c r="BB746" t="s">
        <v>74</v>
      </c>
      <c r="BC746" t="s">
        <v>74</v>
      </c>
      <c r="BD746">
        <v>183</v>
      </c>
      <c r="BE746" t="s">
        <v>14292</v>
      </c>
      <c r="BF746" t="str">
        <f>HYPERLINK("http://dx.doi.org/10.1186/s12984-021-00974-5","http://dx.doi.org/10.1186/s12984-021-00974-5")</f>
        <v>http://dx.doi.org/10.1186/s12984-021-00974-5</v>
      </c>
      <c r="BG746" t="s">
        <v>74</v>
      </c>
      <c r="BH746" t="s">
        <v>74</v>
      </c>
      <c r="BI746">
        <v>18</v>
      </c>
      <c r="BJ746" t="s">
        <v>611</v>
      </c>
      <c r="BK746" t="s">
        <v>102</v>
      </c>
      <c r="BL746" t="s">
        <v>612</v>
      </c>
      <c r="BM746" t="s">
        <v>14293</v>
      </c>
      <c r="BN746">
        <v>34961530</v>
      </c>
      <c r="BO746" t="s">
        <v>131</v>
      </c>
      <c r="BP746" t="s">
        <v>74</v>
      </c>
      <c r="BQ746" t="s">
        <v>74</v>
      </c>
      <c r="BR746" t="s">
        <v>105</v>
      </c>
      <c r="BS746" t="s">
        <v>14294</v>
      </c>
      <c r="BT746" t="str">
        <f>HYPERLINK("https%3A%2F%2Fwww.webofscience.com%2Fwos%2Fwoscc%2Ffull-record%2FWOS:000734839800001","View Full Record in Web of Science")</f>
        <v>View Full Record in Web of Science</v>
      </c>
    </row>
    <row r="747" spans="1:72" x14ac:dyDescent="0.25">
      <c r="A747" t="s">
        <v>72</v>
      </c>
      <c r="B747" t="s">
        <v>14295</v>
      </c>
      <c r="C747" t="s">
        <v>74</v>
      </c>
      <c r="D747" t="s">
        <v>74</v>
      </c>
      <c r="E747" t="s">
        <v>74</v>
      </c>
      <c r="F747" t="s">
        <v>14296</v>
      </c>
      <c r="G747" t="s">
        <v>74</v>
      </c>
      <c r="H747" t="s">
        <v>74</v>
      </c>
      <c r="I747" t="s">
        <v>14297</v>
      </c>
      <c r="J747" t="s">
        <v>8674</v>
      </c>
      <c r="K747" t="s">
        <v>74</v>
      </c>
      <c r="L747" t="s">
        <v>74</v>
      </c>
      <c r="M747" t="s">
        <v>78</v>
      </c>
      <c r="N747" t="s">
        <v>79</v>
      </c>
      <c r="O747" t="s">
        <v>74</v>
      </c>
      <c r="P747" t="s">
        <v>74</v>
      </c>
      <c r="Q747" t="s">
        <v>74</v>
      </c>
      <c r="R747" t="s">
        <v>74</v>
      </c>
      <c r="S747" t="s">
        <v>74</v>
      </c>
      <c r="T747" t="s">
        <v>14298</v>
      </c>
      <c r="U747" t="s">
        <v>14299</v>
      </c>
      <c r="V747" t="s">
        <v>14300</v>
      </c>
      <c r="W747" t="s">
        <v>14301</v>
      </c>
      <c r="X747" t="s">
        <v>14302</v>
      </c>
      <c r="Y747" t="s">
        <v>14303</v>
      </c>
      <c r="Z747" t="s">
        <v>14304</v>
      </c>
      <c r="AA747" t="s">
        <v>14305</v>
      </c>
      <c r="AB747" t="s">
        <v>14306</v>
      </c>
      <c r="AC747" t="s">
        <v>14307</v>
      </c>
      <c r="AD747" t="s">
        <v>1649</v>
      </c>
      <c r="AE747" t="s">
        <v>14308</v>
      </c>
      <c r="AF747" t="s">
        <v>74</v>
      </c>
      <c r="AG747">
        <v>229</v>
      </c>
      <c r="AH747">
        <v>17</v>
      </c>
      <c r="AI747">
        <v>18</v>
      </c>
      <c r="AJ747">
        <v>3</v>
      </c>
      <c r="AK747">
        <v>67</v>
      </c>
      <c r="AL747" t="s">
        <v>5927</v>
      </c>
      <c r="AM747" t="s">
        <v>5928</v>
      </c>
      <c r="AN747" t="s">
        <v>5929</v>
      </c>
      <c r="AO747" t="s">
        <v>8683</v>
      </c>
      <c r="AP747" t="s">
        <v>8684</v>
      </c>
      <c r="AQ747" t="s">
        <v>74</v>
      </c>
      <c r="AR747" t="s">
        <v>8685</v>
      </c>
      <c r="AS747" t="s">
        <v>8686</v>
      </c>
      <c r="AT747" t="s">
        <v>151</v>
      </c>
      <c r="AU747">
        <v>2021</v>
      </c>
      <c r="AV747">
        <v>18</v>
      </c>
      <c r="AW747">
        <v>6</v>
      </c>
      <c r="AX747" t="s">
        <v>74</v>
      </c>
      <c r="AY747" t="s">
        <v>74</v>
      </c>
      <c r="AZ747" t="s">
        <v>74</v>
      </c>
      <c r="BA747" t="s">
        <v>74</v>
      </c>
      <c r="BB747" t="s">
        <v>74</v>
      </c>
      <c r="BC747" t="s">
        <v>74</v>
      </c>
      <c r="BD747">
        <v>61003</v>
      </c>
      <c r="BE747" t="s">
        <v>14309</v>
      </c>
      <c r="BF747" t="str">
        <f>HYPERLINK("http://dx.doi.org/10.1088/1741-2552/ac36aa","http://dx.doi.org/10.1088/1741-2552/ac36aa")</f>
        <v>http://dx.doi.org/10.1088/1741-2552/ac36aa</v>
      </c>
      <c r="BG747" t="s">
        <v>74</v>
      </c>
      <c r="BH747" t="s">
        <v>74</v>
      </c>
      <c r="BI747">
        <v>20</v>
      </c>
      <c r="BJ747" t="s">
        <v>8688</v>
      </c>
      <c r="BK747" t="s">
        <v>102</v>
      </c>
      <c r="BL747" t="s">
        <v>8689</v>
      </c>
      <c r="BM747" t="s">
        <v>14310</v>
      </c>
      <c r="BN747">
        <v>34736239</v>
      </c>
      <c r="BO747" t="s">
        <v>662</v>
      </c>
      <c r="BP747" t="s">
        <v>74</v>
      </c>
      <c r="BQ747" t="s">
        <v>74</v>
      </c>
      <c r="BR747" t="s">
        <v>105</v>
      </c>
      <c r="BS747" t="s">
        <v>14311</v>
      </c>
      <c r="BT747" t="str">
        <f>HYPERLINK("https%3A%2F%2Fwww.webofscience.com%2Fwos%2Fwoscc%2Ffull-record%2FWOS:000739508200001","View Full Record in Web of Science")</f>
        <v>View Full Record in Web of Science</v>
      </c>
    </row>
    <row r="748" spans="1:72" x14ac:dyDescent="0.25">
      <c r="A748" t="s">
        <v>72</v>
      </c>
      <c r="B748" t="s">
        <v>14312</v>
      </c>
      <c r="C748" t="s">
        <v>74</v>
      </c>
      <c r="D748" t="s">
        <v>74</v>
      </c>
      <c r="E748" t="s">
        <v>74</v>
      </c>
      <c r="F748" t="s">
        <v>14313</v>
      </c>
      <c r="G748" t="s">
        <v>74</v>
      </c>
      <c r="H748" t="s">
        <v>14314</v>
      </c>
      <c r="I748" t="s">
        <v>14315</v>
      </c>
      <c r="J748" t="s">
        <v>2543</v>
      </c>
      <c r="K748" t="s">
        <v>74</v>
      </c>
      <c r="L748" t="s">
        <v>74</v>
      </c>
      <c r="M748" t="s">
        <v>78</v>
      </c>
      <c r="N748" t="s">
        <v>79</v>
      </c>
      <c r="O748" t="s">
        <v>74</v>
      </c>
      <c r="P748" t="s">
        <v>74</v>
      </c>
      <c r="Q748" t="s">
        <v>74</v>
      </c>
      <c r="R748" t="s">
        <v>74</v>
      </c>
      <c r="S748" t="s">
        <v>74</v>
      </c>
      <c r="T748" t="s">
        <v>14316</v>
      </c>
      <c r="U748" t="s">
        <v>14317</v>
      </c>
      <c r="V748" t="s">
        <v>14318</v>
      </c>
      <c r="W748" t="s">
        <v>14319</v>
      </c>
      <c r="X748" t="s">
        <v>14320</v>
      </c>
      <c r="Y748" t="s">
        <v>14321</v>
      </c>
      <c r="Z748" t="s">
        <v>14322</v>
      </c>
      <c r="AA748" t="s">
        <v>14323</v>
      </c>
      <c r="AB748" t="s">
        <v>14324</v>
      </c>
      <c r="AC748" t="s">
        <v>74</v>
      </c>
      <c r="AD748" t="s">
        <v>74</v>
      </c>
      <c r="AE748" t="s">
        <v>74</v>
      </c>
      <c r="AF748" t="s">
        <v>74</v>
      </c>
      <c r="AG748">
        <v>40</v>
      </c>
      <c r="AH748">
        <v>20</v>
      </c>
      <c r="AI748">
        <v>20</v>
      </c>
      <c r="AJ748">
        <v>2</v>
      </c>
      <c r="AK748">
        <v>30</v>
      </c>
      <c r="AL748" t="s">
        <v>120</v>
      </c>
      <c r="AM748" t="s">
        <v>121</v>
      </c>
      <c r="AN748" t="s">
        <v>122</v>
      </c>
      <c r="AO748" t="s">
        <v>74</v>
      </c>
      <c r="AP748" t="s">
        <v>2553</v>
      </c>
      <c r="AQ748" t="s">
        <v>74</v>
      </c>
      <c r="AR748" t="s">
        <v>2554</v>
      </c>
      <c r="AS748" t="s">
        <v>2555</v>
      </c>
      <c r="AT748" t="s">
        <v>151</v>
      </c>
      <c r="AU748">
        <v>2021</v>
      </c>
      <c r="AV748">
        <v>11</v>
      </c>
      <c r="AW748">
        <v>12</v>
      </c>
      <c r="AX748" t="s">
        <v>74</v>
      </c>
      <c r="AY748" t="s">
        <v>74</v>
      </c>
      <c r="AZ748" t="s">
        <v>74</v>
      </c>
      <c r="BA748" t="s">
        <v>74</v>
      </c>
      <c r="BB748" t="s">
        <v>74</v>
      </c>
      <c r="BC748" t="s">
        <v>74</v>
      </c>
      <c r="BD748">
        <v>1630</v>
      </c>
      <c r="BE748" t="s">
        <v>14325</v>
      </c>
      <c r="BF748" t="str">
        <f>HYPERLINK("http://dx.doi.org/10.3390/brainsci11121630","http://dx.doi.org/10.3390/brainsci11121630")</f>
        <v>http://dx.doi.org/10.3390/brainsci11121630</v>
      </c>
      <c r="BG748" t="s">
        <v>74</v>
      </c>
      <c r="BH748" t="s">
        <v>74</v>
      </c>
      <c r="BI748">
        <v>16</v>
      </c>
      <c r="BJ748" t="s">
        <v>374</v>
      </c>
      <c r="BK748" t="s">
        <v>102</v>
      </c>
      <c r="BL748" t="s">
        <v>375</v>
      </c>
      <c r="BM748" t="s">
        <v>14326</v>
      </c>
      <c r="BN748">
        <v>34942935</v>
      </c>
      <c r="BO748" t="s">
        <v>355</v>
      </c>
      <c r="BP748" t="s">
        <v>74</v>
      </c>
      <c r="BQ748" t="s">
        <v>74</v>
      </c>
      <c r="BR748" t="s">
        <v>105</v>
      </c>
      <c r="BS748" t="s">
        <v>14327</v>
      </c>
      <c r="BT748" t="str">
        <f>HYPERLINK("https%3A%2F%2Fwww.webofscience.com%2Fwos%2Fwoscc%2Ffull-record%2FWOS:000747072000001","View Full Record in Web of Science")</f>
        <v>View Full Record in Web of Science</v>
      </c>
    </row>
    <row r="749" spans="1:72" x14ac:dyDescent="0.25">
      <c r="A749" t="s">
        <v>72</v>
      </c>
      <c r="B749" t="s">
        <v>14328</v>
      </c>
      <c r="C749" t="s">
        <v>74</v>
      </c>
      <c r="D749" t="s">
        <v>74</v>
      </c>
      <c r="E749" t="s">
        <v>74</v>
      </c>
      <c r="F749" t="s">
        <v>14329</v>
      </c>
      <c r="G749" t="s">
        <v>74</v>
      </c>
      <c r="H749" t="s">
        <v>74</v>
      </c>
      <c r="I749" t="s">
        <v>14330</v>
      </c>
      <c r="J749" t="s">
        <v>2091</v>
      </c>
      <c r="K749" t="s">
        <v>74</v>
      </c>
      <c r="L749" t="s">
        <v>74</v>
      </c>
      <c r="M749" t="s">
        <v>78</v>
      </c>
      <c r="N749" t="s">
        <v>79</v>
      </c>
      <c r="O749" t="s">
        <v>74</v>
      </c>
      <c r="P749" t="s">
        <v>74</v>
      </c>
      <c r="Q749" t="s">
        <v>74</v>
      </c>
      <c r="R749" t="s">
        <v>74</v>
      </c>
      <c r="S749" t="s">
        <v>74</v>
      </c>
      <c r="T749" t="s">
        <v>14331</v>
      </c>
      <c r="U749" t="s">
        <v>14332</v>
      </c>
      <c r="V749" t="s">
        <v>14333</v>
      </c>
      <c r="W749" t="s">
        <v>14334</v>
      </c>
      <c r="X749" t="s">
        <v>14335</v>
      </c>
      <c r="Y749" t="s">
        <v>14336</v>
      </c>
      <c r="Z749" t="s">
        <v>14337</v>
      </c>
      <c r="AA749" t="s">
        <v>14338</v>
      </c>
      <c r="AB749" t="s">
        <v>14339</v>
      </c>
      <c r="AC749" t="s">
        <v>74</v>
      </c>
      <c r="AD749" t="s">
        <v>74</v>
      </c>
      <c r="AE749" t="s">
        <v>74</v>
      </c>
      <c r="AF749" t="s">
        <v>74</v>
      </c>
      <c r="AG749">
        <v>61</v>
      </c>
      <c r="AH749">
        <v>5</v>
      </c>
      <c r="AI749">
        <v>5</v>
      </c>
      <c r="AJ749">
        <v>3</v>
      </c>
      <c r="AK749">
        <v>30</v>
      </c>
      <c r="AL749" t="s">
        <v>120</v>
      </c>
      <c r="AM749" t="s">
        <v>121</v>
      </c>
      <c r="AN749" t="s">
        <v>1221</v>
      </c>
      <c r="AO749" t="s">
        <v>74</v>
      </c>
      <c r="AP749" t="s">
        <v>2104</v>
      </c>
      <c r="AQ749" t="s">
        <v>74</v>
      </c>
      <c r="AR749" t="s">
        <v>2105</v>
      </c>
      <c r="AS749" t="s">
        <v>2106</v>
      </c>
      <c r="AT749" t="s">
        <v>151</v>
      </c>
      <c r="AU749">
        <v>2021</v>
      </c>
      <c r="AV749">
        <v>11</v>
      </c>
      <c r="AW749">
        <v>24</v>
      </c>
      <c r="AX749" t="s">
        <v>74</v>
      </c>
      <c r="AY749" t="s">
        <v>74</v>
      </c>
      <c r="AZ749" t="s">
        <v>74</v>
      </c>
      <c r="BA749" t="s">
        <v>74</v>
      </c>
      <c r="BB749" t="s">
        <v>74</v>
      </c>
      <c r="BC749" t="s">
        <v>74</v>
      </c>
      <c r="BD749">
        <v>12061</v>
      </c>
      <c r="BE749" t="s">
        <v>14340</v>
      </c>
      <c r="BF749" t="str">
        <f>HYPERLINK("http://dx.doi.org/10.3390/app112412061","http://dx.doi.org/10.3390/app112412061")</f>
        <v>http://dx.doi.org/10.3390/app112412061</v>
      </c>
      <c r="BG749" t="s">
        <v>74</v>
      </c>
      <c r="BH749" t="s">
        <v>74</v>
      </c>
      <c r="BI749">
        <v>20</v>
      </c>
      <c r="BJ749" t="s">
        <v>2109</v>
      </c>
      <c r="BK749" t="s">
        <v>182</v>
      </c>
      <c r="BL749" t="s">
        <v>2110</v>
      </c>
      <c r="BM749" t="s">
        <v>14341</v>
      </c>
      <c r="BN749" t="s">
        <v>74</v>
      </c>
      <c r="BO749" t="s">
        <v>355</v>
      </c>
      <c r="BP749" t="s">
        <v>74</v>
      </c>
      <c r="BQ749" t="s">
        <v>74</v>
      </c>
      <c r="BR749" t="s">
        <v>105</v>
      </c>
      <c r="BS749" t="s">
        <v>14342</v>
      </c>
      <c r="BT749" t="str">
        <f>HYPERLINK("https%3A%2F%2Fwww.webofscience.com%2Fwos%2Fwoscc%2Ffull-record%2FWOS:000742696400001","View Full Record in Web of Science")</f>
        <v>View Full Record in Web of Science</v>
      </c>
    </row>
    <row r="750" spans="1:72" x14ac:dyDescent="0.25">
      <c r="A750" t="s">
        <v>72</v>
      </c>
      <c r="B750" t="s">
        <v>14343</v>
      </c>
      <c r="C750" t="s">
        <v>74</v>
      </c>
      <c r="D750" t="s">
        <v>74</v>
      </c>
      <c r="E750" t="s">
        <v>74</v>
      </c>
      <c r="F750" t="s">
        <v>14344</v>
      </c>
      <c r="G750" t="s">
        <v>74</v>
      </c>
      <c r="H750" t="s">
        <v>74</v>
      </c>
      <c r="I750" t="s">
        <v>14345</v>
      </c>
      <c r="J750" t="s">
        <v>14346</v>
      </c>
      <c r="K750" t="s">
        <v>74</v>
      </c>
      <c r="L750" t="s">
        <v>74</v>
      </c>
      <c r="M750" t="s">
        <v>78</v>
      </c>
      <c r="N750" t="s">
        <v>79</v>
      </c>
      <c r="O750" t="s">
        <v>74</v>
      </c>
      <c r="P750" t="s">
        <v>74</v>
      </c>
      <c r="Q750" t="s">
        <v>74</v>
      </c>
      <c r="R750" t="s">
        <v>74</v>
      </c>
      <c r="S750" t="s">
        <v>74</v>
      </c>
      <c r="T750" t="s">
        <v>14347</v>
      </c>
      <c r="U750" t="s">
        <v>14348</v>
      </c>
      <c r="V750" t="s">
        <v>14349</v>
      </c>
      <c r="W750" t="s">
        <v>14350</v>
      </c>
      <c r="X750" t="s">
        <v>14351</v>
      </c>
      <c r="Y750" t="s">
        <v>14352</v>
      </c>
      <c r="Z750" t="s">
        <v>4598</v>
      </c>
      <c r="AA750" t="s">
        <v>74</v>
      </c>
      <c r="AB750" t="s">
        <v>14353</v>
      </c>
      <c r="AC750" t="s">
        <v>74</v>
      </c>
      <c r="AD750" t="s">
        <v>74</v>
      </c>
      <c r="AE750" t="s">
        <v>74</v>
      </c>
      <c r="AF750" t="s">
        <v>74</v>
      </c>
      <c r="AG750">
        <v>65</v>
      </c>
      <c r="AH750">
        <v>13</v>
      </c>
      <c r="AI750">
        <v>14</v>
      </c>
      <c r="AJ750">
        <v>3</v>
      </c>
      <c r="AK750">
        <v>33</v>
      </c>
      <c r="AL750" t="s">
        <v>14354</v>
      </c>
      <c r="AM750" t="s">
        <v>14355</v>
      </c>
      <c r="AN750" t="s">
        <v>14356</v>
      </c>
      <c r="AO750" t="s">
        <v>14357</v>
      </c>
      <c r="AP750" t="s">
        <v>14358</v>
      </c>
      <c r="AQ750" t="s">
        <v>74</v>
      </c>
      <c r="AR750" t="s">
        <v>14359</v>
      </c>
      <c r="AS750" t="s">
        <v>14360</v>
      </c>
      <c r="AT750" t="s">
        <v>5724</v>
      </c>
      <c r="AU750">
        <v>2021</v>
      </c>
      <c r="AV750">
        <v>26</v>
      </c>
      <c r="AW750">
        <v>11</v>
      </c>
      <c r="AX750" t="s">
        <v>74</v>
      </c>
      <c r="AY750" t="s">
        <v>74</v>
      </c>
      <c r="AZ750" t="s">
        <v>74</v>
      </c>
      <c r="BA750" t="s">
        <v>74</v>
      </c>
      <c r="BB750">
        <v>1340</v>
      </c>
      <c r="BC750">
        <v>1348</v>
      </c>
      <c r="BD750" t="s">
        <v>74</v>
      </c>
      <c r="BE750" t="s">
        <v>14361</v>
      </c>
      <c r="BF750" t="str">
        <f>HYPERLINK("http://dx.doi.org/10.52586/5027","http://dx.doi.org/10.52586/5027")</f>
        <v>http://dx.doi.org/10.52586/5027</v>
      </c>
      <c r="BG750" t="s">
        <v>74</v>
      </c>
      <c r="BH750" t="s">
        <v>74</v>
      </c>
      <c r="BI750">
        <v>9</v>
      </c>
      <c r="BJ750" t="s">
        <v>14362</v>
      </c>
      <c r="BK750" t="s">
        <v>182</v>
      </c>
      <c r="BL750" t="s">
        <v>14362</v>
      </c>
      <c r="BM750" t="s">
        <v>14363</v>
      </c>
      <c r="BN750">
        <v>34856771</v>
      </c>
      <c r="BO750" t="s">
        <v>131</v>
      </c>
      <c r="BP750" t="s">
        <v>74</v>
      </c>
      <c r="BQ750" t="s">
        <v>74</v>
      </c>
      <c r="BR750" t="s">
        <v>105</v>
      </c>
      <c r="BS750" t="s">
        <v>14364</v>
      </c>
      <c r="BT750" t="str">
        <f>HYPERLINK("https%3A%2F%2Fwww.webofscience.com%2Fwos%2Fwoscc%2Ffull-record%2FWOS:000727662100028","View Full Record in Web of Science")</f>
        <v>View Full Record in Web of Science</v>
      </c>
    </row>
    <row r="751" spans="1:72" x14ac:dyDescent="0.25">
      <c r="A751" t="s">
        <v>72</v>
      </c>
      <c r="B751" t="s">
        <v>14365</v>
      </c>
      <c r="C751" t="s">
        <v>74</v>
      </c>
      <c r="D751" t="s">
        <v>74</v>
      </c>
      <c r="E751" t="s">
        <v>74</v>
      </c>
      <c r="F751" t="s">
        <v>14366</v>
      </c>
      <c r="G751" t="s">
        <v>74</v>
      </c>
      <c r="H751" t="s">
        <v>74</v>
      </c>
      <c r="I751" t="s">
        <v>14367</v>
      </c>
      <c r="J751" t="s">
        <v>14368</v>
      </c>
      <c r="K751" t="s">
        <v>74</v>
      </c>
      <c r="L751" t="s">
        <v>74</v>
      </c>
      <c r="M751" t="s">
        <v>78</v>
      </c>
      <c r="N751" t="s">
        <v>79</v>
      </c>
      <c r="O751" t="s">
        <v>74</v>
      </c>
      <c r="P751" t="s">
        <v>74</v>
      </c>
      <c r="Q751" t="s">
        <v>74</v>
      </c>
      <c r="R751" t="s">
        <v>74</v>
      </c>
      <c r="S751" t="s">
        <v>74</v>
      </c>
      <c r="T751" t="s">
        <v>14369</v>
      </c>
      <c r="U751" t="s">
        <v>14370</v>
      </c>
      <c r="V751" t="s">
        <v>14371</v>
      </c>
      <c r="W751" t="s">
        <v>14372</v>
      </c>
      <c r="X751" t="s">
        <v>14373</v>
      </c>
      <c r="Y751" t="s">
        <v>14374</v>
      </c>
      <c r="Z751" t="s">
        <v>14375</v>
      </c>
      <c r="AA751" t="s">
        <v>14376</v>
      </c>
      <c r="AB751" t="s">
        <v>14377</v>
      </c>
      <c r="AC751" t="s">
        <v>14378</v>
      </c>
      <c r="AD751" t="s">
        <v>14379</v>
      </c>
      <c r="AE751" t="s">
        <v>14380</v>
      </c>
      <c r="AF751" t="s">
        <v>74</v>
      </c>
      <c r="AG751">
        <v>204</v>
      </c>
      <c r="AH751">
        <v>47</v>
      </c>
      <c r="AI751">
        <v>50</v>
      </c>
      <c r="AJ751">
        <v>18</v>
      </c>
      <c r="AK751">
        <v>266</v>
      </c>
      <c r="AL751" t="s">
        <v>297</v>
      </c>
      <c r="AM751" t="s">
        <v>298</v>
      </c>
      <c r="AN751" t="s">
        <v>299</v>
      </c>
      <c r="AO751" t="s">
        <v>74</v>
      </c>
      <c r="AP751" t="s">
        <v>14381</v>
      </c>
      <c r="AQ751" t="s">
        <v>74</v>
      </c>
      <c r="AR751" t="s">
        <v>14382</v>
      </c>
      <c r="AS751" t="s">
        <v>14383</v>
      </c>
      <c r="AT751" t="s">
        <v>351</v>
      </c>
      <c r="AU751">
        <v>2022</v>
      </c>
      <c r="AV751">
        <v>3</v>
      </c>
      <c r="AW751">
        <v>2</v>
      </c>
      <c r="AX751" t="s">
        <v>74</v>
      </c>
      <c r="AY751" t="s">
        <v>74</v>
      </c>
      <c r="AZ751" t="s">
        <v>74</v>
      </c>
      <c r="BA751" t="s">
        <v>74</v>
      </c>
      <c r="BB751" t="s">
        <v>74</v>
      </c>
      <c r="BC751" t="s">
        <v>74</v>
      </c>
      <c r="BD751">
        <v>2100131</v>
      </c>
      <c r="BE751" t="s">
        <v>14384</v>
      </c>
      <c r="BF751" t="str">
        <f>HYPERLINK("http://dx.doi.org/10.1002/sstr.202100131","http://dx.doi.org/10.1002/sstr.202100131")</f>
        <v>http://dx.doi.org/10.1002/sstr.202100131</v>
      </c>
      <c r="BG751" t="s">
        <v>74</v>
      </c>
      <c r="BH751" t="s">
        <v>14385</v>
      </c>
      <c r="BI751">
        <v>23</v>
      </c>
      <c r="BJ751" t="s">
        <v>3884</v>
      </c>
      <c r="BK751" t="s">
        <v>182</v>
      </c>
      <c r="BL751" t="s">
        <v>3005</v>
      </c>
      <c r="BM751" t="s">
        <v>14386</v>
      </c>
      <c r="BN751" t="s">
        <v>74</v>
      </c>
      <c r="BO751" t="s">
        <v>309</v>
      </c>
      <c r="BP751" t="s">
        <v>74</v>
      </c>
      <c r="BQ751" t="s">
        <v>74</v>
      </c>
      <c r="BR751" t="s">
        <v>105</v>
      </c>
      <c r="BS751" t="s">
        <v>14387</v>
      </c>
      <c r="BT751" t="str">
        <f>HYPERLINK("https%3A%2F%2Fwww.webofscience.com%2Fwos%2Fwoscc%2Ffull-record%2FWOS:000723558000001","View Full Record in Web of Science")</f>
        <v>View Full Record in Web of Science</v>
      </c>
    </row>
    <row r="752" spans="1:72" x14ac:dyDescent="0.25">
      <c r="A752" t="s">
        <v>72</v>
      </c>
      <c r="B752" t="s">
        <v>14388</v>
      </c>
      <c r="C752" t="s">
        <v>74</v>
      </c>
      <c r="D752" t="s">
        <v>74</v>
      </c>
      <c r="E752" t="s">
        <v>74</v>
      </c>
      <c r="F752" t="s">
        <v>14389</v>
      </c>
      <c r="G752" t="s">
        <v>74</v>
      </c>
      <c r="H752" t="s">
        <v>74</v>
      </c>
      <c r="I752" t="s">
        <v>14390</v>
      </c>
      <c r="J752" t="s">
        <v>11233</v>
      </c>
      <c r="K752" t="s">
        <v>74</v>
      </c>
      <c r="L752" t="s">
        <v>74</v>
      </c>
      <c r="M752" t="s">
        <v>78</v>
      </c>
      <c r="N752" t="s">
        <v>79</v>
      </c>
      <c r="O752" t="s">
        <v>74</v>
      </c>
      <c r="P752" t="s">
        <v>74</v>
      </c>
      <c r="Q752" t="s">
        <v>74</v>
      </c>
      <c r="R752" t="s">
        <v>74</v>
      </c>
      <c r="S752" t="s">
        <v>74</v>
      </c>
      <c r="T752" t="s">
        <v>14391</v>
      </c>
      <c r="U752" t="s">
        <v>14392</v>
      </c>
      <c r="V752" t="s">
        <v>14393</v>
      </c>
      <c r="W752" t="s">
        <v>14394</v>
      </c>
      <c r="X752" t="s">
        <v>14395</v>
      </c>
      <c r="Y752" t="s">
        <v>14396</v>
      </c>
      <c r="Z752" t="s">
        <v>14397</v>
      </c>
      <c r="AA752" t="s">
        <v>14398</v>
      </c>
      <c r="AB752" t="s">
        <v>14399</v>
      </c>
      <c r="AC752" t="s">
        <v>14400</v>
      </c>
      <c r="AD752" t="s">
        <v>14401</v>
      </c>
      <c r="AE752" t="s">
        <v>14402</v>
      </c>
      <c r="AF752" t="s">
        <v>74</v>
      </c>
      <c r="AG752">
        <v>97</v>
      </c>
      <c r="AH752">
        <v>93</v>
      </c>
      <c r="AI752">
        <v>95</v>
      </c>
      <c r="AJ752">
        <v>22</v>
      </c>
      <c r="AK752">
        <v>191</v>
      </c>
      <c r="AL752" t="s">
        <v>297</v>
      </c>
      <c r="AM752" t="s">
        <v>298</v>
      </c>
      <c r="AN752" t="s">
        <v>299</v>
      </c>
      <c r="AO752" t="s">
        <v>74</v>
      </c>
      <c r="AP752" t="s">
        <v>11242</v>
      </c>
      <c r="AQ752" t="s">
        <v>74</v>
      </c>
      <c r="AR752" t="s">
        <v>11243</v>
      </c>
      <c r="AS752" t="s">
        <v>11244</v>
      </c>
      <c r="AT752" t="s">
        <v>487</v>
      </c>
      <c r="AU752">
        <v>2022</v>
      </c>
      <c r="AV752">
        <v>4</v>
      </c>
      <c r="AW752">
        <v>4</v>
      </c>
      <c r="AX752" t="s">
        <v>74</v>
      </c>
      <c r="AY752" t="s">
        <v>74</v>
      </c>
      <c r="AZ752" t="s">
        <v>74</v>
      </c>
      <c r="BA752" t="s">
        <v>74</v>
      </c>
      <c r="BB752" t="s">
        <v>74</v>
      </c>
      <c r="BC752" t="s">
        <v>74</v>
      </c>
      <c r="BD752">
        <v>2100140</v>
      </c>
      <c r="BE752" t="s">
        <v>14403</v>
      </c>
      <c r="BF752" t="str">
        <f>HYPERLINK("http://dx.doi.org/10.1002/aisy.202100140","http://dx.doi.org/10.1002/aisy.202100140")</f>
        <v>http://dx.doi.org/10.1002/aisy.202100140</v>
      </c>
      <c r="BG752" t="s">
        <v>74</v>
      </c>
      <c r="BH752" t="s">
        <v>14385</v>
      </c>
      <c r="BI752">
        <v>25</v>
      </c>
      <c r="BJ752" t="s">
        <v>2657</v>
      </c>
      <c r="BK752" t="s">
        <v>182</v>
      </c>
      <c r="BL752" t="s">
        <v>2658</v>
      </c>
      <c r="BM752" t="s">
        <v>14404</v>
      </c>
      <c r="BN752" t="s">
        <v>74</v>
      </c>
      <c r="BO752" t="s">
        <v>1374</v>
      </c>
      <c r="BP752" t="s">
        <v>74</v>
      </c>
      <c r="BQ752" t="s">
        <v>74</v>
      </c>
      <c r="BR752" t="s">
        <v>105</v>
      </c>
      <c r="BS752" t="s">
        <v>14405</v>
      </c>
      <c r="BT752" t="str">
        <f>HYPERLINK("https%3A%2F%2Fwww.webofscience.com%2Fwos%2Fwoscc%2Ffull-record%2FWOS:000720788700001","View Full Record in Web of Science")</f>
        <v>View Full Record in Web of Science</v>
      </c>
    </row>
    <row r="753" spans="1:72" x14ac:dyDescent="0.25">
      <c r="A753" t="s">
        <v>72</v>
      </c>
      <c r="B753" t="s">
        <v>14406</v>
      </c>
      <c r="C753" t="s">
        <v>74</v>
      </c>
      <c r="D753" t="s">
        <v>74</v>
      </c>
      <c r="E753" t="s">
        <v>74</v>
      </c>
      <c r="F753" t="s">
        <v>14407</v>
      </c>
      <c r="G753" t="s">
        <v>74</v>
      </c>
      <c r="H753" t="s">
        <v>74</v>
      </c>
      <c r="I753" t="s">
        <v>14408</v>
      </c>
      <c r="J753" t="s">
        <v>382</v>
      </c>
      <c r="K753" t="s">
        <v>74</v>
      </c>
      <c r="L753" t="s">
        <v>74</v>
      </c>
      <c r="M753" t="s">
        <v>78</v>
      </c>
      <c r="N753" t="s">
        <v>79</v>
      </c>
      <c r="O753" t="s">
        <v>74</v>
      </c>
      <c r="P753" t="s">
        <v>74</v>
      </c>
      <c r="Q753" t="s">
        <v>74</v>
      </c>
      <c r="R753" t="s">
        <v>74</v>
      </c>
      <c r="S753" t="s">
        <v>74</v>
      </c>
      <c r="T753" t="s">
        <v>14409</v>
      </c>
      <c r="U753" t="s">
        <v>14410</v>
      </c>
      <c r="V753" t="s">
        <v>14411</v>
      </c>
      <c r="W753" t="s">
        <v>14412</v>
      </c>
      <c r="X753" t="s">
        <v>1881</v>
      </c>
      <c r="Y753" t="s">
        <v>14413</v>
      </c>
      <c r="Z753" t="s">
        <v>12244</v>
      </c>
      <c r="AA753" t="s">
        <v>14414</v>
      </c>
      <c r="AB753" t="s">
        <v>14415</v>
      </c>
      <c r="AC753" t="s">
        <v>14416</v>
      </c>
      <c r="AD753" t="s">
        <v>14417</v>
      </c>
      <c r="AE753" t="s">
        <v>14418</v>
      </c>
      <c r="AF753" t="s">
        <v>74</v>
      </c>
      <c r="AG753">
        <v>72</v>
      </c>
      <c r="AH753">
        <v>18</v>
      </c>
      <c r="AI753">
        <v>18</v>
      </c>
      <c r="AJ753">
        <v>6</v>
      </c>
      <c r="AK753">
        <v>41</v>
      </c>
      <c r="AL753" t="s">
        <v>392</v>
      </c>
      <c r="AM753" t="s">
        <v>393</v>
      </c>
      <c r="AN753" t="s">
        <v>394</v>
      </c>
      <c r="AO753" t="s">
        <v>395</v>
      </c>
      <c r="AP753" t="s">
        <v>74</v>
      </c>
      <c r="AQ753" t="s">
        <v>74</v>
      </c>
      <c r="AR753" t="s">
        <v>396</v>
      </c>
      <c r="AS753" t="s">
        <v>397</v>
      </c>
      <c r="AT753" t="s">
        <v>14419</v>
      </c>
      <c r="AU753">
        <v>2021</v>
      </c>
      <c r="AV753">
        <v>12</v>
      </c>
      <c r="AW753" t="s">
        <v>74</v>
      </c>
      <c r="AX753" t="s">
        <v>74</v>
      </c>
      <c r="AY753" t="s">
        <v>74</v>
      </c>
      <c r="AZ753" t="s">
        <v>74</v>
      </c>
      <c r="BA753" t="s">
        <v>74</v>
      </c>
      <c r="BB753" t="s">
        <v>74</v>
      </c>
      <c r="BC753" t="s">
        <v>74</v>
      </c>
      <c r="BD753">
        <v>772199</v>
      </c>
      <c r="BE753" t="s">
        <v>14420</v>
      </c>
      <c r="BF753" t="str">
        <f>HYPERLINK("http://dx.doi.org/10.3389/fneur.2021.772199","http://dx.doi.org/10.3389/fneur.2021.772199")</f>
        <v>http://dx.doi.org/10.3389/fneur.2021.772199</v>
      </c>
      <c r="BG753" t="s">
        <v>74</v>
      </c>
      <c r="BH753" t="s">
        <v>74</v>
      </c>
      <c r="BI753">
        <v>7</v>
      </c>
      <c r="BJ753" t="s">
        <v>400</v>
      </c>
      <c r="BK753" t="s">
        <v>182</v>
      </c>
      <c r="BL753" t="s">
        <v>375</v>
      </c>
      <c r="BM753" t="s">
        <v>14421</v>
      </c>
      <c r="BN753">
        <v>34867760</v>
      </c>
      <c r="BO753" t="s">
        <v>355</v>
      </c>
      <c r="BP753" t="s">
        <v>74</v>
      </c>
      <c r="BQ753" t="s">
        <v>74</v>
      </c>
      <c r="BR753" t="s">
        <v>105</v>
      </c>
      <c r="BS753" t="s">
        <v>14422</v>
      </c>
      <c r="BT753" t="str">
        <f>HYPERLINK("https%3A%2F%2Fwww.webofscience.com%2Fwos%2Fwoscc%2Ffull-record%2FWOS:000899590000001","View Full Record in Web of Science")</f>
        <v>View Full Record in Web of Science</v>
      </c>
    </row>
    <row r="754" spans="1:72" x14ac:dyDescent="0.25">
      <c r="A754" t="s">
        <v>72</v>
      </c>
      <c r="B754" t="s">
        <v>14423</v>
      </c>
      <c r="C754" t="s">
        <v>74</v>
      </c>
      <c r="D754" t="s">
        <v>74</v>
      </c>
      <c r="E754" t="s">
        <v>74</v>
      </c>
      <c r="F754" t="s">
        <v>14424</v>
      </c>
      <c r="G754" t="s">
        <v>74</v>
      </c>
      <c r="H754" t="s">
        <v>74</v>
      </c>
      <c r="I754" t="s">
        <v>14425</v>
      </c>
      <c r="J754" t="s">
        <v>243</v>
      </c>
      <c r="K754" t="s">
        <v>74</v>
      </c>
      <c r="L754" t="s">
        <v>74</v>
      </c>
      <c r="M754" t="s">
        <v>78</v>
      </c>
      <c r="N754" t="s">
        <v>79</v>
      </c>
      <c r="O754" t="s">
        <v>74</v>
      </c>
      <c r="P754" t="s">
        <v>74</v>
      </c>
      <c r="Q754" t="s">
        <v>74</v>
      </c>
      <c r="R754" t="s">
        <v>74</v>
      </c>
      <c r="S754" t="s">
        <v>74</v>
      </c>
      <c r="T754" t="s">
        <v>14426</v>
      </c>
      <c r="U754" t="s">
        <v>14427</v>
      </c>
      <c r="V754" t="s">
        <v>14428</v>
      </c>
      <c r="W754" t="s">
        <v>14429</v>
      </c>
      <c r="X754" t="s">
        <v>14430</v>
      </c>
      <c r="Y754" t="s">
        <v>14431</v>
      </c>
      <c r="Z754" t="s">
        <v>14432</v>
      </c>
      <c r="AA754" t="s">
        <v>14433</v>
      </c>
      <c r="AB754" t="s">
        <v>14434</v>
      </c>
      <c r="AC754" t="s">
        <v>14435</v>
      </c>
      <c r="AD754" t="s">
        <v>74</v>
      </c>
      <c r="AE754" t="s">
        <v>14436</v>
      </c>
      <c r="AF754" t="s">
        <v>74</v>
      </c>
      <c r="AG754">
        <v>73</v>
      </c>
      <c r="AH754">
        <v>20</v>
      </c>
      <c r="AI754">
        <v>21</v>
      </c>
      <c r="AJ754">
        <v>1</v>
      </c>
      <c r="AK754">
        <v>21</v>
      </c>
      <c r="AL754" t="s">
        <v>253</v>
      </c>
      <c r="AM754" t="s">
        <v>227</v>
      </c>
      <c r="AN754" t="s">
        <v>254</v>
      </c>
      <c r="AO754" t="s">
        <v>255</v>
      </c>
      <c r="AP754" t="s">
        <v>256</v>
      </c>
      <c r="AQ754" t="s">
        <v>74</v>
      </c>
      <c r="AR754" t="s">
        <v>257</v>
      </c>
      <c r="AS754" t="s">
        <v>258</v>
      </c>
      <c r="AT754" t="s">
        <v>4603</v>
      </c>
      <c r="AU754">
        <v>2023</v>
      </c>
      <c r="AV754">
        <v>18</v>
      </c>
      <c r="AW754">
        <v>7</v>
      </c>
      <c r="AX754" t="s">
        <v>74</v>
      </c>
      <c r="AY754" t="s">
        <v>74</v>
      </c>
      <c r="AZ754" t="s">
        <v>74</v>
      </c>
      <c r="BA754" t="s">
        <v>74</v>
      </c>
      <c r="BB754">
        <v>1245</v>
      </c>
      <c r="BC754">
        <v>1258</v>
      </c>
      <c r="BD754" t="s">
        <v>74</v>
      </c>
      <c r="BE754" t="s">
        <v>14437</v>
      </c>
      <c r="BF754" t="str">
        <f>HYPERLINK("http://dx.doi.org/10.1080/17483107.2021.2001061","http://dx.doi.org/10.1080/17483107.2021.2001061")</f>
        <v>http://dx.doi.org/10.1080/17483107.2021.2001061</v>
      </c>
      <c r="BG754" t="s">
        <v>74</v>
      </c>
      <c r="BH754" t="s">
        <v>14385</v>
      </c>
      <c r="BI754">
        <v>14</v>
      </c>
      <c r="BJ754" t="s">
        <v>101</v>
      </c>
      <c r="BK754" t="s">
        <v>462</v>
      </c>
      <c r="BL754" t="s">
        <v>101</v>
      </c>
      <c r="BM754" t="s">
        <v>14438</v>
      </c>
      <c r="BN754">
        <v>34788166</v>
      </c>
      <c r="BO754" t="s">
        <v>662</v>
      </c>
      <c r="BP754" t="s">
        <v>74</v>
      </c>
      <c r="BQ754" t="s">
        <v>74</v>
      </c>
      <c r="BR754" t="s">
        <v>105</v>
      </c>
      <c r="BS754" t="s">
        <v>14439</v>
      </c>
      <c r="BT754" t="str">
        <f>HYPERLINK("https%3A%2F%2Fwww.webofscience.com%2Fwos%2Fwoscc%2Ffull-record%2FWOS:000719783800001","View Full Record in Web of Science")</f>
        <v>View Full Record in Web of Science</v>
      </c>
    </row>
    <row r="755" spans="1:72" x14ac:dyDescent="0.25">
      <c r="A755" t="s">
        <v>72</v>
      </c>
      <c r="B755" t="s">
        <v>14440</v>
      </c>
      <c r="C755" t="s">
        <v>74</v>
      </c>
      <c r="D755" t="s">
        <v>74</v>
      </c>
      <c r="E755" t="s">
        <v>74</v>
      </c>
      <c r="F755" t="s">
        <v>14441</v>
      </c>
      <c r="G755" t="s">
        <v>74</v>
      </c>
      <c r="H755" t="s">
        <v>74</v>
      </c>
      <c r="I755" t="s">
        <v>14442</v>
      </c>
      <c r="J755" t="s">
        <v>11359</v>
      </c>
      <c r="K755" t="s">
        <v>74</v>
      </c>
      <c r="L755" t="s">
        <v>74</v>
      </c>
      <c r="M755" t="s">
        <v>78</v>
      </c>
      <c r="N755" t="s">
        <v>79</v>
      </c>
      <c r="O755" t="s">
        <v>74</v>
      </c>
      <c r="P755" t="s">
        <v>74</v>
      </c>
      <c r="Q755" t="s">
        <v>74</v>
      </c>
      <c r="R755" t="s">
        <v>74</v>
      </c>
      <c r="S755" t="s">
        <v>74</v>
      </c>
      <c r="T755" t="s">
        <v>14443</v>
      </c>
      <c r="U755" t="s">
        <v>14444</v>
      </c>
      <c r="V755" t="s">
        <v>14445</v>
      </c>
      <c r="W755" t="s">
        <v>14446</v>
      </c>
      <c r="X755" t="s">
        <v>14447</v>
      </c>
      <c r="Y755" t="s">
        <v>14448</v>
      </c>
      <c r="Z755" t="s">
        <v>14449</v>
      </c>
      <c r="AA755" t="s">
        <v>14450</v>
      </c>
      <c r="AB755" t="s">
        <v>14451</v>
      </c>
      <c r="AC755" t="s">
        <v>14452</v>
      </c>
      <c r="AD755" t="s">
        <v>14453</v>
      </c>
      <c r="AE755" t="s">
        <v>14454</v>
      </c>
      <c r="AF755" t="s">
        <v>74</v>
      </c>
      <c r="AG755">
        <v>281</v>
      </c>
      <c r="AH755">
        <v>34</v>
      </c>
      <c r="AI755">
        <v>36</v>
      </c>
      <c r="AJ755">
        <v>14</v>
      </c>
      <c r="AK755">
        <v>39</v>
      </c>
      <c r="AL755" t="s">
        <v>6443</v>
      </c>
      <c r="AM755" t="s">
        <v>4114</v>
      </c>
      <c r="AN755" t="s">
        <v>6444</v>
      </c>
      <c r="AO755" t="s">
        <v>74</v>
      </c>
      <c r="AP755" t="s">
        <v>11369</v>
      </c>
      <c r="AQ755" t="s">
        <v>74</v>
      </c>
      <c r="AR755" t="s">
        <v>11370</v>
      </c>
      <c r="AS755" t="s">
        <v>11371</v>
      </c>
      <c r="AT755" t="s">
        <v>14455</v>
      </c>
      <c r="AU755">
        <v>2021</v>
      </c>
      <c r="AV755">
        <v>2</v>
      </c>
      <c r="AW755" t="s">
        <v>74</v>
      </c>
      <c r="AX755" t="s">
        <v>74</v>
      </c>
      <c r="AY755" t="s">
        <v>74</v>
      </c>
      <c r="AZ755" t="s">
        <v>74</v>
      </c>
      <c r="BA755" t="s">
        <v>74</v>
      </c>
      <c r="BB755" t="s">
        <v>74</v>
      </c>
      <c r="BC755" t="s">
        <v>74</v>
      </c>
      <c r="BD755" t="s">
        <v>14456</v>
      </c>
      <c r="BE755" t="s">
        <v>14457</v>
      </c>
      <c r="BF755" t="str">
        <f>HYPERLINK("http://dx.doi.org/10.1017/wtc.2021.13","http://dx.doi.org/10.1017/wtc.2021.13")</f>
        <v>http://dx.doi.org/10.1017/wtc.2021.13</v>
      </c>
      <c r="BG755" t="s">
        <v>74</v>
      </c>
      <c r="BH755" t="s">
        <v>74</v>
      </c>
      <c r="BI755">
        <v>35</v>
      </c>
      <c r="BJ755" t="s">
        <v>11375</v>
      </c>
      <c r="BK755" t="s">
        <v>155</v>
      </c>
      <c r="BL755" t="s">
        <v>11376</v>
      </c>
      <c r="BM755" t="s">
        <v>14458</v>
      </c>
      <c r="BN755">
        <v>38486636</v>
      </c>
      <c r="BO755" t="s">
        <v>355</v>
      </c>
      <c r="BP755" t="s">
        <v>74</v>
      </c>
      <c r="BQ755" t="s">
        <v>74</v>
      </c>
      <c r="BR755" t="s">
        <v>105</v>
      </c>
      <c r="BS755" t="s">
        <v>14459</v>
      </c>
      <c r="BT755" t="str">
        <f>HYPERLINK("https%3A%2F%2Fwww.webofscience.com%2Fwos%2Fwoscc%2Ffull-record%2FWOS:001192389300001","View Full Record in Web of Science")</f>
        <v>View Full Record in Web of Science</v>
      </c>
    </row>
    <row r="756" spans="1:72" x14ac:dyDescent="0.25">
      <c r="A756" t="s">
        <v>72</v>
      </c>
      <c r="B756" t="s">
        <v>14460</v>
      </c>
      <c r="C756" t="s">
        <v>74</v>
      </c>
      <c r="D756" t="s">
        <v>74</v>
      </c>
      <c r="E756" t="s">
        <v>74</v>
      </c>
      <c r="F756" t="s">
        <v>14461</v>
      </c>
      <c r="G756" t="s">
        <v>74</v>
      </c>
      <c r="H756" t="s">
        <v>74</v>
      </c>
      <c r="I756" t="s">
        <v>14462</v>
      </c>
      <c r="J756" t="s">
        <v>8387</v>
      </c>
      <c r="K756" t="s">
        <v>74</v>
      </c>
      <c r="L756" t="s">
        <v>74</v>
      </c>
      <c r="M756" t="s">
        <v>78</v>
      </c>
      <c r="N756" t="s">
        <v>79</v>
      </c>
      <c r="O756" t="s">
        <v>74</v>
      </c>
      <c r="P756" t="s">
        <v>74</v>
      </c>
      <c r="Q756" t="s">
        <v>74</v>
      </c>
      <c r="R756" t="s">
        <v>74</v>
      </c>
      <c r="S756" t="s">
        <v>74</v>
      </c>
      <c r="T756" t="s">
        <v>14463</v>
      </c>
      <c r="U756" t="s">
        <v>14464</v>
      </c>
      <c r="V756" t="s">
        <v>14465</v>
      </c>
      <c r="W756" t="s">
        <v>14466</v>
      </c>
      <c r="X756" t="s">
        <v>14467</v>
      </c>
      <c r="Y756" t="s">
        <v>14468</v>
      </c>
      <c r="Z756" t="s">
        <v>14469</v>
      </c>
      <c r="AA756" t="s">
        <v>14470</v>
      </c>
      <c r="AB756" t="s">
        <v>14471</v>
      </c>
      <c r="AC756" t="s">
        <v>74</v>
      </c>
      <c r="AD756" t="s">
        <v>74</v>
      </c>
      <c r="AE756" t="s">
        <v>74</v>
      </c>
      <c r="AF756" t="s">
        <v>74</v>
      </c>
      <c r="AG756">
        <v>69</v>
      </c>
      <c r="AH756">
        <v>55</v>
      </c>
      <c r="AI756">
        <v>60</v>
      </c>
      <c r="AJ756">
        <v>17</v>
      </c>
      <c r="AK756">
        <v>187</v>
      </c>
      <c r="AL756" t="s">
        <v>392</v>
      </c>
      <c r="AM756" t="s">
        <v>393</v>
      </c>
      <c r="AN756" t="s">
        <v>394</v>
      </c>
      <c r="AO756" t="s">
        <v>8397</v>
      </c>
      <c r="AP756" t="s">
        <v>74</v>
      </c>
      <c r="AQ756" t="s">
        <v>74</v>
      </c>
      <c r="AR756" t="s">
        <v>8398</v>
      </c>
      <c r="AS756" t="s">
        <v>8399</v>
      </c>
      <c r="AT756" t="s">
        <v>4229</v>
      </c>
      <c r="AU756">
        <v>2021</v>
      </c>
      <c r="AV756">
        <v>9</v>
      </c>
      <c r="AW756" t="s">
        <v>74</v>
      </c>
      <c r="AX756" t="s">
        <v>74</v>
      </c>
      <c r="AY756" t="s">
        <v>74</v>
      </c>
      <c r="AZ756" t="s">
        <v>74</v>
      </c>
      <c r="BA756" t="s">
        <v>74</v>
      </c>
      <c r="BB756" t="s">
        <v>74</v>
      </c>
      <c r="BC756" t="s">
        <v>74</v>
      </c>
      <c r="BD756">
        <v>765257</v>
      </c>
      <c r="BE756" t="s">
        <v>14472</v>
      </c>
      <c r="BF756" t="str">
        <f>HYPERLINK("http://dx.doi.org/10.3389/fbioe.2021.765257","http://dx.doi.org/10.3389/fbioe.2021.765257")</f>
        <v>http://dx.doi.org/10.3389/fbioe.2021.765257</v>
      </c>
      <c r="BG756" t="s">
        <v>74</v>
      </c>
      <c r="BH756" t="s">
        <v>74</v>
      </c>
      <c r="BI756">
        <v>15</v>
      </c>
      <c r="BJ756" t="s">
        <v>2760</v>
      </c>
      <c r="BK756" t="s">
        <v>102</v>
      </c>
      <c r="BL756" t="s">
        <v>2761</v>
      </c>
      <c r="BM756" t="s">
        <v>14473</v>
      </c>
      <c r="BN756">
        <v>34805118</v>
      </c>
      <c r="BO756" t="s">
        <v>355</v>
      </c>
      <c r="BP756" t="s">
        <v>74</v>
      </c>
      <c r="BQ756" t="s">
        <v>74</v>
      </c>
      <c r="BR756" t="s">
        <v>105</v>
      </c>
      <c r="BS756" t="s">
        <v>14474</v>
      </c>
      <c r="BT756" t="str">
        <f>HYPERLINK("https%3A%2F%2Fwww.webofscience.com%2Fwos%2Fwoscc%2Ffull-record%2FWOS:000726592900001","View Full Record in Web of Science")</f>
        <v>View Full Record in Web of Science</v>
      </c>
    </row>
    <row r="757" spans="1:72" x14ac:dyDescent="0.25">
      <c r="A757" t="s">
        <v>72</v>
      </c>
      <c r="B757" t="s">
        <v>14475</v>
      </c>
      <c r="C757" t="s">
        <v>74</v>
      </c>
      <c r="D757" t="s">
        <v>74</v>
      </c>
      <c r="E757" t="s">
        <v>74</v>
      </c>
      <c r="F757" t="s">
        <v>14476</v>
      </c>
      <c r="G757" t="s">
        <v>74</v>
      </c>
      <c r="H757" t="s">
        <v>74</v>
      </c>
      <c r="I757" t="s">
        <v>14477</v>
      </c>
      <c r="J757" t="s">
        <v>9935</v>
      </c>
      <c r="K757" t="s">
        <v>74</v>
      </c>
      <c r="L757" t="s">
        <v>74</v>
      </c>
      <c r="M757" t="s">
        <v>78</v>
      </c>
      <c r="N757" t="s">
        <v>79</v>
      </c>
      <c r="O757" t="s">
        <v>74</v>
      </c>
      <c r="P757" t="s">
        <v>74</v>
      </c>
      <c r="Q757" t="s">
        <v>74</v>
      </c>
      <c r="R757" t="s">
        <v>74</v>
      </c>
      <c r="S757" t="s">
        <v>74</v>
      </c>
      <c r="T757" t="s">
        <v>14478</v>
      </c>
      <c r="U757" t="s">
        <v>14479</v>
      </c>
      <c r="V757" t="s">
        <v>14480</v>
      </c>
      <c r="W757" t="s">
        <v>14481</v>
      </c>
      <c r="X757" t="s">
        <v>14482</v>
      </c>
      <c r="Y757" t="s">
        <v>14483</v>
      </c>
      <c r="Z757" t="s">
        <v>14484</v>
      </c>
      <c r="AA757" t="s">
        <v>74</v>
      </c>
      <c r="AB757" t="s">
        <v>14485</v>
      </c>
      <c r="AC757" t="s">
        <v>14486</v>
      </c>
      <c r="AD757" t="s">
        <v>14487</v>
      </c>
      <c r="AE757" t="s">
        <v>14488</v>
      </c>
      <c r="AF757" t="s">
        <v>74</v>
      </c>
      <c r="AG757">
        <v>78</v>
      </c>
      <c r="AH757">
        <v>5</v>
      </c>
      <c r="AI757">
        <v>5</v>
      </c>
      <c r="AJ757">
        <v>3</v>
      </c>
      <c r="AK757">
        <v>56</v>
      </c>
      <c r="AL757" t="s">
        <v>92</v>
      </c>
      <c r="AM757" t="s">
        <v>93</v>
      </c>
      <c r="AN757" t="s">
        <v>94</v>
      </c>
      <c r="AO757" t="s">
        <v>9945</v>
      </c>
      <c r="AP757" t="s">
        <v>9946</v>
      </c>
      <c r="AQ757" t="s">
        <v>74</v>
      </c>
      <c r="AR757" t="s">
        <v>9947</v>
      </c>
      <c r="AS757" t="s">
        <v>9948</v>
      </c>
      <c r="AT757" t="s">
        <v>4229</v>
      </c>
      <c r="AU757">
        <v>2022</v>
      </c>
      <c r="AV757">
        <v>39</v>
      </c>
      <c r="AW757">
        <v>6</v>
      </c>
      <c r="AX757" t="s">
        <v>74</v>
      </c>
      <c r="AY757" t="s">
        <v>74</v>
      </c>
      <c r="AZ757" t="s">
        <v>74</v>
      </c>
      <c r="BA757" t="s">
        <v>74</v>
      </c>
      <c r="BB757">
        <v>1225</v>
      </c>
      <c r="BC757">
        <v>1244</v>
      </c>
      <c r="BD757" t="s">
        <v>74</v>
      </c>
      <c r="BE757" t="s">
        <v>14489</v>
      </c>
      <c r="BF757" t="str">
        <f>HYPERLINK("http://dx.doi.org/10.1080/02564602.2021.1994477","http://dx.doi.org/10.1080/02564602.2021.1994477")</f>
        <v>http://dx.doi.org/10.1080/02564602.2021.1994477</v>
      </c>
      <c r="BG757" t="s">
        <v>74</v>
      </c>
      <c r="BH757" t="s">
        <v>14385</v>
      </c>
      <c r="BI757">
        <v>20</v>
      </c>
      <c r="BJ757" t="s">
        <v>9950</v>
      </c>
      <c r="BK757" t="s">
        <v>182</v>
      </c>
      <c r="BL757" t="s">
        <v>9951</v>
      </c>
      <c r="BM757" t="s">
        <v>14490</v>
      </c>
      <c r="BN757" t="s">
        <v>74</v>
      </c>
      <c r="BO757" t="s">
        <v>74</v>
      </c>
      <c r="BP757" t="s">
        <v>74</v>
      </c>
      <c r="BQ757" t="s">
        <v>74</v>
      </c>
      <c r="BR757" t="s">
        <v>105</v>
      </c>
      <c r="BS757" t="s">
        <v>14491</v>
      </c>
      <c r="BT757" t="str">
        <f>HYPERLINK("https%3A%2F%2Fwww.webofscience.com%2Fwos%2Fwoscc%2Ffull-record%2FWOS:000713870900001","View Full Record in Web of Science")</f>
        <v>View Full Record in Web of Science</v>
      </c>
    </row>
    <row r="758" spans="1:72" x14ac:dyDescent="0.25">
      <c r="A758" t="s">
        <v>72</v>
      </c>
      <c r="B758" t="s">
        <v>14492</v>
      </c>
      <c r="C758" t="s">
        <v>74</v>
      </c>
      <c r="D758" t="s">
        <v>74</v>
      </c>
      <c r="E758" t="s">
        <v>74</v>
      </c>
      <c r="F758" t="s">
        <v>14493</v>
      </c>
      <c r="G758" t="s">
        <v>74</v>
      </c>
      <c r="H758" t="s">
        <v>74</v>
      </c>
      <c r="I758" t="s">
        <v>14494</v>
      </c>
      <c r="J758" t="s">
        <v>2091</v>
      </c>
      <c r="K758" t="s">
        <v>74</v>
      </c>
      <c r="L758" t="s">
        <v>74</v>
      </c>
      <c r="M758" t="s">
        <v>78</v>
      </c>
      <c r="N758" t="s">
        <v>79</v>
      </c>
      <c r="O758" t="s">
        <v>74</v>
      </c>
      <c r="P758" t="s">
        <v>74</v>
      </c>
      <c r="Q758" t="s">
        <v>74</v>
      </c>
      <c r="R758" t="s">
        <v>74</v>
      </c>
      <c r="S758" t="s">
        <v>74</v>
      </c>
      <c r="T758" t="s">
        <v>14495</v>
      </c>
      <c r="U758" t="s">
        <v>14496</v>
      </c>
      <c r="V758" t="s">
        <v>14497</v>
      </c>
      <c r="W758" t="s">
        <v>14498</v>
      </c>
      <c r="X758" t="s">
        <v>14499</v>
      </c>
      <c r="Y758" t="s">
        <v>14500</v>
      </c>
      <c r="Z758" t="s">
        <v>14501</v>
      </c>
      <c r="AA758" t="s">
        <v>14502</v>
      </c>
      <c r="AB758" t="s">
        <v>14503</v>
      </c>
      <c r="AC758" t="s">
        <v>74</v>
      </c>
      <c r="AD758" t="s">
        <v>74</v>
      </c>
      <c r="AE758" t="s">
        <v>74</v>
      </c>
      <c r="AF758" t="s">
        <v>74</v>
      </c>
      <c r="AG758">
        <v>52</v>
      </c>
      <c r="AH758">
        <v>16</v>
      </c>
      <c r="AI758">
        <v>16</v>
      </c>
      <c r="AJ758">
        <v>1</v>
      </c>
      <c r="AK758">
        <v>29</v>
      </c>
      <c r="AL758" t="s">
        <v>120</v>
      </c>
      <c r="AM758" t="s">
        <v>121</v>
      </c>
      <c r="AN758" t="s">
        <v>122</v>
      </c>
      <c r="AO758" t="s">
        <v>74</v>
      </c>
      <c r="AP758" t="s">
        <v>2104</v>
      </c>
      <c r="AQ758" t="s">
        <v>74</v>
      </c>
      <c r="AR758" t="s">
        <v>2105</v>
      </c>
      <c r="AS758" t="s">
        <v>2106</v>
      </c>
      <c r="AT758" t="s">
        <v>126</v>
      </c>
      <c r="AU758">
        <v>2021</v>
      </c>
      <c r="AV758">
        <v>11</v>
      </c>
      <c r="AW758">
        <v>21</v>
      </c>
      <c r="AX758" t="s">
        <v>74</v>
      </c>
      <c r="AY758" t="s">
        <v>74</v>
      </c>
      <c r="AZ758" t="s">
        <v>74</v>
      </c>
      <c r="BA758" t="s">
        <v>74</v>
      </c>
      <c r="BB758" t="s">
        <v>74</v>
      </c>
      <c r="BC758" t="s">
        <v>74</v>
      </c>
      <c r="BD758">
        <v>10116</v>
      </c>
      <c r="BE758" t="s">
        <v>14504</v>
      </c>
      <c r="BF758" t="str">
        <f>HYPERLINK("http://dx.doi.org/10.3390/app112110116","http://dx.doi.org/10.3390/app112110116")</f>
        <v>http://dx.doi.org/10.3390/app112110116</v>
      </c>
      <c r="BG758" t="s">
        <v>74</v>
      </c>
      <c r="BH758" t="s">
        <v>74</v>
      </c>
      <c r="BI758">
        <v>12</v>
      </c>
      <c r="BJ758" t="s">
        <v>2109</v>
      </c>
      <c r="BK758" t="s">
        <v>182</v>
      </c>
      <c r="BL758" t="s">
        <v>2110</v>
      </c>
      <c r="BM758" t="s">
        <v>14505</v>
      </c>
      <c r="BN758" t="s">
        <v>74</v>
      </c>
      <c r="BO758" t="s">
        <v>185</v>
      </c>
      <c r="BP758" t="s">
        <v>74</v>
      </c>
      <c r="BQ758" t="s">
        <v>74</v>
      </c>
      <c r="BR758" t="s">
        <v>105</v>
      </c>
      <c r="BS758" t="s">
        <v>14506</v>
      </c>
      <c r="BT758" t="str">
        <f>HYPERLINK("https%3A%2F%2Fwww.webofscience.com%2Fwos%2Fwoscc%2Ffull-record%2FWOS:000718430600001","View Full Record in Web of Science")</f>
        <v>View Full Record in Web of Science</v>
      </c>
    </row>
    <row r="759" spans="1:72" x14ac:dyDescent="0.25">
      <c r="A759" t="s">
        <v>72</v>
      </c>
      <c r="B759" t="s">
        <v>14507</v>
      </c>
      <c r="C759" t="s">
        <v>74</v>
      </c>
      <c r="D759" t="s">
        <v>74</v>
      </c>
      <c r="E759" t="s">
        <v>74</v>
      </c>
      <c r="F759" t="s">
        <v>14508</v>
      </c>
      <c r="G759" t="s">
        <v>74</v>
      </c>
      <c r="H759" t="s">
        <v>74</v>
      </c>
      <c r="I759" t="s">
        <v>14509</v>
      </c>
      <c r="J759" t="s">
        <v>2091</v>
      </c>
      <c r="K759" t="s">
        <v>74</v>
      </c>
      <c r="L759" t="s">
        <v>74</v>
      </c>
      <c r="M759" t="s">
        <v>78</v>
      </c>
      <c r="N759" t="s">
        <v>79</v>
      </c>
      <c r="O759" t="s">
        <v>74</v>
      </c>
      <c r="P759" t="s">
        <v>74</v>
      </c>
      <c r="Q759" t="s">
        <v>74</v>
      </c>
      <c r="R759" t="s">
        <v>74</v>
      </c>
      <c r="S759" t="s">
        <v>74</v>
      </c>
      <c r="T759" t="s">
        <v>14510</v>
      </c>
      <c r="U759" t="s">
        <v>14511</v>
      </c>
      <c r="V759" t="s">
        <v>14512</v>
      </c>
      <c r="W759" t="s">
        <v>14513</v>
      </c>
      <c r="X759" t="s">
        <v>74</v>
      </c>
      <c r="Y759" t="s">
        <v>14514</v>
      </c>
      <c r="Z759" t="s">
        <v>14515</v>
      </c>
      <c r="AA759" t="s">
        <v>14516</v>
      </c>
      <c r="AB759" t="s">
        <v>14517</v>
      </c>
      <c r="AC759" t="s">
        <v>14518</v>
      </c>
      <c r="AD759" t="s">
        <v>14519</v>
      </c>
      <c r="AE759" t="s">
        <v>14520</v>
      </c>
      <c r="AF759" t="s">
        <v>74</v>
      </c>
      <c r="AG759">
        <v>153</v>
      </c>
      <c r="AH759">
        <v>7</v>
      </c>
      <c r="AI759">
        <v>7</v>
      </c>
      <c r="AJ759">
        <v>6</v>
      </c>
      <c r="AK759">
        <v>92</v>
      </c>
      <c r="AL759" t="s">
        <v>120</v>
      </c>
      <c r="AM759" t="s">
        <v>121</v>
      </c>
      <c r="AN759" t="s">
        <v>122</v>
      </c>
      <c r="AO759" t="s">
        <v>74</v>
      </c>
      <c r="AP759" t="s">
        <v>2104</v>
      </c>
      <c r="AQ759" t="s">
        <v>74</v>
      </c>
      <c r="AR759" t="s">
        <v>2105</v>
      </c>
      <c r="AS759" t="s">
        <v>2106</v>
      </c>
      <c r="AT759" t="s">
        <v>126</v>
      </c>
      <c r="AU759">
        <v>2021</v>
      </c>
      <c r="AV759">
        <v>11</v>
      </c>
      <c r="AW759">
        <v>21</v>
      </c>
      <c r="AX759" t="s">
        <v>74</v>
      </c>
      <c r="AY759" t="s">
        <v>74</v>
      </c>
      <c r="AZ759" t="s">
        <v>74</v>
      </c>
      <c r="BA759" t="s">
        <v>74</v>
      </c>
      <c r="BB759" t="s">
        <v>74</v>
      </c>
      <c r="BC759" t="s">
        <v>74</v>
      </c>
      <c r="BD759">
        <v>9990</v>
      </c>
      <c r="BE759" t="s">
        <v>14521</v>
      </c>
      <c r="BF759" t="str">
        <f>HYPERLINK("http://dx.doi.org/10.3390/app11219990","http://dx.doi.org/10.3390/app11219990")</f>
        <v>http://dx.doi.org/10.3390/app11219990</v>
      </c>
      <c r="BG759" t="s">
        <v>74</v>
      </c>
      <c r="BH759" t="s">
        <v>74</v>
      </c>
      <c r="BI759">
        <v>23</v>
      </c>
      <c r="BJ759" t="s">
        <v>2109</v>
      </c>
      <c r="BK759" t="s">
        <v>182</v>
      </c>
      <c r="BL759" t="s">
        <v>2110</v>
      </c>
      <c r="BM759" t="s">
        <v>14522</v>
      </c>
      <c r="BN759" t="s">
        <v>74</v>
      </c>
      <c r="BO759" t="s">
        <v>355</v>
      </c>
      <c r="BP759" t="s">
        <v>74</v>
      </c>
      <c r="BQ759" t="s">
        <v>74</v>
      </c>
      <c r="BR759" t="s">
        <v>105</v>
      </c>
      <c r="BS759" t="s">
        <v>14523</v>
      </c>
      <c r="BT759" t="str">
        <f>HYPERLINK("https%3A%2F%2Fwww.webofscience.com%2Fwos%2Fwoscc%2Ffull-record%2FWOS:000721071500001","View Full Record in Web of Science")</f>
        <v>View Full Record in Web of Science</v>
      </c>
    </row>
    <row r="760" spans="1:72" x14ac:dyDescent="0.25">
      <c r="A760" t="s">
        <v>72</v>
      </c>
      <c r="B760" t="s">
        <v>14524</v>
      </c>
      <c r="C760" t="s">
        <v>74</v>
      </c>
      <c r="D760" t="s">
        <v>74</v>
      </c>
      <c r="E760" t="s">
        <v>74</v>
      </c>
      <c r="F760" t="s">
        <v>14525</v>
      </c>
      <c r="G760" t="s">
        <v>74</v>
      </c>
      <c r="H760" t="s">
        <v>74</v>
      </c>
      <c r="I760" t="s">
        <v>14526</v>
      </c>
      <c r="J760" t="s">
        <v>6115</v>
      </c>
      <c r="K760" t="s">
        <v>74</v>
      </c>
      <c r="L760" t="s">
        <v>74</v>
      </c>
      <c r="M760" t="s">
        <v>78</v>
      </c>
      <c r="N760" t="s">
        <v>79</v>
      </c>
      <c r="O760" t="s">
        <v>74</v>
      </c>
      <c r="P760" t="s">
        <v>74</v>
      </c>
      <c r="Q760" t="s">
        <v>74</v>
      </c>
      <c r="R760" t="s">
        <v>74</v>
      </c>
      <c r="S760" t="s">
        <v>74</v>
      </c>
      <c r="T760" t="s">
        <v>14527</v>
      </c>
      <c r="U760" t="s">
        <v>14528</v>
      </c>
      <c r="V760" t="s">
        <v>14529</v>
      </c>
      <c r="W760" t="s">
        <v>14530</v>
      </c>
      <c r="X760" t="s">
        <v>14531</v>
      </c>
      <c r="Y760" t="s">
        <v>14532</v>
      </c>
      <c r="Z760" t="s">
        <v>14533</v>
      </c>
      <c r="AA760" t="s">
        <v>14534</v>
      </c>
      <c r="AB760" t="s">
        <v>14535</v>
      </c>
      <c r="AC760" t="s">
        <v>74</v>
      </c>
      <c r="AD760" t="s">
        <v>74</v>
      </c>
      <c r="AE760" t="s">
        <v>74</v>
      </c>
      <c r="AF760" t="s">
        <v>74</v>
      </c>
      <c r="AG760">
        <v>125</v>
      </c>
      <c r="AH760">
        <v>12</v>
      </c>
      <c r="AI760">
        <v>13</v>
      </c>
      <c r="AJ760">
        <v>0</v>
      </c>
      <c r="AK760">
        <v>3</v>
      </c>
      <c r="AL760" t="s">
        <v>120</v>
      </c>
      <c r="AM760" t="s">
        <v>121</v>
      </c>
      <c r="AN760" t="s">
        <v>122</v>
      </c>
      <c r="AO760" t="s">
        <v>74</v>
      </c>
      <c r="AP760" t="s">
        <v>6124</v>
      </c>
      <c r="AQ760" t="s">
        <v>74</v>
      </c>
      <c r="AR760" t="s">
        <v>6115</v>
      </c>
      <c r="AS760" t="s">
        <v>6125</v>
      </c>
      <c r="AT760" t="s">
        <v>126</v>
      </c>
      <c r="AU760">
        <v>2021</v>
      </c>
      <c r="AV760">
        <v>13</v>
      </c>
      <c r="AW760">
        <v>22</v>
      </c>
      <c r="AX760" t="s">
        <v>74</v>
      </c>
      <c r="AY760" t="s">
        <v>74</v>
      </c>
      <c r="AZ760" t="s">
        <v>74</v>
      </c>
      <c r="BA760" t="s">
        <v>74</v>
      </c>
      <c r="BB760" t="s">
        <v>74</v>
      </c>
      <c r="BC760" t="s">
        <v>74</v>
      </c>
      <c r="BD760">
        <v>5834</v>
      </c>
      <c r="BE760" t="s">
        <v>14536</v>
      </c>
      <c r="BF760" t="str">
        <f>HYPERLINK("http://dx.doi.org/10.3390/cancers13225834","http://dx.doi.org/10.3390/cancers13225834")</f>
        <v>http://dx.doi.org/10.3390/cancers13225834</v>
      </c>
      <c r="BG760" t="s">
        <v>74</v>
      </c>
      <c r="BH760" t="s">
        <v>74</v>
      </c>
      <c r="BI760">
        <v>18</v>
      </c>
      <c r="BJ760" t="s">
        <v>4032</v>
      </c>
      <c r="BK760" t="s">
        <v>182</v>
      </c>
      <c r="BL760" t="s">
        <v>4032</v>
      </c>
      <c r="BM760" t="s">
        <v>14537</v>
      </c>
      <c r="BN760">
        <v>34830988</v>
      </c>
      <c r="BO760" t="s">
        <v>355</v>
      </c>
      <c r="BP760" t="s">
        <v>74</v>
      </c>
      <c r="BQ760" t="s">
        <v>74</v>
      </c>
      <c r="BR760" t="s">
        <v>105</v>
      </c>
      <c r="BS760" t="s">
        <v>14538</v>
      </c>
      <c r="BT760" t="str">
        <f>HYPERLINK("https%3A%2F%2Fwww.webofscience.com%2Fwos%2Fwoscc%2Ffull-record%2FWOS:000773917700040","View Full Record in Web of Science")</f>
        <v>View Full Record in Web of Science</v>
      </c>
    </row>
    <row r="761" spans="1:72" x14ac:dyDescent="0.25">
      <c r="A761" t="s">
        <v>72</v>
      </c>
      <c r="B761" t="s">
        <v>14539</v>
      </c>
      <c r="C761" t="s">
        <v>74</v>
      </c>
      <c r="D761" t="s">
        <v>74</v>
      </c>
      <c r="E761" t="s">
        <v>74</v>
      </c>
      <c r="F761" t="s">
        <v>14540</v>
      </c>
      <c r="G761" t="s">
        <v>74</v>
      </c>
      <c r="H761" t="s">
        <v>74</v>
      </c>
      <c r="I761" t="s">
        <v>14541</v>
      </c>
      <c r="J761" t="s">
        <v>1231</v>
      </c>
      <c r="K761" t="s">
        <v>74</v>
      </c>
      <c r="L761" t="s">
        <v>74</v>
      </c>
      <c r="M761" t="s">
        <v>78</v>
      </c>
      <c r="N761" t="s">
        <v>79</v>
      </c>
      <c r="O761" t="s">
        <v>74</v>
      </c>
      <c r="P761" t="s">
        <v>74</v>
      </c>
      <c r="Q761" t="s">
        <v>74</v>
      </c>
      <c r="R761" t="s">
        <v>74</v>
      </c>
      <c r="S761" t="s">
        <v>74</v>
      </c>
      <c r="T761" t="s">
        <v>14542</v>
      </c>
      <c r="U761" t="s">
        <v>14543</v>
      </c>
      <c r="V761" t="s">
        <v>14544</v>
      </c>
      <c r="W761" t="s">
        <v>14545</v>
      </c>
      <c r="X761" t="s">
        <v>9500</v>
      </c>
      <c r="Y761" t="s">
        <v>14546</v>
      </c>
      <c r="Z761" t="s">
        <v>14547</v>
      </c>
      <c r="AA761" t="s">
        <v>14548</v>
      </c>
      <c r="AB761" t="s">
        <v>14549</v>
      </c>
      <c r="AC761" t="s">
        <v>14550</v>
      </c>
      <c r="AD761" t="s">
        <v>14550</v>
      </c>
      <c r="AE761" t="s">
        <v>14551</v>
      </c>
      <c r="AF761" t="s">
        <v>74</v>
      </c>
      <c r="AG761">
        <v>249</v>
      </c>
      <c r="AH761">
        <v>19</v>
      </c>
      <c r="AI761">
        <v>21</v>
      </c>
      <c r="AJ761">
        <v>5</v>
      </c>
      <c r="AK761">
        <v>60</v>
      </c>
      <c r="AL761" t="s">
        <v>392</v>
      </c>
      <c r="AM761" t="s">
        <v>393</v>
      </c>
      <c r="AN761" t="s">
        <v>394</v>
      </c>
      <c r="AO761" t="s">
        <v>1244</v>
      </c>
      <c r="AP761" t="s">
        <v>74</v>
      </c>
      <c r="AQ761" t="s">
        <v>74</v>
      </c>
      <c r="AR761" t="s">
        <v>1245</v>
      </c>
      <c r="AS761" t="s">
        <v>1246</v>
      </c>
      <c r="AT761" t="s">
        <v>9889</v>
      </c>
      <c r="AU761">
        <v>2021</v>
      </c>
      <c r="AV761">
        <v>15</v>
      </c>
      <c r="AW761" t="s">
        <v>74</v>
      </c>
      <c r="AX761" t="s">
        <v>74</v>
      </c>
      <c r="AY761" t="s">
        <v>74</v>
      </c>
      <c r="AZ761" t="s">
        <v>74</v>
      </c>
      <c r="BA761" t="s">
        <v>74</v>
      </c>
      <c r="BB761" t="s">
        <v>74</v>
      </c>
      <c r="BC761" t="s">
        <v>74</v>
      </c>
      <c r="BD761">
        <v>742163</v>
      </c>
      <c r="BE761" t="s">
        <v>14552</v>
      </c>
      <c r="BF761" t="str">
        <f>HYPERLINK("http://dx.doi.org/10.3389/fnbot.2021.742163","http://dx.doi.org/10.3389/fnbot.2021.742163")</f>
        <v>http://dx.doi.org/10.3389/fnbot.2021.742163</v>
      </c>
      <c r="BG761" t="s">
        <v>74</v>
      </c>
      <c r="BH761" t="s">
        <v>74</v>
      </c>
      <c r="BI761">
        <v>26</v>
      </c>
      <c r="BJ761" t="s">
        <v>1249</v>
      </c>
      <c r="BK761" t="s">
        <v>182</v>
      </c>
      <c r="BL761" t="s">
        <v>1250</v>
      </c>
      <c r="BM761" t="s">
        <v>14553</v>
      </c>
      <c r="BN761">
        <v>34776920</v>
      </c>
      <c r="BO761" t="s">
        <v>355</v>
      </c>
      <c r="BP761" t="s">
        <v>74</v>
      </c>
      <c r="BQ761" t="s">
        <v>74</v>
      </c>
      <c r="BR761" t="s">
        <v>105</v>
      </c>
      <c r="BS761" t="s">
        <v>14554</v>
      </c>
      <c r="BT761" t="str">
        <f>HYPERLINK("https%3A%2F%2Fwww.webofscience.com%2Fwos%2Fwoscc%2Ffull-record%2FWOS:000717630900001","View Full Record in Web of Science")</f>
        <v>View Full Record in Web of Science</v>
      </c>
    </row>
    <row r="762" spans="1:72" x14ac:dyDescent="0.25">
      <c r="A762" t="s">
        <v>72</v>
      </c>
      <c r="B762" t="s">
        <v>14555</v>
      </c>
      <c r="C762" t="s">
        <v>74</v>
      </c>
      <c r="D762" t="s">
        <v>74</v>
      </c>
      <c r="E762" t="s">
        <v>74</v>
      </c>
      <c r="F762" t="s">
        <v>14556</v>
      </c>
      <c r="G762" t="s">
        <v>74</v>
      </c>
      <c r="H762" t="s">
        <v>14263</v>
      </c>
      <c r="I762" t="s">
        <v>14557</v>
      </c>
      <c r="J762" t="s">
        <v>190</v>
      </c>
      <c r="K762" t="s">
        <v>74</v>
      </c>
      <c r="L762" t="s">
        <v>74</v>
      </c>
      <c r="M762" t="s">
        <v>78</v>
      </c>
      <c r="N762" t="s">
        <v>79</v>
      </c>
      <c r="O762" t="s">
        <v>74</v>
      </c>
      <c r="P762" t="s">
        <v>74</v>
      </c>
      <c r="Q762" t="s">
        <v>74</v>
      </c>
      <c r="R762" t="s">
        <v>74</v>
      </c>
      <c r="S762" t="s">
        <v>74</v>
      </c>
      <c r="T762" t="s">
        <v>14558</v>
      </c>
      <c r="U762" t="s">
        <v>14559</v>
      </c>
      <c r="V762" t="s">
        <v>14560</v>
      </c>
      <c r="W762" t="s">
        <v>14561</v>
      </c>
      <c r="X762" t="s">
        <v>14562</v>
      </c>
      <c r="Y762" t="s">
        <v>14563</v>
      </c>
      <c r="Z762" t="s">
        <v>1766</v>
      </c>
      <c r="AA762" t="s">
        <v>14564</v>
      </c>
      <c r="AB762" t="s">
        <v>14565</v>
      </c>
      <c r="AC762" t="s">
        <v>74</v>
      </c>
      <c r="AD762" t="s">
        <v>74</v>
      </c>
      <c r="AE762" t="s">
        <v>74</v>
      </c>
      <c r="AF762" t="s">
        <v>74</v>
      </c>
      <c r="AG762">
        <v>38</v>
      </c>
      <c r="AH762">
        <v>26</v>
      </c>
      <c r="AI762">
        <v>25</v>
      </c>
      <c r="AJ762">
        <v>0</v>
      </c>
      <c r="AK762">
        <v>9</v>
      </c>
      <c r="AL762" t="s">
        <v>202</v>
      </c>
      <c r="AM762" t="s">
        <v>203</v>
      </c>
      <c r="AN762" t="s">
        <v>204</v>
      </c>
      <c r="AO762" t="s">
        <v>205</v>
      </c>
      <c r="AP762" t="s">
        <v>206</v>
      </c>
      <c r="AQ762" t="s">
        <v>74</v>
      </c>
      <c r="AR762" t="s">
        <v>207</v>
      </c>
      <c r="AS762" t="s">
        <v>208</v>
      </c>
      <c r="AT762" t="s">
        <v>1888</v>
      </c>
      <c r="AU762">
        <v>2021</v>
      </c>
      <c r="AV762">
        <v>57</v>
      </c>
      <c r="AW762">
        <v>5</v>
      </c>
      <c r="AX762" t="s">
        <v>74</v>
      </c>
      <c r="AY762" t="s">
        <v>74</v>
      </c>
      <c r="AZ762" t="s">
        <v>74</v>
      </c>
      <c r="BA762" t="s">
        <v>74</v>
      </c>
      <c r="BB762">
        <v>841</v>
      </c>
      <c r="BC762">
        <v>849</v>
      </c>
      <c r="BD762" t="s">
        <v>74</v>
      </c>
      <c r="BE762" t="s">
        <v>14566</v>
      </c>
      <c r="BF762" t="str">
        <f>HYPERLINK("http://dx.doi.org/10.23736/S1973-9087.21.06915-X","http://dx.doi.org/10.23736/S1973-9087.21.06915-X")</f>
        <v>http://dx.doi.org/10.23736/S1973-9087.21.06915-X</v>
      </c>
      <c r="BG762" t="s">
        <v>74</v>
      </c>
      <c r="BH762" t="s">
        <v>74</v>
      </c>
      <c r="BI762">
        <v>9</v>
      </c>
      <c r="BJ762" t="s">
        <v>101</v>
      </c>
      <c r="BK762" t="s">
        <v>182</v>
      </c>
      <c r="BL762" t="s">
        <v>101</v>
      </c>
      <c r="BM762" t="s">
        <v>14567</v>
      </c>
      <c r="BN762">
        <v>34547886</v>
      </c>
      <c r="BO762" t="s">
        <v>74</v>
      </c>
      <c r="BP762" t="s">
        <v>74</v>
      </c>
      <c r="BQ762" t="s">
        <v>74</v>
      </c>
      <c r="BR762" t="s">
        <v>105</v>
      </c>
      <c r="BS762" t="s">
        <v>14568</v>
      </c>
      <c r="BT762" t="str">
        <f>HYPERLINK("https%3A%2F%2Fwww.webofscience.com%2Fwos%2Fwoscc%2Ffull-record%2FWOS:000718320700020","View Full Record in Web of Science")</f>
        <v>View Full Record in Web of Science</v>
      </c>
    </row>
    <row r="763" spans="1:72" x14ac:dyDescent="0.25">
      <c r="A763" t="s">
        <v>72</v>
      </c>
      <c r="B763" t="s">
        <v>14569</v>
      </c>
      <c r="C763" t="s">
        <v>74</v>
      </c>
      <c r="D763" t="s">
        <v>74</v>
      </c>
      <c r="E763" t="s">
        <v>74</v>
      </c>
      <c r="F763" t="s">
        <v>14570</v>
      </c>
      <c r="G763" t="s">
        <v>74</v>
      </c>
      <c r="H763" t="s">
        <v>74</v>
      </c>
      <c r="I763" t="s">
        <v>14571</v>
      </c>
      <c r="J763" t="s">
        <v>2040</v>
      </c>
      <c r="K763" t="s">
        <v>74</v>
      </c>
      <c r="L763" t="s">
        <v>74</v>
      </c>
      <c r="M763" t="s">
        <v>78</v>
      </c>
      <c r="N763" t="s">
        <v>79</v>
      </c>
      <c r="O763" t="s">
        <v>74</v>
      </c>
      <c r="P763" t="s">
        <v>74</v>
      </c>
      <c r="Q763" t="s">
        <v>74</v>
      </c>
      <c r="R763" t="s">
        <v>74</v>
      </c>
      <c r="S763" t="s">
        <v>74</v>
      </c>
      <c r="T763" t="s">
        <v>14572</v>
      </c>
      <c r="U763" t="s">
        <v>14573</v>
      </c>
      <c r="V763" t="s">
        <v>14574</v>
      </c>
      <c r="W763" t="s">
        <v>14575</v>
      </c>
      <c r="X763" t="s">
        <v>14576</v>
      </c>
      <c r="Y763" t="s">
        <v>14577</v>
      </c>
      <c r="Z763" t="s">
        <v>14578</v>
      </c>
      <c r="AA763" t="s">
        <v>14579</v>
      </c>
      <c r="AB763" t="s">
        <v>14580</v>
      </c>
      <c r="AC763" t="s">
        <v>74</v>
      </c>
      <c r="AD763" t="s">
        <v>74</v>
      </c>
      <c r="AE763" t="s">
        <v>74</v>
      </c>
      <c r="AF763" t="s">
        <v>74</v>
      </c>
      <c r="AG763">
        <v>222</v>
      </c>
      <c r="AH763">
        <v>41</v>
      </c>
      <c r="AI763">
        <v>43</v>
      </c>
      <c r="AJ763">
        <v>7</v>
      </c>
      <c r="AK763">
        <v>87</v>
      </c>
      <c r="AL763" t="s">
        <v>120</v>
      </c>
      <c r="AM763" t="s">
        <v>121</v>
      </c>
      <c r="AN763" t="s">
        <v>122</v>
      </c>
      <c r="AO763" t="s">
        <v>74</v>
      </c>
      <c r="AP763" t="s">
        <v>2050</v>
      </c>
      <c r="AQ763" t="s">
        <v>74</v>
      </c>
      <c r="AR763" t="s">
        <v>2051</v>
      </c>
      <c r="AS763" t="s">
        <v>2052</v>
      </c>
      <c r="AT763" t="s">
        <v>1888</v>
      </c>
      <c r="AU763">
        <v>2021</v>
      </c>
      <c r="AV763">
        <v>21</v>
      </c>
      <c r="AW763">
        <v>20</v>
      </c>
      <c r="AX763" t="s">
        <v>74</v>
      </c>
      <c r="AY763" t="s">
        <v>74</v>
      </c>
      <c r="AZ763" t="s">
        <v>74</v>
      </c>
      <c r="BA763" t="s">
        <v>74</v>
      </c>
      <c r="BB763" t="s">
        <v>74</v>
      </c>
      <c r="BC763" t="s">
        <v>74</v>
      </c>
      <c r="BD763">
        <v>6863</v>
      </c>
      <c r="BE763" t="s">
        <v>14581</v>
      </c>
      <c r="BF763" t="str">
        <f>HYPERLINK("http://dx.doi.org/10.3390/s21206863","http://dx.doi.org/10.3390/s21206863")</f>
        <v>http://dx.doi.org/10.3390/s21206863</v>
      </c>
      <c r="BG763" t="s">
        <v>74</v>
      </c>
      <c r="BH763" t="s">
        <v>74</v>
      </c>
      <c r="BI763">
        <v>43</v>
      </c>
      <c r="BJ763" t="s">
        <v>2054</v>
      </c>
      <c r="BK763" t="s">
        <v>102</v>
      </c>
      <c r="BL763" t="s">
        <v>2055</v>
      </c>
      <c r="BM763" t="s">
        <v>14582</v>
      </c>
      <c r="BN763">
        <v>34696076</v>
      </c>
      <c r="BO763" t="s">
        <v>355</v>
      </c>
      <c r="BP763" t="s">
        <v>74</v>
      </c>
      <c r="BQ763" t="s">
        <v>74</v>
      </c>
      <c r="BR763" t="s">
        <v>105</v>
      </c>
      <c r="BS763" t="s">
        <v>14583</v>
      </c>
      <c r="BT763" t="str">
        <f>HYPERLINK("https%3A%2F%2Fwww.webofscience.com%2Fwos%2Fwoscc%2Ffull-record%2FWOS:000715316500001","View Full Record in Web of Science")</f>
        <v>View Full Record in Web of Science</v>
      </c>
    </row>
    <row r="764" spans="1:72" x14ac:dyDescent="0.25">
      <c r="A764" t="s">
        <v>72</v>
      </c>
      <c r="B764" t="s">
        <v>14584</v>
      </c>
      <c r="C764" t="s">
        <v>74</v>
      </c>
      <c r="D764" t="s">
        <v>74</v>
      </c>
      <c r="E764" t="s">
        <v>74</v>
      </c>
      <c r="F764" t="s">
        <v>14585</v>
      </c>
      <c r="G764" t="s">
        <v>74</v>
      </c>
      <c r="H764" t="s">
        <v>14263</v>
      </c>
      <c r="I764" t="s">
        <v>14586</v>
      </c>
      <c r="J764" t="s">
        <v>190</v>
      </c>
      <c r="K764" t="s">
        <v>74</v>
      </c>
      <c r="L764" t="s">
        <v>74</v>
      </c>
      <c r="M764" t="s">
        <v>78</v>
      </c>
      <c r="N764" t="s">
        <v>79</v>
      </c>
      <c r="O764" t="s">
        <v>74</v>
      </c>
      <c r="P764" t="s">
        <v>74</v>
      </c>
      <c r="Q764" t="s">
        <v>74</v>
      </c>
      <c r="R764" t="s">
        <v>74</v>
      </c>
      <c r="S764" t="s">
        <v>74</v>
      </c>
      <c r="T764" t="s">
        <v>14587</v>
      </c>
      <c r="U764" t="s">
        <v>14588</v>
      </c>
      <c r="V764" t="s">
        <v>14589</v>
      </c>
      <c r="W764" t="s">
        <v>14590</v>
      </c>
      <c r="X764" t="s">
        <v>14591</v>
      </c>
      <c r="Y764" t="s">
        <v>14592</v>
      </c>
      <c r="Z764" t="s">
        <v>14593</v>
      </c>
      <c r="AA764" t="s">
        <v>14594</v>
      </c>
      <c r="AB764" t="s">
        <v>14595</v>
      </c>
      <c r="AC764" t="s">
        <v>14596</v>
      </c>
      <c r="AD764" t="s">
        <v>14596</v>
      </c>
      <c r="AE764" t="s">
        <v>14597</v>
      </c>
      <c r="AF764" t="s">
        <v>74</v>
      </c>
      <c r="AG764">
        <v>33</v>
      </c>
      <c r="AH764">
        <v>31</v>
      </c>
      <c r="AI764">
        <v>31</v>
      </c>
      <c r="AJ764">
        <v>2</v>
      </c>
      <c r="AK764">
        <v>29</v>
      </c>
      <c r="AL764" t="s">
        <v>202</v>
      </c>
      <c r="AM764" t="s">
        <v>203</v>
      </c>
      <c r="AN764" t="s">
        <v>204</v>
      </c>
      <c r="AO764" t="s">
        <v>205</v>
      </c>
      <c r="AP764" t="s">
        <v>206</v>
      </c>
      <c r="AQ764" t="s">
        <v>74</v>
      </c>
      <c r="AR764" t="s">
        <v>207</v>
      </c>
      <c r="AS764" t="s">
        <v>208</v>
      </c>
      <c r="AT764" t="s">
        <v>1888</v>
      </c>
      <c r="AU764">
        <v>2021</v>
      </c>
      <c r="AV764">
        <v>57</v>
      </c>
      <c r="AW764">
        <v>5</v>
      </c>
      <c r="AX764" t="s">
        <v>74</v>
      </c>
      <c r="AY764" t="s">
        <v>74</v>
      </c>
      <c r="AZ764" t="s">
        <v>74</v>
      </c>
      <c r="BA764" t="s">
        <v>74</v>
      </c>
      <c r="BB764">
        <v>831</v>
      </c>
      <c r="BC764">
        <v>840</v>
      </c>
      <c r="BD764" t="s">
        <v>74</v>
      </c>
      <c r="BE764" t="s">
        <v>14598</v>
      </c>
      <c r="BF764" t="str">
        <f>HYPERLINK("http://dx.doi.org/10.23736/S1973-9087.21.06922-7","http://dx.doi.org/10.23736/S1973-9087.21.06922-7")</f>
        <v>http://dx.doi.org/10.23736/S1973-9087.21.06922-7</v>
      </c>
      <c r="BG764" t="s">
        <v>74</v>
      </c>
      <c r="BH764" t="s">
        <v>74</v>
      </c>
      <c r="BI764">
        <v>10</v>
      </c>
      <c r="BJ764" t="s">
        <v>101</v>
      </c>
      <c r="BK764" t="s">
        <v>182</v>
      </c>
      <c r="BL764" t="s">
        <v>101</v>
      </c>
      <c r="BM764" t="s">
        <v>14567</v>
      </c>
      <c r="BN764">
        <v>34042413</v>
      </c>
      <c r="BO764" t="s">
        <v>74</v>
      </c>
      <c r="BP764" t="s">
        <v>74</v>
      </c>
      <c r="BQ764" t="s">
        <v>74</v>
      </c>
      <c r="BR764" t="s">
        <v>105</v>
      </c>
      <c r="BS764" t="s">
        <v>14599</v>
      </c>
      <c r="BT764" t="str">
        <f>HYPERLINK("https%3A%2F%2Fwww.webofscience.com%2Fwos%2Fwoscc%2Ffull-record%2FWOS:000718320700019","View Full Record in Web of Science")</f>
        <v>View Full Record in Web of Science</v>
      </c>
    </row>
    <row r="765" spans="1:72" x14ac:dyDescent="0.25">
      <c r="A765" t="s">
        <v>72</v>
      </c>
      <c r="B765" t="s">
        <v>14600</v>
      </c>
      <c r="C765" t="s">
        <v>74</v>
      </c>
      <c r="D765" t="s">
        <v>74</v>
      </c>
      <c r="E765" t="s">
        <v>74</v>
      </c>
      <c r="F765" t="s">
        <v>14601</v>
      </c>
      <c r="G765" t="s">
        <v>74</v>
      </c>
      <c r="H765" t="s">
        <v>74</v>
      </c>
      <c r="I765" t="s">
        <v>14602</v>
      </c>
      <c r="J765" t="s">
        <v>14603</v>
      </c>
      <c r="K765" t="s">
        <v>74</v>
      </c>
      <c r="L765" t="s">
        <v>74</v>
      </c>
      <c r="M765" t="s">
        <v>78</v>
      </c>
      <c r="N765" t="s">
        <v>79</v>
      </c>
      <c r="O765" t="s">
        <v>74</v>
      </c>
      <c r="P765" t="s">
        <v>74</v>
      </c>
      <c r="Q765" t="s">
        <v>74</v>
      </c>
      <c r="R765" t="s">
        <v>74</v>
      </c>
      <c r="S765" t="s">
        <v>74</v>
      </c>
      <c r="T765" t="s">
        <v>14604</v>
      </c>
      <c r="U765" t="s">
        <v>14605</v>
      </c>
      <c r="V765" t="s">
        <v>14606</v>
      </c>
      <c r="W765" t="s">
        <v>14607</v>
      </c>
      <c r="X765" t="s">
        <v>14608</v>
      </c>
      <c r="Y765" t="s">
        <v>14609</v>
      </c>
      <c r="Z765" t="s">
        <v>14610</v>
      </c>
      <c r="AA765" t="s">
        <v>14611</v>
      </c>
      <c r="AB765" t="s">
        <v>14612</v>
      </c>
      <c r="AC765" t="s">
        <v>14613</v>
      </c>
      <c r="AD765" t="s">
        <v>14614</v>
      </c>
      <c r="AE765" t="s">
        <v>14615</v>
      </c>
      <c r="AF765" t="s">
        <v>74</v>
      </c>
      <c r="AG765">
        <v>152</v>
      </c>
      <c r="AH765">
        <v>79</v>
      </c>
      <c r="AI765">
        <v>86</v>
      </c>
      <c r="AJ765">
        <v>9</v>
      </c>
      <c r="AK765">
        <v>76</v>
      </c>
      <c r="AL765" t="s">
        <v>3675</v>
      </c>
      <c r="AM765" t="s">
        <v>173</v>
      </c>
      <c r="AN765" t="s">
        <v>3676</v>
      </c>
      <c r="AO765" t="s">
        <v>14616</v>
      </c>
      <c r="AP765" t="s">
        <v>14617</v>
      </c>
      <c r="AQ765" t="s">
        <v>74</v>
      </c>
      <c r="AR765" t="s">
        <v>14618</v>
      </c>
      <c r="AS765" t="s">
        <v>14619</v>
      </c>
      <c r="AT765" t="s">
        <v>1888</v>
      </c>
      <c r="AU765">
        <v>2021</v>
      </c>
      <c r="AV765">
        <v>32</v>
      </c>
      <c r="AW765">
        <v>10</v>
      </c>
      <c r="AX765" t="s">
        <v>74</v>
      </c>
      <c r="AY765" t="s">
        <v>74</v>
      </c>
      <c r="AZ765" t="s">
        <v>74</v>
      </c>
      <c r="BA765" t="s">
        <v>74</v>
      </c>
      <c r="BB765">
        <v>2923</v>
      </c>
      <c r="BC765">
        <v>2932</v>
      </c>
      <c r="BD765" t="s">
        <v>74</v>
      </c>
      <c r="BE765" t="s">
        <v>14620</v>
      </c>
      <c r="BF765" t="str">
        <f>HYPERLINK("http://dx.doi.org/10.1016/j.cclet.2021.03.073","http://dx.doi.org/10.1016/j.cclet.2021.03.073")</f>
        <v>http://dx.doi.org/10.1016/j.cclet.2021.03.073</v>
      </c>
      <c r="BG765" t="s">
        <v>74</v>
      </c>
      <c r="BH765" t="s">
        <v>74</v>
      </c>
      <c r="BI765">
        <v>10</v>
      </c>
      <c r="BJ765" t="s">
        <v>154</v>
      </c>
      <c r="BK765" t="s">
        <v>182</v>
      </c>
      <c r="BL765" t="s">
        <v>156</v>
      </c>
      <c r="BM765" t="s">
        <v>14621</v>
      </c>
      <c r="BN765" t="s">
        <v>74</v>
      </c>
      <c r="BO765" t="s">
        <v>74</v>
      </c>
      <c r="BP765" t="s">
        <v>74</v>
      </c>
      <c r="BQ765" t="s">
        <v>74</v>
      </c>
      <c r="BR765" t="s">
        <v>105</v>
      </c>
      <c r="BS765" t="s">
        <v>14622</v>
      </c>
      <c r="BT765" t="str">
        <f>HYPERLINK("https%3A%2F%2Fwww.webofscience.com%2Fwos%2Fwoscc%2Ffull-record%2FWOS:000722554600001","View Full Record in Web of Science")</f>
        <v>View Full Record in Web of Science</v>
      </c>
    </row>
    <row r="766" spans="1:72" x14ac:dyDescent="0.25">
      <c r="A766" t="s">
        <v>72</v>
      </c>
      <c r="B766" t="s">
        <v>14623</v>
      </c>
      <c r="C766" t="s">
        <v>74</v>
      </c>
      <c r="D766" t="s">
        <v>74</v>
      </c>
      <c r="E766" t="s">
        <v>74</v>
      </c>
      <c r="F766" t="s">
        <v>14624</v>
      </c>
      <c r="G766" t="s">
        <v>74</v>
      </c>
      <c r="H766" t="s">
        <v>74</v>
      </c>
      <c r="I766" t="s">
        <v>14625</v>
      </c>
      <c r="J766" t="s">
        <v>8517</v>
      </c>
      <c r="K766" t="s">
        <v>74</v>
      </c>
      <c r="L766" t="s">
        <v>74</v>
      </c>
      <c r="M766" t="s">
        <v>78</v>
      </c>
      <c r="N766" t="s">
        <v>79</v>
      </c>
      <c r="O766" t="s">
        <v>74</v>
      </c>
      <c r="P766" t="s">
        <v>74</v>
      </c>
      <c r="Q766" t="s">
        <v>74</v>
      </c>
      <c r="R766" t="s">
        <v>74</v>
      </c>
      <c r="S766" t="s">
        <v>74</v>
      </c>
      <c r="T766" t="s">
        <v>14626</v>
      </c>
      <c r="U766" t="s">
        <v>14627</v>
      </c>
      <c r="V766" t="s">
        <v>14628</v>
      </c>
      <c r="W766" t="s">
        <v>14629</v>
      </c>
      <c r="X766" t="s">
        <v>5808</v>
      </c>
      <c r="Y766" t="s">
        <v>14630</v>
      </c>
      <c r="Z766" t="s">
        <v>14631</v>
      </c>
      <c r="AA766" t="s">
        <v>14632</v>
      </c>
      <c r="AB766" t="s">
        <v>74</v>
      </c>
      <c r="AC766" t="s">
        <v>14633</v>
      </c>
      <c r="AD766" t="s">
        <v>14634</v>
      </c>
      <c r="AE766" t="s">
        <v>14635</v>
      </c>
      <c r="AF766" t="s">
        <v>74</v>
      </c>
      <c r="AG766">
        <v>45</v>
      </c>
      <c r="AH766">
        <v>24</v>
      </c>
      <c r="AI766">
        <v>34</v>
      </c>
      <c r="AJ766">
        <v>2</v>
      </c>
      <c r="AK766">
        <v>22</v>
      </c>
      <c r="AL766" t="s">
        <v>4725</v>
      </c>
      <c r="AM766" t="s">
        <v>2597</v>
      </c>
      <c r="AN766" t="s">
        <v>4726</v>
      </c>
      <c r="AO766" t="s">
        <v>8529</v>
      </c>
      <c r="AP766" t="s">
        <v>8530</v>
      </c>
      <c r="AQ766" t="s">
        <v>74</v>
      </c>
      <c r="AR766" t="s">
        <v>8531</v>
      </c>
      <c r="AS766" t="s">
        <v>8532</v>
      </c>
      <c r="AT766" t="s">
        <v>1888</v>
      </c>
      <c r="AU766">
        <v>2021</v>
      </c>
      <c r="AV766">
        <v>44</v>
      </c>
      <c r="AW766">
        <v>10</v>
      </c>
      <c r="AX766" t="s">
        <v>74</v>
      </c>
      <c r="AY766" t="s">
        <v>74</v>
      </c>
      <c r="AZ766" t="s">
        <v>74</v>
      </c>
      <c r="BA766" t="s">
        <v>74</v>
      </c>
      <c r="BB766">
        <v>1245</v>
      </c>
      <c r="BC766">
        <v>1253</v>
      </c>
      <c r="BD766" t="s">
        <v>74</v>
      </c>
      <c r="BE766" t="s">
        <v>14636</v>
      </c>
      <c r="BF766" t="str">
        <f>HYPERLINK("http://dx.doi.org/10.1016/j.asjsur.2021.02.007","http://dx.doi.org/10.1016/j.asjsur.2021.02.007")</f>
        <v>http://dx.doi.org/10.1016/j.asjsur.2021.02.007</v>
      </c>
      <c r="BG766" t="s">
        <v>74</v>
      </c>
      <c r="BH766" t="s">
        <v>4709</v>
      </c>
      <c r="BI766">
        <v>9</v>
      </c>
      <c r="BJ766" t="s">
        <v>4896</v>
      </c>
      <c r="BK766" t="s">
        <v>182</v>
      </c>
      <c r="BL766" t="s">
        <v>4896</v>
      </c>
      <c r="BM766" t="s">
        <v>14637</v>
      </c>
      <c r="BN766">
        <v>33715964</v>
      </c>
      <c r="BO766" t="s">
        <v>185</v>
      </c>
      <c r="BP766" t="s">
        <v>74</v>
      </c>
      <c r="BQ766" t="s">
        <v>74</v>
      </c>
      <c r="BR766" t="s">
        <v>105</v>
      </c>
      <c r="BS766" t="s">
        <v>14638</v>
      </c>
      <c r="BT766" t="str">
        <f>HYPERLINK("https%3A%2F%2Fwww.webofscience.com%2Fwos%2Fwoscc%2Ffull-record%2FWOS:000703721700001","View Full Record in Web of Science")</f>
        <v>View Full Record in Web of Science</v>
      </c>
    </row>
    <row r="767" spans="1:72" x14ac:dyDescent="0.25">
      <c r="A767" t="s">
        <v>72</v>
      </c>
      <c r="B767" t="s">
        <v>14639</v>
      </c>
      <c r="C767" t="s">
        <v>74</v>
      </c>
      <c r="D767" t="s">
        <v>74</v>
      </c>
      <c r="E767" t="s">
        <v>74</v>
      </c>
      <c r="F767" t="s">
        <v>14640</v>
      </c>
      <c r="G767" t="s">
        <v>74</v>
      </c>
      <c r="H767" t="s">
        <v>74</v>
      </c>
      <c r="I767" t="s">
        <v>14641</v>
      </c>
      <c r="J767" t="s">
        <v>594</v>
      </c>
      <c r="K767" t="s">
        <v>74</v>
      </c>
      <c r="L767" t="s">
        <v>74</v>
      </c>
      <c r="M767" t="s">
        <v>78</v>
      </c>
      <c r="N767" t="s">
        <v>79</v>
      </c>
      <c r="O767" t="s">
        <v>74</v>
      </c>
      <c r="P767" t="s">
        <v>74</v>
      </c>
      <c r="Q767" t="s">
        <v>74</v>
      </c>
      <c r="R767" t="s">
        <v>74</v>
      </c>
      <c r="S767" t="s">
        <v>74</v>
      </c>
      <c r="T767" t="s">
        <v>14642</v>
      </c>
      <c r="U767" t="s">
        <v>14643</v>
      </c>
      <c r="V767" t="s">
        <v>14644</v>
      </c>
      <c r="W767" t="s">
        <v>14645</v>
      </c>
      <c r="X767" t="s">
        <v>14646</v>
      </c>
      <c r="Y767" t="s">
        <v>14647</v>
      </c>
      <c r="Z767" t="s">
        <v>14648</v>
      </c>
      <c r="AA767" t="s">
        <v>14649</v>
      </c>
      <c r="AB767" t="s">
        <v>14650</v>
      </c>
      <c r="AC767" t="s">
        <v>14651</v>
      </c>
      <c r="AD767" t="s">
        <v>14652</v>
      </c>
      <c r="AE767" t="s">
        <v>14653</v>
      </c>
      <c r="AF767" t="s">
        <v>74</v>
      </c>
      <c r="AG767">
        <v>43</v>
      </c>
      <c r="AH767">
        <v>21</v>
      </c>
      <c r="AI767">
        <v>24</v>
      </c>
      <c r="AJ767">
        <v>2</v>
      </c>
      <c r="AK767">
        <v>20</v>
      </c>
      <c r="AL767" t="s">
        <v>274</v>
      </c>
      <c r="AM767" t="s">
        <v>275</v>
      </c>
      <c r="AN767" t="s">
        <v>276</v>
      </c>
      <c r="AO767" t="s">
        <v>74</v>
      </c>
      <c r="AP767" t="s">
        <v>606</v>
      </c>
      <c r="AQ767" t="s">
        <v>74</v>
      </c>
      <c r="AR767" t="s">
        <v>607</v>
      </c>
      <c r="AS767" t="s">
        <v>608</v>
      </c>
      <c r="AT767" t="s">
        <v>1330</v>
      </c>
      <c r="AU767">
        <v>2021</v>
      </c>
      <c r="AV767">
        <v>18</v>
      </c>
      <c r="AW767">
        <v>1</v>
      </c>
      <c r="AX767" t="s">
        <v>74</v>
      </c>
      <c r="AY767" t="s">
        <v>74</v>
      </c>
      <c r="AZ767" t="s">
        <v>74</v>
      </c>
      <c r="BA767" t="s">
        <v>74</v>
      </c>
      <c r="BB767" t="s">
        <v>74</v>
      </c>
      <c r="BC767" t="s">
        <v>74</v>
      </c>
      <c r="BD767">
        <v>148</v>
      </c>
      <c r="BE767" t="s">
        <v>14654</v>
      </c>
      <c r="BF767" t="str">
        <f>HYPERLINK("http://dx.doi.org/10.1186/s12984-021-00941-0","http://dx.doi.org/10.1186/s12984-021-00941-0")</f>
        <v>http://dx.doi.org/10.1186/s12984-021-00941-0</v>
      </c>
      <c r="BG767" t="s">
        <v>74</v>
      </c>
      <c r="BH767" t="s">
        <v>74</v>
      </c>
      <c r="BI767">
        <v>16</v>
      </c>
      <c r="BJ767" t="s">
        <v>611</v>
      </c>
      <c r="BK767" t="s">
        <v>182</v>
      </c>
      <c r="BL767" t="s">
        <v>612</v>
      </c>
      <c r="BM767" t="s">
        <v>14655</v>
      </c>
      <c r="BN767">
        <v>34565399</v>
      </c>
      <c r="BO767" t="s">
        <v>355</v>
      </c>
      <c r="BP767" t="s">
        <v>74</v>
      </c>
      <c r="BQ767" t="s">
        <v>74</v>
      </c>
      <c r="BR767" t="s">
        <v>105</v>
      </c>
      <c r="BS767" t="s">
        <v>14656</v>
      </c>
      <c r="BT767" t="str">
        <f>HYPERLINK("https%3A%2F%2Fwww.webofscience.com%2Fwos%2Fwoscc%2Ffull-record%2FWOS:000699989400001","View Full Record in Web of Science")</f>
        <v>View Full Record in Web of Science</v>
      </c>
    </row>
    <row r="768" spans="1:72" x14ac:dyDescent="0.25">
      <c r="A768" t="s">
        <v>72</v>
      </c>
      <c r="B768" t="s">
        <v>14657</v>
      </c>
      <c r="C768" t="s">
        <v>74</v>
      </c>
      <c r="D768" t="s">
        <v>74</v>
      </c>
      <c r="E768" t="s">
        <v>74</v>
      </c>
      <c r="F768" t="s">
        <v>14658</v>
      </c>
      <c r="G768" t="s">
        <v>74</v>
      </c>
      <c r="H768" t="s">
        <v>74</v>
      </c>
      <c r="I768" t="s">
        <v>14659</v>
      </c>
      <c r="J768" t="s">
        <v>14660</v>
      </c>
      <c r="K768" t="s">
        <v>74</v>
      </c>
      <c r="L768" t="s">
        <v>74</v>
      </c>
      <c r="M768" t="s">
        <v>78</v>
      </c>
      <c r="N768" t="s">
        <v>79</v>
      </c>
      <c r="O768" t="s">
        <v>74</v>
      </c>
      <c r="P768" t="s">
        <v>74</v>
      </c>
      <c r="Q768" t="s">
        <v>74</v>
      </c>
      <c r="R768" t="s">
        <v>74</v>
      </c>
      <c r="S768" t="s">
        <v>74</v>
      </c>
      <c r="T768" t="s">
        <v>14661</v>
      </c>
      <c r="U768" t="s">
        <v>14662</v>
      </c>
      <c r="V768" t="s">
        <v>14663</v>
      </c>
      <c r="W768" t="s">
        <v>14664</v>
      </c>
      <c r="X768" t="s">
        <v>14665</v>
      </c>
      <c r="Y768" t="s">
        <v>14666</v>
      </c>
      <c r="Z768" t="s">
        <v>14667</v>
      </c>
      <c r="AA768" t="s">
        <v>14668</v>
      </c>
      <c r="AB768" t="s">
        <v>14669</v>
      </c>
      <c r="AC768" t="s">
        <v>14670</v>
      </c>
      <c r="AD768" t="s">
        <v>14671</v>
      </c>
      <c r="AE768" t="s">
        <v>14672</v>
      </c>
      <c r="AF768" t="s">
        <v>74</v>
      </c>
      <c r="AG768">
        <v>67</v>
      </c>
      <c r="AH768">
        <v>7</v>
      </c>
      <c r="AI768">
        <v>7</v>
      </c>
      <c r="AJ768">
        <v>3</v>
      </c>
      <c r="AK768">
        <v>52</v>
      </c>
      <c r="AL768" t="s">
        <v>172</v>
      </c>
      <c r="AM768" t="s">
        <v>173</v>
      </c>
      <c r="AN768" t="s">
        <v>174</v>
      </c>
      <c r="AO768" t="s">
        <v>14673</v>
      </c>
      <c r="AP768" t="s">
        <v>74</v>
      </c>
      <c r="AQ768" t="s">
        <v>74</v>
      </c>
      <c r="AR768" t="s">
        <v>14674</v>
      </c>
      <c r="AS768" t="s">
        <v>14675</v>
      </c>
      <c r="AT768" t="s">
        <v>5287</v>
      </c>
      <c r="AU768">
        <v>2021</v>
      </c>
      <c r="AV768">
        <v>2021</v>
      </c>
      <c r="AW768">
        <v>1</v>
      </c>
      <c r="AX768" t="s">
        <v>74</v>
      </c>
      <c r="AY768" t="s">
        <v>74</v>
      </c>
      <c r="AZ768" t="s">
        <v>74</v>
      </c>
      <c r="BA768" t="s">
        <v>74</v>
      </c>
      <c r="BB768" t="s">
        <v>74</v>
      </c>
      <c r="BC768" t="s">
        <v>74</v>
      </c>
      <c r="BD768">
        <v>80</v>
      </c>
      <c r="BE768" t="s">
        <v>14676</v>
      </c>
      <c r="BF768" t="str">
        <f>HYPERLINK("http://dx.doi.org/10.1186/s13634-021-00788-6","http://dx.doi.org/10.1186/s13634-021-00788-6")</f>
        <v>http://dx.doi.org/10.1186/s13634-021-00788-6</v>
      </c>
      <c r="BG768" t="s">
        <v>74</v>
      </c>
      <c r="BH768" t="s">
        <v>74</v>
      </c>
      <c r="BI768">
        <v>22</v>
      </c>
      <c r="BJ768" t="s">
        <v>11678</v>
      </c>
      <c r="BK768" t="s">
        <v>102</v>
      </c>
      <c r="BL768" t="s">
        <v>183</v>
      </c>
      <c r="BM768" t="s">
        <v>14677</v>
      </c>
      <c r="BN768" t="s">
        <v>74</v>
      </c>
      <c r="BO768" t="s">
        <v>185</v>
      </c>
      <c r="BP768" t="s">
        <v>74</v>
      </c>
      <c r="BQ768" t="s">
        <v>74</v>
      </c>
      <c r="BR768" t="s">
        <v>105</v>
      </c>
      <c r="BS768" t="s">
        <v>14678</v>
      </c>
      <c r="BT768" t="str">
        <f>HYPERLINK("https%3A%2F%2Fwww.webofscience.com%2Fwos%2Fwoscc%2Ffull-record%2FWOS:000696191800001","View Full Record in Web of Science")</f>
        <v>View Full Record in Web of Science</v>
      </c>
    </row>
    <row r="769" spans="1:72" x14ac:dyDescent="0.25">
      <c r="A769" t="s">
        <v>72</v>
      </c>
      <c r="B769" t="s">
        <v>14679</v>
      </c>
      <c r="C769" t="s">
        <v>74</v>
      </c>
      <c r="D769" t="s">
        <v>74</v>
      </c>
      <c r="E769" t="s">
        <v>74</v>
      </c>
      <c r="F769" t="s">
        <v>14680</v>
      </c>
      <c r="G769" t="s">
        <v>74</v>
      </c>
      <c r="H769" t="s">
        <v>74</v>
      </c>
      <c r="I769" t="s">
        <v>14681</v>
      </c>
      <c r="J769" t="s">
        <v>11233</v>
      </c>
      <c r="K769" t="s">
        <v>74</v>
      </c>
      <c r="L769" t="s">
        <v>74</v>
      </c>
      <c r="M769" t="s">
        <v>78</v>
      </c>
      <c r="N769" t="s">
        <v>79</v>
      </c>
      <c r="O769" t="s">
        <v>74</v>
      </c>
      <c r="P769" t="s">
        <v>74</v>
      </c>
      <c r="Q769" t="s">
        <v>74</v>
      </c>
      <c r="R769" t="s">
        <v>74</v>
      </c>
      <c r="S769" t="s">
        <v>74</v>
      </c>
      <c r="T769" t="s">
        <v>14682</v>
      </c>
      <c r="U769" t="s">
        <v>14683</v>
      </c>
      <c r="V769" t="s">
        <v>14684</v>
      </c>
      <c r="W769" t="s">
        <v>14685</v>
      </c>
      <c r="X769" t="s">
        <v>14686</v>
      </c>
      <c r="Y769" t="s">
        <v>14687</v>
      </c>
      <c r="Z769" t="s">
        <v>14688</v>
      </c>
      <c r="AA769" t="s">
        <v>14689</v>
      </c>
      <c r="AB769" t="s">
        <v>14690</v>
      </c>
      <c r="AC769" t="s">
        <v>14691</v>
      </c>
      <c r="AD769" t="s">
        <v>14692</v>
      </c>
      <c r="AE769" t="s">
        <v>14693</v>
      </c>
      <c r="AF769" t="s">
        <v>74</v>
      </c>
      <c r="AG769">
        <v>232</v>
      </c>
      <c r="AH769">
        <v>129</v>
      </c>
      <c r="AI769">
        <v>135</v>
      </c>
      <c r="AJ769">
        <v>45</v>
      </c>
      <c r="AK769">
        <v>343</v>
      </c>
      <c r="AL769" t="s">
        <v>297</v>
      </c>
      <c r="AM769" t="s">
        <v>298</v>
      </c>
      <c r="AN769" t="s">
        <v>299</v>
      </c>
      <c r="AO769" t="s">
        <v>74</v>
      </c>
      <c r="AP769" t="s">
        <v>11242</v>
      </c>
      <c r="AQ769" t="s">
        <v>74</v>
      </c>
      <c r="AR769" t="s">
        <v>11243</v>
      </c>
      <c r="AS769" t="s">
        <v>11244</v>
      </c>
      <c r="AT769" t="s">
        <v>351</v>
      </c>
      <c r="AU769">
        <v>2022</v>
      </c>
      <c r="AV769">
        <v>4</v>
      </c>
      <c r="AW769">
        <v>2</v>
      </c>
      <c r="AX769" t="s">
        <v>74</v>
      </c>
      <c r="AY769" t="s">
        <v>74</v>
      </c>
      <c r="AZ769" t="s">
        <v>152</v>
      </c>
      <c r="BA769" t="s">
        <v>74</v>
      </c>
      <c r="BB769" t="s">
        <v>74</v>
      </c>
      <c r="BC769" t="s">
        <v>74</v>
      </c>
      <c r="BD769">
        <v>2100091</v>
      </c>
      <c r="BE769" t="s">
        <v>14694</v>
      </c>
      <c r="BF769" t="str">
        <f>HYPERLINK("http://dx.doi.org/10.1002/aisy.202100091","http://dx.doi.org/10.1002/aisy.202100091")</f>
        <v>http://dx.doi.org/10.1002/aisy.202100091</v>
      </c>
      <c r="BG769" t="s">
        <v>74</v>
      </c>
      <c r="BH769" t="s">
        <v>4709</v>
      </c>
      <c r="BI769">
        <v>22</v>
      </c>
      <c r="BJ769" t="s">
        <v>2657</v>
      </c>
      <c r="BK769" t="s">
        <v>102</v>
      </c>
      <c r="BL769" t="s">
        <v>2658</v>
      </c>
      <c r="BM769" t="s">
        <v>14695</v>
      </c>
      <c r="BN769" t="s">
        <v>74</v>
      </c>
      <c r="BO769" t="s">
        <v>13756</v>
      </c>
      <c r="BP769" t="s">
        <v>74</v>
      </c>
      <c r="BQ769" t="s">
        <v>74</v>
      </c>
      <c r="BR769" t="s">
        <v>105</v>
      </c>
      <c r="BS769" t="s">
        <v>14696</v>
      </c>
      <c r="BT769" t="str">
        <f>HYPERLINK("https%3A%2F%2Fwww.webofscience.com%2Fwos%2Fwoscc%2Ffull-record%2FWOS:000694942300001","View Full Record in Web of Science")</f>
        <v>View Full Record in Web of Science</v>
      </c>
    </row>
    <row r="770" spans="1:72" x14ac:dyDescent="0.25">
      <c r="A770" t="s">
        <v>72</v>
      </c>
      <c r="B770" t="s">
        <v>14697</v>
      </c>
      <c r="C770" t="s">
        <v>74</v>
      </c>
      <c r="D770" t="s">
        <v>74</v>
      </c>
      <c r="E770" t="s">
        <v>74</v>
      </c>
      <c r="F770" t="s">
        <v>14698</v>
      </c>
      <c r="G770" t="s">
        <v>74</v>
      </c>
      <c r="H770" t="s">
        <v>74</v>
      </c>
      <c r="I770" t="s">
        <v>14699</v>
      </c>
      <c r="J770" t="s">
        <v>14700</v>
      </c>
      <c r="K770" t="s">
        <v>74</v>
      </c>
      <c r="L770" t="s">
        <v>74</v>
      </c>
      <c r="M770" t="s">
        <v>78</v>
      </c>
      <c r="N770" t="s">
        <v>79</v>
      </c>
      <c r="O770" t="s">
        <v>74</v>
      </c>
      <c r="P770" t="s">
        <v>74</v>
      </c>
      <c r="Q770" t="s">
        <v>74</v>
      </c>
      <c r="R770" t="s">
        <v>74</v>
      </c>
      <c r="S770" t="s">
        <v>74</v>
      </c>
      <c r="T770" t="s">
        <v>14701</v>
      </c>
      <c r="U770" t="s">
        <v>14702</v>
      </c>
      <c r="V770" t="s">
        <v>14703</v>
      </c>
      <c r="W770" t="s">
        <v>14704</v>
      </c>
      <c r="X770" t="s">
        <v>14705</v>
      </c>
      <c r="Y770" t="s">
        <v>14706</v>
      </c>
      <c r="Z770" t="s">
        <v>14707</v>
      </c>
      <c r="AA770" t="s">
        <v>14708</v>
      </c>
      <c r="AB770" t="s">
        <v>14709</v>
      </c>
      <c r="AC770" t="s">
        <v>74</v>
      </c>
      <c r="AD770" t="s">
        <v>74</v>
      </c>
      <c r="AE770" t="s">
        <v>74</v>
      </c>
      <c r="AF770" t="s">
        <v>74</v>
      </c>
      <c r="AG770">
        <v>280</v>
      </c>
      <c r="AH770">
        <v>20</v>
      </c>
      <c r="AI770">
        <v>20</v>
      </c>
      <c r="AJ770">
        <v>1</v>
      </c>
      <c r="AK770">
        <v>22</v>
      </c>
      <c r="AL770" t="s">
        <v>120</v>
      </c>
      <c r="AM770" t="s">
        <v>121</v>
      </c>
      <c r="AN770" t="s">
        <v>122</v>
      </c>
      <c r="AO770" t="s">
        <v>74</v>
      </c>
      <c r="AP770" t="s">
        <v>14710</v>
      </c>
      <c r="AQ770" t="s">
        <v>74</v>
      </c>
      <c r="AR770" t="s">
        <v>14700</v>
      </c>
      <c r="AS770" t="s">
        <v>14711</v>
      </c>
      <c r="AT770" t="s">
        <v>420</v>
      </c>
      <c r="AU770">
        <v>2021</v>
      </c>
      <c r="AV770">
        <v>11</v>
      </c>
      <c r="AW770">
        <v>9</v>
      </c>
      <c r="AX770" t="s">
        <v>74</v>
      </c>
      <c r="AY770" t="s">
        <v>74</v>
      </c>
      <c r="AZ770" t="s">
        <v>74</v>
      </c>
      <c r="BA770" t="s">
        <v>74</v>
      </c>
      <c r="BB770" t="s">
        <v>74</v>
      </c>
      <c r="BC770" t="s">
        <v>74</v>
      </c>
      <c r="BD770">
        <v>1316</v>
      </c>
      <c r="BE770" t="s">
        <v>14712</v>
      </c>
      <c r="BF770" t="str">
        <f>HYPERLINK("http://dx.doi.org/10.3390/biom11091316","http://dx.doi.org/10.3390/biom11091316")</f>
        <v>http://dx.doi.org/10.3390/biom11091316</v>
      </c>
      <c r="BG770" t="s">
        <v>74</v>
      </c>
      <c r="BH770" t="s">
        <v>74</v>
      </c>
      <c r="BI770">
        <v>36</v>
      </c>
      <c r="BJ770" t="s">
        <v>6061</v>
      </c>
      <c r="BK770" t="s">
        <v>182</v>
      </c>
      <c r="BL770" t="s">
        <v>6061</v>
      </c>
      <c r="BM770" t="s">
        <v>14713</v>
      </c>
      <c r="BN770">
        <v>34572529</v>
      </c>
      <c r="BO770" t="s">
        <v>377</v>
      </c>
      <c r="BP770" t="s">
        <v>74</v>
      </c>
      <c r="BQ770" t="s">
        <v>74</v>
      </c>
      <c r="BR770" t="s">
        <v>105</v>
      </c>
      <c r="BS770" t="s">
        <v>14714</v>
      </c>
      <c r="BT770" t="str">
        <f>HYPERLINK("https%3A%2F%2Fwww.webofscience.com%2Fwos%2Fwoscc%2Ffull-record%2FWOS:000699565800001","View Full Record in Web of Science")</f>
        <v>View Full Record in Web of Science</v>
      </c>
    </row>
    <row r="771" spans="1:72" x14ac:dyDescent="0.25">
      <c r="A771" t="s">
        <v>72</v>
      </c>
      <c r="B771" t="s">
        <v>14715</v>
      </c>
      <c r="C771" t="s">
        <v>74</v>
      </c>
      <c r="D771" t="s">
        <v>74</v>
      </c>
      <c r="E771" t="s">
        <v>74</v>
      </c>
      <c r="F771" t="s">
        <v>14716</v>
      </c>
      <c r="G771" t="s">
        <v>74</v>
      </c>
      <c r="H771" t="s">
        <v>74</v>
      </c>
      <c r="I771" t="s">
        <v>14717</v>
      </c>
      <c r="J771" t="s">
        <v>2091</v>
      </c>
      <c r="K771" t="s">
        <v>74</v>
      </c>
      <c r="L771" t="s">
        <v>74</v>
      </c>
      <c r="M771" t="s">
        <v>78</v>
      </c>
      <c r="N771" t="s">
        <v>79</v>
      </c>
      <c r="O771" t="s">
        <v>74</v>
      </c>
      <c r="P771" t="s">
        <v>74</v>
      </c>
      <c r="Q771" t="s">
        <v>74</v>
      </c>
      <c r="R771" t="s">
        <v>74</v>
      </c>
      <c r="S771" t="s">
        <v>74</v>
      </c>
      <c r="T771" t="s">
        <v>14718</v>
      </c>
      <c r="U771" t="s">
        <v>14719</v>
      </c>
      <c r="V771" t="s">
        <v>14720</v>
      </c>
      <c r="W771" t="s">
        <v>14721</v>
      </c>
      <c r="X771" t="s">
        <v>14722</v>
      </c>
      <c r="Y771" t="s">
        <v>14723</v>
      </c>
      <c r="Z771" t="s">
        <v>14724</v>
      </c>
      <c r="AA771" t="s">
        <v>14725</v>
      </c>
      <c r="AB771" t="s">
        <v>14726</v>
      </c>
      <c r="AC771" t="s">
        <v>74</v>
      </c>
      <c r="AD771" t="s">
        <v>74</v>
      </c>
      <c r="AE771" t="s">
        <v>74</v>
      </c>
      <c r="AF771" t="s">
        <v>74</v>
      </c>
      <c r="AG771">
        <v>57</v>
      </c>
      <c r="AH771">
        <v>13</v>
      </c>
      <c r="AI771">
        <v>13</v>
      </c>
      <c r="AJ771">
        <v>1</v>
      </c>
      <c r="AK771">
        <v>67</v>
      </c>
      <c r="AL771" t="s">
        <v>120</v>
      </c>
      <c r="AM771" t="s">
        <v>121</v>
      </c>
      <c r="AN771" t="s">
        <v>122</v>
      </c>
      <c r="AO771" t="s">
        <v>74</v>
      </c>
      <c r="AP771" t="s">
        <v>2104</v>
      </c>
      <c r="AQ771" t="s">
        <v>74</v>
      </c>
      <c r="AR771" t="s">
        <v>2105</v>
      </c>
      <c r="AS771" t="s">
        <v>2106</v>
      </c>
      <c r="AT771" t="s">
        <v>420</v>
      </c>
      <c r="AU771">
        <v>2021</v>
      </c>
      <c r="AV771">
        <v>11</v>
      </c>
      <c r="AW771">
        <v>18</v>
      </c>
      <c r="AX771" t="s">
        <v>74</v>
      </c>
      <c r="AY771" t="s">
        <v>74</v>
      </c>
      <c r="AZ771" t="s">
        <v>74</v>
      </c>
      <c r="BA771" t="s">
        <v>74</v>
      </c>
      <c r="BB771" t="s">
        <v>74</v>
      </c>
      <c r="BC771" t="s">
        <v>74</v>
      </c>
      <c r="BD771">
        <v>8743</v>
      </c>
      <c r="BE771" t="s">
        <v>14727</v>
      </c>
      <c r="BF771" t="str">
        <f>HYPERLINK("http://dx.doi.org/10.3390/app11188743","http://dx.doi.org/10.3390/app11188743")</f>
        <v>http://dx.doi.org/10.3390/app11188743</v>
      </c>
      <c r="BG771" t="s">
        <v>74</v>
      </c>
      <c r="BH771" t="s">
        <v>74</v>
      </c>
      <c r="BI771">
        <v>18</v>
      </c>
      <c r="BJ771" t="s">
        <v>2109</v>
      </c>
      <c r="BK771" t="s">
        <v>102</v>
      </c>
      <c r="BL771" t="s">
        <v>2110</v>
      </c>
      <c r="BM771" t="s">
        <v>14728</v>
      </c>
      <c r="BN771" t="s">
        <v>74</v>
      </c>
      <c r="BO771" t="s">
        <v>131</v>
      </c>
      <c r="BP771" t="s">
        <v>74</v>
      </c>
      <c r="BQ771" t="s">
        <v>74</v>
      </c>
      <c r="BR771" t="s">
        <v>105</v>
      </c>
      <c r="BS771" t="s">
        <v>14729</v>
      </c>
      <c r="BT771" t="str">
        <f>HYPERLINK("https%3A%2F%2Fwww.webofscience.com%2Fwos%2Fwoscc%2Ffull-record%2FWOS:000699393200001","View Full Record in Web of Science")</f>
        <v>View Full Record in Web of Science</v>
      </c>
    </row>
    <row r="772" spans="1:72" x14ac:dyDescent="0.25">
      <c r="A772" t="s">
        <v>72</v>
      </c>
      <c r="B772" t="s">
        <v>14730</v>
      </c>
      <c r="C772" t="s">
        <v>74</v>
      </c>
      <c r="D772" t="s">
        <v>74</v>
      </c>
      <c r="E772" t="s">
        <v>74</v>
      </c>
      <c r="F772" t="s">
        <v>14731</v>
      </c>
      <c r="G772" t="s">
        <v>74</v>
      </c>
      <c r="H772" t="s">
        <v>74</v>
      </c>
      <c r="I772" t="s">
        <v>14732</v>
      </c>
      <c r="J772" t="s">
        <v>14733</v>
      </c>
      <c r="K772" t="s">
        <v>74</v>
      </c>
      <c r="L772" t="s">
        <v>74</v>
      </c>
      <c r="M772" t="s">
        <v>78</v>
      </c>
      <c r="N772" t="s">
        <v>79</v>
      </c>
      <c r="O772" t="s">
        <v>74</v>
      </c>
      <c r="P772" t="s">
        <v>74</v>
      </c>
      <c r="Q772" t="s">
        <v>74</v>
      </c>
      <c r="R772" t="s">
        <v>74</v>
      </c>
      <c r="S772" t="s">
        <v>74</v>
      </c>
      <c r="T772" t="s">
        <v>14734</v>
      </c>
      <c r="U772" t="s">
        <v>14735</v>
      </c>
      <c r="V772" t="s">
        <v>14736</v>
      </c>
      <c r="W772" t="s">
        <v>14737</v>
      </c>
      <c r="X772" t="s">
        <v>14738</v>
      </c>
      <c r="Y772" t="s">
        <v>14739</v>
      </c>
      <c r="Z772" t="s">
        <v>14740</v>
      </c>
      <c r="AA772" t="s">
        <v>14741</v>
      </c>
      <c r="AB772" t="s">
        <v>14742</v>
      </c>
      <c r="AC772" t="s">
        <v>14743</v>
      </c>
      <c r="AD772" t="s">
        <v>14744</v>
      </c>
      <c r="AE772" t="s">
        <v>14745</v>
      </c>
      <c r="AF772" t="s">
        <v>74</v>
      </c>
      <c r="AG772">
        <v>169</v>
      </c>
      <c r="AH772">
        <v>276</v>
      </c>
      <c r="AI772">
        <v>284</v>
      </c>
      <c r="AJ772">
        <v>115</v>
      </c>
      <c r="AK772">
        <v>701</v>
      </c>
      <c r="AL772" t="s">
        <v>14746</v>
      </c>
      <c r="AM772" t="s">
        <v>275</v>
      </c>
      <c r="AN772" t="s">
        <v>14747</v>
      </c>
      <c r="AO772" t="s">
        <v>14748</v>
      </c>
      <c r="AP772" t="s">
        <v>14749</v>
      </c>
      <c r="AQ772" t="s">
        <v>74</v>
      </c>
      <c r="AR772" t="s">
        <v>14750</v>
      </c>
      <c r="AS772" t="s">
        <v>14751</v>
      </c>
      <c r="AT772" t="s">
        <v>1734</v>
      </c>
      <c r="AU772">
        <v>2023</v>
      </c>
      <c r="AV772">
        <v>35</v>
      </c>
      <c r="AW772">
        <v>20</v>
      </c>
      <c r="AX772" t="s">
        <v>74</v>
      </c>
      <c r="AY772" t="s">
        <v>74</v>
      </c>
      <c r="AZ772" t="s">
        <v>152</v>
      </c>
      <c r="BA772" t="s">
        <v>74</v>
      </c>
      <c r="BB772">
        <v>14681</v>
      </c>
      <c r="BC772">
        <v>14722</v>
      </c>
      <c r="BD772" t="s">
        <v>74</v>
      </c>
      <c r="BE772" t="s">
        <v>14752</v>
      </c>
      <c r="BF772" t="str">
        <f>HYPERLINK("http://dx.doi.org/10.1007/s00521-021-06352-5","http://dx.doi.org/10.1007/s00521-021-06352-5")</f>
        <v>http://dx.doi.org/10.1007/s00521-021-06352-5</v>
      </c>
      <c r="BG772" t="s">
        <v>74</v>
      </c>
      <c r="BH772" t="s">
        <v>14753</v>
      </c>
      <c r="BI772">
        <v>42</v>
      </c>
      <c r="BJ772" t="s">
        <v>14754</v>
      </c>
      <c r="BK772" t="s">
        <v>182</v>
      </c>
      <c r="BL772" t="s">
        <v>6189</v>
      </c>
      <c r="BM772" t="s">
        <v>14755</v>
      </c>
      <c r="BN772" t="s">
        <v>74</v>
      </c>
      <c r="BO772" t="s">
        <v>74</v>
      </c>
      <c r="BP772" t="s">
        <v>869</v>
      </c>
      <c r="BQ772" t="s">
        <v>870</v>
      </c>
      <c r="BR772" t="s">
        <v>105</v>
      </c>
      <c r="BS772" t="s">
        <v>14756</v>
      </c>
      <c r="BT772" t="str">
        <f>HYPERLINK("https%3A%2F%2Fwww.webofscience.com%2Fwos%2Fwoscc%2Ffull-record%2FWOS:000688393800001","View Full Record in Web of Science")</f>
        <v>View Full Record in Web of Science</v>
      </c>
    </row>
    <row r="773" spans="1:72" x14ac:dyDescent="0.25">
      <c r="A773" t="s">
        <v>72</v>
      </c>
      <c r="B773" t="s">
        <v>14757</v>
      </c>
      <c r="C773" t="s">
        <v>74</v>
      </c>
      <c r="D773" t="s">
        <v>74</v>
      </c>
      <c r="E773" t="s">
        <v>74</v>
      </c>
      <c r="F773" t="s">
        <v>14758</v>
      </c>
      <c r="G773" t="s">
        <v>74</v>
      </c>
      <c r="H773" t="s">
        <v>74</v>
      </c>
      <c r="I773" t="s">
        <v>14759</v>
      </c>
      <c r="J773" t="s">
        <v>7912</v>
      </c>
      <c r="K773" t="s">
        <v>74</v>
      </c>
      <c r="L773" t="s">
        <v>74</v>
      </c>
      <c r="M773" t="s">
        <v>78</v>
      </c>
      <c r="N773" t="s">
        <v>79</v>
      </c>
      <c r="O773" t="s">
        <v>74</v>
      </c>
      <c r="P773" t="s">
        <v>74</v>
      </c>
      <c r="Q773" t="s">
        <v>74</v>
      </c>
      <c r="R773" t="s">
        <v>74</v>
      </c>
      <c r="S773" t="s">
        <v>74</v>
      </c>
      <c r="T773" t="s">
        <v>14760</v>
      </c>
      <c r="U773" t="s">
        <v>14761</v>
      </c>
      <c r="V773" t="s">
        <v>14762</v>
      </c>
      <c r="W773" t="s">
        <v>14763</v>
      </c>
      <c r="X773" t="s">
        <v>14764</v>
      </c>
      <c r="Y773" t="s">
        <v>14765</v>
      </c>
      <c r="Z773" t="s">
        <v>14766</v>
      </c>
      <c r="AA773" t="s">
        <v>14767</v>
      </c>
      <c r="AB773" t="s">
        <v>14768</v>
      </c>
      <c r="AC773" t="s">
        <v>74</v>
      </c>
      <c r="AD773" t="s">
        <v>74</v>
      </c>
      <c r="AE773" t="s">
        <v>74</v>
      </c>
      <c r="AF773" t="s">
        <v>74</v>
      </c>
      <c r="AG773">
        <v>45</v>
      </c>
      <c r="AH773">
        <v>45</v>
      </c>
      <c r="AI773">
        <v>46</v>
      </c>
      <c r="AJ773">
        <v>9</v>
      </c>
      <c r="AK773">
        <v>85</v>
      </c>
      <c r="AL773" t="s">
        <v>92</v>
      </c>
      <c r="AM773" t="s">
        <v>93</v>
      </c>
      <c r="AN773" t="s">
        <v>94</v>
      </c>
      <c r="AO773" t="s">
        <v>7922</v>
      </c>
      <c r="AP773" t="s">
        <v>7923</v>
      </c>
      <c r="AQ773" t="s">
        <v>74</v>
      </c>
      <c r="AR773" t="s">
        <v>7924</v>
      </c>
      <c r="AS773" t="s">
        <v>7925</v>
      </c>
      <c r="AT773" t="s">
        <v>10128</v>
      </c>
      <c r="AU773">
        <v>2022</v>
      </c>
      <c r="AV773">
        <v>29</v>
      </c>
      <c r="AW773">
        <v>8</v>
      </c>
      <c r="AX773" t="s">
        <v>74</v>
      </c>
      <c r="AY773" t="s">
        <v>74</v>
      </c>
      <c r="AZ773" t="s">
        <v>74</v>
      </c>
      <c r="BA773" t="s">
        <v>74</v>
      </c>
      <c r="BB773">
        <v>539</v>
      </c>
      <c r="BC773">
        <v>550</v>
      </c>
      <c r="BD773" t="s">
        <v>74</v>
      </c>
      <c r="BE773" t="s">
        <v>14769</v>
      </c>
      <c r="BF773" t="str">
        <f>HYPERLINK("http://dx.doi.org/10.1080/10749357.2021.1967657","http://dx.doi.org/10.1080/10749357.2021.1967657")</f>
        <v>http://dx.doi.org/10.1080/10749357.2021.1967657</v>
      </c>
      <c r="BG773" t="s">
        <v>74</v>
      </c>
      <c r="BH773" t="s">
        <v>14753</v>
      </c>
      <c r="BI773">
        <v>12</v>
      </c>
      <c r="BJ773" t="s">
        <v>101</v>
      </c>
      <c r="BK773" t="s">
        <v>182</v>
      </c>
      <c r="BL773" t="s">
        <v>101</v>
      </c>
      <c r="BM773" t="s">
        <v>14770</v>
      </c>
      <c r="BN773">
        <v>34420498</v>
      </c>
      <c r="BO773" t="s">
        <v>74</v>
      </c>
      <c r="BP773" t="s">
        <v>74</v>
      </c>
      <c r="BQ773" t="s">
        <v>74</v>
      </c>
      <c r="BR773" t="s">
        <v>105</v>
      </c>
      <c r="BS773" t="s">
        <v>14771</v>
      </c>
      <c r="BT773" t="str">
        <f>HYPERLINK("https%3A%2F%2Fwww.webofscience.com%2Fwos%2Fwoscc%2Ffull-record%2FWOS:000687076600001","View Full Record in Web of Science")</f>
        <v>View Full Record in Web of Science</v>
      </c>
    </row>
    <row r="774" spans="1:72" x14ac:dyDescent="0.25">
      <c r="A774" t="s">
        <v>72</v>
      </c>
      <c r="B774" t="s">
        <v>14772</v>
      </c>
      <c r="C774" t="s">
        <v>74</v>
      </c>
      <c r="D774" t="s">
        <v>74</v>
      </c>
      <c r="E774" t="s">
        <v>74</v>
      </c>
      <c r="F774" t="s">
        <v>14773</v>
      </c>
      <c r="G774" t="s">
        <v>74</v>
      </c>
      <c r="H774" t="s">
        <v>74</v>
      </c>
      <c r="I774" t="s">
        <v>14774</v>
      </c>
      <c r="J774" t="s">
        <v>2091</v>
      </c>
      <c r="K774" t="s">
        <v>74</v>
      </c>
      <c r="L774" t="s">
        <v>74</v>
      </c>
      <c r="M774" t="s">
        <v>78</v>
      </c>
      <c r="N774" t="s">
        <v>79</v>
      </c>
      <c r="O774" t="s">
        <v>74</v>
      </c>
      <c r="P774" t="s">
        <v>74</v>
      </c>
      <c r="Q774" t="s">
        <v>74</v>
      </c>
      <c r="R774" t="s">
        <v>74</v>
      </c>
      <c r="S774" t="s">
        <v>74</v>
      </c>
      <c r="T774" t="s">
        <v>14775</v>
      </c>
      <c r="U774" t="s">
        <v>14776</v>
      </c>
      <c r="V774" t="s">
        <v>14777</v>
      </c>
      <c r="W774" t="s">
        <v>14778</v>
      </c>
      <c r="X774" t="s">
        <v>14779</v>
      </c>
      <c r="Y774" t="s">
        <v>14780</v>
      </c>
      <c r="Z774" t="s">
        <v>14781</v>
      </c>
      <c r="AA774" t="s">
        <v>14782</v>
      </c>
      <c r="AB774" t="s">
        <v>14783</v>
      </c>
      <c r="AC774" t="s">
        <v>14784</v>
      </c>
      <c r="AD774" t="s">
        <v>1649</v>
      </c>
      <c r="AE774" t="s">
        <v>14785</v>
      </c>
      <c r="AF774" t="s">
        <v>74</v>
      </c>
      <c r="AG774">
        <v>47</v>
      </c>
      <c r="AH774">
        <v>12</v>
      </c>
      <c r="AI774">
        <v>13</v>
      </c>
      <c r="AJ774">
        <v>5</v>
      </c>
      <c r="AK774">
        <v>29</v>
      </c>
      <c r="AL774" t="s">
        <v>120</v>
      </c>
      <c r="AM774" t="s">
        <v>121</v>
      </c>
      <c r="AN774" t="s">
        <v>122</v>
      </c>
      <c r="AO774" t="s">
        <v>74</v>
      </c>
      <c r="AP774" t="s">
        <v>2104</v>
      </c>
      <c r="AQ774" t="s">
        <v>74</v>
      </c>
      <c r="AR774" t="s">
        <v>2105</v>
      </c>
      <c r="AS774" t="s">
        <v>2106</v>
      </c>
      <c r="AT774" t="s">
        <v>634</v>
      </c>
      <c r="AU774">
        <v>2021</v>
      </c>
      <c r="AV774">
        <v>11</v>
      </c>
      <c r="AW774">
        <v>15</v>
      </c>
      <c r="AX774" t="s">
        <v>74</v>
      </c>
      <c r="AY774" t="s">
        <v>74</v>
      </c>
      <c r="AZ774" t="s">
        <v>74</v>
      </c>
      <c r="BA774" t="s">
        <v>74</v>
      </c>
      <c r="BB774" t="s">
        <v>74</v>
      </c>
      <c r="BC774" t="s">
        <v>74</v>
      </c>
      <c r="BD774">
        <v>7146</v>
      </c>
      <c r="BE774" t="s">
        <v>14786</v>
      </c>
      <c r="BF774" t="str">
        <f>HYPERLINK("http://dx.doi.org/10.3390/app11157146","http://dx.doi.org/10.3390/app11157146")</f>
        <v>http://dx.doi.org/10.3390/app11157146</v>
      </c>
      <c r="BG774" t="s">
        <v>74</v>
      </c>
      <c r="BH774" t="s">
        <v>74</v>
      </c>
      <c r="BI774">
        <v>20</v>
      </c>
      <c r="BJ774" t="s">
        <v>2109</v>
      </c>
      <c r="BK774" t="s">
        <v>182</v>
      </c>
      <c r="BL774" t="s">
        <v>2110</v>
      </c>
      <c r="BM774" t="s">
        <v>14787</v>
      </c>
      <c r="BN774" t="s">
        <v>74</v>
      </c>
      <c r="BO774" t="s">
        <v>185</v>
      </c>
      <c r="BP774" t="s">
        <v>74</v>
      </c>
      <c r="BQ774" t="s">
        <v>74</v>
      </c>
      <c r="BR774" t="s">
        <v>105</v>
      </c>
      <c r="BS774" t="s">
        <v>14788</v>
      </c>
      <c r="BT774" t="str">
        <f>HYPERLINK("https%3A%2F%2Fwww.webofscience.com%2Fwos%2Fwoscc%2Ffull-record%2FWOS:000681804600001","View Full Record in Web of Science")</f>
        <v>View Full Record in Web of Science</v>
      </c>
    </row>
    <row r="775" spans="1:72" x14ac:dyDescent="0.25">
      <c r="A775" t="s">
        <v>72</v>
      </c>
      <c r="B775" t="s">
        <v>14789</v>
      </c>
      <c r="C775" t="s">
        <v>74</v>
      </c>
      <c r="D775" t="s">
        <v>74</v>
      </c>
      <c r="E775" t="s">
        <v>74</v>
      </c>
      <c r="F775" t="s">
        <v>14790</v>
      </c>
      <c r="G775" t="s">
        <v>74</v>
      </c>
      <c r="H775" t="s">
        <v>74</v>
      </c>
      <c r="I775" t="s">
        <v>14791</v>
      </c>
      <c r="J775" t="s">
        <v>6115</v>
      </c>
      <c r="K775" t="s">
        <v>74</v>
      </c>
      <c r="L775" t="s">
        <v>74</v>
      </c>
      <c r="M775" t="s">
        <v>78</v>
      </c>
      <c r="N775" t="s">
        <v>79</v>
      </c>
      <c r="O775" t="s">
        <v>74</v>
      </c>
      <c r="P775" t="s">
        <v>74</v>
      </c>
      <c r="Q775" t="s">
        <v>74</v>
      </c>
      <c r="R775" t="s">
        <v>74</v>
      </c>
      <c r="S775" t="s">
        <v>74</v>
      </c>
      <c r="T775" t="s">
        <v>14792</v>
      </c>
      <c r="U775" t="s">
        <v>14793</v>
      </c>
      <c r="V775" t="s">
        <v>14794</v>
      </c>
      <c r="W775" t="s">
        <v>14795</v>
      </c>
      <c r="X775" t="s">
        <v>14796</v>
      </c>
      <c r="Y775" t="s">
        <v>14797</v>
      </c>
      <c r="Z775" t="s">
        <v>14798</v>
      </c>
      <c r="AA775" t="s">
        <v>14799</v>
      </c>
      <c r="AB775" t="s">
        <v>14800</v>
      </c>
      <c r="AC775" t="s">
        <v>74</v>
      </c>
      <c r="AD775" t="s">
        <v>74</v>
      </c>
      <c r="AE775" t="s">
        <v>74</v>
      </c>
      <c r="AF775" t="s">
        <v>74</v>
      </c>
      <c r="AG775">
        <v>178</v>
      </c>
      <c r="AH775">
        <v>49</v>
      </c>
      <c r="AI775">
        <v>53</v>
      </c>
      <c r="AJ775">
        <v>3</v>
      </c>
      <c r="AK775">
        <v>37</v>
      </c>
      <c r="AL775" t="s">
        <v>120</v>
      </c>
      <c r="AM775" t="s">
        <v>121</v>
      </c>
      <c r="AN775" t="s">
        <v>122</v>
      </c>
      <c r="AO775" t="s">
        <v>74</v>
      </c>
      <c r="AP775" t="s">
        <v>6124</v>
      </c>
      <c r="AQ775" t="s">
        <v>74</v>
      </c>
      <c r="AR775" t="s">
        <v>6115</v>
      </c>
      <c r="AS775" t="s">
        <v>6125</v>
      </c>
      <c r="AT775" t="s">
        <v>634</v>
      </c>
      <c r="AU775">
        <v>2021</v>
      </c>
      <c r="AV775">
        <v>13</v>
      </c>
      <c r="AW775">
        <v>15</v>
      </c>
      <c r="AX775" t="s">
        <v>74</v>
      </c>
      <c r="AY775" t="s">
        <v>74</v>
      </c>
      <c r="AZ775" t="s">
        <v>74</v>
      </c>
      <c r="BA775" t="s">
        <v>74</v>
      </c>
      <c r="BB775" t="s">
        <v>74</v>
      </c>
      <c r="BC775" t="s">
        <v>74</v>
      </c>
      <c r="BD775">
        <v>3711</v>
      </c>
      <c r="BE775" t="s">
        <v>14801</v>
      </c>
      <c r="BF775" t="str">
        <f>HYPERLINK("http://dx.doi.org/10.3390/cancers13153711","http://dx.doi.org/10.3390/cancers13153711")</f>
        <v>http://dx.doi.org/10.3390/cancers13153711</v>
      </c>
      <c r="BG775" t="s">
        <v>74</v>
      </c>
      <c r="BH775" t="s">
        <v>74</v>
      </c>
      <c r="BI775">
        <v>24</v>
      </c>
      <c r="BJ775" t="s">
        <v>4032</v>
      </c>
      <c r="BK775" t="s">
        <v>182</v>
      </c>
      <c r="BL775" t="s">
        <v>4032</v>
      </c>
      <c r="BM775" t="s">
        <v>14802</v>
      </c>
      <c r="BN775">
        <v>34359612</v>
      </c>
      <c r="BO775" t="s">
        <v>355</v>
      </c>
      <c r="BP775" t="s">
        <v>74</v>
      </c>
      <c r="BQ775" t="s">
        <v>74</v>
      </c>
      <c r="BR775" t="s">
        <v>105</v>
      </c>
      <c r="BS775" t="s">
        <v>14803</v>
      </c>
      <c r="BT775" t="str">
        <f>HYPERLINK("https%3A%2F%2Fwww.webofscience.com%2Fwos%2Fwoscc%2Ffull-record%2FWOS:000681838600001","View Full Record in Web of Science")</f>
        <v>View Full Record in Web of Science</v>
      </c>
    </row>
    <row r="776" spans="1:72" x14ac:dyDescent="0.25">
      <c r="A776" t="s">
        <v>72</v>
      </c>
      <c r="B776" t="s">
        <v>14804</v>
      </c>
      <c r="C776" t="s">
        <v>74</v>
      </c>
      <c r="D776" t="s">
        <v>74</v>
      </c>
      <c r="E776" t="s">
        <v>74</v>
      </c>
      <c r="F776" t="s">
        <v>14805</v>
      </c>
      <c r="G776" t="s">
        <v>74</v>
      </c>
      <c r="H776" t="s">
        <v>74</v>
      </c>
      <c r="I776" t="s">
        <v>14806</v>
      </c>
      <c r="J776" t="s">
        <v>9874</v>
      </c>
      <c r="K776" t="s">
        <v>74</v>
      </c>
      <c r="L776" t="s">
        <v>74</v>
      </c>
      <c r="M776" t="s">
        <v>78</v>
      </c>
      <c r="N776" t="s">
        <v>79</v>
      </c>
      <c r="O776" t="s">
        <v>74</v>
      </c>
      <c r="P776" t="s">
        <v>74</v>
      </c>
      <c r="Q776" t="s">
        <v>74</v>
      </c>
      <c r="R776" t="s">
        <v>74</v>
      </c>
      <c r="S776" t="s">
        <v>74</v>
      </c>
      <c r="T776" t="s">
        <v>74</v>
      </c>
      <c r="U776" t="s">
        <v>14807</v>
      </c>
      <c r="V776" t="s">
        <v>14808</v>
      </c>
      <c r="W776" t="s">
        <v>14809</v>
      </c>
      <c r="X776" t="s">
        <v>14810</v>
      </c>
      <c r="Y776" t="s">
        <v>14811</v>
      </c>
      <c r="Z776" t="s">
        <v>14812</v>
      </c>
      <c r="AA776" t="s">
        <v>14813</v>
      </c>
      <c r="AB776" t="s">
        <v>14814</v>
      </c>
      <c r="AC776" t="s">
        <v>14815</v>
      </c>
      <c r="AD776" t="s">
        <v>14816</v>
      </c>
      <c r="AE776" t="s">
        <v>14817</v>
      </c>
      <c r="AF776" t="s">
        <v>74</v>
      </c>
      <c r="AG776">
        <v>48</v>
      </c>
      <c r="AH776">
        <v>7</v>
      </c>
      <c r="AI776">
        <v>7</v>
      </c>
      <c r="AJ776">
        <v>0</v>
      </c>
      <c r="AK776">
        <v>7</v>
      </c>
      <c r="AL776" t="s">
        <v>14818</v>
      </c>
      <c r="AM776" t="s">
        <v>275</v>
      </c>
      <c r="AN776" t="s">
        <v>14819</v>
      </c>
      <c r="AO776" t="s">
        <v>9885</v>
      </c>
      <c r="AP776" t="s">
        <v>9886</v>
      </c>
      <c r="AQ776" t="s">
        <v>74</v>
      </c>
      <c r="AR776" t="s">
        <v>9887</v>
      </c>
      <c r="AS776" t="s">
        <v>9888</v>
      </c>
      <c r="AT776" t="s">
        <v>10465</v>
      </c>
      <c r="AU776">
        <v>2021</v>
      </c>
      <c r="AV776">
        <v>2021</v>
      </c>
      <c r="AW776" t="s">
        <v>74</v>
      </c>
      <c r="AX776" t="s">
        <v>74</v>
      </c>
      <c r="AY776" t="s">
        <v>74</v>
      </c>
      <c r="AZ776" t="s">
        <v>74</v>
      </c>
      <c r="BA776" t="s">
        <v>74</v>
      </c>
      <c r="BB776" t="s">
        <v>74</v>
      </c>
      <c r="BC776" t="s">
        <v>74</v>
      </c>
      <c r="BD776">
        <v>6649549</v>
      </c>
      <c r="BE776" t="s">
        <v>14820</v>
      </c>
      <c r="BF776" t="str">
        <f>HYPERLINK("http://dx.doi.org/10.1155/2021/6649549","http://dx.doi.org/10.1155/2021/6649549")</f>
        <v>http://dx.doi.org/10.1155/2021/6649549</v>
      </c>
      <c r="BG776" t="s">
        <v>74</v>
      </c>
      <c r="BH776" t="s">
        <v>74</v>
      </c>
      <c r="BI776">
        <v>13</v>
      </c>
      <c r="BJ776" t="s">
        <v>101</v>
      </c>
      <c r="BK776" t="s">
        <v>102</v>
      </c>
      <c r="BL776" t="s">
        <v>101</v>
      </c>
      <c r="BM776" t="s">
        <v>14821</v>
      </c>
      <c r="BN776">
        <v>34393681</v>
      </c>
      <c r="BO776" t="s">
        <v>355</v>
      </c>
      <c r="BP776" t="s">
        <v>74</v>
      </c>
      <c r="BQ776" t="s">
        <v>74</v>
      </c>
      <c r="BR776" t="s">
        <v>105</v>
      </c>
      <c r="BS776" t="s">
        <v>14822</v>
      </c>
      <c r="BT776" t="str">
        <f>HYPERLINK("https%3A%2F%2Fwww.webofscience.com%2Fwos%2Fwoscc%2Ffull-record%2FWOS:000683156500001","View Full Record in Web of Science")</f>
        <v>View Full Record in Web of Science</v>
      </c>
    </row>
    <row r="777" spans="1:72" x14ac:dyDescent="0.25">
      <c r="A777" t="s">
        <v>72</v>
      </c>
      <c r="B777" t="s">
        <v>14823</v>
      </c>
      <c r="C777" t="s">
        <v>74</v>
      </c>
      <c r="D777" t="s">
        <v>74</v>
      </c>
      <c r="E777" t="s">
        <v>74</v>
      </c>
      <c r="F777" t="s">
        <v>14824</v>
      </c>
      <c r="G777" t="s">
        <v>74</v>
      </c>
      <c r="H777" t="s">
        <v>74</v>
      </c>
      <c r="I777" t="s">
        <v>14825</v>
      </c>
      <c r="J777" t="s">
        <v>14826</v>
      </c>
      <c r="K777" t="s">
        <v>74</v>
      </c>
      <c r="L777" t="s">
        <v>74</v>
      </c>
      <c r="M777" t="s">
        <v>78</v>
      </c>
      <c r="N777" t="s">
        <v>79</v>
      </c>
      <c r="O777" t="s">
        <v>74</v>
      </c>
      <c r="P777" t="s">
        <v>74</v>
      </c>
      <c r="Q777" t="s">
        <v>74</v>
      </c>
      <c r="R777" t="s">
        <v>74</v>
      </c>
      <c r="S777" t="s">
        <v>74</v>
      </c>
      <c r="T777" t="s">
        <v>14827</v>
      </c>
      <c r="U777" t="s">
        <v>14828</v>
      </c>
      <c r="V777" t="s">
        <v>14829</v>
      </c>
      <c r="W777" t="s">
        <v>14830</v>
      </c>
      <c r="X777" t="s">
        <v>14831</v>
      </c>
      <c r="Y777" t="s">
        <v>14832</v>
      </c>
      <c r="Z777" t="s">
        <v>14833</v>
      </c>
      <c r="AA777" t="s">
        <v>14834</v>
      </c>
      <c r="AB777" t="s">
        <v>8226</v>
      </c>
      <c r="AC777" t="s">
        <v>74</v>
      </c>
      <c r="AD777" t="s">
        <v>74</v>
      </c>
      <c r="AE777" t="s">
        <v>74</v>
      </c>
      <c r="AF777" t="s">
        <v>74</v>
      </c>
      <c r="AG777">
        <v>54</v>
      </c>
      <c r="AH777">
        <v>44</v>
      </c>
      <c r="AI777">
        <v>47</v>
      </c>
      <c r="AJ777">
        <v>1</v>
      </c>
      <c r="AK777">
        <v>45</v>
      </c>
      <c r="AL777" t="s">
        <v>531</v>
      </c>
      <c r="AM777" t="s">
        <v>532</v>
      </c>
      <c r="AN777" t="s">
        <v>533</v>
      </c>
      <c r="AO777" t="s">
        <v>14835</v>
      </c>
      <c r="AP777" t="s">
        <v>14836</v>
      </c>
      <c r="AQ777" t="s">
        <v>74</v>
      </c>
      <c r="AR777" t="s">
        <v>14837</v>
      </c>
      <c r="AS777" t="s">
        <v>14838</v>
      </c>
      <c r="AT777" t="s">
        <v>420</v>
      </c>
      <c r="AU777">
        <v>2021</v>
      </c>
      <c r="AV777">
        <v>91</v>
      </c>
      <c r="AW777" t="s">
        <v>74</v>
      </c>
      <c r="AX777" t="s">
        <v>74</v>
      </c>
      <c r="AY777" t="s">
        <v>74</v>
      </c>
      <c r="AZ777" t="s">
        <v>74</v>
      </c>
      <c r="BA777" t="s">
        <v>74</v>
      </c>
      <c r="BB777">
        <v>260</v>
      </c>
      <c r="BC777">
        <v>269</v>
      </c>
      <c r="BD777" t="s">
        <v>74</v>
      </c>
      <c r="BE777" t="s">
        <v>14839</v>
      </c>
      <c r="BF777" t="str">
        <f>HYPERLINK("http://dx.doi.org/10.1016/j.jocn.2021.07.019","http://dx.doi.org/10.1016/j.jocn.2021.07.019")</f>
        <v>http://dx.doi.org/10.1016/j.jocn.2021.07.019</v>
      </c>
      <c r="BG777" t="s">
        <v>74</v>
      </c>
      <c r="BH777" t="s">
        <v>14840</v>
      </c>
      <c r="BI777">
        <v>10</v>
      </c>
      <c r="BJ777" t="s">
        <v>400</v>
      </c>
      <c r="BK777" t="s">
        <v>182</v>
      </c>
      <c r="BL777" t="s">
        <v>375</v>
      </c>
      <c r="BM777" t="s">
        <v>14841</v>
      </c>
      <c r="BN777">
        <v>34373038</v>
      </c>
      <c r="BO777" t="s">
        <v>74</v>
      </c>
      <c r="BP777" t="s">
        <v>74</v>
      </c>
      <c r="BQ777" t="s">
        <v>74</v>
      </c>
      <c r="BR777" t="s">
        <v>105</v>
      </c>
      <c r="BS777" t="s">
        <v>14842</v>
      </c>
      <c r="BT777" t="str">
        <f>HYPERLINK("https%3A%2F%2Fwww.webofscience.com%2Fwos%2Fwoscc%2Ffull-record%2FWOS:000683571000002","View Full Record in Web of Science")</f>
        <v>View Full Record in Web of Science</v>
      </c>
    </row>
    <row r="778" spans="1:72" x14ac:dyDescent="0.25">
      <c r="A778" t="s">
        <v>72</v>
      </c>
      <c r="B778" t="s">
        <v>14843</v>
      </c>
      <c r="C778" t="s">
        <v>74</v>
      </c>
      <c r="D778" t="s">
        <v>74</v>
      </c>
      <c r="E778" t="s">
        <v>74</v>
      </c>
      <c r="F778" t="s">
        <v>14844</v>
      </c>
      <c r="G778" t="s">
        <v>74</v>
      </c>
      <c r="H778" t="s">
        <v>74</v>
      </c>
      <c r="I778" t="s">
        <v>14845</v>
      </c>
      <c r="J778" t="s">
        <v>2641</v>
      </c>
      <c r="K778" t="s">
        <v>74</v>
      </c>
      <c r="L778" t="s">
        <v>74</v>
      </c>
      <c r="M778" t="s">
        <v>78</v>
      </c>
      <c r="N778" t="s">
        <v>79</v>
      </c>
      <c r="O778" t="s">
        <v>74</v>
      </c>
      <c r="P778" t="s">
        <v>74</v>
      </c>
      <c r="Q778" t="s">
        <v>74</v>
      </c>
      <c r="R778" t="s">
        <v>74</v>
      </c>
      <c r="S778" t="s">
        <v>74</v>
      </c>
      <c r="T778" t="s">
        <v>14846</v>
      </c>
      <c r="U778" t="s">
        <v>14847</v>
      </c>
      <c r="V778" t="s">
        <v>14848</v>
      </c>
      <c r="W778" t="s">
        <v>14849</v>
      </c>
      <c r="X778" t="s">
        <v>14850</v>
      </c>
      <c r="Y778" t="s">
        <v>14851</v>
      </c>
      <c r="Z778" t="s">
        <v>14852</v>
      </c>
      <c r="AA778" t="s">
        <v>14853</v>
      </c>
      <c r="AB778" t="s">
        <v>14854</v>
      </c>
      <c r="AC778" t="s">
        <v>74</v>
      </c>
      <c r="AD778" t="s">
        <v>74</v>
      </c>
      <c r="AE778" t="s">
        <v>74</v>
      </c>
      <c r="AF778" t="s">
        <v>74</v>
      </c>
      <c r="AG778">
        <v>121</v>
      </c>
      <c r="AH778">
        <v>32</v>
      </c>
      <c r="AI778">
        <v>33</v>
      </c>
      <c r="AJ778">
        <v>19</v>
      </c>
      <c r="AK778">
        <v>201</v>
      </c>
      <c r="AL778" t="s">
        <v>1605</v>
      </c>
      <c r="AM778" t="s">
        <v>1606</v>
      </c>
      <c r="AN778" t="s">
        <v>1607</v>
      </c>
      <c r="AO778" t="s">
        <v>2651</v>
      </c>
      <c r="AP778" t="s">
        <v>2652</v>
      </c>
      <c r="AQ778" t="s">
        <v>74</v>
      </c>
      <c r="AR778" t="s">
        <v>2653</v>
      </c>
      <c r="AS778" t="s">
        <v>2654</v>
      </c>
      <c r="AT778" t="s">
        <v>1888</v>
      </c>
      <c r="AU778">
        <v>2021</v>
      </c>
      <c r="AV778">
        <v>144</v>
      </c>
      <c r="AW778" t="s">
        <v>74</v>
      </c>
      <c r="AX778" t="s">
        <v>74</v>
      </c>
      <c r="AY778" t="s">
        <v>74</v>
      </c>
      <c r="AZ778" t="s">
        <v>74</v>
      </c>
      <c r="BA778" t="s">
        <v>74</v>
      </c>
      <c r="BB778" t="s">
        <v>74</v>
      </c>
      <c r="BC778" t="s">
        <v>74</v>
      </c>
      <c r="BD778">
        <v>103846</v>
      </c>
      <c r="BE778" t="s">
        <v>14855</v>
      </c>
      <c r="BF778" t="str">
        <f>HYPERLINK("http://dx.doi.org/10.1016/j.robot.2021.103846","http://dx.doi.org/10.1016/j.robot.2021.103846")</f>
        <v>http://dx.doi.org/10.1016/j.robot.2021.103846</v>
      </c>
      <c r="BG778" t="s">
        <v>74</v>
      </c>
      <c r="BH778" t="s">
        <v>14840</v>
      </c>
      <c r="BI778">
        <v>17</v>
      </c>
      <c r="BJ778" t="s">
        <v>2657</v>
      </c>
      <c r="BK778" t="s">
        <v>182</v>
      </c>
      <c r="BL778" t="s">
        <v>2658</v>
      </c>
      <c r="BM778" t="s">
        <v>14856</v>
      </c>
      <c r="BN778" t="s">
        <v>74</v>
      </c>
      <c r="BO778" t="s">
        <v>74</v>
      </c>
      <c r="BP778" t="s">
        <v>74</v>
      </c>
      <c r="BQ778" t="s">
        <v>74</v>
      </c>
      <c r="BR778" t="s">
        <v>105</v>
      </c>
      <c r="BS778" t="s">
        <v>14857</v>
      </c>
      <c r="BT778" t="str">
        <f>HYPERLINK("https%3A%2F%2Fwww.webofscience.com%2Fwos%2Fwoscc%2Ffull-record%2FWOS:000692135700012","View Full Record in Web of Science")</f>
        <v>View Full Record in Web of Science</v>
      </c>
    </row>
    <row r="779" spans="1:72" x14ac:dyDescent="0.25">
      <c r="A779" t="s">
        <v>72</v>
      </c>
      <c r="B779" t="s">
        <v>14858</v>
      </c>
      <c r="C779" t="s">
        <v>74</v>
      </c>
      <c r="D779" t="s">
        <v>74</v>
      </c>
      <c r="E779" t="s">
        <v>74</v>
      </c>
      <c r="F779" t="s">
        <v>14859</v>
      </c>
      <c r="G779" t="s">
        <v>74</v>
      </c>
      <c r="H779" t="s">
        <v>74</v>
      </c>
      <c r="I779" t="s">
        <v>14860</v>
      </c>
      <c r="J779" t="s">
        <v>7912</v>
      </c>
      <c r="K779" t="s">
        <v>74</v>
      </c>
      <c r="L779" t="s">
        <v>74</v>
      </c>
      <c r="M779" t="s">
        <v>78</v>
      </c>
      <c r="N779" t="s">
        <v>79</v>
      </c>
      <c r="O779" t="s">
        <v>74</v>
      </c>
      <c r="P779" t="s">
        <v>74</v>
      </c>
      <c r="Q779" t="s">
        <v>74</v>
      </c>
      <c r="R779" t="s">
        <v>74</v>
      </c>
      <c r="S779" t="s">
        <v>74</v>
      </c>
      <c r="T779" t="s">
        <v>14861</v>
      </c>
      <c r="U779" t="s">
        <v>14862</v>
      </c>
      <c r="V779" t="s">
        <v>14863</v>
      </c>
      <c r="W779" t="s">
        <v>14864</v>
      </c>
      <c r="X779" t="s">
        <v>14865</v>
      </c>
      <c r="Y779" t="s">
        <v>14866</v>
      </c>
      <c r="Z779" t="s">
        <v>14867</v>
      </c>
      <c r="AA779" t="s">
        <v>14868</v>
      </c>
      <c r="AB779" t="s">
        <v>14869</v>
      </c>
      <c r="AC779" t="s">
        <v>74</v>
      </c>
      <c r="AD779" t="s">
        <v>74</v>
      </c>
      <c r="AE779" t="s">
        <v>74</v>
      </c>
      <c r="AF779" t="s">
        <v>74</v>
      </c>
      <c r="AG779">
        <v>41</v>
      </c>
      <c r="AH779">
        <v>26</v>
      </c>
      <c r="AI779">
        <v>29</v>
      </c>
      <c r="AJ779">
        <v>5</v>
      </c>
      <c r="AK779">
        <v>74</v>
      </c>
      <c r="AL779" t="s">
        <v>92</v>
      </c>
      <c r="AM779" t="s">
        <v>93</v>
      </c>
      <c r="AN779" t="s">
        <v>94</v>
      </c>
      <c r="AO779" t="s">
        <v>7922</v>
      </c>
      <c r="AP779" t="s">
        <v>7923</v>
      </c>
      <c r="AQ779" t="s">
        <v>74</v>
      </c>
      <c r="AR779" t="s">
        <v>7924</v>
      </c>
      <c r="AS779" t="s">
        <v>7925</v>
      </c>
      <c r="AT779" t="s">
        <v>5796</v>
      </c>
      <c r="AU779">
        <v>2022</v>
      </c>
      <c r="AV779">
        <v>29</v>
      </c>
      <c r="AW779">
        <v>6</v>
      </c>
      <c r="AX779" t="s">
        <v>74</v>
      </c>
      <c r="AY779" t="s">
        <v>74</v>
      </c>
      <c r="AZ779" t="s">
        <v>74</v>
      </c>
      <c r="BA779" t="s">
        <v>74</v>
      </c>
      <c r="BB779">
        <v>449</v>
      </c>
      <c r="BC779">
        <v>463</v>
      </c>
      <c r="BD779" t="s">
        <v>74</v>
      </c>
      <c r="BE779" t="s">
        <v>14870</v>
      </c>
      <c r="BF779" t="str">
        <f>HYPERLINK("http://dx.doi.org/10.1080/10749357.2021.1943797","http://dx.doi.org/10.1080/10749357.2021.1943797")</f>
        <v>http://dx.doi.org/10.1080/10749357.2021.1943797</v>
      </c>
      <c r="BG779" t="s">
        <v>74</v>
      </c>
      <c r="BH779" t="s">
        <v>14840</v>
      </c>
      <c r="BI779">
        <v>15</v>
      </c>
      <c r="BJ779" t="s">
        <v>101</v>
      </c>
      <c r="BK779" t="s">
        <v>182</v>
      </c>
      <c r="BL779" t="s">
        <v>101</v>
      </c>
      <c r="BM779" t="s">
        <v>14871</v>
      </c>
      <c r="BN779">
        <v>34281494</v>
      </c>
      <c r="BO779" t="s">
        <v>1871</v>
      </c>
      <c r="BP779" t="s">
        <v>74</v>
      </c>
      <c r="BQ779" t="s">
        <v>74</v>
      </c>
      <c r="BR779" t="s">
        <v>105</v>
      </c>
      <c r="BS779" t="s">
        <v>14872</v>
      </c>
      <c r="BT779" t="str">
        <f>HYPERLINK("https%3A%2F%2Fwww.webofscience.com%2Fwos%2Fwoscc%2Ffull-record%2FWOS:000675112000001","View Full Record in Web of Science")</f>
        <v>View Full Record in Web of Science</v>
      </c>
    </row>
    <row r="780" spans="1:72" x14ac:dyDescent="0.25">
      <c r="A780" t="s">
        <v>72</v>
      </c>
      <c r="B780" t="s">
        <v>14873</v>
      </c>
      <c r="C780" t="s">
        <v>74</v>
      </c>
      <c r="D780" t="s">
        <v>74</v>
      </c>
      <c r="E780" t="s">
        <v>74</v>
      </c>
      <c r="F780" t="s">
        <v>14874</v>
      </c>
      <c r="G780" t="s">
        <v>74</v>
      </c>
      <c r="H780" t="s">
        <v>74</v>
      </c>
      <c r="I780" t="s">
        <v>14875</v>
      </c>
      <c r="J780" t="s">
        <v>14876</v>
      </c>
      <c r="K780" t="s">
        <v>74</v>
      </c>
      <c r="L780" t="s">
        <v>74</v>
      </c>
      <c r="M780" t="s">
        <v>78</v>
      </c>
      <c r="N780" t="s">
        <v>79</v>
      </c>
      <c r="O780" t="s">
        <v>74</v>
      </c>
      <c r="P780" t="s">
        <v>74</v>
      </c>
      <c r="Q780" t="s">
        <v>74</v>
      </c>
      <c r="R780" t="s">
        <v>74</v>
      </c>
      <c r="S780" t="s">
        <v>74</v>
      </c>
      <c r="T780" t="s">
        <v>14877</v>
      </c>
      <c r="U780" t="s">
        <v>14878</v>
      </c>
      <c r="V780" t="s">
        <v>14879</v>
      </c>
      <c r="W780" t="s">
        <v>14880</v>
      </c>
      <c r="X780" t="s">
        <v>14881</v>
      </c>
      <c r="Y780" t="s">
        <v>14882</v>
      </c>
      <c r="Z780" t="s">
        <v>14883</v>
      </c>
      <c r="AA780" t="s">
        <v>14884</v>
      </c>
      <c r="AB780" t="s">
        <v>14885</v>
      </c>
      <c r="AC780" t="s">
        <v>74</v>
      </c>
      <c r="AD780" t="s">
        <v>74</v>
      </c>
      <c r="AE780" t="s">
        <v>74</v>
      </c>
      <c r="AF780" t="s">
        <v>74</v>
      </c>
      <c r="AG780">
        <v>38</v>
      </c>
      <c r="AH780">
        <v>3</v>
      </c>
      <c r="AI780">
        <v>4</v>
      </c>
      <c r="AJ780">
        <v>1</v>
      </c>
      <c r="AK780">
        <v>6</v>
      </c>
      <c r="AL780" t="s">
        <v>172</v>
      </c>
      <c r="AM780" t="s">
        <v>173</v>
      </c>
      <c r="AN780" t="s">
        <v>174</v>
      </c>
      <c r="AO780" t="s">
        <v>14886</v>
      </c>
      <c r="AP780" t="s">
        <v>14887</v>
      </c>
      <c r="AQ780" t="s">
        <v>74</v>
      </c>
      <c r="AR780" t="s">
        <v>14888</v>
      </c>
      <c r="AS780" t="s">
        <v>14889</v>
      </c>
      <c r="AT780" t="s">
        <v>151</v>
      </c>
      <c r="AU780">
        <v>2021</v>
      </c>
      <c r="AV780">
        <v>141</v>
      </c>
      <c r="AW780">
        <v>12</v>
      </c>
      <c r="AX780" t="s">
        <v>74</v>
      </c>
      <c r="AY780" t="s">
        <v>74</v>
      </c>
      <c r="AZ780" t="s">
        <v>152</v>
      </c>
      <c r="BA780" t="s">
        <v>74</v>
      </c>
      <c r="BB780">
        <v>2129</v>
      </c>
      <c r="BC780">
        <v>2138</v>
      </c>
      <c r="BD780" t="s">
        <v>74</v>
      </c>
      <c r="BE780" t="s">
        <v>14890</v>
      </c>
      <c r="BF780" t="str">
        <f>HYPERLINK("http://dx.doi.org/10.1007/s00402-021-04066-w","http://dx.doi.org/10.1007/s00402-021-04066-w")</f>
        <v>http://dx.doi.org/10.1007/s00402-021-04066-w</v>
      </c>
      <c r="BG780" t="s">
        <v>74</v>
      </c>
      <c r="BH780" t="s">
        <v>14840</v>
      </c>
      <c r="BI780">
        <v>10</v>
      </c>
      <c r="BJ780" t="s">
        <v>3388</v>
      </c>
      <c r="BK780" t="s">
        <v>182</v>
      </c>
      <c r="BL780" t="s">
        <v>3388</v>
      </c>
      <c r="BM780" t="s">
        <v>14891</v>
      </c>
      <c r="BN780">
        <v>34274998</v>
      </c>
      <c r="BO780" t="s">
        <v>74</v>
      </c>
      <c r="BP780" t="s">
        <v>74</v>
      </c>
      <c r="BQ780" t="s">
        <v>74</v>
      </c>
      <c r="BR780" t="s">
        <v>105</v>
      </c>
      <c r="BS780" t="s">
        <v>14892</v>
      </c>
      <c r="BT780" t="str">
        <f>HYPERLINK("https%3A%2F%2Fwww.webofscience.com%2Fwos%2Fwoscc%2Ffull-record%2FWOS:000674198600001","View Full Record in Web of Science")</f>
        <v>View Full Record in Web of Science</v>
      </c>
    </row>
    <row r="781" spans="1:72" x14ac:dyDescent="0.25">
      <c r="A781" t="s">
        <v>72</v>
      </c>
      <c r="B781" t="s">
        <v>14893</v>
      </c>
      <c r="C781" t="s">
        <v>74</v>
      </c>
      <c r="D781" t="s">
        <v>74</v>
      </c>
      <c r="E781" t="s">
        <v>74</v>
      </c>
      <c r="F781" t="s">
        <v>14894</v>
      </c>
      <c r="G781" t="s">
        <v>74</v>
      </c>
      <c r="H781" t="s">
        <v>74</v>
      </c>
      <c r="I781" t="s">
        <v>14895</v>
      </c>
      <c r="J781" t="s">
        <v>684</v>
      </c>
      <c r="K781" t="s">
        <v>74</v>
      </c>
      <c r="L781" t="s">
        <v>74</v>
      </c>
      <c r="M781" t="s">
        <v>78</v>
      </c>
      <c r="N781" t="s">
        <v>79</v>
      </c>
      <c r="O781" t="s">
        <v>74</v>
      </c>
      <c r="P781" t="s">
        <v>74</v>
      </c>
      <c r="Q781" t="s">
        <v>74</v>
      </c>
      <c r="R781" t="s">
        <v>74</v>
      </c>
      <c r="S781" t="s">
        <v>74</v>
      </c>
      <c r="T781" t="s">
        <v>14896</v>
      </c>
      <c r="U781" t="s">
        <v>14897</v>
      </c>
      <c r="V781" t="s">
        <v>14898</v>
      </c>
      <c r="W781" t="s">
        <v>14899</v>
      </c>
      <c r="X781" t="s">
        <v>6071</v>
      </c>
      <c r="Y781" t="s">
        <v>14900</v>
      </c>
      <c r="Z781" t="s">
        <v>14901</v>
      </c>
      <c r="AA781" t="s">
        <v>14902</v>
      </c>
      <c r="AB781" t="s">
        <v>14903</v>
      </c>
      <c r="AC781" t="s">
        <v>74</v>
      </c>
      <c r="AD781" t="s">
        <v>74</v>
      </c>
      <c r="AE781" t="s">
        <v>74</v>
      </c>
      <c r="AF781" t="s">
        <v>74</v>
      </c>
      <c r="AG781">
        <v>73</v>
      </c>
      <c r="AH781">
        <v>41</v>
      </c>
      <c r="AI781">
        <v>44</v>
      </c>
      <c r="AJ781">
        <v>18</v>
      </c>
      <c r="AK781">
        <v>270</v>
      </c>
      <c r="AL781" t="s">
        <v>557</v>
      </c>
      <c r="AM781" t="s">
        <v>275</v>
      </c>
      <c r="AN781" t="s">
        <v>558</v>
      </c>
      <c r="AO781" t="s">
        <v>691</v>
      </c>
      <c r="AP781" t="s">
        <v>692</v>
      </c>
      <c r="AQ781" t="s">
        <v>74</v>
      </c>
      <c r="AR781" t="s">
        <v>693</v>
      </c>
      <c r="AS781" t="s">
        <v>694</v>
      </c>
      <c r="AT781" t="s">
        <v>151</v>
      </c>
      <c r="AU781">
        <v>2021</v>
      </c>
      <c r="AV781">
        <v>235</v>
      </c>
      <c r="AW781">
        <v>12</v>
      </c>
      <c r="AX781" t="s">
        <v>74</v>
      </c>
      <c r="AY781" t="s">
        <v>74</v>
      </c>
      <c r="AZ781" t="s">
        <v>74</v>
      </c>
      <c r="BA781" t="s">
        <v>74</v>
      </c>
      <c r="BB781">
        <v>1375</v>
      </c>
      <c r="BC781">
        <v>1385</v>
      </c>
      <c r="BD781">
        <v>9544119211032010</v>
      </c>
      <c r="BE781" t="s">
        <v>14904</v>
      </c>
      <c r="BF781" t="str">
        <f>HYPERLINK("http://dx.doi.org/10.1177/09544119211032010","http://dx.doi.org/10.1177/09544119211032010")</f>
        <v>http://dx.doi.org/10.1177/09544119211032010</v>
      </c>
      <c r="BG781" t="s">
        <v>74</v>
      </c>
      <c r="BH781" t="s">
        <v>14840</v>
      </c>
      <c r="BI781">
        <v>11</v>
      </c>
      <c r="BJ781" t="s">
        <v>282</v>
      </c>
      <c r="BK781" t="s">
        <v>182</v>
      </c>
      <c r="BL781" t="s">
        <v>183</v>
      </c>
      <c r="BM781" t="s">
        <v>14905</v>
      </c>
      <c r="BN781">
        <v>34254562</v>
      </c>
      <c r="BO781" t="s">
        <v>74</v>
      </c>
      <c r="BP781" t="s">
        <v>74</v>
      </c>
      <c r="BQ781" t="s">
        <v>74</v>
      </c>
      <c r="BR781" t="s">
        <v>105</v>
      </c>
      <c r="BS781" t="s">
        <v>14906</v>
      </c>
      <c r="BT781" t="str">
        <f>HYPERLINK("https%3A%2F%2Fwww.webofscience.com%2Fwos%2Fwoscc%2Ffull-record%2FWOS:000675175100001","View Full Record in Web of Science")</f>
        <v>View Full Record in Web of Science</v>
      </c>
    </row>
    <row r="782" spans="1:72" x14ac:dyDescent="0.25">
      <c r="A782" t="s">
        <v>72</v>
      </c>
      <c r="B782" t="s">
        <v>14907</v>
      </c>
      <c r="C782" t="s">
        <v>74</v>
      </c>
      <c r="D782" t="s">
        <v>74</v>
      </c>
      <c r="E782" t="s">
        <v>74</v>
      </c>
      <c r="F782" t="s">
        <v>14908</v>
      </c>
      <c r="G782" t="s">
        <v>74</v>
      </c>
      <c r="H782" t="s">
        <v>74</v>
      </c>
      <c r="I782" t="s">
        <v>14909</v>
      </c>
      <c r="J782" t="s">
        <v>77</v>
      </c>
      <c r="K782" t="s">
        <v>74</v>
      </c>
      <c r="L782" t="s">
        <v>74</v>
      </c>
      <c r="M782" t="s">
        <v>78</v>
      </c>
      <c r="N782" t="s">
        <v>79</v>
      </c>
      <c r="O782" t="s">
        <v>74</v>
      </c>
      <c r="P782" t="s">
        <v>74</v>
      </c>
      <c r="Q782" t="s">
        <v>74</v>
      </c>
      <c r="R782" t="s">
        <v>74</v>
      </c>
      <c r="S782" t="s">
        <v>74</v>
      </c>
      <c r="T782" t="s">
        <v>14910</v>
      </c>
      <c r="U782" t="s">
        <v>14911</v>
      </c>
      <c r="V782" t="s">
        <v>14912</v>
      </c>
      <c r="W782" t="s">
        <v>14913</v>
      </c>
      <c r="X782" t="s">
        <v>74</v>
      </c>
      <c r="Y782" t="s">
        <v>14914</v>
      </c>
      <c r="Z782" t="s">
        <v>14915</v>
      </c>
      <c r="AA782" t="s">
        <v>14916</v>
      </c>
      <c r="AB782" t="s">
        <v>14917</v>
      </c>
      <c r="AC782" t="s">
        <v>14918</v>
      </c>
      <c r="AD782" t="s">
        <v>14919</v>
      </c>
      <c r="AE782" t="s">
        <v>14920</v>
      </c>
      <c r="AF782" t="s">
        <v>74</v>
      </c>
      <c r="AG782">
        <v>41</v>
      </c>
      <c r="AH782">
        <v>6</v>
      </c>
      <c r="AI782">
        <v>10</v>
      </c>
      <c r="AJ782">
        <v>0</v>
      </c>
      <c r="AK782">
        <v>12</v>
      </c>
      <c r="AL782" t="s">
        <v>92</v>
      </c>
      <c r="AM782" t="s">
        <v>93</v>
      </c>
      <c r="AN782" t="s">
        <v>94</v>
      </c>
      <c r="AO782" t="s">
        <v>95</v>
      </c>
      <c r="AP782" t="s">
        <v>96</v>
      </c>
      <c r="AQ782" t="s">
        <v>74</v>
      </c>
      <c r="AR782" t="s">
        <v>97</v>
      </c>
      <c r="AS782" t="s">
        <v>98</v>
      </c>
      <c r="AT782" t="s">
        <v>14921</v>
      </c>
      <c r="AU782">
        <v>2022</v>
      </c>
      <c r="AV782">
        <v>44</v>
      </c>
      <c r="AW782">
        <v>19</v>
      </c>
      <c r="AX782" t="s">
        <v>74</v>
      </c>
      <c r="AY782" t="s">
        <v>74</v>
      </c>
      <c r="AZ782" t="s">
        <v>74</v>
      </c>
      <c r="BA782" t="s">
        <v>74</v>
      </c>
      <c r="BB782">
        <v>5418</v>
      </c>
      <c r="BC782">
        <v>5428</v>
      </c>
      <c r="BD782" t="s">
        <v>74</v>
      </c>
      <c r="BE782" t="s">
        <v>14922</v>
      </c>
      <c r="BF782" t="str">
        <f>HYPERLINK("http://dx.doi.org/10.1080/09638288.2021.1942242","http://dx.doi.org/10.1080/09638288.2021.1942242")</f>
        <v>http://dx.doi.org/10.1080/09638288.2021.1942242</v>
      </c>
      <c r="BG782" t="s">
        <v>74</v>
      </c>
      <c r="BH782" t="s">
        <v>14840</v>
      </c>
      <c r="BI782">
        <v>11</v>
      </c>
      <c r="BJ782" t="s">
        <v>101</v>
      </c>
      <c r="BK782" t="s">
        <v>102</v>
      </c>
      <c r="BL782" t="s">
        <v>101</v>
      </c>
      <c r="BM782" t="s">
        <v>14923</v>
      </c>
      <c r="BN782">
        <v>34232847</v>
      </c>
      <c r="BO782" t="s">
        <v>74</v>
      </c>
      <c r="BP782" t="s">
        <v>74</v>
      </c>
      <c r="BQ782" t="s">
        <v>74</v>
      </c>
      <c r="BR782" t="s">
        <v>105</v>
      </c>
      <c r="BS782" t="s">
        <v>14924</v>
      </c>
      <c r="BT782" t="str">
        <f>HYPERLINK("https%3A%2F%2Fwww.webofscience.com%2Fwos%2Fwoscc%2Ffull-record%2FWOS:000670503900001","View Full Record in Web of Science")</f>
        <v>View Full Record in Web of Science</v>
      </c>
    </row>
    <row r="783" spans="1:72" x14ac:dyDescent="0.25">
      <c r="A783" t="s">
        <v>72</v>
      </c>
      <c r="B783" t="s">
        <v>14925</v>
      </c>
      <c r="C783" t="s">
        <v>74</v>
      </c>
      <c r="D783" t="s">
        <v>74</v>
      </c>
      <c r="E783" t="s">
        <v>74</v>
      </c>
      <c r="F783" t="s">
        <v>14926</v>
      </c>
      <c r="G783" t="s">
        <v>74</v>
      </c>
      <c r="H783" t="s">
        <v>74</v>
      </c>
      <c r="I783" t="s">
        <v>14927</v>
      </c>
      <c r="J783" t="s">
        <v>2040</v>
      </c>
      <c r="K783" t="s">
        <v>74</v>
      </c>
      <c r="L783" t="s">
        <v>74</v>
      </c>
      <c r="M783" t="s">
        <v>78</v>
      </c>
      <c r="N783" t="s">
        <v>79</v>
      </c>
      <c r="O783" t="s">
        <v>74</v>
      </c>
      <c r="P783" t="s">
        <v>74</v>
      </c>
      <c r="Q783" t="s">
        <v>74</v>
      </c>
      <c r="R783" t="s">
        <v>74</v>
      </c>
      <c r="S783" t="s">
        <v>74</v>
      </c>
      <c r="T783" t="s">
        <v>14928</v>
      </c>
      <c r="U783" t="s">
        <v>14929</v>
      </c>
      <c r="V783" t="s">
        <v>14930</v>
      </c>
      <c r="W783" t="s">
        <v>14931</v>
      </c>
      <c r="X783" t="s">
        <v>14932</v>
      </c>
      <c r="Y783" t="s">
        <v>14933</v>
      </c>
      <c r="Z783" t="s">
        <v>14934</v>
      </c>
      <c r="AA783" t="s">
        <v>14935</v>
      </c>
      <c r="AB783" t="s">
        <v>14936</v>
      </c>
      <c r="AC783" t="s">
        <v>14937</v>
      </c>
      <c r="AD783" t="s">
        <v>14938</v>
      </c>
      <c r="AE783" t="s">
        <v>14939</v>
      </c>
      <c r="AF783" t="s">
        <v>74</v>
      </c>
      <c r="AG783">
        <v>282</v>
      </c>
      <c r="AH783">
        <v>44</v>
      </c>
      <c r="AI783">
        <v>46</v>
      </c>
      <c r="AJ783">
        <v>3</v>
      </c>
      <c r="AK783">
        <v>80</v>
      </c>
      <c r="AL783" t="s">
        <v>120</v>
      </c>
      <c r="AM783" t="s">
        <v>121</v>
      </c>
      <c r="AN783" t="s">
        <v>1221</v>
      </c>
      <c r="AO783" t="s">
        <v>74</v>
      </c>
      <c r="AP783" t="s">
        <v>2050</v>
      </c>
      <c r="AQ783" t="s">
        <v>74</v>
      </c>
      <c r="AR783" t="s">
        <v>2051</v>
      </c>
      <c r="AS783" t="s">
        <v>2052</v>
      </c>
      <c r="AT783" t="s">
        <v>1734</v>
      </c>
      <c r="AU783">
        <v>2021</v>
      </c>
      <c r="AV783">
        <v>21</v>
      </c>
      <c r="AW783">
        <v>14</v>
      </c>
      <c r="AX783" t="s">
        <v>74</v>
      </c>
      <c r="AY783" t="s">
        <v>74</v>
      </c>
      <c r="AZ783" t="s">
        <v>74</v>
      </c>
      <c r="BA783" t="s">
        <v>74</v>
      </c>
      <c r="BB783" t="s">
        <v>74</v>
      </c>
      <c r="BC783" t="s">
        <v>74</v>
      </c>
      <c r="BD783">
        <v>4754</v>
      </c>
      <c r="BE783" t="s">
        <v>14940</v>
      </c>
      <c r="BF783" t="str">
        <f>HYPERLINK("http://dx.doi.org/10.3390/s21144754","http://dx.doi.org/10.3390/s21144754")</f>
        <v>http://dx.doi.org/10.3390/s21144754</v>
      </c>
      <c r="BG783" t="s">
        <v>74</v>
      </c>
      <c r="BH783" t="s">
        <v>74</v>
      </c>
      <c r="BI783">
        <v>31</v>
      </c>
      <c r="BJ783" t="s">
        <v>2054</v>
      </c>
      <c r="BK783" t="s">
        <v>182</v>
      </c>
      <c r="BL783" t="s">
        <v>2055</v>
      </c>
      <c r="BM783" t="s">
        <v>14941</v>
      </c>
      <c r="BN783">
        <v>34300492</v>
      </c>
      <c r="BO783" t="s">
        <v>131</v>
      </c>
      <c r="BP783" t="s">
        <v>74</v>
      </c>
      <c r="BQ783" t="s">
        <v>74</v>
      </c>
      <c r="BR783" t="s">
        <v>105</v>
      </c>
      <c r="BS783" t="s">
        <v>14942</v>
      </c>
      <c r="BT783" t="str">
        <f>HYPERLINK("https%3A%2F%2Fwww.webofscience.com%2Fwos%2Fwoscc%2Ffull-record%2FWOS:000677101900001","View Full Record in Web of Science")</f>
        <v>View Full Record in Web of Science</v>
      </c>
    </row>
    <row r="784" spans="1:72" x14ac:dyDescent="0.25">
      <c r="A784" t="s">
        <v>72</v>
      </c>
      <c r="B784" t="s">
        <v>14943</v>
      </c>
      <c r="C784" t="s">
        <v>74</v>
      </c>
      <c r="D784" t="s">
        <v>74</v>
      </c>
      <c r="E784" t="s">
        <v>74</v>
      </c>
      <c r="F784" t="s">
        <v>14944</v>
      </c>
      <c r="G784" t="s">
        <v>74</v>
      </c>
      <c r="H784" t="s">
        <v>74</v>
      </c>
      <c r="I784" t="s">
        <v>14945</v>
      </c>
      <c r="J784" t="s">
        <v>2690</v>
      </c>
      <c r="K784" t="s">
        <v>74</v>
      </c>
      <c r="L784" t="s">
        <v>74</v>
      </c>
      <c r="M784" t="s">
        <v>78</v>
      </c>
      <c r="N784" t="s">
        <v>79</v>
      </c>
      <c r="O784" t="s">
        <v>74</v>
      </c>
      <c r="P784" t="s">
        <v>74</v>
      </c>
      <c r="Q784" t="s">
        <v>74</v>
      </c>
      <c r="R784" t="s">
        <v>74</v>
      </c>
      <c r="S784" t="s">
        <v>74</v>
      </c>
      <c r="T784" t="s">
        <v>14946</v>
      </c>
      <c r="U784" t="s">
        <v>14947</v>
      </c>
      <c r="V784" t="s">
        <v>14948</v>
      </c>
      <c r="W784" t="s">
        <v>14949</v>
      </c>
      <c r="X784" t="s">
        <v>14950</v>
      </c>
      <c r="Y784" t="s">
        <v>14951</v>
      </c>
      <c r="Z784" t="s">
        <v>14952</v>
      </c>
      <c r="AA784" t="s">
        <v>14953</v>
      </c>
      <c r="AB784" t="s">
        <v>14954</v>
      </c>
      <c r="AC784" t="s">
        <v>14955</v>
      </c>
      <c r="AD784" t="s">
        <v>14955</v>
      </c>
      <c r="AE784" t="s">
        <v>14956</v>
      </c>
      <c r="AF784" t="s">
        <v>74</v>
      </c>
      <c r="AG784">
        <v>91</v>
      </c>
      <c r="AH784">
        <v>66</v>
      </c>
      <c r="AI784">
        <v>66</v>
      </c>
      <c r="AJ784">
        <v>13</v>
      </c>
      <c r="AK784">
        <v>200</v>
      </c>
      <c r="AL784" t="s">
        <v>120</v>
      </c>
      <c r="AM784" t="s">
        <v>121</v>
      </c>
      <c r="AN784" t="s">
        <v>122</v>
      </c>
      <c r="AO784" t="s">
        <v>74</v>
      </c>
      <c r="AP784" t="s">
        <v>2698</v>
      </c>
      <c r="AQ784" t="s">
        <v>74</v>
      </c>
      <c r="AR784" t="s">
        <v>2690</v>
      </c>
      <c r="AS784" t="s">
        <v>2699</v>
      </c>
      <c r="AT784" t="s">
        <v>1734</v>
      </c>
      <c r="AU784">
        <v>2021</v>
      </c>
      <c r="AV784">
        <v>10</v>
      </c>
      <c r="AW784">
        <v>7</v>
      </c>
      <c r="AX784" t="s">
        <v>74</v>
      </c>
      <c r="AY784" t="s">
        <v>74</v>
      </c>
      <c r="AZ784" t="s">
        <v>74</v>
      </c>
      <c r="BA784" t="s">
        <v>74</v>
      </c>
      <c r="BB784" t="s">
        <v>74</v>
      </c>
      <c r="BC784" t="s">
        <v>74</v>
      </c>
      <c r="BD784">
        <v>166</v>
      </c>
      <c r="BE784" t="s">
        <v>14957</v>
      </c>
      <c r="BF784" t="str">
        <f>HYPERLINK("http://dx.doi.org/10.3390/act10070166","http://dx.doi.org/10.3390/act10070166")</f>
        <v>http://dx.doi.org/10.3390/act10070166</v>
      </c>
      <c r="BG784" t="s">
        <v>74</v>
      </c>
      <c r="BH784" t="s">
        <v>74</v>
      </c>
      <c r="BI784">
        <v>26</v>
      </c>
      <c r="BJ784" t="s">
        <v>2701</v>
      </c>
      <c r="BK784" t="s">
        <v>182</v>
      </c>
      <c r="BL784" t="s">
        <v>2702</v>
      </c>
      <c r="BM784" t="s">
        <v>14958</v>
      </c>
      <c r="BN784" t="s">
        <v>74</v>
      </c>
      <c r="BO784" t="s">
        <v>185</v>
      </c>
      <c r="BP784" t="s">
        <v>74</v>
      </c>
      <c r="BQ784" t="s">
        <v>74</v>
      </c>
      <c r="BR784" t="s">
        <v>105</v>
      </c>
      <c r="BS784" t="s">
        <v>14959</v>
      </c>
      <c r="BT784" t="str">
        <f>HYPERLINK("https%3A%2F%2Fwww.webofscience.com%2Fwos%2Fwoscc%2Ffull-record%2FWOS:000678187600001","View Full Record in Web of Science")</f>
        <v>View Full Record in Web of Science</v>
      </c>
    </row>
    <row r="785" spans="1:72" x14ac:dyDescent="0.25">
      <c r="A785" t="s">
        <v>72</v>
      </c>
      <c r="B785" t="s">
        <v>14960</v>
      </c>
      <c r="C785" t="s">
        <v>74</v>
      </c>
      <c r="D785" t="s">
        <v>74</v>
      </c>
      <c r="E785" t="s">
        <v>74</v>
      </c>
      <c r="F785" t="s">
        <v>14961</v>
      </c>
      <c r="G785" t="s">
        <v>74</v>
      </c>
      <c r="H785" t="s">
        <v>74</v>
      </c>
      <c r="I785" t="s">
        <v>14962</v>
      </c>
      <c r="J785" t="s">
        <v>701</v>
      </c>
      <c r="K785" t="s">
        <v>74</v>
      </c>
      <c r="L785" t="s">
        <v>74</v>
      </c>
      <c r="M785" t="s">
        <v>78</v>
      </c>
      <c r="N785" t="s">
        <v>79</v>
      </c>
      <c r="O785" t="s">
        <v>74</v>
      </c>
      <c r="P785" t="s">
        <v>74</v>
      </c>
      <c r="Q785" t="s">
        <v>74</v>
      </c>
      <c r="R785" t="s">
        <v>74</v>
      </c>
      <c r="S785" t="s">
        <v>74</v>
      </c>
      <c r="T785" t="s">
        <v>14963</v>
      </c>
      <c r="U785" t="s">
        <v>14964</v>
      </c>
      <c r="V785" t="s">
        <v>14965</v>
      </c>
      <c r="W785" t="s">
        <v>14966</v>
      </c>
      <c r="X785" t="s">
        <v>14967</v>
      </c>
      <c r="Y785" t="s">
        <v>14968</v>
      </c>
      <c r="Z785" t="s">
        <v>14969</v>
      </c>
      <c r="AA785" t="s">
        <v>74</v>
      </c>
      <c r="AB785" t="s">
        <v>74</v>
      </c>
      <c r="AC785" t="s">
        <v>74</v>
      </c>
      <c r="AD785" t="s">
        <v>74</v>
      </c>
      <c r="AE785" t="s">
        <v>74</v>
      </c>
      <c r="AF785" t="s">
        <v>74</v>
      </c>
      <c r="AG785">
        <v>187</v>
      </c>
      <c r="AH785">
        <v>41</v>
      </c>
      <c r="AI785">
        <v>41</v>
      </c>
      <c r="AJ785">
        <v>4</v>
      </c>
      <c r="AK785">
        <v>49</v>
      </c>
      <c r="AL785" t="s">
        <v>392</v>
      </c>
      <c r="AM785" t="s">
        <v>393</v>
      </c>
      <c r="AN785" t="s">
        <v>394</v>
      </c>
      <c r="AO785" t="s">
        <v>709</v>
      </c>
      <c r="AP785" t="s">
        <v>74</v>
      </c>
      <c r="AQ785" t="s">
        <v>74</v>
      </c>
      <c r="AR785" t="s">
        <v>710</v>
      </c>
      <c r="AS785" t="s">
        <v>711</v>
      </c>
      <c r="AT785" t="s">
        <v>14970</v>
      </c>
      <c r="AU785">
        <v>2021</v>
      </c>
      <c r="AV785">
        <v>8</v>
      </c>
      <c r="AW785" t="s">
        <v>74</v>
      </c>
      <c r="AX785" t="s">
        <v>74</v>
      </c>
      <c r="AY785" t="s">
        <v>74</v>
      </c>
      <c r="AZ785" t="s">
        <v>74</v>
      </c>
      <c r="BA785" t="s">
        <v>74</v>
      </c>
      <c r="BB785" t="s">
        <v>74</v>
      </c>
      <c r="BC785" t="s">
        <v>74</v>
      </c>
      <c r="BD785">
        <v>612331</v>
      </c>
      <c r="BE785" t="s">
        <v>14971</v>
      </c>
      <c r="BF785" t="str">
        <f>HYPERLINK("http://dx.doi.org/10.3389/frobt.2021.612331","http://dx.doi.org/10.3389/frobt.2021.612331")</f>
        <v>http://dx.doi.org/10.3389/frobt.2021.612331</v>
      </c>
      <c r="BG785" t="s">
        <v>74</v>
      </c>
      <c r="BH785" t="s">
        <v>74</v>
      </c>
      <c r="BI785">
        <v>34</v>
      </c>
      <c r="BJ785" t="s">
        <v>714</v>
      </c>
      <c r="BK785" t="s">
        <v>155</v>
      </c>
      <c r="BL785" t="s">
        <v>714</v>
      </c>
      <c r="BM785" t="s">
        <v>14972</v>
      </c>
      <c r="BN785">
        <v>34239898</v>
      </c>
      <c r="BO785" t="s">
        <v>355</v>
      </c>
      <c r="BP785" t="s">
        <v>74</v>
      </c>
      <c r="BQ785" t="s">
        <v>74</v>
      </c>
      <c r="BR785" t="s">
        <v>105</v>
      </c>
      <c r="BS785" t="s">
        <v>14973</v>
      </c>
      <c r="BT785" t="str">
        <f>HYPERLINK("https%3A%2F%2Fwww.webofscience.com%2Fwos%2Fwoscc%2Ffull-record%2FWOS:000669665900001","View Full Record in Web of Science")</f>
        <v>View Full Record in Web of Science</v>
      </c>
    </row>
    <row r="786" spans="1:72" x14ac:dyDescent="0.25">
      <c r="A786" t="s">
        <v>72</v>
      </c>
      <c r="B786" t="s">
        <v>14974</v>
      </c>
      <c r="C786" t="s">
        <v>74</v>
      </c>
      <c r="D786" t="s">
        <v>74</v>
      </c>
      <c r="E786" t="s">
        <v>74</v>
      </c>
      <c r="F786" t="s">
        <v>14975</v>
      </c>
      <c r="G786" t="s">
        <v>74</v>
      </c>
      <c r="H786" t="s">
        <v>74</v>
      </c>
      <c r="I786" t="s">
        <v>14976</v>
      </c>
      <c r="J786" t="s">
        <v>2198</v>
      </c>
      <c r="K786" t="s">
        <v>74</v>
      </c>
      <c r="L786" t="s">
        <v>74</v>
      </c>
      <c r="M786" t="s">
        <v>78</v>
      </c>
      <c r="N786" t="s">
        <v>79</v>
      </c>
      <c r="O786" t="s">
        <v>74</v>
      </c>
      <c r="P786" t="s">
        <v>74</v>
      </c>
      <c r="Q786" t="s">
        <v>74</v>
      </c>
      <c r="R786" t="s">
        <v>74</v>
      </c>
      <c r="S786" t="s">
        <v>74</v>
      </c>
      <c r="T786" t="s">
        <v>14977</v>
      </c>
      <c r="U786" t="s">
        <v>14978</v>
      </c>
      <c r="V786" t="s">
        <v>14979</v>
      </c>
      <c r="W786" t="s">
        <v>14980</v>
      </c>
      <c r="X786" t="s">
        <v>14981</v>
      </c>
      <c r="Y786" t="s">
        <v>14982</v>
      </c>
      <c r="Z786" t="s">
        <v>14983</v>
      </c>
      <c r="AA786" t="s">
        <v>14984</v>
      </c>
      <c r="AB786" t="s">
        <v>14985</v>
      </c>
      <c r="AC786" t="s">
        <v>14986</v>
      </c>
      <c r="AD786" t="s">
        <v>14987</v>
      </c>
      <c r="AE786" t="s">
        <v>14988</v>
      </c>
      <c r="AF786" t="s">
        <v>74</v>
      </c>
      <c r="AG786">
        <v>234</v>
      </c>
      <c r="AH786">
        <v>22</v>
      </c>
      <c r="AI786">
        <v>23</v>
      </c>
      <c r="AJ786">
        <v>2</v>
      </c>
      <c r="AK786">
        <v>23</v>
      </c>
      <c r="AL786" t="s">
        <v>392</v>
      </c>
      <c r="AM786" t="s">
        <v>393</v>
      </c>
      <c r="AN786" t="s">
        <v>394</v>
      </c>
      <c r="AO786" t="s">
        <v>2206</v>
      </c>
      <c r="AP786" t="s">
        <v>74</v>
      </c>
      <c r="AQ786" t="s">
        <v>74</v>
      </c>
      <c r="AR786" t="s">
        <v>2207</v>
      </c>
      <c r="AS786" t="s">
        <v>2208</v>
      </c>
      <c r="AT786" t="s">
        <v>14989</v>
      </c>
      <c r="AU786">
        <v>2021</v>
      </c>
      <c r="AV786">
        <v>15</v>
      </c>
      <c r="AW786" t="s">
        <v>74</v>
      </c>
      <c r="AX786" t="s">
        <v>74</v>
      </c>
      <c r="AY786" t="s">
        <v>74</v>
      </c>
      <c r="AZ786" t="s">
        <v>74</v>
      </c>
      <c r="BA786" t="s">
        <v>74</v>
      </c>
      <c r="BB786" t="s">
        <v>74</v>
      </c>
      <c r="BC786" t="s">
        <v>74</v>
      </c>
      <c r="BD786">
        <v>662006</v>
      </c>
      <c r="BE786" t="s">
        <v>14990</v>
      </c>
      <c r="BF786" t="str">
        <f>HYPERLINK("http://dx.doi.org/10.3389/fnhum.2021.662006","http://dx.doi.org/10.3389/fnhum.2021.662006")</f>
        <v>http://dx.doi.org/10.3389/fnhum.2021.662006</v>
      </c>
      <c r="BG786" t="s">
        <v>74</v>
      </c>
      <c r="BH786" t="s">
        <v>74</v>
      </c>
      <c r="BI786">
        <v>20</v>
      </c>
      <c r="BJ786" t="s">
        <v>2211</v>
      </c>
      <c r="BK786" t="s">
        <v>102</v>
      </c>
      <c r="BL786" t="s">
        <v>2212</v>
      </c>
      <c r="BM786" t="s">
        <v>14991</v>
      </c>
      <c r="BN786">
        <v>34234659</v>
      </c>
      <c r="BO786" t="s">
        <v>355</v>
      </c>
      <c r="BP786" t="s">
        <v>74</v>
      </c>
      <c r="BQ786" t="s">
        <v>74</v>
      </c>
      <c r="BR786" t="s">
        <v>105</v>
      </c>
      <c r="BS786" t="s">
        <v>14992</v>
      </c>
      <c r="BT786" t="str">
        <f>HYPERLINK("https%3A%2F%2Fwww.webofscience.com%2Fwos%2Fwoscc%2Ffull-record%2FWOS:000669459600001","View Full Record in Web of Science")</f>
        <v>View Full Record in Web of Science</v>
      </c>
    </row>
    <row r="787" spans="1:72" x14ac:dyDescent="0.25">
      <c r="A787" t="s">
        <v>72</v>
      </c>
      <c r="B787" t="s">
        <v>14993</v>
      </c>
      <c r="C787" t="s">
        <v>74</v>
      </c>
      <c r="D787" t="s">
        <v>74</v>
      </c>
      <c r="E787" t="s">
        <v>74</v>
      </c>
      <c r="F787" t="s">
        <v>14994</v>
      </c>
      <c r="G787" t="s">
        <v>74</v>
      </c>
      <c r="H787" t="s">
        <v>74</v>
      </c>
      <c r="I787" t="s">
        <v>14995</v>
      </c>
      <c r="J787" t="s">
        <v>288</v>
      </c>
      <c r="K787" t="s">
        <v>74</v>
      </c>
      <c r="L787" t="s">
        <v>74</v>
      </c>
      <c r="M787" t="s">
        <v>78</v>
      </c>
      <c r="N787" t="s">
        <v>79</v>
      </c>
      <c r="O787" t="s">
        <v>74</v>
      </c>
      <c r="P787" t="s">
        <v>74</v>
      </c>
      <c r="Q787" t="s">
        <v>74</v>
      </c>
      <c r="R787" t="s">
        <v>74</v>
      </c>
      <c r="S787" t="s">
        <v>74</v>
      </c>
      <c r="T787" t="s">
        <v>74</v>
      </c>
      <c r="U787" t="s">
        <v>14996</v>
      </c>
      <c r="V787" t="s">
        <v>14997</v>
      </c>
      <c r="W787" t="s">
        <v>14998</v>
      </c>
      <c r="X787" t="s">
        <v>14999</v>
      </c>
      <c r="Y787" t="s">
        <v>15000</v>
      </c>
      <c r="Z787" t="s">
        <v>15001</v>
      </c>
      <c r="AA787" t="s">
        <v>15002</v>
      </c>
      <c r="AB787" t="s">
        <v>15003</v>
      </c>
      <c r="AC787" t="s">
        <v>74</v>
      </c>
      <c r="AD787" t="s">
        <v>74</v>
      </c>
      <c r="AE787" t="s">
        <v>74</v>
      </c>
      <c r="AF787" t="s">
        <v>74</v>
      </c>
      <c r="AG787">
        <v>175</v>
      </c>
      <c r="AH787">
        <v>51</v>
      </c>
      <c r="AI787">
        <v>54</v>
      </c>
      <c r="AJ787">
        <v>7</v>
      </c>
      <c r="AK787">
        <v>63</v>
      </c>
      <c r="AL787" t="s">
        <v>367</v>
      </c>
      <c r="AM787" t="s">
        <v>275</v>
      </c>
      <c r="AN787" t="s">
        <v>368</v>
      </c>
      <c r="AO787" t="s">
        <v>300</v>
      </c>
      <c r="AP787" t="s">
        <v>301</v>
      </c>
      <c r="AQ787" t="s">
        <v>74</v>
      </c>
      <c r="AR787" t="s">
        <v>302</v>
      </c>
      <c r="AS787" t="s">
        <v>303</v>
      </c>
      <c r="AT787" t="s">
        <v>15004</v>
      </c>
      <c r="AU787">
        <v>2021</v>
      </c>
      <c r="AV787">
        <v>2021</v>
      </c>
      <c r="AW787" t="s">
        <v>74</v>
      </c>
      <c r="AX787" t="s">
        <v>74</v>
      </c>
      <c r="AY787" t="s">
        <v>74</v>
      </c>
      <c r="AZ787" t="s">
        <v>74</v>
      </c>
      <c r="BA787" t="s">
        <v>74</v>
      </c>
      <c r="BB787" t="s">
        <v>74</v>
      </c>
      <c r="BC787" t="s">
        <v>74</v>
      </c>
      <c r="BD787">
        <v>9954615</v>
      </c>
      <c r="BE787" t="s">
        <v>15005</v>
      </c>
      <c r="BF787" t="str">
        <f>HYPERLINK("http://dx.doi.org/10.1155/2021/9954615","http://dx.doi.org/10.1155/2021/9954615")</f>
        <v>http://dx.doi.org/10.1155/2021/9954615</v>
      </c>
      <c r="BG787" t="s">
        <v>74</v>
      </c>
      <c r="BH787" t="s">
        <v>74</v>
      </c>
      <c r="BI787">
        <v>16</v>
      </c>
      <c r="BJ787" t="s">
        <v>306</v>
      </c>
      <c r="BK787" t="s">
        <v>182</v>
      </c>
      <c r="BL787" t="s">
        <v>307</v>
      </c>
      <c r="BM787" t="s">
        <v>15006</v>
      </c>
      <c r="BN787">
        <v>34222490</v>
      </c>
      <c r="BO787" t="s">
        <v>662</v>
      </c>
      <c r="BP787" t="s">
        <v>74</v>
      </c>
      <c r="BQ787" t="s">
        <v>74</v>
      </c>
      <c r="BR787" t="s">
        <v>105</v>
      </c>
      <c r="BS787" t="s">
        <v>15007</v>
      </c>
      <c r="BT787" t="str">
        <f>HYPERLINK("https%3A%2F%2Fwww.webofscience.com%2Fwos%2Fwoscc%2Ffull-record%2FWOS:000669553100007","View Full Record in Web of Science")</f>
        <v>View Full Record in Web of Science</v>
      </c>
    </row>
    <row r="788" spans="1:72" x14ac:dyDescent="0.25">
      <c r="A788" t="s">
        <v>72</v>
      </c>
      <c r="B788" t="s">
        <v>15008</v>
      </c>
      <c r="C788" t="s">
        <v>74</v>
      </c>
      <c r="D788" t="s">
        <v>74</v>
      </c>
      <c r="E788" t="s">
        <v>74</v>
      </c>
      <c r="F788" t="s">
        <v>15009</v>
      </c>
      <c r="G788" t="s">
        <v>74</v>
      </c>
      <c r="H788" t="s">
        <v>74</v>
      </c>
      <c r="I788" t="s">
        <v>15010</v>
      </c>
      <c r="J788" t="s">
        <v>594</v>
      </c>
      <c r="K788" t="s">
        <v>74</v>
      </c>
      <c r="L788" t="s">
        <v>74</v>
      </c>
      <c r="M788" t="s">
        <v>78</v>
      </c>
      <c r="N788" t="s">
        <v>79</v>
      </c>
      <c r="O788" t="s">
        <v>74</v>
      </c>
      <c r="P788" t="s">
        <v>74</v>
      </c>
      <c r="Q788" t="s">
        <v>74</v>
      </c>
      <c r="R788" t="s">
        <v>74</v>
      </c>
      <c r="S788" t="s">
        <v>74</v>
      </c>
      <c r="T788" t="s">
        <v>15011</v>
      </c>
      <c r="U788" t="s">
        <v>15012</v>
      </c>
      <c r="V788" t="s">
        <v>15013</v>
      </c>
      <c r="W788" t="s">
        <v>15014</v>
      </c>
      <c r="X788" t="s">
        <v>15015</v>
      </c>
      <c r="Y788" t="s">
        <v>15016</v>
      </c>
      <c r="Z788" t="s">
        <v>12947</v>
      </c>
      <c r="AA788" t="s">
        <v>13579</v>
      </c>
      <c r="AB788" t="s">
        <v>15017</v>
      </c>
      <c r="AC788" t="s">
        <v>15018</v>
      </c>
      <c r="AD788" t="s">
        <v>15019</v>
      </c>
      <c r="AE788" t="s">
        <v>15020</v>
      </c>
      <c r="AF788" t="s">
        <v>74</v>
      </c>
      <c r="AG788">
        <v>90</v>
      </c>
      <c r="AH788">
        <v>72</v>
      </c>
      <c r="AI788">
        <v>75</v>
      </c>
      <c r="AJ788">
        <v>3</v>
      </c>
      <c r="AK788">
        <v>58</v>
      </c>
      <c r="AL788" t="s">
        <v>274</v>
      </c>
      <c r="AM788" t="s">
        <v>275</v>
      </c>
      <c r="AN788" t="s">
        <v>276</v>
      </c>
      <c r="AO788" t="s">
        <v>74</v>
      </c>
      <c r="AP788" t="s">
        <v>606</v>
      </c>
      <c r="AQ788" t="s">
        <v>74</v>
      </c>
      <c r="AR788" t="s">
        <v>607</v>
      </c>
      <c r="AS788" t="s">
        <v>608</v>
      </c>
      <c r="AT788" t="s">
        <v>15021</v>
      </c>
      <c r="AU788">
        <v>2021</v>
      </c>
      <c r="AV788">
        <v>18</v>
      </c>
      <c r="AW788">
        <v>1</v>
      </c>
      <c r="AX788" t="s">
        <v>74</v>
      </c>
      <c r="AY788" t="s">
        <v>74</v>
      </c>
      <c r="AZ788" t="s">
        <v>74</v>
      </c>
      <c r="BA788" t="s">
        <v>74</v>
      </c>
      <c r="BB788" t="s">
        <v>74</v>
      </c>
      <c r="BC788" t="s">
        <v>74</v>
      </c>
      <c r="BD788">
        <v>100</v>
      </c>
      <c r="BE788" t="s">
        <v>15022</v>
      </c>
      <c r="BF788" t="str">
        <f>HYPERLINK("http://dx.doi.org/10.1186/s12984-021-00889-1","http://dx.doi.org/10.1186/s12984-021-00889-1")</f>
        <v>http://dx.doi.org/10.1186/s12984-021-00889-1</v>
      </c>
      <c r="BG788" t="s">
        <v>74</v>
      </c>
      <c r="BH788" t="s">
        <v>74</v>
      </c>
      <c r="BI788">
        <v>16</v>
      </c>
      <c r="BJ788" t="s">
        <v>611</v>
      </c>
      <c r="BK788" t="s">
        <v>102</v>
      </c>
      <c r="BL788" t="s">
        <v>612</v>
      </c>
      <c r="BM788" t="s">
        <v>15023</v>
      </c>
      <c r="BN788">
        <v>34130713</v>
      </c>
      <c r="BO788" t="s">
        <v>355</v>
      </c>
      <c r="BP788" t="s">
        <v>74</v>
      </c>
      <c r="BQ788" t="s">
        <v>74</v>
      </c>
      <c r="BR788" t="s">
        <v>105</v>
      </c>
      <c r="BS788" t="s">
        <v>15024</v>
      </c>
      <c r="BT788" t="str">
        <f>HYPERLINK("https%3A%2F%2Fwww.webofscience.com%2Fwos%2Fwoscc%2Ffull-record%2FWOS:000664512700001","View Full Record in Web of Science")</f>
        <v>View Full Record in Web of Science</v>
      </c>
    </row>
    <row r="789" spans="1:72" x14ac:dyDescent="0.25">
      <c r="A789" t="s">
        <v>72</v>
      </c>
      <c r="B789" t="s">
        <v>15025</v>
      </c>
      <c r="C789" t="s">
        <v>74</v>
      </c>
      <c r="D789" t="s">
        <v>74</v>
      </c>
      <c r="E789" t="s">
        <v>74</v>
      </c>
      <c r="F789" t="s">
        <v>15026</v>
      </c>
      <c r="G789" t="s">
        <v>74</v>
      </c>
      <c r="H789" t="s">
        <v>74</v>
      </c>
      <c r="I789" t="s">
        <v>15027</v>
      </c>
      <c r="J789" t="s">
        <v>8472</v>
      </c>
      <c r="K789" t="s">
        <v>74</v>
      </c>
      <c r="L789" t="s">
        <v>74</v>
      </c>
      <c r="M789" t="s">
        <v>78</v>
      </c>
      <c r="N789" t="s">
        <v>79</v>
      </c>
      <c r="O789" t="s">
        <v>74</v>
      </c>
      <c r="P789" t="s">
        <v>74</v>
      </c>
      <c r="Q789" t="s">
        <v>74</v>
      </c>
      <c r="R789" t="s">
        <v>74</v>
      </c>
      <c r="S789" t="s">
        <v>74</v>
      </c>
      <c r="T789" t="s">
        <v>15028</v>
      </c>
      <c r="U789" t="s">
        <v>15029</v>
      </c>
      <c r="V789" t="s">
        <v>15030</v>
      </c>
      <c r="W789" t="s">
        <v>15031</v>
      </c>
      <c r="X789" t="s">
        <v>74</v>
      </c>
      <c r="Y789" t="s">
        <v>15032</v>
      </c>
      <c r="Z789" t="s">
        <v>74</v>
      </c>
      <c r="AA789" t="s">
        <v>15033</v>
      </c>
      <c r="AB789" t="s">
        <v>15034</v>
      </c>
      <c r="AC789" t="s">
        <v>74</v>
      </c>
      <c r="AD789" t="s">
        <v>74</v>
      </c>
      <c r="AE789" t="s">
        <v>74</v>
      </c>
      <c r="AF789" t="s">
        <v>74</v>
      </c>
      <c r="AG789">
        <v>110</v>
      </c>
      <c r="AH789">
        <v>82</v>
      </c>
      <c r="AI789">
        <v>87</v>
      </c>
      <c r="AJ789">
        <v>35</v>
      </c>
      <c r="AK789">
        <v>328</v>
      </c>
      <c r="AL789" t="s">
        <v>1114</v>
      </c>
      <c r="AM789" t="s">
        <v>1115</v>
      </c>
      <c r="AN789" t="s">
        <v>1116</v>
      </c>
      <c r="AO789" t="s">
        <v>8485</v>
      </c>
      <c r="AP789" t="s">
        <v>8486</v>
      </c>
      <c r="AQ789" t="s">
        <v>74</v>
      </c>
      <c r="AR789" t="s">
        <v>8487</v>
      </c>
      <c r="AS789" t="s">
        <v>8488</v>
      </c>
      <c r="AT789" t="s">
        <v>15021</v>
      </c>
      <c r="AU789">
        <v>2021</v>
      </c>
      <c r="AV789">
        <v>21</v>
      </c>
      <c r="AW789">
        <v>12</v>
      </c>
      <c r="AX789" t="s">
        <v>74</v>
      </c>
      <c r="AY789" t="s">
        <v>74</v>
      </c>
      <c r="AZ789" t="s">
        <v>74</v>
      </c>
      <c r="BA789" t="s">
        <v>74</v>
      </c>
      <c r="BB789">
        <v>13019</v>
      </c>
      <c r="BC789">
        <v>13028</v>
      </c>
      <c r="BD789" t="s">
        <v>74</v>
      </c>
      <c r="BE789" t="s">
        <v>15035</v>
      </c>
      <c r="BF789" t="str">
        <f>HYPERLINK("http://dx.doi.org/10.1109/JSEN.2021.3068521","http://dx.doi.org/10.1109/JSEN.2021.3068521")</f>
        <v>http://dx.doi.org/10.1109/JSEN.2021.3068521</v>
      </c>
      <c r="BG789" t="s">
        <v>74</v>
      </c>
      <c r="BH789" t="s">
        <v>74</v>
      </c>
      <c r="BI789">
        <v>10</v>
      </c>
      <c r="BJ789" t="s">
        <v>8491</v>
      </c>
      <c r="BK789" t="s">
        <v>182</v>
      </c>
      <c r="BL789" t="s">
        <v>8492</v>
      </c>
      <c r="BM789" t="s">
        <v>15036</v>
      </c>
      <c r="BN789" t="s">
        <v>74</v>
      </c>
      <c r="BO789" t="s">
        <v>74</v>
      </c>
      <c r="BP789" t="s">
        <v>74</v>
      </c>
      <c r="BQ789" t="s">
        <v>74</v>
      </c>
      <c r="BR789" t="s">
        <v>105</v>
      </c>
      <c r="BS789" t="s">
        <v>15037</v>
      </c>
      <c r="BT789" t="str">
        <f>HYPERLINK("https%3A%2F%2Fwww.webofscience.com%2Fwos%2Fwoscc%2Ffull-record%2FWOS:000664030600003","View Full Record in Web of Science")</f>
        <v>View Full Record in Web of Science</v>
      </c>
    </row>
    <row r="790" spans="1:72" x14ac:dyDescent="0.25">
      <c r="A790" t="s">
        <v>72</v>
      </c>
      <c r="B790" t="s">
        <v>15038</v>
      </c>
      <c r="C790" t="s">
        <v>74</v>
      </c>
      <c r="D790" t="s">
        <v>74</v>
      </c>
      <c r="E790" t="s">
        <v>74</v>
      </c>
      <c r="F790" t="s">
        <v>15039</v>
      </c>
      <c r="G790" t="s">
        <v>74</v>
      </c>
      <c r="H790" t="s">
        <v>74</v>
      </c>
      <c r="I790" t="s">
        <v>15040</v>
      </c>
      <c r="J790" t="s">
        <v>15041</v>
      </c>
      <c r="K790" t="s">
        <v>74</v>
      </c>
      <c r="L790" t="s">
        <v>74</v>
      </c>
      <c r="M790" t="s">
        <v>78</v>
      </c>
      <c r="N790" t="s">
        <v>79</v>
      </c>
      <c r="O790" t="s">
        <v>74</v>
      </c>
      <c r="P790" t="s">
        <v>74</v>
      </c>
      <c r="Q790" t="s">
        <v>74</v>
      </c>
      <c r="R790" t="s">
        <v>74</v>
      </c>
      <c r="S790" t="s">
        <v>74</v>
      </c>
      <c r="T790" t="s">
        <v>15042</v>
      </c>
      <c r="U790" t="s">
        <v>15043</v>
      </c>
      <c r="V790" t="s">
        <v>15044</v>
      </c>
      <c r="W790" t="s">
        <v>15045</v>
      </c>
      <c r="X790" t="s">
        <v>15046</v>
      </c>
      <c r="Y790" t="s">
        <v>15047</v>
      </c>
      <c r="Z790" t="s">
        <v>15048</v>
      </c>
      <c r="AA790" t="s">
        <v>15049</v>
      </c>
      <c r="AB790" t="s">
        <v>15050</v>
      </c>
      <c r="AC790" t="s">
        <v>15051</v>
      </c>
      <c r="AD790" t="s">
        <v>15052</v>
      </c>
      <c r="AE790" t="s">
        <v>15053</v>
      </c>
      <c r="AF790" t="s">
        <v>74</v>
      </c>
      <c r="AG790">
        <v>61</v>
      </c>
      <c r="AH790">
        <v>3</v>
      </c>
      <c r="AI790">
        <v>3</v>
      </c>
      <c r="AJ790">
        <v>0</v>
      </c>
      <c r="AK790">
        <v>18</v>
      </c>
      <c r="AL790" t="s">
        <v>836</v>
      </c>
      <c r="AM790" t="s">
        <v>532</v>
      </c>
      <c r="AN790" t="s">
        <v>837</v>
      </c>
      <c r="AO790" t="s">
        <v>15054</v>
      </c>
      <c r="AP790" t="s">
        <v>15055</v>
      </c>
      <c r="AQ790" t="s">
        <v>74</v>
      </c>
      <c r="AR790" t="s">
        <v>15056</v>
      </c>
      <c r="AS790" t="s">
        <v>15057</v>
      </c>
      <c r="AT790" t="s">
        <v>634</v>
      </c>
      <c r="AU790">
        <v>2021</v>
      </c>
      <c r="AV790">
        <v>203</v>
      </c>
      <c r="AW790" t="s">
        <v>74</v>
      </c>
      <c r="AX790" t="s">
        <v>74</v>
      </c>
      <c r="AY790" t="s">
        <v>74</v>
      </c>
      <c r="AZ790" t="s">
        <v>74</v>
      </c>
      <c r="BA790" t="s">
        <v>74</v>
      </c>
      <c r="BB790" t="s">
        <v>74</v>
      </c>
      <c r="BC790" t="s">
        <v>74</v>
      </c>
      <c r="BD790">
        <v>102073</v>
      </c>
      <c r="BE790" t="s">
        <v>15058</v>
      </c>
      <c r="BF790" t="str">
        <f>HYPERLINK("http://dx.doi.org/10.1016/j.pneurobio.2021.102073","http://dx.doi.org/10.1016/j.pneurobio.2021.102073")</f>
        <v>http://dx.doi.org/10.1016/j.pneurobio.2021.102073</v>
      </c>
      <c r="BG790" t="s">
        <v>74</v>
      </c>
      <c r="BH790" t="s">
        <v>1072</v>
      </c>
      <c r="BI790">
        <v>10</v>
      </c>
      <c r="BJ790" t="s">
        <v>374</v>
      </c>
      <c r="BK790" t="s">
        <v>182</v>
      </c>
      <c r="BL790" t="s">
        <v>375</v>
      </c>
      <c r="BM790" t="s">
        <v>15059</v>
      </c>
      <c r="BN790">
        <v>33984455</v>
      </c>
      <c r="BO790" t="s">
        <v>662</v>
      </c>
      <c r="BP790" t="s">
        <v>74</v>
      </c>
      <c r="BQ790" t="s">
        <v>74</v>
      </c>
      <c r="BR790" t="s">
        <v>105</v>
      </c>
      <c r="BS790" t="s">
        <v>15060</v>
      </c>
      <c r="BT790" t="str">
        <f>HYPERLINK("https%3A%2F%2Fwww.webofscience.com%2Fwos%2Fwoscc%2Ffull-record%2FWOS:000661942400003","View Full Record in Web of Science")</f>
        <v>View Full Record in Web of Science</v>
      </c>
    </row>
    <row r="791" spans="1:72" x14ac:dyDescent="0.25">
      <c r="A791" t="s">
        <v>72</v>
      </c>
      <c r="B791" t="s">
        <v>15061</v>
      </c>
      <c r="C791" t="s">
        <v>74</v>
      </c>
      <c r="D791" t="s">
        <v>74</v>
      </c>
      <c r="E791" t="s">
        <v>74</v>
      </c>
      <c r="F791" t="s">
        <v>15062</v>
      </c>
      <c r="G791" t="s">
        <v>74</v>
      </c>
      <c r="H791" t="s">
        <v>74</v>
      </c>
      <c r="I791" t="s">
        <v>15063</v>
      </c>
      <c r="J791" t="s">
        <v>243</v>
      </c>
      <c r="K791" t="s">
        <v>74</v>
      </c>
      <c r="L791" t="s">
        <v>74</v>
      </c>
      <c r="M791" t="s">
        <v>78</v>
      </c>
      <c r="N791" t="s">
        <v>79</v>
      </c>
      <c r="O791" t="s">
        <v>74</v>
      </c>
      <c r="P791" t="s">
        <v>74</v>
      </c>
      <c r="Q791" t="s">
        <v>74</v>
      </c>
      <c r="R791" t="s">
        <v>74</v>
      </c>
      <c r="S791" t="s">
        <v>74</v>
      </c>
      <c r="T791" t="s">
        <v>15064</v>
      </c>
      <c r="U791" t="s">
        <v>15065</v>
      </c>
      <c r="V791" t="s">
        <v>15066</v>
      </c>
      <c r="W791" t="s">
        <v>15067</v>
      </c>
      <c r="X791" t="s">
        <v>15068</v>
      </c>
      <c r="Y791" t="s">
        <v>15069</v>
      </c>
      <c r="Z791" t="s">
        <v>15070</v>
      </c>
      <c r="AA791" t="s">
        <v>74</v>
      </c>
      <c r="AB791" t="s">
        <v>15071</v>
      </c>
      <c r="AC791" t="s">
        <v>74</v>
      </c>
      <c r="AD791" t="s">
        <v>74</v>
      </c>
      <c r="AE791" t="s">
        <v>74</v>
      </c>
      <c r="AF791" t="s">
        <v>74</v>
      </c>
      <c r="AG791">
        <v>201</v>
      </c>
      <c r="AH791">
        <v>20</v>
      </c>
      <c r="AI791">
        <v>20</v>
      </c>
      <c r="AJ791">
        <v>6</v>
      </c>
      <c r="AK791">
        <v>39</v>
      </c>
      <c r="AL791" t="s">
        <v>253</v>
      </c>
      <c r="AM791" t="s">
        <v>227</v>
      </c>
      <c r="AN791" t="s">
        <v>254</v>
      </c>
      <c r="AO791" t="s">
        <v>255</v>
      </c>
      <c r="AP791" t="s">
        <v>256</v>
      </c>
      <c r="AQ791" t="s">
        <v>74</v>
      </c>
      <c r="AR791" t="s">
        <v>257</v>
      </c>
      <c r="AS791" t="s">
        <v>258</v>
      </c>
      <c r="AT791" t="s">
        <v>5796</v>
      </c>
      <c r="AU791">
        <v>2023</v>
      </c>
      <c r="AV791">
        <v>18</v>
      </c>
      <c r="AW791">
        <v>6</v>
      </c>
      <c r="AX791" t="s">
        <v>74</v>
      </c>
      <c r="AY791" t="s">
        <v>74</v>
      </c>
      <c r="AZ791" t="s">
        <v>74</v>
      </c>
      <c r="BA791" t="s">
        <v>74</v>
      </c>
      <c r="BB791">
        <v>827</v>
      </c>
      <c r="BC791">
        <v>848</v>
      </c>
      <c r="BD791" t="s">
        <v>74</v>
      </c>
      <c r="BE791" t="s">
        <v>15072</v>
      </c>
      <c r="BF791" t="str">
        <f>HYPERLINK("http://dx.doi.org/10.1080/17483107.2021.1928778","http://dx.doi.org/10.1080/17483107.2021.1928778")</f>
        <v>http://dx.doi.org/10.1080/17483107.2021.1928778</v>
      </c>
      <c r="BG791" t="s">
        <v>74</v>
      </c>
      <c r="BH791" t="s">
        <v>1072</v>
      </c>
      <c r="BI791">
        <v>22</v>
      </c>
      <c r="BJ791" t="s">
        <v>101</v>
      </c>
      <c r="BK791" t="s">
        <v>462</v>
      </c>
      <c r="BL791" t="s">
        <v>101</v>
      </c>
      <c r="BM791" t="s">
        <v>15073</v>
      </c>
      <c r="BN791">
        <v>34133906</v>
      </c>
      <c r="BO791" t="s">
        <v>74</v>
      </c>
      <c r="BP791" t="s">
        <v>74</v>
      </c>
      <c r="BQ791" t="s">
        <v>74</v>
      </c>
      <c r="BR791" t="s">
        <v>105</v>
      </c>
      <c r="BS791" t="s">
        <v>15074</v>
      </c>
      <c r="BT791" t="str">
        <f>HYPERLINK("https%3A%2F%2Fwww.webofscience.com%2Fwos%2Fwoscc%2Ffull-record%2FWOS:000662086100001","View Full Record in Web of Science")</f>
        <v>View Full Record in Web of Science</v>
      </c>
    </row>
    <row r="792" spans="1:72" x14ac:dyDescent="0.25">
      <c r="A792" t="s">
        <v>72</v>
      </c>
      <c r="B792" t="s">
        <v>15075</v>
      </c>
      <c r="C792" t="s">
        <v>74</v>
      </c>
      <c r="D792" t="s">
        <v>74</v>
      </c>
      <c r="E792" t="s">
        <v>74</v>
      </c>
      <c r="F792" t="s">
        <v>15076</v>
      </c>
      <c r="G792" t="s">
        <v>74</v>
      </c>
      <c r="H792" t="s">
        <v>74</v>
      </c>
      <c r="I792" t="s">
        <v>15077</v>
      </c>
      <c r="J792" t="s">
        <v>15078</v>
      </c>
      <c r="K792" t="s">
        <v>74</v>
      </c>
      <c r="L792" t="s">
        <v>74</v>
      </c>
      <c r="M792" t="s">
        <v>78</v>
      </c>
      <c r="N792" t="s">
        <v>79</v>
      </c>
      <c r="O792" t="s">
        <v>74</v>
      </c>
      <c r="P792" t="s">
        <v>74</v>
      </c>
      <c r="Q792" t="s">
        <v>74</v>
      </c>
      <c r="R792" t="s">
        <v>74</v>
      </c>
      <c r="S792" t="s">
        <v>74</v>
      </c>
      <c r="T792" t="s">
        <v>15079</v>
      </c>
      <c r="U792" t="s">
        <v>15080</v>
      </c>
      <c r="V792" t="s">
        <v>15081</v>
      </c>
      <c r="W792" t="s">
        <v>15082</v>
      </c>
      <c r="X792" t="s">
        <v>15083</v>
      </c>
      <c r="Y792" t="s">
        <v>15084</v>
      </c>
      <c r="Z792" t="s">
        <v>15085</v>
      </c>
      <c r="AA792" t="s">
        <v>15086</v>
      </c>
      <c r="AB792" t="s">
        <v>15087</v>
      </c>
      <c r="AC792" t="s">
        <v>15088</v>
      </c>
      <c r="AD792" t="s">
        <v>15089</v>
      </c>
      <c r="AE792" t="s">
        <v>15090</v>
      </c>
      <c r="AF792" t="s">
        <v>74</v>
      </c>
      <c r="AG792">
        <v>817</v>
      </c>
      <c r="AH792">
        <v>107</v>
      </c>
      <c r="AI792">
        <v>108</v>
      </c>
      <c r="AJ792">
        <v>22</v>
      </c>
      <c r="AK792">
        <v>225</v>
      </c>
      <c r="AL792" t="s">
        <v>1605</v>
      </c>
      <c r="AM792" t="s">
        <v>1606</v>
      </c>
      <c r="AN792" t="s">
        <v>1607</v>
      </c>
      <c r="AO792" t="s">
        <v>15091</v>
      </c>
      <c r="AP792" t="s">
        <v>15092</v>
      </c>
      <c r="AQ792" t="s">
        <v>74</v>
      </c>
      <c r="AR792" t="s">
        <v>15093</v>
      </c>
      <c r="AS792" t="s">
        <v>15094</v>
      </c>
      <c r="AT792" t="s">
        <v>15095</v>
      </c>
      <c r="AU792">
        <v>2021</v>
      </c>
      <c r="AV792">
        <v>918</v>
      </c>
      <c r="AW792" t="s">
        <v>74</v>
      </c>
      <c r="AX792" t="s">
        <v>74</v>
      </c>
      <c r="AY792" t="s">
        <v>74</v>
      </c>
      <c r="AZ792" t="s">
        <v>152</v>
      </c>
      <c r="BA792" t="s">
        <v>74</v>
      </c>
      <c r="BB792">
        <v>1</v>
      </c>
      <c r="BC792">
        <v>133</v>
      </c>
      <c r="BD792" t="s">
        <v>74</v>
      </c>
      <c r="BE792" t="s">
        <v>15096</v>
      </c>
      <c r="BF792" t="str">
        <f>HYPERLINK("http://dx.doi.org/10.1016/j.physrep.2021.03.002","http://dx.doi.org/10.1016/j.physrep.2021.03.002")</f>
        <v>http://dx.doi.org/10.1016/j.physrep.2021.03.002</v>
      </c>
      <c r="BG792" t="s">
        <v>74</v>
      </c>
      <c r="BH792" t="s">
        <v>1072</v>
      </c>
      <c r="BI792">
        <v>133</v>
      </c>
      <c r="BJ792" t="s">
        <v>7980</v>
      </c>
      <c r="BK792" t="s">
        <v>182</v>
      </c>
      <c r="BL792" t="s">
        <v>7981</v>
      </c>
      <c r="BM792" t="s">
        <v>15097</v>
      </c>
      <c r="BN792" t="s">
        <v>74</v>
      </c>
      <c r="BO792" t="s">
        <v>74</v>
      </c>
      <c r="BP792" t="s">
        <v>74</v>
      </c>
      <c r="BQ792" t="s">
        <v>74</v>
      </c>
      <c r="BR792" t="s">
        <v>105</v>
      </c>
      <c r="BS792" t="s">
        <v>15098</v>
      </c>
      <c r="BT792" t="str">
        <f>HYPERLINK("https%3A%2F%2Fwww.webofscience.com%2Fwos%2Fwoscc%2Ffull-record%2FWOS:000659886000001","View Full Record in Web of Science")</f>
        <v>View Full Record in Web of Science</v>
      </c>
    </row>
    <row r="793" spans="1:72" x14ac:dyDescent="0.25">
      <c r="A793" t="s">
        <v>72</v>
      </c>
      <c r="B793" t="s">
        <v>15099</v>
      </c>
      <c r="C793" t="s">
        <v>74</v>
      </c>
      <c r="D793" t="s">
        <v>74</v>
      </c>
      <c r="E793" t="s">
        <v>74</v>
      </c>
      <c r="F793" t="s">
        <v>15100</v>
      </c>
      <c r="G793" t="s">
        <v>74</v>
      </c>
      <c r="H793" t="s">
        <v>74</v>
      </c>
      <c r="I793" t="s">
        <v>15101</v>
      </c>
      <c r="J793" t="s">
        <v>15102</v>
      </c>
      <c r="K793" t="s">
        <v>74</v>
      </c>
      <c r="L793" t="s">
        <v>74</v>
      </c>
      <c r="M793" t="s">
        <v>78</v>
      </c>
      <c r="N793" t="s">
        <v>79</v>
      </c>
      <c r="O793" t="s">
        <v>74</v>
      </c>
      <c r="P793" t="s">
        <v>74</v>
      </c>
      <c r="Q793" t="s">
        <v>74</v>
      </c>
      <c r="R793" t="s">
        <v>74</v>
      </c>
      <c r="S793" t="s">
        <v>74</v>
      </c>
      <c r="T793" t="s">
        <v>74</v>
      </c>
      <c r="U793" t="s">
        <v>15103</v>
      </c>
      <c r="V793" t="s">
        <v>15104</v>
      </c>
      <c r="W793" t="s">
        <v>15105</v>
      </c>
      <c r="X793" t="s">
        <v>364</v>
      </c>
      <c r="Y793" t="s">
        <v>15106</v>
      </c>
      <c r="Z793" t="s">
        <v>15107</v>
      </c>
      <c r="AA793" t="s">
        <v>74</v>
      </c>
      <c r="AB793" t="s">
        <v>15108</v>
      </c>
      <c r="AC793" t="s">
        <v>15109</v>
      </c>
      <c r="AD793" t="s">
        <v>15109</v>
      </c>
      <c r="AE793" t="s">
        <v>15110</v>
      </c>
      <c r="AF793" t="s">
        <v>74</v>
      </c>
      <c r="AG793">
        <v>39</v>
      </c>
      <c r="AH793">
        <v>10</v>
      </c>
      <c r="AI793">
        <v>10</v>
      </c>
      <c r="AJ793">
        <v>0</v>
      </c>
      <c r="AK793">
        <v>6</v>
      </c>
      <c r="AL793" t="s">
        <v>996</v>
      </c>
      <c r="AM793" t="s">
        <v>275</v>
      </c>
      <c r="AN793" t="s">
        <v>997</v>
      </c>
      <c r="AO793" t="s">
        <v>15111</v>
      </c>
      <c r="AP793" t="s">
        <v>15112</v>
      </c>
      <c r="AQ793" t="s">
        <v>74</v>
      </c>
      <c r="AR793" t="s">
        <v>15102</v>
      </c>
      <c r="AS793" t="s">
        <v>15113</v>
      </c>
      <c r="AT793" t="s">
        <v>1734</v>
      </c>
      <c r="AU793">
        <v>2021</v>
      </c>
      <c r="AV793">
        <v>59</v>
      </c>
      <c r="AW793">
        <v>7</v>
      </c>
      <c r="AX793" t="s">
        <v>74</v>
      </c>
      <c r="AY793" t="s">
        <v>74</v>
      </c>
      <c r="AZ793" t="s">
        <v>74</v>
      </c>
      <c r="BA793" t="s">
        <v>74</v>
      </c>
      <c r="BB793">
        <v>705</v>
      </c>
      <c r="BC793">
        <v>715</v>
      </c>
      <c r="BD793" t="s">
        <v>74</v>
      </c>
      <c r="BE793" t="s">
        <v>15114</v>
      </c>
      <c r="BF793" t="str">
        <f>HYPERLINK("http://dx.doi.org/10.1038/s41393-021-00638-0","http://dx.doi.org/10.1038/s41393-021-00638-0")</f>
        <v>http://dx.doi.org/10.1038/s41393-021-00638-0</v>
      </c>
      <c r="BG793" t="s">
        <v>74</v>
      </c>
      <c r="BH793" t="s">
        <v>1072</v>
      </c>
      <c r="BI793">
        <v>11</v>
      </c>
      <c r="BJ793" t="s">
        <v>1049</v>
      </c>
      <c r="BK793" t="s">
        <v>182</v>
      </c>
      <c r="BL793" t="s">
        <v>1050</v>
      </c>
      <c r="BM793" t="s">
        <v>15115</v>
      </c>
      <c r="BN793">
        <v>34099880</v>
      </c>
      <c r="BO793" t="s">
        <v>1052</v>
      </c>
      <c r="BP793" t="s">
        <v>74</v>
      </c>
      <c r="BQ793" t="s">
        <v>74</v>
      </c>
      <c r="BR793" t="s">
        <v>105</v>
      </c>
      <c r="BS793" t="s">
        <v>15116</v>
      </c>
      <c r="BT793" t="str">
        <f>HYPERLINK("https%3A%2F%2Fwww.webofscience.com%2Fwos%2Fwoscc%2Ffull-record%2FWOS:000658685400001","View Full Record in Web of Science")</f>
        <v>View Full Record in Web of Science</v>
      </c>
    </row>
    <row r="794" spans="1:72" x14ac:dyDescent="0.25">
      <c r="A794" t="s">
        <v>72</v>
      </c>
      <c r="B794" t="s">
        <v>15117</v>
      </c>
      <c r="C794" t="s">
        <v>74</v>
      </c>
      <c r="D794" t="s">
        <v>74</v>
      </c>
      <c r="E794" t="s">
        <v>74</v>
      </c>
      <c r="F794" t="s">
        <v>15118</v>
      </c>
      <c r="G794" t="s">
        <v>74</v>
      </c>
      <c r="H794" t="s">
        <v>14263</v>
      </c>
      <c r="I794" t="s">
        <v>15119</v>
      </c>
      <c r="J794" t="s">
        <v>190</v>
      </c>
      <c r="K794" t="s">
        <v>74</v>
      </c>
      <c r="L794" t="s">
        <v>74</v>
      </c>
      <c r="M794" t="s">
        <v>78</v>
      </c>
      <c r="N794" t="s">
        <v>79</v>
      </c>
      <c r="O794" t="s">
        <v>74</v>
      </c>
      <c r="P794" t="s">
        <v>74</v>
      </c>
      <c r="Q794" t="s">
        <v>74</v>
      </c>
      <c r="R794" t="s">
        <v>74</v>
      </c>
      <c r="S794" t="s">
        <v>74</v>
      </c>
      <c r="T794" t="s">
        <v>15120</v>
      </c>
      <c r="U794" t="s">
        <v>15121</v>
      </c>
      <c r="V794" t="s">
        <v>15122</v>
      </c>
      <c r="W794" t="s">
        <v>15123</v>
      </c>
      <c r="X794" t="s">
        <v>15124</v>
      </c>
      <c r="Y794" t="s">
        <v>15125</v>
      </c>
      <c r="Z794" t="s">
        <v>1766</v>
      </c>
      <c r="AA794" t="s">
        <v>15126</v>
      </c>
      <c r="AB794" t="s">
        <v>15127</v>
      </c>
      <c r="AC794" t="s">
        <v>74</v>
      </c>
      <c r="AD794" t="s">
        <v>74</v>
      </c>
      <c r="AE794" t="s">
        <v>74</v>
      </c>
      <c r="AF794" t="s">
        <v>74</v>
      </c>
      <c r="AG794">
        <v>56</v>
      </c>
      <c r="AH794">
        <v>63</v>
      </c>
      <c r="AI794">
        <v>65</v>
      </c>
      <c r="AJ794">
        <v>5</v>
      </c>
      <c r="AK794">
        <v>44</v>
      </c>
      <c r="AL794" t="s">
        <v>202</v>
      </c>
      <c r="AM794" t="s">
        <v>203</v>
      </c>
      <c r="AN794" t="s">
        <v>204</v>
      </c>
      <c r="AO794" t="s">
        <v>205</v>
      </c>
      <c r="AP794" t="s">
        <v>206</v>
      </c>
      <c r="AQ794" t="s">
        <v>74</v>
      </c>
      <c r="AR794" t="s">
        <v>207</v>
      </c>
      <c r="AS794" t="s">
        <v>208</v>
      </c>
      <c r="AT794" t="s">
        <v>1070</v>
      </c>
      <c r="AU794">
        <v>2021</v>
      </c>
      <c r="AV794">
        <v>57</v>
      </c>
      <c r="AW794">
        <v>3</v>
      </c>
      <c r="AX794" t="s">
        <v>74</v>
      </c>
      <c r="AY794" t="s">
        <v>74</v>
      </c>
      <c r="AZ794" t="s">
        <v>74</v>
      </c>
      <c r="BA794" t="s">
        <v>74</v>
      </c>
      <c r="BB794">
        <v>460</v>
      </c>
      <c r="BC794">
        <v>471</v>
      </c>
      <c r="BD794" t="s">
        <v>74</v>
      </c>
      <c r="BE794" t="s">
        <v>15128</v>
      </c>
      <c r="BF794" t="str">
        <f>HYPERLINK("http://dx.doi.org/10.23736/S1973-9087.21.06887-8","http://dx.doi.org/10.23736/S1973-9087.21.06887-8")</f>
        <v>http://dx.doi.org/10.23736/S1973-9087.21.06887-8</v>
      </c>
      <c r="BG794" t="s">
        <v>74</v>
      </c>
      <c r="BH794" t="s">
        <v>74</v>
      </c>
      <c r="BI794">
        <v>12</v>
      </c>
      <c r="BJ794" t="s">
        <v>101</v>
      </c>
      <c r="BK794" t="s">
        <v>182</v>
      </c>
      <c r="BL794" t="s">
        <v>101</v>
      </c>
      <c r="BM794" t="s">
        <v>15129</v>
      </c>
      <c r="BN794">
        <v>33947828</v>
      </c>
      <c r="BO794" t="s">
        <v>74</v>
      </c>
      <c r="BP794" t="s">
        <v>74</v>
      </c>
      <c r="BQ794" t="s">
        <v>74</v>
      </c>
      <c r="BR794" t="s">
        <v>105</v>
      </c>
      <c r="BS794" t="s">
        <v>15130</v>
      </c>
      <c r="BT794" t="str">
        <f>HYPERLINK("https%3A%2F%2Fwww.webofscience.com%2Fwos%2Fwoscc%2Ffull-record%2FWOS:000675699800018","View Full Record in Web of Science")</f>
        <v>View Full Record in Web of Science</v>
      </c>
    </row>
    <row r="795" spans="1:72" x14ac:dyDescent="0.25">
      <c r="A795" t="s">
        <v>72</v>
      </c>
      <c r="B795" t="s">
        <v>15131</v>
      </c>
      <c r="C795" t="s">
        <v>74</v>
      </c>
      <c r="D795" t="s">
        <v>74</v>
      </c>
      <c r="E795" t="s">
        <v>74</v>
      </c>
      <c r="F795" t="s">
        <v>15132</v>
      </c>
      <c r="G795" t="s">
        <v>74</v>
      </c>
      <c r="H795" t="s">
        <v>74</v>
      </c>
      <c r="I795" t="s">
        <v>15133</v>
      </c>
      <c r="J795" t="s">
        <v>110</v>
      </c>
      <c r="K795" t="s">
        <v>74</v>
      </c>
      <c r="L795" t="s">
        <v>74</v>
      </c>
      <c r="M795" t="s">
        <v>78</v>
      </c>
      <c r="N795" t="s">
        <v>79</v>
      </c>
      <c r="O795" t="s">
        <v>74</v>
      </c>
      <c r="P795" t="s">
        <v>74</v>
      </c>
      <c r="Q795" t="s">
        <v>74</v>
      </c>
      <c r="R795" t="s">
        <v>74</v>
      </c>
      <c r="S795" t="s">
        <v>74</v>
      </c>
      <c r="T795" t="s">
        <v>15134</v>
      </c>
      <c r="U795" t="s">
        <v>15135</v>
      </c>
      <c r="V795" t="s">
        <v>15136</v>
      </c>
      <c r="W795" t="s">
        <v>15137</v>
      </c>
      <c r="X795" t="s">
        <v>15138</v>
      </c>
      <c r="Y795" t="s">
        <v>15139</v>
      </c>
      <c r="Z795" t="s">
        <v>15140</v>
      </c>
      <c r="AA795" t="s">
        <v>15141</v>
      </c>
      <c r="AB795" t="s">
        <v>15142</v>
      </c>
      <c r="AC795" t="s">
        <v>74</v>
      </c>
      <c r="AD795" t="s">
        <v>74</v>
      </c>
      <c r="AE795" t="s">
        <v>74</v>
      </c>
      <c r="AF795" t="s">
        <v>74</v>
      </c>
      <c r="AG795">
        <v>100</v>
      </c>
      <c r="AH795">
        <v>25</v>
      </c>
      <c r="AI795">
        <v>25</v>
      </c>
      <c r="AJ795">
        <v>0</v>
      </c>
      <c r="AK795">
        <v>10</v>
      </c>
      <c r="AL795" t="s">
        <v>120</v>
      </c>
      <c r="AM795" t="s">
        <v>121</v>
      </c>
      <c r="AN795" t="s">
        <v>122</v>
      </c>
      <c r="AO795" t="s">
        <v>74</v>
      </c>
      <c r="AP795" t="s">
        <v>123</v>
      </c>
      <c r="AQ795" t="s">
        <v>74</v>
      </c>
      <c r="AR795" t="s">
        <v>124</v>
      </c>
      <c r="AS795" t="s">
        <v>125</v>
      </c>
      <c r="AT795" t="s">
        <v>1070</v>
      </c>
      <c r="AU795">
        <v>2021</v>
      </c>
      <c r="AV795">
        <v>10</v>
      </c>
      <c r="AW795">
        <v>11</v>
      </c>
      <c r="AX795" t="s">
        <v>74</v>
      </c>
      <c r="AY795" t="s">
        <v>74</v>
      </c>
      <c r="AZ795" t="s">
        <v>74</v>
      </c>
      <c r="BA795" t="s">
        <v>74</v>
      </c>
      <c r="BB795" t="s">
        <v>74</v>
      </c>
      <c r="BC795" t="s">
        <v>74</v>
      </c>
      <c r="BD795">
        <v>2328</v>
      </c>
      <c r="BE795" t="s">
        <v>15143</v>
      </c>
      <c r="BF795" t="str">
        <f>HYPERLINK("http://dx.doi.org/10.3390/jcm10112328","http://dx.doi.org/10.3390/jcm10112328")</f>
        <v>http://dx.doi.org/10.3390/jcm10112328</v>
      </c>
      <c r="BG795" t="s">
        <v>74</v>
      </c>
      <c r="BH795" t="s">
        <v>74</v>
      </c>
      <c r="BI795">
        <v>14</v>
      </c>
      <c r="BJ795" t="s">
        <v>128</v>
      </c>
      <c r="BK795" t="s">
        <v>182</v>
      </c>
      <c r="BL795" t="s">
        <v>129</v>
      </c>
      <c r="BM795" t="s">
        <v>15144</v>
      </c>
      <c r="BN795">
        <v>34073464</v>
      </c>
      <c r="BO795" t="s">
        <v>355</v>
      </c>
      <c r="BP795" t="s">
        <v>74</v>
      </c>
      <c r="BQ795" t="s">
        <v>74</v>
      </c>
      <c r="BR795" t="s">
        <v>105</v>
      </c>
      <c r="BS795" t="s">
        <v>15145</v>
      </c>
      <c r="BT795" t="str">
        <f>HYPERLINK("https%3A%2F%2Fwww.webofscience.com%2Fwos%2Fwoscc%2Ffull-record%2FWOS:000660217400001","View Full Record in Web of Science")</f>
        <v>View Full Record in Web of Science</v>
      </c>
    </row>
    <row r="796" spans="1:72" x14ac:dyDescent="0.25">
      <c r="A796" t="s">
        <v>72</v>
      </c>
      <c r="B796" t="s">
        <v>15146</v>
      </c>
      <c r="C796" t="s">
        <v>74</v>
      </c>
      <c r="D796" t="s">
        <v>74</v>
      </c>
      <c r="E796" t="s">
        <v>74</v>
      </c>
      <c r="F796" t="s">
        <v>15147</v>
      </c>
      <c r="G796" t="s">
        <v>74</v>
      </c>
      <c r="H796" t="s">
        <v>74</v>
      </c>
      <c r="I796" t="s">
        <v>15148</v>
      </c>
      <c r="J796" t="s">
        <v>13376</v>
      </c>
      <c r="K796" t="s">
        <v>74</v>
      </c>
      <c r="L796" t="s">
        <v>74</v>
      </c>
      <c r="M796" t="s">
        <v>78</v>
      </c>
      <c r="N796" t="s">
        <v>79</v>
      </c>
      <c r="O796" t="s">
        <v>74</v>
      </c>
      <c r="P796" t="s">
        <v>74</v>
      </c>
      <c r="Q796" t="s">
        <v>74</v>
      </c>
      <c r="R796" t="s">
        <v>74</v>
      </c>
      <c r="S796" t="s">
        <v>74</v>
      </c>
      <c r="T796" t="s">
        <v>15149</v>
      </c>
      <c r="U796" t="s">
        <v>15150</v>
      </c>
      <c r="V796" t="s">
        <v>15151</v>
      </c>
      <c r="W796" t="s">
        <v>15152</v>
      </c>
      <c r="X796" t="s">
        <v>15153</v>
      </c>
      <c r="Y796" t="s">
        <v>15154</v>
      </c>
      <c r="Z796" t="s">
        <v>15155</v>
      </c>
      <c r="AA796" t="s">
        <v>15156</v>
      </c>
      <c r="AB796" t="s">
        <v>15157</v>
      </c>
      <c r="AC796" t="s">
        <v>15158</v>
      </c>
      <c r="AD796" t="s">
        <v>15159</v>
      </c>
      <c r="AE796" t="s">
        <v>15160</v>
      </c>
      <c r="AF796" t="s">
        <v>74</v>
      </c>
      <c r="AG796">
        <v>127</v>
      </c>
      <c r="AH796">
        <v>8</v>
      </c>
      <c r="AI796">
        <v>9</v>
      </c>
      <c r="AJ796">
        <v>32</v>
      </c>
      <c r="AK796">
        <v>385</v>
      </c>
      <c r="AL796" t="s">
        <v>120</v>
      </c>
      <c r="AM796" t="s">
        <v>121</v>
      </c>
      <c r="AN796" t="s">
        <v>122</v>
      </c>
      <c r="AO796" t="s">
        <v>74</v>
      </c>
      <c r="AP796" t="s">
        <v>13389</v>
      </c>
      <c r="AQ796" t="s">
        <v>74</v>
      </c>
      <c r="AR796" t="s">
        <v>13390</v>
      </c>
      <c r="AS796" t="s">
        <v>13391</v>
      </c>
      <c r="AT796" t="s">
        <v>1070</v>
      </c>
      <c r="AU796">
        <v>2021</v>
      </c>
      <c r="AV796">
        <v>10</v>
      </c>
      <c r="AW796">
        <v>11</v>
      </c>
      <c r="AX796" t="s">
        <v>74</v>
      </c>
      <c r="AY796" t="s">
        <v>74</v>
      </c>
      <c r="AZ796" t="s">
        <v>74</v>
      </c>
      <c r="BA796" t="s">
        <v>74</v>
      </c>
      <c r="BB796" t="s">
        <v>74</v>
      </c>
      <c r="BC796" t="s">
        <v>74</v>
      </c>
      <c r="BD796">
        <v>1278</v>
      </c>
      <c r="BE796" t="s">
        <v>15161</v>
      </c>
      <c r="BF796" t="str">
        <f>HYPERLINK("http://dx.doi.org/10.3390/electronics10111278","http://dx.doi.org/10.3390/electronics10111278")</f>
        <v>http://dx.doi.org/10.3390/electronics10111278</v>
      </c>
      <c r="BG796" t="s">
        <v>74</v>
      </c>
      <c r="BH796" t="s">
        <v>74</v>
      </c>
      <c r="BI796">
        <v>24</v>
      </c>
      <c r="BJ796" t="s">
        <v>13393</v>
      </c>
      <c r="BK796" t="s">
        <v>102</v>
      </c>
      <c r="BL796" t="s">
        <v>13394</v>
      </c>
      <c r="BM796" t="s">
        <v>15162</v>
      </c>
      <c r="BN796" t="s">
        <v>74</v>
      </c>
      <c r="BO796" t="s">
        <v>185</v>
      </c>
      <c r="BP796" t="s">
        <v>74</v>
      </c>
      <c r="BQ796" t="s">
        <v>74</v>
      </c>
      <c r="BR796" t="s">
        <v>105</v>
      </c>
      <c r="BS796" t="s">
        <v>15163</v>
      </c>
      <c r="BT796" t="str">
        <f>HYPERLINK("https%3A%2F%2Fwww.webofscience.com%2Fwos%2Fwoscc%2Ffull-record%2FWOS:000659653300001","View Full Record in Web of Science")</f>
        <v>View Full Record in Web of Science</v>
      </c>
    </row>
    <row r="797" spans="1:72" x14ac:dyDescent="0.25">
      <c r="A797" t="s">
        <v>72</v>
      </c>
      <c r="B797" t="s">
        <v>15164</v>
      </c>
      <c r="C797" t="s">
        <v>74</v>
      </c>
      <c r="D797" t="s">
        <v>74</v>
      </c>
      <c r="E797" t="s">
        <v>74</v>
      </c>
      <c r="F797" t="s">
        <v>15165</v>
      </c>
      <c r="G797" t="s">
        <v>74</v>
      </c>
      <c r="H797" t="s">
        <v>74</v>
      </c>
      <c r="I797" t="s">
        <v>15166</v>
      </c>
      <c r="J797" t="s">
        <v>15167</v>
      </c>
      <c r="K797" t="s">
        <v>74</v>
      </c>
      <c r="L797" t="s">
        <v>74</v>
      </c>
      <c r="M797" t="s">
        <v>78</v>
      </c>
      <c r="N797" t="s">
        <v>79</v>
      </c>
      <c r="O797" t="s">
        <v>74</v>
      </c>
      <c r="P797" t="s">
        <v>74</v>
      </c>
      <c r="Q797" t="s">
        <v>74</v>
      </c>
      <c r="R797" t="s">
        <v>74</v>
      </c>
      <c r="S797" t="s">
        <v>74</v>
      </c>
      <c r="T797" t="s">
        <v>15168</v>
      </c>
      <c r="U797" t="s">
        <v>74</v>
      </c>
      <c r="V797" t="s">
        <v>15169</v>
      </c>
      <c r="W797" t="s">
        <v>15170</v>
      </c>
      <c r="X797" t="s">
        <v>15171</v>
      </c>
      <c r="Y797" t="s">
        <v>15172</v>
      </c>
      <c r="Z797" t="s">
        <v>15173</v>
      </c>
      <c r="AA797" t="s">
        <v>15174</v>
      </c>
      <c r="AB797" t="s">
        <v>74</v>
      </c>
      <c r="AC797" t="s">
        <v>74</v>
      </c>
      <c r="AD797" t="s">
        <v>74</v>
      </c>
      <c r="AE797" t="s">
        <v>74</v>
      </c>
      <c r="AF797" t="s">
        <v>74</v>
      </c>
      <c r="AG797">
        <v>2</v>
      </c>
      <c r="AH797">
        <v>1</v>
      </c>
      <c r="AI797">
        <v>1</v>
      </c>
      <c r="AJ797">
        <v>3</v>
      </c>
      <c r="AK797">
        <v>7</v>
      </c>
      <c r="AL797" t="s">
        <v>15175</v>
      </c>
      <c r="AM797" t="s">
        <v>8745</v>
      </c>
      <c r="AN797" t="s">
        <v>15176</v>
      </c>
      <c r="AO797" t="s">
        <v>74</v>
      </c>
      <c r="AP797" t="s">
        <v>15177</v>
      </c>
      <c r="AQ797" t="s">
        <v>74</v>
      </c>
      <c r="AR797" t="s">
        <v>15167</v>
      </c>
      <c r="AS797" t="s">
        <v>15178</v>
      </c>
      <c r="AT797" t="s">
        <v>1070</v>
      </c>
      <c r="AU797">
        <v>2021</v>
      </c>
      <c r="AV797">
        <v>2</v>
      </c>
      <c r="AW797">
        <v>2</v>
      </c>
      <c r="AX797" t="s">
        <v>74</v>
      </c>
      <c r="AY797" t="s">
        <v>74</v>
      </c>
      <c r="AZ797" t="s">
        <v>74</v>
      </c>
      <c r="BA797" t="s">
        <v>74</v>
      </c>
      <c r="BB797">
        <v>95</v>
      </c>
      <c r="BC797">
        <v>96</v>
      </c>
      <c r="BD797" t="s">
        <v>74</v>
      </c>
      <c r="BE797" t="s">
        <v>15179</v>
      </c>
      <c r="BF797" t="str">
        <f>HYPERLINK("http://dx.doi.org/10.1016/j.hest.2021.05.002","http://dx.doi.org/10.1016/j.hest.2021.05.002")</f>
        <v>http://dx.doi.org/10.1016/j.hest.2021.05.002</v>
      </c>
      <c r="BG797" t="s">
        <v>74</v>
      </c>
      <c r="BH797" t="s">
        <v>74</v>
      </c>
      <c r="BI797">
        <v>2</v>
      </c>
      <c r="BJ797" t="s">
        <v>541</v>
      </c>
      <c r="BK797" t="s">
        <v>155</v>
      </c>
      <c r="BL797" t="s">
        <v>375</v>
      </c>
      <c r="BM797" t="s">
        <v>15180</v>
      </c>
      <c r="BN797" t="s">
        <v>74</v>
      </c>
      <c r="BO797" t="s">
        <v>185</v>
      </c>
      <c r="BP797" t="s">
        <v>74</v>
      </c>
      <c r="BQ797" t="s">
        <v>74</v>
      </c>
      <c r="BR797" t="s">
        <v>105</v>
      </c>
      <c r="BS797" t="s">
        <v>15181</v>
      </c>
      <c r="BT797" t="str">
        <f>HYPERLINK("https%3A%2F%2Fwww.webofscience.com%2Fwos%2Fwoscc%2Ffull-record%2FWOS:001128726600001","View Full Record in Web of Science")</f>
        <v>View Full Record in Web of Science</v>
      </c>
    </row>
    <row r="798" spans="1:72" x14ac:dyDescent="0.25">
      <c r="A798" t="s">
        <v>72</v>
      </c>
      <c r="B798" t="s">
        <v>15182</v>
      </c>
      <c r="C798" t="s">
        <v>74</v>
      </c>
      <c r="D798" t="s">
        <v>74</v>
      </c>
      <c r="E798" t="s">
        <v>74</v>
      </c>
      <c r="F798" t="s">
        <v>15183</v>
      </c>
      <c r="G798" t="s">
        <v>74</v>
      </c>
      <c r="H798" t="s">
        <v>74</v>
      </c>
      <c r="I798" t="s">
        <v>15184</v>
      </c>
      <c r="J798" t="s">
        <v>190</v>
      </c>
      <c r="K798" t="s">
        <v>74</v>
      </c>
      <c r="L798" t="s">
        <v>74</v>
      </c>
      <c r="M798" t="s">
        <v>78</v>
      </c>
      <c r="N798" t="s">
        <v>79</v>
      </c>
      <c r="O798" t="s">
        <v>74</v>
      </c>
      <c r="P798" t="s">
        <v>74</v>
      </c>
      <c r="Q798" t="s">
        <v>74</v>
      </c>
      <c r="R798" t="s">
        <v>74</v>
      </c>
      <c r="S798" t="s">
        <v>74</v>
      </c>
      <c r="T798" t="s">
        <v>15185</v>
      </c>
      <c r="U798" t="s">
        <v>15186</v>
      </c>
      <c r="V798" t="s">
        <v>15187</v>
      </c>
      <c r="W798" t="s">
        <v>15188</v>
      </c>
      <c r="X798" t="s">
        <v>15189</v>
      </c>
      <c r="Y798" t="s">
        <v>15190</v>
      </c>
      <c r="Z798" t="s">
        <v>15191</v>
      </c>
      <c r="AA798" t="s">
        <v>15192</v>
      </c>
      <c r="AB798" t="s">
        <v>15193</v>
      </c>
      <c r="AC798" t="s">
        <v>15194</v>
      </c>
      <c r="AD798" t="s">
        <v>15194</v>
      </c>
      <c r="AE798" t="s">
        <v>15195</v>
      </c>
      <c r="AF798" t="s">
        <v>74</v>
      </c>
      <c r="AG798">
        <v>40</v>
      </c>
      <c r="AH798">
        <v>23</v>
      </c>
      <c r="AI798">
        <v>24</v>
      </c>
      <c r="AJ798">
        <v>5</v>
      </c>
      <c r="AK798">
        <v>38</v>
      </c>
      <c r="AL798" t="s">
        <v>202</v>
      </c>
      <c r="AM798" t="s">
        <v>203</v>
      </c>
      <c r="AN798" t="s">
        <v>204</v>
      </c>
      <c r="AO798" t="s">
        <v>205</v>
      </c>
      <c r="AP798" t="s">
        <v>206</v>
      </c>
      <c r="AQ798" t="s">
        <v>74</v>
      </c>
      <c r="AR798" t="s">
        <v>207</v>
      </c>
      <c r="AS798" t="s">
        <v>208</v>
      </c>
      <c r="AT798" t="s">
        <v>1070</v>
      </c>
      <c r="AU798">
        <v>2021</v>
      </c>
      <c r="AV798">
        <v>57</v>
      </c>
      <c r="AW798">
        <v>3</v>
      </c>
      <c r="AX798" t="s">
        <v>74</v>
      </c>
      <c r="AY798" t="s">
        <v>74</v>
      </c>
      <c r="AZ798" t="s">
        <v>74</v>
      </c>
      <c r="BA798" t="s">
        <v>74</v>
      </c>
      <c r="BB798">
        <v>472</v>
      </c>
      <c r="BC798">
        <v>477</v>
      </c>
      <c r="BD798" t="s">
        <v>74</v>
      </c>
      <c r="BE798" t="s">
        <v>15196</v>
      </c>
      <c r="BF798" t="str">
        <f>HYPERLINK("http://dx.doi.org/10.23736/S1973-9087.21.06939-2","http://dx.doi.org/10.23736/S1973-9087.21.06939-2")</f>
        <v>http://dx.doi.org/10.23736/S1973-9087.21.06939-2</v>
      </c>
      <c r="BG798" t="s">
        <v>74</v>
      </c>
      <c r="BH798" t="s">
        <v>74</v>
      </c>
      <c r="BI798">
        <v>6</v>
      </c>
      <c r="BJ798" t="s">
        <v>101</v>
      </c>
      <c r="BK798" t="s">
        <v>182</v>
      </c>
      <c r="BL798" t="s">
        <v>101</v>
      </c>
      <c r="BM798" t="s">
        <v>15129</v>
      </c>
      <c r="BN798">
        <v>33826278</v>
      </c>
      <c r="BO798" t="s">
        <v>74</v>
      </c>
      <c r="BP798" t="s">
        <v>74</v>
      </c>
      <c r="BQ798" t="s">
        <v>74</v>
      </c>
      <c r="BR798" t="s">
        <v>105</v>
      </c>
      <c r="BS798" t="s">
        <v>15197</v>
      </c>
      <c r="BT798" t="str">
        <f>HYPERLINK("https%3A%2F%2Fwww.webofscience.com%2Fwos%2Fwoscc%2Ffull-record%2FWOS:000675699800019","View Full Record in Web of Science")</f>
        <v>View Full Record in Web of Science</v>
      </c>
    </row>
    <row r="799" spans="1:72" x14ac:dyDescent="0.25">
      <c r="A799" t="s">
        <v>72</v>
      </c>
      <c r="B799" t="s">
        <v>15198</v>
      </c>
      <c r="C799" t="s">
        <v>74</v>
      </c>
      <c r="D799" t="s">
        <v>74</v>
      </c>
      <c r="E799" t="s">
        <v>74</v>
      </c>
      <c r="F799" t="s">
        <v>15199</v>
      </c>
      <c r="G799" t="s">
        <v>74</v>
      </c>
      <c r="H799" t="s">
        <v>74</v>
      </c>
      <c r="I799" t="s">
        <v>15200</v>
      </c>
      <c r="J799" t="s">
        <v>15201</v>
      </c>
      <c r="K799" t="s">
        <v>74</v>
      </c>
      <c r="L799" t="s">
        <v>74</v>
      </c>
      <c r="M799" t="s">
        <v>78</v>
      </c>
      <c r="N799" t="s">
        <v>79</v>
      </c>
      <c r="O799" t="s">
        <v>74</v>
      </c>
      <c r="P799" t="s">
        <v>74</v>
      </c>
      <c r="Q799" t="s">
        <v>74</v>
      </c>
      <c r="R799" t="s">
        <v>74</v>
      </c>
      <c r="S799" t="s">
        <v>74</v>
      </c>
      <c r="T799" t="s">
        <v>15202</v>
      </c>
      <c r="U799" t="s">
        <v>15203</v>
      </c>
      <c r="V799" t="s">
        <v>15204</v>
      </c>
      <c r="W799" t="s">
        <v>15205</v>
      </c>
      <c r="X799" t="s">
        <v>15206</v>
      </c>
      <c r="Y799" t="s">
        <v>15207</v>
      </c>
      <c r="Z799" t="s">
        <v>15208</v>
      </c>
      <c r="AA799" t="s">
        <v>15209</v>
      </c>
      <c r="AB799" t="s">
        <v>15210</v>
      </c>
      <c r="AC799" t="s">
        <v>15211</v>
      </c>
      <c r="AD799" t="s">
        <v>15212</v>
      </c>
      <c r="AE799" t="s">
        <v>15213</v>
      </c>
      <c r="AF799" t="s">
        <v>74</v>
      </c>
      <c r="AG799">
        <v>85</v>
      </c>
      <c r="AH799">
        <v>29</v>
      </c>
      <c r="AI799">
        <v>28</v>
      </c>
      <c r="AJ799">
        <v>1</v>
      </c>
      <c r="AK799">
        <v>23</v>
      </c>
      <c r="AL799" t="s">
        <v>504</v>
      </c>
      <c r="AM799" t="s">
        <v>505</v>
      </c>
      <c r="AN799" t="s">
        <v>816</v>
      </c>
      <c r="AO799" t="s">
        <v>15214</v>
      </c>
      <c r="AP799" t="s">
        <v>15215</v>
      </c>
      <c r="AQ799" t="s">
        <v>74</v>
      </c>
      <c r="AR799" t="s">
        <v>15216</v>
      </c>
      <c r="AS799" t="s">
        <v>15217</v>
      </c>
      <c r="AT799" t="s">
        <v>1070</v>
      </c>
      <c r="AU799">
        <v>2021</v>
      </c>
      <c r="AV799">
        <v>16</v>
      </c>
      <c r="AW799">
        <v>6</v>
      </c>
      <c r="AX799" t="s">
        <v>74</v>
      </c>
      <c r="AY799" t="s">
        <v>74</v>
      </c>
      <c r="AZ799" t="s">
        <v>74</v>
      </c>
      <c r="BA799" t="s">
        <v>74</v>
      </c>
      <c r="BB799">
        <v>1144</v>
      </c>
      <c r="BC799">
        <v>1149</v>
      </c>
      <c r="BD799" t="s">
        <v>74</v>
      </c>
      <c r="BE799" t="s">
        <v>15218</v>
      </c>
      <c r="BF799" t="str">
        <f>HYPERLINK("http://dx.doi.org/10.4103/1673-5374.300330","http://dx.doi.org/10.4103/1673-5374.300330")</f>
        <v>http://dx.doi.org/10.4103/1673-5374.300330</v>
      </c>
      <c r="BG799" t="s">
        <v>74</v>
      </c>
      <c r="BH799" t="s">
        <v>74</v>
      </c>
      <c r="BI799">
        <v>6</v>
      </c>
      <c r="BJ799" t="s">
        <v>15219</v>
      </c>
      <c r="BK799" t="s">
        <v>182</v>
      </c>
      <c r="BL799" t="s">
        <v>15220</v>
      </c>
      <c r="BM799" t="s">
        <v>15221</v>
      </c>
      <c r="BN799">
        <v>33269763</v>
      </c>
      <c r="BO799" t="s">
        <v>131</v>
      </c>
      <c r="BP799" t="s">
        <v>74</v>
      </c>
      <c r="BQ799" t="s">
        <v>74</v>
      </c>
      <c r="BR799" t="s">
        <v>105</v>
      </c>
      <c r="BS799" t="s">
        <v>15222</v>
      </c>
      <c r="BT799" t="str">
        <f>HYPERLINK("https%3A%2F%2Fwww.webofscience.com%2Fwos%2Fwoscc%2Ffull-record%2FWOS:000598623300021","View Full Record in Web of Science")</f>
        <v>View Full Record in Web of Science</v>
      </c>
    </row>
    <row r="800" spans="1:72" x14ac:dyDescent="0.25">
      <c r="A800" t="s">
        <v>72</v>
      </c>
      <c r="B800" t="s">
        <v>15223</v>
      </c>
      <c r="C800" t="s">
        <v>74</v>
      </c>
      <c r="D800" t="s">
        <v>74</v>
      </c>
      <c r="E800" t="s">
        <v>74</v>
      </c>
      <c r="F800" t="s">
        <v>15224</v>
      </c>
      <c r="G800" t="s">
        <v>74</v>
      </c>
      <c r="H800" t="s">
        <v>15225</v>
      </c>
      <c r="I800" t="s">
        <v>15226</v>
      </c>
      <c r="J800" t="s">
        <v>6514</v>
      </c>
      <c r="K800" t="s">
        <v>74</v>
      </c>
      <c r="L800" t="s">
        <v>74</v>
      </c>
      <c r="M800" t="s">
        <v>78</v>
      </c>
      <c r="N800" t="s">
        <v>79</v>
      </c>
      <c r="O800" t="s">
        <v>74</v>
      </c>
      <c r="P800" t="s">
        <v>74</v>
      </c>
      <c r="Q800" t="s">
        <v>74</v>
      </c>
      <c r="R800" t="s">
        <v>74</v>
      </c>
      <c r="S800" t="s">
        <v>74</v>
      </c>
      <c r="T800" t="s">
        <v>15227</v>
      </c>
      <c r="U800" t="s">
        <v>15228</v>
      </c>
      <c r="V800" t="s">
        <v>15229</v>
      </c>
      <c r="W800" t="s">
        <v>15230</v>
      </c>
      <c r="X800" t="s">
        <v>15231</v>
      </c>
      <c r="Y800" t="s">
        <v>15232</v>
      </c>
      <c r="Z800" t="s">
        <v>15233</v>
      </c>
      <c r="AA800" t="s">
        <v>15234</v>
      </c>
      <c r="AB800" t="s">
        <v>15235</v>
      </c>
      <c r="AC800" t="s">
        <v>15236</v>
      </c>
      <c r="AD800" t="s">
        <v>15237</v>
      </c>
      <c r="AE800" t="s">
        <v>15238</v>
      </c>
      <c r="AF800" t="s">
        <v>74</v>
      </c>
      <c r="AG800">
        <v>143</v>
      </c>
      <c r="AH800">
        <v>17</v>
      </c>
      <c r="AI800">
        <v>17</v>
      </c>
      <c r="AJ800">
        <v>0</v>
      </c>
      <c r="AK800">
        <v>23</v>
      </c>
      <c r="AL800" t="s">
        <v>120</v>
      </c>
      <c r="AM800" t="s">
        <v>121</v>
      </c>
      <c r="AN800" t="s">
        <v>122</v>
      </c>
      <c r="AO800" t="s">
        <v>74</v>
      </c>
      <c r="AP800" t="s">
        <v>6525</v>
      </c>
      <c r="AQ800" t="s">
        <v>74</v>
      </c>
      <c r="AR800" t="s">
        <v>6514</v>
      </c>
      <c r="AS800" t="s">
        <v>6526</v>
      </c>
      <c r="AT800" t="s">
        <v>1070</v>
      </c>
      <c r="AU800">
        <v>2021</v>
      </c>
      <c r="AV800">
        <v>11</v>
      </c>
      <c r="AW800">
        <v>6</v>
      </c>
      <c r="AX800" t="s">
        <v>74</v>
      </c>
      <c r="AY800" t="s">
        <v>74</v>
      </c>
      <c r="AZ800" t="s">
        <v>74</v>
      </c>
      <c r="BA800" t="s">
        <v>74</v>
      </c>
      <c r="BB800" t="s">
        <v>74</v>
      </c>
      <c r="BC800" t="s">
        <v>74</v>
      </c>
      <c r="BD800">
        <v>488</v>
      </c>
      <c r="BE800" t="s">
        <v>15239</v>
      </c>
      <c r="BF800" t="str">
        <f>HYPERLINK("http://dx.doi.org/10.3390/life11060488","http://dx.doi.org/10.3390/life11060488")</f>
        <v>http://dx.doi.org/10.3390/life11060488</v>
      </c>
      <c r="BG800" t="s">
        <v>74</v>
      </c>
      <c r="BH800" t="s">
        <v>74</v>
      </c>
      <c r="BI800">
        <v>25</v>
      </c>
      <c r="BJ800" t="s">
        <v>6529</v>
      </c>
      <c r="BK800" t="s">
        <v>182</v>
      </c>
      <c r="BL800" t="s">
        <v>6530</v>
      </c>
      <c r="BM800" t="s">
        <v>15240</v>
      </c>
      <c r="BN800">
        <v>34072071</v>
      </c>
      <c r="BO800" t="s">
        <v>131</v>
      </c>
      <c r="BP800" t="s">
        <v>74</v>
      </c>
      <c r="BQ800" t="s">
        <v>74</v>
      </c>
      <c r="BR800" t="s">
        <v>105</v>
      </c>
      <c r="BS800" t="s">
        <v>15241</v>
      </c>
      <c r="BT800" t="str">
        <f>HYPERLINK("https%3A%2F%2Fwww.webofscience.com%2Fwos%2Fwoscc%2Ffull-record%2FWOS:000667871400001","View Full Record in Web of Science")</f>
        <v>View Full Record in Web of Science</v>
      </c>
    </row>
    <row r="801" spans="1:72" x14ac:dyDescent="0.25">
      <c r="A801" t="s">
        <v>72</v>
      </c>
      <c r="B801" t="s">
        <v>15242</v>
      </c>
      <c r="C801" t="s">
        <v>74</v>
      </c>
      <c r="D801" t="s">
        <v>74</v>
      </c>
      <c r="E801" t="s">
        <v>74</v>
      </c>
      <c r="F801" t="s">
        <v>15243</v>
      </c>
      <c r="G801" t="s">
        <v>74</v>
      </c>
      <c r="H801" t="s">
        <v>74</v>
      </c>
      <c r="I801" t="s">
        <v>15244</v>
      </c>
      <c r="J801" t="s">
        <v>243</v>
      </c>
      <c r="K801" t="s">
        <v>74</v>
      </c>
      <c r="L801" t="s">
        <v>74</v>
      </c>
      <c r="M801" t="s">
        <v>78</v>
      </c>
      <c r="N801" t="s">
        <v>79</v>
      </c>
      <c r="O801" t="s">
        <v>74</v>
      </c>
      <c r="P801" t="s">
        <v>74</v>
      </c>
      <c r="Q801" t="s">
        <v>74</v>
      </c>
      <c r="R801" t="s">
        <v>74</v>
      </c>
      <c r="S801" t="s">
        <v>74</v>
      </c>
      <c r="T801" t="s">
        <v>15245</v>
      </c>
      <c r="U801" t="s">
        <v>15246</v>
      </c>
      <c r="V801" t="s">
        <v>15247</v>
      </c>
      <c r="W801" t="s">
        <v>15248</v>
      </c>
      <c r="X801" t="s">
        <v>15249</v>
      </c>
      <c r="Y801" t="s">
        <v>15250</v>
      </c>
      <c r="Z801" t="s">
        <v>15251</v>
      </c>
      <c r="AA801" t="s">
        <v>74</v>
      </c>
      <c r="AB801" t="s">
        <v>15252</v>
      </c>
      <c r="AC801" t="s">
        <v>15253</v>
      </c>
      <c r="AD801" t="s">
        <v>15254</v>
      </c>
      <c r="AE801" t="s">
        <v>15255</v>
      </c>
      <c r="AF801" t="s">
        <v>74</v>
      </c>
      <c r="AG801">
        <v>112</v>
      </c>
      <c r="AH801">
        <v>2</v>
      </c>
      <c r="AI801">
        <v>3</v>
      </c>
      <c r="AJ801">
        <v>3</v>
      </c>
      <c r="AK801">
        <v>33</v>
      </c>
      <c r="AL801" t="s">
        <v>253</v>
      </c>
      <c r="AM801" t="s">
        <v>227</v>
      </c>
      <c r="AN801" t="s">
        <v>254</v>
      </c>
      <c r="AO801" t="s">
        <v>255</v>
      </c>
      <c r="AP801" t="s">
        <v>256</v>
      </c>
      <c r="AQ801" t="s">
        <v>74</v>
      </c>
      <c r="AR801" t="s">
        <v>257</v>
      </c>
      <c r="AS801" t="s">
        <v>258</v>
      </c>
      <c r="AT801" t="s">
        <v>5796</v>
      </c>
      <c r="AU801">
        <v>2023</v>
      </c>
      <c r="AV801">
        <v>18</v>
      </c>
      <c r="AW801">
        <v>6</v>
      </c>
      <c r="AX801" t="s">
        <v>74</v>
      </c>
      <c r="AY801" t="s">
        <v>74</v>
      </c>
      <c r="AZ801" t="s">
        <v>74</v>
      </c>
      <c r="BA801" t="s">
        <v>74</v>
      </c>
      <c r="BB801">
        <v>798</v>
      </c>
      <c r="BC801">
        <v>818</v>
      </c>
      <c r="BD801" t="s">
        <v>74</v>
      </c>
      <c r="BE801" t="s">
        <v>15256</v>
      </c>
      <c r="BF801" t="str">
        <f>HYPERLINK("http://dx.doi.org/10.1080/17483107.2021.1926563","http://dx.doi.org/10.1080/17483107.2021.1926563")</f>
        <v>http://dx.doi.org/10.1080/17483107.2021.1926563</v>
      </c>
      <c r="BG801" t="s">
        <v>74</v>
      </c>
      <c r="BH801" t="s">
        <v>1737</v>
      </c>
      <c r="BI801">
        <v>21</v>
      </c>
      <c r="BJ801" t="s">
        <v>101</v>
      </c>
      <c r="BK801" t="s">
        <v>462</v>
      </c>
      <c r="BL801" t="s">
        <v>101</v>
      </c>
      <c r="BM801" t="s">
        <v>15073</v>
      </c>
      <c r="BN801">
        <v>34087079</v>
      </c>
      <c r="BO801" t="s">
        <v>104</v>
      </c>
      <c r="BP801" t="s">
        <v>74</v>
      </c>
      <c r="BQ801" t="s">
        <v>74</v>
      </c>
      <c r="BR801" t="s">
        <v>105</v>
      </c>
      <c r="BS801" t="s">
        <v>15257</v>
      </c>
      <c r="BT801" t="str">
        <f>HYPERLINK("https%3A%2F%2Fwww.webofscience.com%2Fwos%2Fwoscc%2Ffull-record%2FWOS:000657953500001","View Full Record in Web of Science")</f>
        <v>View Full Record in Web of Science</v>
      </c>
    </row>
    <row r="802" spans="1:72" x14ac:dyDescent="0.25">
      <c r="A802" t="s">
        <v>72</v>
      </c>
      <c r="B802" t="s">
        <v>15258</v>
      </c>
      <c r="C802" t="s">
        <v>74</v>
      </c>
      <c r="D802" t="s">
        <v>74</v>
      </c>
      <c r="E802" t="s">
        <v>74</v>
      </c>
      <c r="F802" t="s">
        <v>15259</v>
      </c>
      <c r="G802" t="s">
        <v>74</v>
      </c>
      <c r="H802" t="s">
        <v>74</v>
      </c>
      <c r="I802" t="s">
        <v>15260</v>
      </c>
      <c r="J802" t="s">
        <v>2233</v>
      </c>
      <c r="K802" t="s">
        <v>74</v>
      </c>
      <c r="L802" t="s">
        <v>74</v>
      </c>
      <c r="M802" t="s">
        <v>78</v>
      </c>
      <c r="N802" t="s">
        <v>79</v>
      </c>
      <c r="O802" t="s">
        <v>74</v>
      </c>
      <c r="P802" t="s">
        <v>74</v>
      </c>
      <c r="Q802" t="s">
        <v>74</v>
      </c>
      <c r="R802" t="s">
        <v>74</v>
      </c>
      <c r="S802" t="s">
        <v>74</v>
      </c>
      <c r="T802" t="s">
        <v>74</v>
      </c>
      <c r="U802" t="s">
        <v>15261</v>
      </c>
      <c r="V802" t="s">
        <v>15262</v>
      </c>
      <c r="W802" t="s">
        <v>15263</v>
      </c>
      <c r="X802" t="s">
        <v>15264</v>
      </c>
      <c r="Y802" t="s">
        <v>15265</v>
      </c>
      <c r="Z802" t="s">
        <v>15266</v>
      </c>
      <c r="AA802" t="s">
        <v>15267</v>
      </c>
      <c r="AB802" t="s">
        <v>15268</v>
      </c>
      <c r="AC802" t="s">
        <v>74</v>
      </c>
      <c r="AD802" t="s">
        <v>74</v>
      </c>
      <c r="AE802" t="s">
        <v>74</v>
      </c>
      <c r="AF802" t="s">
        <v>74</v>
      </c>
      <c r="AG802">
        <v>117</v>
      </c>
      <c r="AH802">
        <v>23</v>
      </c>
      <c r="AI802">
        <v>23</v>
      </c>
      <c r="AJ802">
        <v>2</v>
      </c>
      <c r="AK802">
        <v>40</v>
      </c>
      <c r="AL802" t="s">
        <v>367</v>
      </c>
      <c r="AM802" t="s">
        <v>275</v>
      </c>
      <c r="AN802" t="s">
        <v>368</v>
      </c>
      <c r="AO802" t="s">
        <v>2240</v>
      </c>
      <c r="AP802" t="s">
        <v>2241</v>
      </c>
      <c r="AQ802" t="s">
        <v>74</v>
      </c>
      <c r="AR802" t="s">
        <v>2242</v>
      </c>
      <c r="AS802" t="s">
        <v>2243</v>
      </c>
      <c r="AT802" t="s">
        <v>6014</v>
      </c>
      <c r="AU802">
        <v>2021</v>
      </c>
      <c r="AV802">
        <v>2021</v>
      </c>
      <c r="AW802" t="s">
        <v>74</v>
      </c>
      <c r="AX802" t="s">
        <v>74</v>
      </c>
      <c r="AY802" t="s">
        <v>74</v>
      </c>
      <c r="AZ802" t="s">
        <v>74</v>
      </c>
      <c r="BA802" t="s">
        <v>74</v>
      </c>
      <c r="BB802" t="s">
        <v>74</v>
      </c>
      <c r="BC802" t="s">
        <v>74</v>
      </c>
      <c r="BD802">
        <v>9999504</v>
      </c>
      <c r="BE802" t="s">
        <v>15269</v>
      </c>
      <c r="BF802" t="str">
        <f>HYPERLINK("http://dx.doi.org/10.1155/2021/9999504","http://dx.doi.org/10.1155/2021/9999504")</f>
        <v>http://dx.doi.org/10.1155/2021/9999504</v>
      </c>
      <c r="BG802" t="s">
        <v>74</v>
      </c>
      <c r="BH802" t="s">
        <v>74</v>
      </c>
      <c r="BI802">
        <v>15</v>
      </c>
      <c r="BJ802" t="s">
        <v>423</v>
      </c>
      <c r="BK802" t="s">
        <v>182</v>
      </c>
      <c r="BL802" t="s">
        <v>423</v>
      </c>
      <c r="BM802" t="s">
        <v>15270</v>
      </c>
      <c r="BN802">
        <v>34104368</v>
      </c>
      <c r="BO802" t="s">
        <v>355</v>
      </c>
      <c r="BP802" t="s">
        <v>74</v>
      </c>
      <c r="BQ802" t="s">
        <v>74</v>
      </c>
      <c r="BR802" t="s">
        <v>105</v>
      </c>
      <c r="BS802" t="s">
        <v>15271</v>
      </c>
      <c r="BT802" t="str">
        <f>HYPERLINK("https%3A%2F%2Fwww.webofscience.com%2Fwos%2Fwoscc%2Ffull-record%2FWOS:000669024400003","View Full Record in Web of Science")</f>
        <v>View Full Record in Web of Science</v>
      </c>
    </row>
    <row r="803" spans="1:72" x14ac:dyDescent="0.25">
      <c r="A803" t="s">
        <v>72</v>
      </c>
      <c r="B803" t="s">
        <v>15272</v>
      </c>
      <c r="C803" t="s">
        <v>74</v>
      </c>
      <c r="D803" t="s">
        <v>74</v>
      </c>
      <c r="E803" t="s">
        <v>74</v>
      </c>
      <c r="F803" t="s">
        <v>15273</v>
      </c>
      <c r="G803" t="s">
        <v>74</v>
      </c>
      <c r="H803" t="s">
        <v>74</v>
      </c>
      <c r="I803" t="s">
        <v>15274</v>
      </c>
      <c r="J803" t="s">
        <v>916</v>
      </c>
      <c r="K803" t="s">
        <v>74</v>
      </c>
      <c r="L803" t="s">
        <v>74</v>
      </c>
      <c r="M803" t="s">
        <v>78</v>
      </c>
      <c r="N803" t="s">
        <v>79</v>
      </c>
      <c r="O803" t="s">
        <v>74</v>
      </c>
      <c r="P803" t="s">
        <v>74</v>
      </c>
      <c r="Q803" t="s">
        <v>74</v>
      </c>
      <c r="R803" t="s">
        <v>74</v>
      </c>
      <c r="S803" t="s">
        <v>74</v>
      </c>
      <c r="T803" t="s">
        <v>74</v>
      </c>
      <c r="U803" t="s">
        <v>15275</v>
      </c>
      <c r="V803" t="s">
        <v>15276</v>
      </c>
      <c r="W803" t="s">
        <v>15277</v>
      </c>
      <c r="X803" t="s">
        <v>15278</v>
      </c>
      <c r="Y803" t="s">
        <v>15279</v>
      </c>
      <c r="Z803" t="s">
        <v>15280</v>
      </c>
      <c r="AA803" t="s">
        <v>15281</v>
      </c>
      <c r="AB803" t="s">
        <v>15282</v>
      </c>
      <c r="AC803" t="s">
        <v>74</v>
      </c>
      <c r="AD803" t="s">
        <v>74</v>
      </c>
      <c r="AE803" t="s">
        <v>74</v>
      </c>
      <c r="AF803" t="s">
        <v>74</v>
      </c>
      <c r="AG803">
        <v>52</v>
      </c>
      <c r="AH803">
        <v>31</v>
      </c>
      <c r="AI803">
        <v>31</v>
      </c>
      <c r="AJ803">
        <v>1</v>
      </c>
      <c r="AK803">
        <v>22</v>
      </c>
      <c r="AL803" t="s">
        <v>928</v>
      </c>
      <c r="AM803" t="s">
        <v>929</v>
      </c>
      <c r="AN803" t="s">
        <v>930</v>
      </c>
      <c r="AO803" t="s">
        <v>931</v>
      </c>
      <c r="AP803" t="s">
        <v>74</v>
      </c>
      <c r="AQ803" t="s">
        <v>74</v>
      </c>
      <c r="AR803" t="s">
        <v>916</v>
      </c>
      <c r="AS803" t="s">
        <v>932</v>
      </c>
      <c r="AT803" t="s">
        <v>15283</v>
      </c>
      <c r="AU803">
        <v>2021</v>
      </c>
      <c r="AV803">
        <v>16</v>
      </c>
      <c r="AW803">
        <v>5</v>
      </c>
      <c r="AX803" t="s">
        <v>74</v>
      </c>
      <c r="AY803" t="s">
        <v>74</v>
      </c>
      <c r="AZ803" t="s">
        <v>74</v>
      </c>
      <c r="BA803" t="s">
        <v>74</v>
      </c>
      <c r="BB803" t="s">
        <v>74</v>
      </c>
      <c r="BC803" t="s">
        <v>74</v>
      </c>
      <c r="BD803" t="s">
        <v>15284</v>
      </c>
      <c r="BE803" t="s">
        <v>15285</v>
      </c>
      <c r="BF803" t="str">
        <f>HYPERLINK("http://dx.doi.org/10.1371/journal.pone.0252193","http://dx.doi.org/10.1371/journal.pone.0252193")</f>
        <v>http://dx.doi.org/10.1371/journal.pone.0252193</v>
      </c>
      <c r="BG803" t="s">
        <v>74</v>
      </c>
      <c r="BH803" t="s">
        <v>74</v>
      </c>
      <c r="BI803">
        <v>24</v>
      </c>
      <c r="BJ803" t="s">
        <v>936</v>
      </c>
      <c r="BK803" t="s">
        <v>182</v>
      </c>
      <c r="BL803" t="s">
        <v>937</v>
      </c>
      <c r="BM803" t="s">
        <v>15286</v>
      </c>
      <c r="BN803">
        <v>34038471</v>
      </c>
      <c r="BO803" t="s">
        <v>131</v>
      </c>
      <c r="BP803" t="s">
        <v>74</v>
      </c>
      <c r="BQ803" t="s">
        <v>74</v>
      </c>
      <c r="BR803" t="s">
        <v>105</v>
      </c>
      <c r="BS803" t="s">
        <v>15287</v>
      </c>
      <c r="BT803" t="str">
        <f>HYPERLINK("https%3A%2F%2Fwww.webofscience.com%2Fwos%2Fwoscc%2Ffull-record%2FWOS:000664633500064","View Full Record in Web of Science")</f>
        <v>View Full Record in Web of Science</v>
      </c>
    </row>
    <row r="804" spans="1:72" x14ac:dyDescent="0.25">
      <c r="A804" t="s">
        <v>72</v>
      </c>
      <c r="B804" t="s">
        <v>15288</v>
      </c>
      <c r="C804" t="s">
        <v>74</v>
      </c>
      <c r="D804" t="s">
        <v>74</v>
      </c>
      <c r="E804" t="s">
        <v>74</v>
      </c>
      <c r="F804" t="s">
        <v>15289</v>
      </c>
      <c r="G804" t="s">
        <v>74</v>
      </c>
      <c r="H804" t="s">
        <v>74</v>
      </c>
      <c r="I804" t="s">
        <v>15290</v>
      </c>
      <c r="J804" t="s">
        <v>701</v>
      </c>
      <c r="K804" t="s">
        <v>74</v>
      </c>
      <c r="L804" t="s">
        <v>74</v>
      </c>
      <c r="M804" t="s">
        <v>78</v>
      </c>
      <c r="N804" t="s">
        <v>79</v>
      </c>
      <c r="O804" t="s">
        <v>74</v>
      </c>
      <c r="P804" t="s">
        <v>74</v>
      </c>
      <c r="Q804" t="s">
        <v>74</v>
      </c>
      <c r="R804" t="s">
        <v>74</v>
      </c>
      <c r="S804" t="s">
        <v>74</v>
      </c>
      <c r="T804" t="s">
        <v>15291</v>
      </c>
      <c r="U804" t="s">
        <v>15292</v>
      </c>
      <c r="V804" t="s">
        <v>15293</v>
      </c>
      <c r="W804" t="s">
        <v>15294</v>
      </c>
      <c r="X804" t="s">
        <v>15295</v>
      </c>
      <c r="Y804" t="s">
        <v>15296</v>
      </c>
      <c r="Z804" t="s">
        <v>15297</v>
      </c>
      <c r="AA804" t="s">
        <v>15298</v>
      </c>
      <c r="AB804" t="s">
        <v>74</v>
      </c>
      <c r="AC804" t="s">
        <v>74</v>
      </c>
      <c r="AD804" t="s">
        <v>74</v>
      </c>
      <c r="AE804" t="s">
        <v>74</v>
      </c>
      <c r="AF804" t="s">
        <v>74</v>
      </c>
      <c r="AG804">
        <v>185</v>
      </c>
      <c r="AH804">
        <v>58</v>
      </c>
      <c r="AI804">
        <v>59</v>
      </c>
      <c r="AJ804">
        <v>11</v>
      </c>
      <c r="AK804">
        <v>85</v>
      </c>
      <c r="AL804" t="s">
        <v>392</v>
      </c>
      <c r="AM804" t="s">
        <v>393</v>
      </c>
      <c r="AN804" t="s">
        <v>394</v>
      </c>
      <c r="AO804" t="s">
        <v>709</v>
      </c>
      <c r="AP804" t="s">
        <v>74</v>
      </c>
      <c r="AQ804" t="s">
        <v>74</v>
      </c>
      <c r="AR804" t="s">
        <v>710</v>
      </c>
      <c r="AS804" t="s">
        <v>711</v>
      </c>
      <c r="AT804" t="s">
        <v>15299</v>
      </c>
      <c r="AU804">
        <v>2021</v>
      </c>
      <c r="AV804">
        <v>8</v>
      </c>
      <c r="AW804" t="s">
        <v>74</v>
      </c>
      <c r="AX804" t="s">
        <v>74</v>
      </c>
      <c r="AY804" t="s">
        <v>74</v>
      </c>
      <c r="AZ804" t="s">
        <v>74</v>
      </c>
      <c r="BA804" t="s">
        <v>74</v>
      </c>
      <c r="BB804" t="s">
        <v>74</v>
      </c>
      <c r="BC804" t="s">
        <v>74</v>
      </c>
      <c r="BD804">
        <v>605715</v>
      </c>
      <c r="BE804" t="s">
        <v>15300</v>
      </c>
      <c r="BF804" t="str">
        <f>HYPERLINK("http://dx.doi.org/10.3389/frobt.2021.605715","http://dx.doi.org/10.3389/frobt.2021.605715")</f>
        <v>http://dx.doi.org/10.3389/frobt.2021.605715</v>
      </c>
      <c r="BG804" t="s">
        <v>74</v>
      </c>
      <c r="BH804" t="s">
        <v>74</v>
      </c>
      <c r="BI804">
        <v>24</v>
      </c>
      <c r="BJ804" t="s">
        <v>714</v>
      </c>
      <c r="BK804" t="s">
        <v>155</v>
      </c>
      <c r="BL804" t="s">
        <v>714</v>
      </c>
      <c r="BM804" t="s">
        <v>15301</v>
      </c>
      <c r="BN804">
        <v>34046433</v>
      </c>
      <c r="BO804" t="s">
        <v>355</v>
      </c>
      <c r="BP804" t="s">
        <v>74</v>
      </c>
      <c r="BQ804" t="s">
        <v>74</v>
      </c>
      <c r="BR804" t="s">
        <v>105</v>
      </c>
      <c r="BS804" t="s">
        <v>15302</v>
      </c>
      <c r="BT804" t="str">
        <f>HYPERLINK("https%3A%2F%2Fwww.webofscience.com%2Fwos%2Fwoscc%2Ffull-record%2FWOS:000653633200001","View Full Record in Web of Science")</f>
        <v>View Full Record in Web of Science</v>
      </c>
    </row>
    <row r="805" spans="1:72" x14ac:dyDescent="0.25">
      <c r="A805" t="s">
        <v>72</v>
      </c>
      <c r="B805" t="s">
        <v>15303</v>
      </c>
      <c r="C805" t="s">
        <v>74</v>
      </c>
      <c r="D805" t="s">
        <v>74</v>
      </c>
      <c r="E805" t="s">
        <v>74</v>
      </c>
      <c r="F805" t="s">
        <v>15304</v>
      </c>
      <c r="G805" t="s">
        <v>74</v>
      </c>
      <c r="H805" t="s">
        <v>74</v>
      </c>
      <c r="I805" t="s">
        <v>15305</v>
      </c>
      <c r="J805" t="s">
        <v>12437</v>
      </c>
      <c r="K805" t="s">
        <v>74</v>
      </c>
      <c r="L805" t="s">
        <v>74</v>
      </c>
      <c r="M805" t="s">
        <v>78</v>
      </c>
      <c r="N805" t="s">
        <v>79</v>
      </c>
      <c r="O805" t="s">
        <v>74</v>
      </c>
      <c r="P805" t="s">
        <v>74</v>
      </c>
      <c r="Q805" t="s">
        <v>74</v>
      </c>
      <c r="R805" t="s">
        <v>74</v>
      </c>
      <c r="S805" t="s">
        <v>74</v>
      </c>
      <c r="T805" t="s">
        <v>15306</v>
      </c>
      <c r="U805" t="s">
        <v>15307</v>
      </c>
      <c r="V805" t="s">
        <v>15308</v>
      </c>
      <c r="W805" t="s">
        <v>15309</v>
      </c>
      <c r="X805" t="s">
        <v>15310</v>
      </c>
      <c r="Y805" t="s">
        <v>15311</v>
      </c>
      <c r="Z805" t="s">
        <v>15312</v>
      </c>
      <c r="AA805" t="s">
        <v>15313</v>
      </c>
      <c r="AB805" t="s">
        <v>15314</v>
      </c>
      <c r="AC805" t="s">
        <v>15315</v>
      </c>
      <c r="AD805" t="s">
        <v>15316</v>
      </c>
      <c r="AE805" t="s">
        <v>15317</v>
      </c>
      <c r="AF805" t="s">
        <v>74</v>
      </c>
      <c r="AG805">
        <v>38</v>
      </c>
      <c r="AH805">
        <v>12</v>
      </c>
      <c r="AI805">
        <v>13</v>
      </c>
      <c r="AJ805">
        <v>2</v>
      </c>
      <c r="AK805">
        <v>34</v>
      </c>
      <c r="AL805" t="s">
        <v>2529</v>
      </c>
      <c r="AM805" t="s">
        <v>2530</v>
      </c>
      <c r="AN805" t="s">
        <v>2531</v>
      </c>
      <c r="AO805" t="s">
        <v>12447</v>
      </c>
      <c r="AP805" t="s">
        <v>12448</v>
      </c>
      <c r="AQ805" t="s">
        <v>74</v>
      </c>
      <c r="AR805" t="s">
        <v>12449</v>
      </c>
      <c r="AS805" t="s">
        <v>12450</v>
      </c>
      <c r="AT805" t="s">
        <v>326</v>
      </c>
      <c r="AU805">
        <v>2021</v>
      </c>
      <c r="AV805">
        <v>43</v>
      </c>
      <c r="AW805">
        <v>5</v>
      </c>
      <c r="AX805" t="s">
        <v>74</v>
      </c>
      <c r="AY805" t="s">
        <v>74</v>
      </c>
      <c r="AZ805" t="s">
        <v>74</v>
      </c>
      <c r="BA805" t="s">
        <v>74</v>
      </c>
      <c r="BB805" t="s">
        <v>74</v>
      </c>
      <c r="BC805" t="s">
        <v>74</v>
      </c>
      <c r="BD805">
        <v>236</v>
      </c>
      <c r="BE805" t="s">
        <v>15318</v>
      </c>
      <c r="BF805" t="str">
        <f>HYPERLINK("http://dx.doi.org/10.1007/s40430-021-02919-4","http://dx.doi.org/10.1007/s40430-021-02919-4")</f>
        <v>http://dx.doi.org/10.1007/s40430-021-02919-4</v>
      </c>
      <c r="BG805" t="s">
        <v>74</v>
      </c>
      <c r="BH805" t="s">
        <v>74</v>
      </c>
      <c r="BI805">
        <v>16</v>
      </c>
      <c r="BJ805" t="s">
        <v>181</v>
      </c>
      <c r="BK805" t="s">
        <v>182</v>
      </c>
      <c r="BL805" t="s">
        <v>183</v>
      </c>
      <c r="BM805" t="s">
        <v>15319</v>
      </c>
      <c r="BN805" t="s">
        <v>74</v>
      </c>
      <c r="BO805" t="s">
        <v>74</v>
      </c>
      <c r="BP805" t="s">
        <v>74</v>
      </c>
      <c r="BQ805" t="s">
        <v>74</v>
      </c>
      <c r="BR805" t="s">
        <v>105</v>
      </c>
      <c r="BS805" t="s">
        <v>15320</v>
      </c>
      <c r="BT805" t="str">
        <f>HYPERLINK("https%3A%2F%2Fwww.webofscience.com%2Fwos%2Fwoscc%2Ffull-record%2FWOS:000636745000003","View Full Record in Web of Science")</f>
        <v>View Full Record in Web of Science</v>
      </c>
    </row>
    <row r="806" spans="1:72" x14ac:dyDescent="0.25">
      <c r="A806" t="s">
        <v>72</v>
      </c>
      <c r="B806" t="s">
        <v>15321</v>
      </c>
      <c r="C806" t="s">
        <v>74</v>
      </c>
      <c r="D806" t="s">
        <v>74</v>
      </c>
      <c r="E806" t="s">
        <v>74</v>
      </c>
      <c r="F806" t="s">
        <v>15322</v>
      </c>
      <c r="G806" t="s">
        <v>74</v>
      </c>
      <c r="H806" t="s">
        <v>74</v>
      </c>
      <c r="I806" t="s">
        <v>15323</v>
      </c>
      <c r="J806" t="s">
        <v>2040</v>
      </c>
      <c r="K806" t="s">
        <v>74</v>
      </c>
      <c r="L806" t="s">
        <v>74</v>
      </c>
      <c r="M806" t="s">
        <v>78</v>
      </c>
      <c r="N806" t="s">
        <v>79</v>
      </c>
      <c r="O806" t="s">
        <v>74</v>
      </c>
      <c r="P806" t="s">
        <v>74</v>
      </c>
      <c r="Q806" t="s">
        <v>74</v>
      </c>
      <c r="R806" t="s">
        <v>74</v>
      </c>
      <c r="S806" t="s">
        <v>74</v>
      </c>
      <c r="T806" t="s">
        <v>15324</v>
      </c>
      <c r="U806" t="s">
        <v>15325</v>
      </c>
      <c r="V806" t="s">
        <v>15326</v>
      </c>
      <c r="W806" t="s">
        <v>15327</v>
      </c>
      <c r="X806" t="s">
        <v>15328</v>
      </c>
      <c r="Y806" t="s">
        <v>15329</v>
      </c>
      <c r="Z806" t="s">
        <v>15330</v>
      </c>
      <c r="AA806" t="s">
        <v>15331</v>
      </c>
      <c r="AB806" t="s">
        <v>15332</v>
      </c>
      <c r="AC806" t="s">
        <v>15333</v>
      </c>
      <c r="AD806" t="s">
        <v>15334</v>
      </c>
      <c r="AE806" t="s">
        <v>15335</v>
      </c>
      <c r="AF806" t="s">
        <v>74</v>
      </c>
      <c r="AG806">
        <v>89</v>
      </c>
      <c r="AH806">
        <v>12</v>
      </c>
      <c r="AI806">
        <v>13</v>
      </c>
      <c r="AJ806">
        <v>0</v>
      </c>
      <c r="AK806">
        <v>40</v>
      </c>
      <c r="AL806" t="s">
        <v>120</v>
      </c>
      <c r="AM806" t="s">
        <v>121</v>
      </c>
      <c r="AN806" t="s">
        <v>122</v>
      </c>
      <c r="AO806" t="s">
        <v>74</v>
      </c>
      <c r="AP806" t="s">
        <v>2050</v>
      </c>
      <c r="AQ806" t="s">
        <v>74</v>
      </c>
      <c r="AR806" t="s">
        <v>2051</v>
      </c>
      <c r="AS806" t="s">
        <v>2052</v>
      </c>
      <c r="AT806" t="s">
        <v>326</v>
      </c>
      <c r="AU806">
        <v>2021</v>
      </c>
      <c r="AV806">
        <v>21</v>
      </c>
      <c r="AW806">
        <v>10</v>
      </c>
      <c r="AX806" t="s">
        <v>74</v>
      </c>
      <c r="AY806" t="s">
        <v>74</v>
      </c>
      <c r="AZ806" t="s">
        <v>74</v>
      </c>
      <c r="BA806" t="s">
        <v>74</v>
      </c>
      <c r="BB806" t="s">
        <v>74</v>
      </c>
      <c r="BC806" t="s">
        <v>74</v>
      </c>
      <c r="BD806">
        <v>3561</v>
      </c>
      <c r="BE806" t="s">
        <v>15336</v>
      </c>
      <c r="BF806" t="str">
        <f>HYPERLINK("http://dx.doi.org/10.3390/s21103561","http://dx.doi.org/10.3390/s21103561")</f>
        <v>http://dx.doi.org/10.3390/s21103561</v>
      </c>
      <c r="BG806" t="s">
        <v>74</v>
      </c>
      <c r="BH806" t="s">
        <v>74</v>
      </c>
      <c r="BI806">
        <v>17</v>
      </c>
      <c r="BJ806" t="s">
        <v>2054</v>
      </c>
      <c r="BK806" t="s">
        <v>182</v>
      </c>
      <c r="BL806" t="s">
        <v>2055</v>
      </c>
      <c r="BM806" t="s">
        <v>15337</v>
      </c>
      <c r="BN806">
        <v>34065366</v>
      </c>
      <c r="BO806" t="s">
        <v>11550</v>
      </c>
      <c r="BP806" t="s">
        <v>74</v>
      </c>
      <c r="BQ806" t="s">
        <v>74</v>
      </c>
      <c r="BR806" t="s">
        <v>105</v>
      </c>
      <c r="BS806" t="s">
        <v>15338</v>
      </c>
      <c r="BT806" t="str">
        <f>HYPERLINK("https%3A%2F%2Fwww.webofscience.com%2Fwos%2Fwoscc%2Ffull-record%2FWOS:000662502900001","View Full Record in Web of Science")</f>
        <v>View Full Record in Web of Science</v>
      </c>
    </row>
    <row r="807" spans="1:72" x14ac:dyDescent="0.25">
      <c r="A807" t="s">
        <v>72</v>
      </c>
      <c r="B807" t="s">
        <v>15339</v>
      </c>
      <c r="C807" t="s">
        <v>74</v>
      </c>
      <c r="D807" t="s">
        <v>74</v>
      </c>
      <c r="E807" t="s">
        <v>74</v>
      </c>
      <c r="F807" t="s">
        <v>15340</v>
      </c>
      <c r="G807" t="s">
        <v>74</v>
      </c>
      <c r="H807" t="s">
        <v>74</v>
      </c>
      <c r="I807" t="s">
        <v>15341</v>
      </c>
      <c r="J807" t="s">
        <v>3219</v>
      </c>
      <c r="K807" t="s">
        <v>74</v>
      </c>
      <c r="L807" t="s">
        <v>74</v>
      </c>
      <c r="M807" t="s">
        <v>78</v>
      </c>
      <c r="N807" t="s">
        <v>79</v>
      </c>
      <c r="O807" t="s">
        <v>74</v>
      </c>
      <c r="P807" t="s">
        <v>74</v>
      </c>
      <c r="Q807" t="s">
        <v>74</v>
      </c>
      <c r="R807" t="s">
        <v>74</v>
      </c>
      <c r="S807" t="s">
        <v>74</v>
      </c>
      <c r="T807" t="s">
        <v>15342</v>
      </c>
      <c r="U807" t="s">
        <v>15343</v>
      </c>
      <c r="V807" t="s">
        <v>15344</v>
      </c>
      <c r="W807" t="s">
        <v>15345</v>
      </c>
      <c r="X807" t="s">
        <v>15346</v>
      </c>
      <c r="Y807" t="s">
        <v>15347</v>
      </c>
      <c r="Z807" t="s">
        <v>15348</v>
      </c>
      <c r="AA807" t="s">
        <v>74</v>
      </c>
      <c r="AB807" t="s">
        <v>74</v>
      </c>
      <c r="AC807" t="s">
        <v>74</v>
      </c>
      <c r="AD807" t="s">
        <v>74</v>
      </c>
      <c r="AE807" t="s">
        <v>74</v>
      </c>
      <c r="AF807" t="s">
        <v>74</v>
      </c>
      <c r="AG807">
        <v>62</v>
      </c>
      <c r="AH807">
        <v>14</v>
      </c>
      <c r="AI807">
        <v>14</v>
      </c>
      <c r="AJ807">
        <v>1</v>
      </c>
      <c r="AK807">
        <v>7</v>
      </c>
      <c r="AL807" t="s">
        <v>346</v>
      </c>
      <c r="AM807" t="s">
        <v>227</v>
      </c>
      <c r="AN807" t="s">
        <v>347</v>
      </c>
      <c r="AO807" t="s">
        <v>3228</v>
      </c>
      <c r="AP807" t="s">
        <v>3229</v>
      </c>
      <c r="AQ807" t="s">
        <v>74</v>
      </c>
      <c r="AR807" t="s">
        <v>3230</v>
      </c>
      <c r="AS807" t="s">
        <v>3231</v>
      </c>
      <c r="AT807" t="s">
        <v>326</v>
      </c>
      <c r="AU807">
        <v>2021</v>
      </c>
      <c r="AV807">
        <v>100</v>
      </c>
      <c r="AW807">
        <v>5</v>
      </c>
      <c r="AX807" t="s">
        <v>74</v>
      </c>
      <c r="AY807" t="s">
        <v>74</v>
      </c>
      <c r="AZ807" t="s">
        <v>74</v>
      </c>
      <c r="BA807" t="s">
        <v>74</v>
      </c>
      <c r="BB807">
        <v>501</v>
      </c>
      <c r="BC807">
        <v>512</v>
      </c>
      <c r="BD807" t="s">
        <v>74</v>
      </c>
      <c r="BE807" t="s">
        <v>15349</v>
      </c>
      <c r="BF807" t="str">
        <f>HYPERLINK("http://dx.doi.org/10.1097/PHM.0000000000001637","http://dx.doi.org/10.1097/PHM.0000000000001637")</f>
        <v>http://dx.doi.org/10.1097/PHM.0000000000001637</v>
      </c>
      <c r="BG807" t="s">
        <v>74</v>
      </c>
      <c r="BH807" t="s">
        <v>74</v>
      </c>
      <c r="BI807">
        <v>12</v>
      </c>
      <c r="BJ807" t="s">
        <v>236</v>
      </c>
      <c r="BK807" t="s">
        <v>102</v>
      </c>
      <c r="BL807" t="s">
        <v>236</v>
      </c>
      <c r="BM807" t="s">
        <v>15350</v>
      </c>
      <c r="BN807">
        <v>33164995</v>
      </c>
      <c r="BO807" t="s">
        <v>74</v>
      </c>
      <c r="BP807" t="s">
        <v>74</v>
      </c>
      <c r="BQ807" t="s">
        <v>74</v>
      </c>
      <c r="BR807" t="s">
        <v>105</v>
      </c>
      <c r="BS807" t="s">
        <v>15351</v>
      </c>
      <c r="BT807" t="str">
        <f>HYPERLINK("https%3A%2F%2Fwww.webofscience.com%2Fwos%2Fwoscc%2Ffull-record%2FWOS:000640181900021","View Full Record in Web of Science")</f>
        <v>View Full Record in Web of Science</v>
      </c>
    </row>
    <row r="808" spans="1:72" x14ac:dyDescent="0.25">
      <c r="A808" t="s">
        <v>72</v>
      </c>
      <c r="B808" t="s">
        <v>15352</v>
      </c>
      <c r="C808" t="s">
        <v>74</v>
      </c>
      <c r="D808" t="s">
        <v>74</v>
      </c>
      <c r="E808" t="s">
        <v>74</v>
      </c>
      <c r="F808" t="s">
        <v>15353</v>
      </c>
      <c r="G808" t="s">
        <v>74</v>
      </c>
      <c r="H808" t="s">
        <v>74</v>
      </c>
      <c r="I808" t="s">
        <v>15354</v>
      </c>
      <c r="J808" t="s">
        <v>2040</v>
      </c>
      <c r="K808" t="s">
        <v>74</v>
      </c>
      <c r="L808" t="s">
        <v>74</v>
      </c>
      <c r="M808" t="s">
        <v>78</v>
      </c>
      <c r="N808" t="s">
        <v>79</v>
      </c>
      <c r="O808" t="s">
        <v>74</v>
      </c>
      <c r="P808" t="s">
        <v>74</v>
      </c>
      <c r="Q808" t="s">
        <v>74</v>
      </c>
      <c r="R808" t="s">
        <v>74</v>
      </c>
      <c r="S808" t="s">
        <v>74</v>
      </c>
      <c r="T808" t="s">
        <v>15355</v>
      </c>
      <c r="U808" t="s">
        <v>15356</v>
      </c>
      <c r="V808" t="s">
        <v>15357</v>
      </c>
      <c r="W808" t="s">
        <v>15358</v>
      </c>
      <c r="X808" t="s">
        <v>15359</v>
      </c>
      <c r="Y808" t="s">
        <v>15360</v>
      </c>
      <c r="Z808" t="s">
        <v>15361</v>
      </c>
      <c r="AA808" t="s">
        <v>15362</v>
      </c>
      <c r="AB808" t="s">
        <v>15363</v>
      </c>
      <c r="AC808" t="s">
        <v>15364</v>
      </c>
      <c r="AD808" t="s">
        <v>15365</v>
      </c>
      <c r="AE808" t="s">
        <v>15366</v>
      </c>
      <c r="AF808" t="s">
        <v>74</v>
      </c>
      <c r="AG808">
        <v>114</v>
      </c>
      <c r="AH808">
        <v>49</v>
      </c>
      <c r="AI808">
        <v>53</v>
      </c>
      <c r="AJ808">
        <v>8</v>
      </c>
      <c r="AK808">
        <v>85</v>
      </c>
      <c r="AL808" t="s">
        <v>120</v>
      </c>
      <c r="AM808" t="s">
        <v>121</v>
      </c>
      <c r="AN808" t="s">
        <v>122</v>
      </c>
      <c r="AO808" t="s">
        <v>74</v>
      </c>
      <c r="AP808" t="s">
        <v>2050</v>
      </c>
      <c r="AQ808" t="s">
        <v>74</v>
      </c>
      <c r="AR808" t="s">
        <v>2051</v>
      </c>
      <c r="AS808" t="s">
        <v>2052</v>
      </c>
      <c r="AT808" t="s">
        <v>326</v>
      </c>
      <c r="AU808">
        <v>2021</v>
      </c>
      <c r="AV808">
        <v>21</v>
      </c>
      <c r="AW808">
        <v>9</v>
      </c>
      <c r="AX808" t="s">
        <v>74</v>
      </c>
      <c r="AY808" t="s">
        <v>74</v>
      </c>
      <c r="AZ808" t="s">
        <v>74</v>
      </c>
      <c r="BA808" t="s">
        <v>74</v>
      </c>
      <c r="BB808" t="s">
        <v>74</v>
      </c>
      <c r="BC808" t="s">
        <v>74</v>
      </c>
      <c r="BD808">
        <v>3035</v>
      </c>
      <c r="BE808" t="s">
        <v>15367</v>
      </c>
      <c r="BF808" t="str">
        <f>HYPERLINK("http://dx.doi.org/10.3390/s21093035","http://dx.doi.org/10.3390/s21093035")</f>
        <v>http://dx.doi.org/10.3390/s21093035</v>
      </c>
      <c r="BG808" t="s">
        <v>74</v>
      </c>
      <c r="BH808" t="s">
        <v>74</v>
      </c>
      <c r="BI808">
        <v>26</v>
      </c>
      <c r="BJ808" t="s">
        <v>2054</v>
      </c>
      <c r="BK808" t="s">
        <v>102</v>
      </c>
      <c r="BL808" t="s">
        <v>2055</v>
      </c>
      <c r="BM808" t="s">
        <v>15368</v>
      </c>
      <c r="BN808">
        <v>33925928</v>
      </c>
      <c r="BO808" t="s">
        <v>355</v>
      </c>
      <c r="BP808" t="s">
        <v>74</v>
      </c>
      <c r="BQ808" t="s">
        <v>74</v>
      </c>
      <c r="BR808" t="s">
        <v>105</v>
      </c>
      <c r="BS808" t="s">
        <v>15369</v>
      </c>
      <c r="BT808" t="str">
        <f>HYPERLINK("https%3A%2F%2Fwww.webofscience.com%2Fwos%2Fwoscc%2Ffull-record%2FWOS:000650788500001","View Full Record in Web of Science")</f>
        <v>View Full Record in Web of Science</v>
      </c>
    </row>
    <row r="809" spans="1:72" x14ac:dyDescent="0.25">
      <c r="A809" t="s">
        <v>72</v>
      </c>
      <c r="B809" t="s">
        <v>15370</v>
      </c>
      <c r="C809" t="s">
        <v>74</v>
      </c>
      <c r="D809" t="s">
        <v>74</v>
      </c>
      <c r="E809" t="s">
        <v>74</v>
      </c>
      <c r="F809" t="s">
        <v>15371</v>
      </c>
      <c r="G809" t="s">
        <v>74</v>
      </c>
      <c r="H809" t="s">
        <v>74</v>
      </c>
      <c r="I809" t="s">
        <v>15372</v>
      </c>
      <c r="J809" t="s">
        <v>5041</v>
      </c>
      <c r="K809" t="s">
        <v>74</v>
      </c>
      <c r="L809" t="s">
        <v>74</v>
      </c>
      <c r="M809" t="s">
        <v>78</v>
      </c>
      <c r="N809" t="s">
        <v>79</v>
      </c>
      <c r="O809" t="s">
        <v>74</v>
      </c>
      <c r="P809" t="s">
        <v>74</v>
      </c>
      <c r="Q809" t="s">
        <v>74</v>
      </c>
      <c r="R809" t="s">
        <v>74</v>
      </c>
      <c r="S809" t="s">
        <v>74</v>
      </c>
      <c r="T809" t="s">
        <v>15373</v>
      </c>
      <c r="U809" t="s">
        <v>15374</v>
      </c>
      <c r="V809" t="s">
        <v>15375</v>
      </c>
      <c r="W809" t="s">
        <v>15376</v>
      </c>
      <c r="X809" t="s">
        <v>15377</v>
      </c>
      <c r="Y809" t="s">
        <v>15378</v>
      </c>
      <c r="Z809" t="s">
        <v>15379</v>
      </c>
      <c r="AA809" t="s">
        <v>15380</v>
      </c>
      <c r="AB809" t="s">
        <v>15381</v>
      </c>
      <c r="AC809" t="s">
        <v>15382</v>
      </c>
      <c r="AD809" t="s">
        <v>15383</v>
      </c>
      <c r="AE809" t="s">
        <v>15384</v>
      </c>
      <c r="AF809" t="s">
        <v>74</v>
      </c>
      <c r="AG809">
        <v>96</v>
      </c>
      <c r="AH809">
        <v>38</v>
      </c>
      <c r="AI809">
        <v>40</v>
      </c>
      <c r="AJ809">
        <v>6</v>
      </c>
      <c r="AK809">
        <v>79</v>
      </c>
      <c r="AL809" t="s">
        <v>172</v>
      </c>
      <c r="AM809" t="s">
        <v>4844</v>
      </c>
      <c r="AN809" t="s">
        <v>4845</v>
      </c>
      <c r="AO809" t="s">
        <v>5053</v>
      </c>
      <c r="AP809" t="s">
        <v>5054</v>
      </c>
      <c r="AQ809" t="s">
        <v>74</v>
      </c>
      <c r="AR809" t="s">
        <v>5055</v>
      </c>
      <c r="AS809" t="s">
        <v>5056</v>
      </c>
      <c r="AT809" t="s">
        <v>326</v>
      </c>
      <c r="AU809">
        <v>2021</v>
      </c>
      <c r="AV809">
        <v>102</v>
      </c>
      <c r="AW809">
        <v>1</v>
      </c>
      <c r="AX809" t="s">
        <v>74</v>
      </c>
      <c r="AY809" t="s">
        <v>74</v>
      </c>
      <c r="AZ809" t="s">
        <v>74</v>
      </c>
      <c r="BA809" t="s">
        <v>74</v>
      </c>
      <c r="BB809" t="s">
        <v>74</v>
      </c>
      <c r="BC809" t="s">
        <v>74</v>
      </c>
      <c r="BD809">
        <v>9</v>
      </c>
      <c r="BE809" t="s">
        <v>15385</v>
      </c>
      <c r="BF809" t="str">
        <f>HYPERLINK("http://dx.doi.org/10.1007/s10846-021-01353-x","http://dx.doi.org/10.1007/s10846-021-01353-x")</f>
        <v>http://dx.doi.org/10.1007/s10846-021-01353-x</v>
      </c>
      <c r="BG809" t="s">
        <v>74</v>
      </c>
      <c r="BH809" t="s">
        <v>74</v>
      </c>
      <c r="BI809">
        <v>24</v>
      </c>
      <c r="BJ809" t="s">
        <v>5059</v>
      </c>
      <c r="BK809" t="s">
        <v>182</v>
      </c>
      <c r="BL809" t="s">
        <v>5060</v>
      </c>
      <c r="BM809" t="s">
        <v>15386</v>
      </c>
      <c r="BN809" t="s">
        <v>74</v>
      </c>
      <c r="BO809" t="s">
        <v>662</v>
      </c>
      <c r="BP809" t="s">
        <v>74</v>
      </c>
      <c r="BQ809" t="s">
        <v>74</v>
      </c>
      <c r="BR809" t="s">
        <v>105</v>
      </c>
      <c r="BS809" t="s">
        <v>15387</v>
      </c>
      <c r="BT809" t="str">
        <f>HYPERLINK("https%3A%2F%2Fwww.webofscience.com%2Fwos%2Fwoscc%2Ffull-record%2FWOS:000641464000003","View Full Record in Web of Science")</f>
        <v>View Full Record in Web of Science</v>
      </c>
    </row>
    <row r="810" spans="1:72" x14ac:dyDescent="0.25">
      <c r="A810" t="s">
        <v>72</v>
      </c>
      <c r="B810" t="s">
        <v>15388</v>
      </c>
      <c r="C810" t="s">
        <v>74</v>
      </c>
      <c r="D810" t="s">
        <v>74</v>
      </c>
      <c r="E810" t="s">
        <v>74</v>
      </c>
      <c r="F810" t="s">
        <v>15389</v>
      </c>
      <c r="G810" t="s">
        <v>74</v>
      </c>
      <c r="H810" t="s">
        <v>74</v>
      </c>
      <c r="I810" t="s">
        <v>15390</v>
      </c>
      <c r="J810" t="s">
        <v>15391</v>
      </c>
      <c r="K810" t="s">
        <v>74</v>
      </c>
      <c r="L810" t="s">
        <v>74</v>
      </c>
      <c r="M810" t="s">
        <v>78</v>
      </c>
      <c r="N810" t="s">
        <v>79</v>
      </c>
      <c r="O810" t="s">
        <v>74</v>
      </c>
      <c r="P810" t="s">
        <v>74</v>
      </c>
      <c r="Q810" t="s">
        <v>74</v>
      </c>
      <c r="R810" t="s">
        <v>74</v>
      </c>
      <c r="S810" t="s">
        <v>74</v>
      </c>
      <c r="T810" t="s">
        <v>15392</v>
      </c>
      <c r="U810" t="s">
        <v>15393</v>
      </c>
      <c r="V810" t="s">
        <v>15394</v>
      </c>
      <c r="W810" t="s">
        <v>15395</v>
      </c>
      <c r="X810" t="s">
        <v>15396</v>
      </c>
      <c r="Y810" t="s">
        <v>15397</v>
      </c>
      <c r="Z810" t="s">
        <v>15398</v>
      </c>
      <c r="AA810" t="s">
        <v>15399</v>
      </c>
      <c r="AB810" t="s">
        <v>15400</v>
      </c>
      <c r="AC810" t="s">
        <v>15401</v>
      </c>
      <c r="AD810" t="s">
        <v>15401</v>
      </c>
      <c r="AE810" t="s">
        <v>15402</v>
      </c>
      <c r="AF810" t="s">
        <v>74</v>
      </c>
      <c r="AG810">
        <v>50</v>
      </c>
      <c r="AH810">
        <v>31</v>
      </c>
      <c r="AI810">
        <v>32</v>
      </c>
      <c r="AJ810">
        <v>2</v>
      </c>
      <c r="AK810">
        <v>50</v>
      </c>
      <c r="AL810" t="s">
        <v>1040</v>
      </c>
      <c r="AM810" t="s">
        <v>1041</v>
      </c>
      <c r="AN810" t="s">
        <v>1042</v>
      </c>
      <c r="AO810" t="s">
        <v>15403</v>
      </c>
      <c r="AP810" t="s">
        <v>15404</v>
      </c>
      <c r="AQ810" t="s">
        <v>74</v>
      </c>
      <c r="AR810" t="s">
        <v>15405</v>
      </c>
      <c r="AS810" t="s">
        <v>15406</v>
      </c>
      <c r="AT810" t="s">
        <v>538</v>
      </c>
      <c r="AU810">
        <v>2022</v>
      </c>
      <c r="AV810">
        <v>53</v>
      </c>
      <c r="AW810">
        <v>1</v>
      </c>
      <c r="AX810" t="s">
        <v>74</v>
      </c>
      <c r="AY810" t="s">
        <v>74</v>
      </c>
      <c r="AZ810" t="s">
        <v>74</v>
      </c>
      <c r="BA810" t="s">
        <v>74</v>
      </c>
      <c r="BB810">
        <v>79</v>
      </c>
      <c r="BC810">
        <v>90</v>
      </c>
      <c r="BD810">
        <v>1.5500594211009064E+16</v>
      </c>
      <c r="BE810" t="s">
        <v>15407</v>
      </c>
      <c r="BF810" t="str">
        <f>HYPERLINK("http://dx.doi.org/10.1177/15500594211009065","http://dx.doi.org/10.1177/15500594211009065")</f>
        <v>http://dx.doi.org/10.1177/15500594211009065</v>
      </c>
      <c r="BG810" t="s">
        <v>74</v>
      </c>
      <c r="BH810" t="s">
        <v>15408</v>
      </c>
      <c r="BI810">
        <v>12</v>
      </c>
      <c r="BJ810" t="s">
        <v>15409</v>
      </c>
      <c r="BK810" t="s">
        <v>182</v>
      </c>
      <c r="BL810" t="s">
        <v>15410</v>
      </c>
      <c r="BM810" t="s">
        <v>15411</v>
      </c>
      <c r="BN810">
        <v>33913351</v>
      </c>
      <c r="BO810" t="s">
        <v>8028</v>
      </c>
      <c r="BP810" t="s">
        <v>74</v>
      </c>
      <c r="BQ810" t="s">
        <v>74</v>
      </c>
      <c r="BR810" t="s">
        <v>105</v>
      </c>
      <c r="BS810" t="s">
        <v>15412</v>
      </c>
      <c r="BT810" t="str">
        <f>HYPERLINK("https%3A%2F%2Fwww.webofscience.com%2Fwos%2Fwoscc%2Ffull-record%2FWOS:000649514100001","View Full Record in Web of Science")</f>
        <v>View Full Record in Web of Science</v>
      </c>
    </row>
    <row r="811" spans="1:72" x14ac:dyDescent="0.25">
      <c r="A811" t="s">
        <v>72</v>
      </c>
      <c r="B811" t="s">
        <v>15413</v>
      </c>
      <c r="C811" t="s">
        <v>74</v>
      </c>
      <c r="D811" t="s">
        <v>74</v>
      </c>
      <c r="E811" t="s">
        <v>74</v>
      </c>
      <c r="F811" t="s">
        <v>15414</v>
      </c>
      <c r="G811" t="s">
        <v>74</v>
      </c>
      <c r="H811" t="s">
        <v>74</v>
      </c>
      <c r="I811" t="s">
        <v>15415</v>
      </c>
      <c r="J811" t="s">
        <v>15416</v>
      </c>
      <c r="K811" t="s">
        <v>74</v>
      </c>
      <c r="L811" t="s">
        <v>74</v>
      </c>
      <c r="M811" t="s">
        <v>78</v>
      </c>
      <c r="N811" t="s">
        <v>79</v>
      </c>
      <c r="O811" t="s">
        <v>74</v>
      </c>
      <c r="P811" t="s">
        <v>74</v>
      </c>
      <c r="Q811" t="s">
        <v>74</v>
      </c>
      <c r="R811" t="s">
        <v>74</v>
      </c>
      <c r="S811" t="s">
        <v>74</v>
      </c>
      <c r="T811" t="s">
        <v>15417</v>
      </c>
      <c r="U811" t="s">
        <v>15418</v>
      </c>
      <c r="V811" t="s">
        <v>15419</v>
      </c>
      <c r="W811" t="s">
        <v>15420</v>
      </c>
      <c r="X811" t="s">
        <v>15421</v>
      </c>
      <c r="Y811" t="s">
        <v>15422</v>
      </c>
      <c r="Z811" t="s">
        <v>15423</v>
      </c>
      <c r="AA811" t="s">
        <v>15424</v>
      </c>
      <c r="AB811" t="s">
        <v>15425</v>
      </c>
      <c r="AC811" t="s">
        <v>74</v>
      </c>
      <c r="AD811" t="s">
        <v>74</v>
      </c>
      <c r="AE811" t="s">
        <v>74</v>
      </c>
      <c r="AF811" t="s">
        <v>74</v>
      </c>
      <c r="AG811">
        <v>332</v>
      </c>
      <c r="AH811">
        <v>168</v>
      </c>
      <c r="AI811">
        <v>173</v>
      </c>
      <c r="AJ811">
        <v>44</v>
      </c>
      <c r="AK811">
        <v>234</v>
      </c>
      <c r="AL811" t="s">
        <v>1605</v>
      </c>
      <c r="AM811" t="s">
        <v>1606</v>
      </c>
      <c r="AN811" t="s">
        <v>1607</v>
      </c>
      <c r="AO811" t="s">
        <v>15426</v>
      </c>
      <c r="AP811" t="s">
        <v>15427</v>
      </c>
      <c r="AQ811" t="s">
        <v>74</v>
      </c>
      <c r="AR811" t="s">
        <v>15428</v>
      </c>
      <c r="AS811" t="s">
        <v>15429</v>
      </c>
      <c r="AT811" t="s">
        <v>4921</v>
      </c>
      <c r="AU811">
        <v>2021</v>
      </c>
      <c r="AV811">
        <v>223</v>
      </c>
      <c r="AW811" t="s">
        <v>74</v>
      </c>
      <c r="AX811" t="s">
        <v>74</v>
      </c>
      <c r="AY811" t="s">
        <v>74</v>
      </c>
      <c r="AZ811" t="s">
        <v>74</v>
      </c>
      <c r="BA811" t="s">
        <v>74</v>
      </c>
      <c r="BB811" t="s">
        <v>74</v>
      </c>
      <c r="BC811" t="s">
        <v>74</v>
      </c>
      <c r="BD811">
        <v>106970</v>
      </c>
      <c r="BE811" t="s">
        <v>15430</v>
      </c>
      <c r="BF811" t="str">
        <f>HYPERLINK("http://dx.doi.org/10.1016/j.knosys.2021.106970","http://dx.doi.org/10.1016/j.knosys.2021.106970")</f>
        <v>http://dx.doi.org/10.1016/j.knosys.2021.106970</v>
      </c>
      <c r="BG811" t="s">
        <v>74</v>
      </c>
      <c r="BH811" t="s">
        <v>15408</v>
      </c>
      <c r="BI811">
        <v>25</v>
      </c>
      <c r="BJ811" t="s">
        <v>14754</v>
      </c>
      <c r="BK811" t="s">
        <v>182</v>
      </c>
      <c r="BL811" t="s">
        <v>6189</v>
      </c>
      <c r="BM811" t="s">
        <v>15431</v>
      </c>
      <c r="BN811" t="s">
        <v>74</v>
      </c>
      <c r="BO811" t="s">
        <v>104</v>
      </c>
      <c r="BP811" t="s">
        <v>869</v>
      </c>
      <c r="BQ811" t="s">
        <v>870</v>
      </c>
      <c r="BR811" t="s">
        <v>105</v>
      </c>
      <c r="BS811" t="s">
        <v>15432</v>
      </c>
      <c r="BT811" t="str">
        <f>HYPERLINK("https%3A%2F%2Fwww.webofscience.com%2Fwos%2Fwoscc%2Ffull-record%2FWOS:000651271700006","View Full Record in Web of Science")</f>
        <v>View Full Record in Web of Science</v>
      </c>
    </row>
    <row r="812" spans="1:72" x14ac:dyDescent="0.25">
      <c r="A812" t="s">
        <v>72</v>
      </c>
      <c r="B812" t="s">
        <v>15433</v>
      </c>
      <c r="C812" t="s">
        <v>74</v>
      </c>
      <c r="D812" t="s">
        <v>74</v>
      </c>
      <c r="E812" t="s">
        <v>74</v>
      </c>
      <c r="F812" t="s">
        <v>15434</v>
      </c>
      <c r="G812" t="s">
        <v>74</v>
      </c>
      <c r="H812" t="s">
        <v>74</v>
      </c>
      <c r="I812" t="s">
        <v>15435</v>
      </c>
      <c r="J812" t="s">
        <v>594</v>
      </c>
      <c r="K812" t="s">
        <v>74</v>
      </c>
      <c r="L812" t="s">
        <v>74</v>
      </c>
      <c r="M812" t="s">
        <v>78</v>
      </c>
      <c r="N812" t="s">
        <v>79</v>
      </c>
      <c r="O812" t="s">
        <v>74</v>
      </c>
      <c r="P812" t="s">
        <v>74</v>
      </c>
      <c r="Q812" t="s">
        <v>74</v>
      </c>
      <c r="R812" t="s">
        <v>74</v>
      </c>
      <c r="S812" t="s">
        <v>74</v>
      </c>
      <c r="T812" t="s">
        <v>15436</v>
      </c>
      <c r="U812" t="s">
        <v>15437</v>
      </c>
      <c r="V812" t="s">
        <v>15438</v>
      </c>
      <c r="W812" t="s">
        <v>15439</v>
      </c>
      <c r="X812" t="s">
        <v>15440</v>
      </c>
      <c r="Y812" t="s">
        <v>15441</v>
      </c>
      <c r="Z812" t="s">
        <v>15442</v>
      </c>
      <c r="AA812" t="s">
        <v>15443</v>
      </c>
      <c r="AB812" t="s">
        <v>15444</v>
      </c>
      <c r="AC812" t="s">
        <v>15445</v>
      </c>
      <c r="AD812" t="s">
        <v>15445</v>
      </c>
      <c r="AE812" t="s">
        <v>15446</v>
      </c>
      <c r="AF812" t="s">
        <v>74</v>
      </c>
      <c r="AG812">
        <v>74</v>
      </c>
      <c r="AH812">
        <v>39</v>
      </c>
      <c r="AI812">
        <v>40</v>
      </c>
      <c r="AJ812">
        <v>1</v>
      </c>
      <c r="AK812">
        <v>25</v>
      </c>
      <c r="AL812" t="s">
        <v>274</v>
      </c>
      <c r="AM812" t="s">
        <v>275</v>
      </c>
      <c r="AN812" t="s">
        <v>276</v>
      </c>
      <c r="AO812" t="s">
        <v>74</v>
      </c>
      <c r="AP812" t="s">
        <v>606</v>
      </c>
      <c r="AQ812" t="s">
        <v>74</v>
      </c>
      <c r="AR812" t="s">
        <v>607</v>
      </c>
      <c r="AS812" t="s">
        <v>608</v>
      </c>
      <c r="AT812" t="s">
        <v>15447</v>
      </c>
      <c r="AU812">
        <v>2021</v>
      </c>
      <c r="AV812">
        <v>18</v>
      </c>
      <c r="AW812">
        <v>1</v>
      </c>
      <c r="AX812" t="s">
        <v>74</v>
      </c>
      <c r="AY812" t="s">
        <v>74</v>
      </c>
      <c r="AZ812" t="s">
        <v>74</v>
      </c>
      <c r="BA812" t="s">
        <v>74</v>
      </c>
      <c r="BB812" t="s">
        <v>74</v>
      </c>
      <c r="BC812" t="s">
        <v>74</v>
      </c>
      <c r="BD812">
        <v>64</v>
      </c>
      <c r="BE812" t="s">
        <v>15448</v>
      </c>
      <c r="BF812" t="str">
        <f>HYPERLINK("http://dx.doi.org/10.1186/s12984-021-00857-9","http://dx.doi.org/10.1186/s12984-021-00857-9")</f>
        <v>http://dx.doi.org/10.1186/s12984-021-00857-9</v>
      </c>
      <c r="BG812" t="s">
        <v>74</v>
      </c>
      <c r="BH812" t="s">
        <v>74</v>
      </c>
      <c r="BI812">
        <v>22</v>
      </c>
      <c r="BJ812" t="s">
        <v>611</v>
      </c>
      <c r="BK812" t="s">
        <v>182</v>
      </c>
      <c r="BL812" t="s">
        <v>612</v>
      </c>
      <c r="BM812" t="s">
        <v>15449</v>
      </c>
      <c r="BN812">
        <v>33863345</v>
      </c>
      <c r="BO812" t="s">
        <v>355</v>
      </c>
      <c r="BP812" t="s">
        <v>74</v>
      </c>
      <c r="BQ812" t="s">
        <v>74</v>
      </c>
      <c r="BR812" t="s">
        <v>105</v>
      </c>
      <c r="BS812" t="s">
        <v>15450</v>
      </c>
      <c r="BT812" t="str">
        <f>HYPERLINK("https%3A%2F%2Fwww.webofscience.com%2Fwos%2Fwoscc%2Ffull-record%2FWOS:000640778700001","View Full Record in Web of Science")</f>
        <v>View Full Record in Web of Science</v>
      </c>
    </row>
    <row r="813" spans="1:72" x14ac:dyDescent="0.25">
      <c r="A813" t="s">
        <v>72</v>
      </c>
      <c r="B813" t="s">
        <v>15451</v>
      </c>
      <c r="C813" t="s">
        <v>74</v>
      </c>
      <c r="D813" t="s">
        <v>74</v>
      </c>
      <c r="E813" t="s">
        <v>74</v>
      </c>
      <c r="F813" t="s">
        <v>15452</v>
      </c>
      <c r="G813" t="s">
        <v>74</v>
      </c>
      <c r="H813" t="s">
        <v>74</v>
      </c>
      <c r="I813" t="s">
        <v>15453</v>
      </c>
      <c r="J813" t="s">
        <v>701</v>
      </c>
      <c r="K813" t="s">
        <v>74</v>
      </c>
      <c r="L813" t="s">
        <v>74</v>
      </c>
      <c r="M813" t="s">
        <v>78</v>
      </c>
      <c r="N813" t="s">
        <v>79</v>
      </c>
      <c r="O813" t="s">
        <v>74</v>
      </c>
      <c r="P813" t="s">
        <v>74</v>
      </c>
      <c r="Q813" t="s">
        <v>74</v>
      </c>
      <c r="R813" t="s">
        <v>74</v>
      </c>
      <c r="S813" t="s">
        <v>74</v>
      </c>
      <c r="T813" t="s">
        <v>15454</v>
      </c>
      <c r="U813" t="s">
        <v>15455</v>
      </c>
      <c r="V813" t="s">
        <v>15456</v>
      </c>
      <c r="W813" t="s">
        <v>15457</v>
      </c>
      <c r="X813" t="s">
        <v>15458</v>
      </c>
      <c r="Y813" t="s">
        <v>15459</v>
      </c>
      <c r="Z813" t="s">
        <v>15460</v>
      </c>
      <c r="AA813" t="s">
        <v>15461</v>
      </c>
      <c r="AB813" t="s">
        <v>15462</v>
      </c>
      <c r="AC813" t="s">
        <v>15463</v>
      </c>
      <c r="AD813" t="s">
        <v>15464</v>
      </c>
      <c r="AE813" t="s">
        <v>15465</v>
      </c>
      <c r="AF813" t="s">
        <v>74</v>
      </c>
      <c r="AG813">
        <v>212</v>
      </c>
      <c r="AH813">
        <v>27</v>
      </c>
      <c r="AI813">
        <v>28</v>
      </c>
      <c r="AJ813">
        <v>3</v>
      </c>
      <c r="AK813">
        <v>41</v>
      </c>
      <c r="AL813" t="s">
        <v>392</v>
      </c>
      <c r="AM813" t="s">
        <v>393</v>
      </c>
      <c r="AN813" t="s">
        <v>394</v>
      </c>
      <c r="AO813" t="s">
        <v>709</v>
      </c>
      <c r="AP813" t="s">
        <v>74</v>
      </c>
      <c r="AQ813" t="s">
        <v>74</v>
      </c>
      <c r="AR813" t="s">
        <v>710</v>
      </c>
      <c r="AS813" t="s">
        <v>711</v>
      </c>
      <c r="AT813" t="s">
        <v>15466</v>
      </c>
      <c r="AU813">
        <v>2021</v>
      </c>
      <c r="AV813">
        <v>8</v>
      </c>
      <c r="AW813" t="s">
        <v>74</v>
      </c>
      <c r="AX813" t="s">
        <v>74</v>
      </c>
      <c r="AY813" t="s">
        <v>74</v>
      </c>
      <c r="AZ813" t="s">
        <v>74</v>
      </c>
      <c r="BA813" t="s">
        <v>74</v>
      </c>
      <c r="BB813" t="s">
        <v>74</v>
      </c>
      <c r="BC813" t="s">
        <v>74</v>
      </c>
      <c r="BD813">
        <v>610529</v>
      </c>
      <c r="BE813" t="s">
        <v>15467</v>
      </c>
      <c r="BF813" t="str">
        <f>HYPERLINK("http://dx.doi.org/10.3389/frobt.2021.610529","http://dx.doi.org/10.3389/frobt.2021.610529")</f>
        <v>http://dx.doi.org/10.3389/frobt.2021.610529</v>
      </c>
      <c r="BG813" t="s">
        <v>74</v>
      </c>
      <c r="BH813" t="s">
        <v>74</v>
      </c>
      <c r="BI813">
        <v>19</v>
      </c>
      <c r="BJ813" t="s">
        <v>714</v>
      </c>
      <c r="BK813" t="s">
        <v>155</v>
      </c>
      <c r="BL813" t="s">
        <v>714</v>
      </c>
      <c r="BM813" t="s">
        <v>15468</v>
      </c>
      <c r="BN813">
        <v>33912593</v>
      </c>
      <c r="BO813" t="s">
        <v>131</v>
      </c>
      <c r="BP813" t="s">
        <v>74</v>
      </c>
      <c r="BQ813" t="s">
        <v>74</v>
      </c>
      <c r="BR813" t="s">
        <v>105</v>
      </c>
      <c r="BS813" t="s">
        <v>15469</v>
      </c>
      <c r="BT813" t="str">
        <f>HYPERLINK("https%3A%2F%2Fwww.webofscience.com%2Fwos%2Fwoscc%2Ffull-record%2FWOS:000643702500001","View Full Record in Web of Science")</f>
        <v>View Full Record in Web of Science</v>
      </c>
    </row>
    <row r="814" spans="1:72" x14ac:dyDescent="0.25">
      <c r="A814" t="s">
        <v>72</v>
      </c>
      <c r="B814" t="s">
        <v>15470</v>
      </c>
      <c r="C814" t="s">
        <v>74</v>
      </c>
      <c r="D814" t="s">
        <v>74</v>
      </c>
      <c r="E814" t="s">
        <v>74</v>
      </c>
      <c r="F814" t="s">
        <v>15471</v>
      </c>
      <c r="G814" t="s">
        <v>74</v>
      </c>
      <c r="H814" t="s">
        <v>74</v>
      </c>
      <c r="I814" t="s">
        <v>15472</v>
      </c>
      <c r="J814" t="s">
        <v>243</v>
      </c>
      <c r="K814" t="s">
        <v>74</v>
      </c>
      <c r="L814" t="s">
        <v>74</v>
      </c>
      <c r="M814" t="s">
        <v>78</v>
      </c>
      <c r="N814" t="s">
        <v>79</v>
      </c>
      <c r="O814" t="s">
        <v>74</v>
      </c>
      <c r="P814" t="s">
        <v>74</v>
      </c>
      <c r="Q814" t="s">
        <v>74</v>
      </c>
      <c r="R814" t="s">
        <v>74</v>
      </c>
      <c r="S814" t="s">
        <v>74</v>
      </c>
      <c r="T814" t="s">
        <v>15473</v>
      </c>
      <c r="U814" t="s">
        <v>15474</v>
      </c>
      <c r="V814" t="s">
        <v>15475</v>
      </c>
      <c r="W814" t="s">
        <v>15476</v>
      </c>
      <c r="X814" t="s">
        <v>15477</v>
      </c>
      <c r="Y814" t="s">
        <v>15478</v>
      </c>
      <c r="Z814" t="s">
        <v>15479</v>
      </c>
      <c r="AA814" t="s">
        <v>15480</v>
      </c>
      <c r="AB814" t="s">
        <v>15481</v>
      </c>
      <c r="AC814" t="s">
        <v>15482</v>
      </c>
      <c r="AD814" t="s">
        <v>14938</v>
      </c>
      <c r="AE814" t="s">
        <v>15483</v>
      </c>
      <c r="AF814" t="s">
        <v>74</v>
      </c>
      <c r="AG814">
        <v>71</v>
      </c>
      <c r="AH814">
        <v>31</v>
      </c>
      <c r="AI814">
        <v>33</v>
      </c>
      <c r="AJ814">
        <v>2</v>
      </c>
      <c r="AK814">
        <v>35</v>
      </c>
      <c r="AL814" t="s">
        <v>253</v>
      </c>
      <c r="AM814" t="s">
        <v>227</v>
      </c>
      <c r="AN814" t="s">
        <v>254</v>
      </c>
      <c r="AO814" t="s">
        <v>255</v>
      </c>
      <c r="AP814" t="s">
        <v>256</v>
      </c>
      <c r="AQ814" t="s">
        <v>74</v>
      </c>
      <c r="AR814" t="s">
        <v>257</v>
      </c>
      <c r="AS814" t="s">
        <v>258</v>
      </c>
      <c r="AT814" t="s">
        <v>12781</v>
      </c>
      <c r="AU814">
        <v>2023</v>
      </c>
      <c r="AV814">
        <v>18</v>
      </c>
      <c r="AW814">
        <v>5</v>
      </c>
      <c r="AX814" t="s">
        <v>74</v>
      </c>
      <c r="AY814" t="s">
        <v>74</v>
      </c>
      <c r="AZ814" t="s">
        <v>74</v>
      </c>
      <c r="BA814" t="s">
        <v>74</v>
      </c>
      <c r="BB814">
        <v>658</v>
      </c>
      <c r="BC814">
        <v>672</v>
      </c>
      <c r="BD814" t="s">
        <v>74</v>
      </c>
      <c r="BE814" t="s">
        <v>15484</v>
      </c>
      <c r="BF814" t="str">
        <f>HYPERLINK("http://dx.doi.org/10.1080/17483107.2021.1906960","http://dx.doi.org/10.1080/17483107.2021.1906960")</f>
        <v>http://dx.doi.org/10.1080/17483107.2021.1906960</v>
      </c>
      <c r="BG814" t="s">
        <v>74</v>
      </c>
      <c r="BH814" t="s">
        <v>15408</v>
      </c>
      <c r="BI814">
        <v>15</v>
      </c>
      <c r="BJ814" t="s">
        <v>101</v>
      </c>
      <c r="BK814" t="s">
        <v>462</v>
      </c>
      <c r="BL814" t="s">
        <v>101</v>
      </c>
      <c r="BM814" t="s">
        <v>15485</v>
      </c>
      <c r="BN814">
        <v>33861684</v>
      </c>
      <c r="BO814" t="s">
        <v>74</v>
      </c>
      <c r="BP814" t="s">
        <v>74</v>
      </c>
      <c r="BQ814" t="s">
        <v>74</v>
      </c>
      <c r="BR814" t="s">
        <v>105</v>
      </c>
      <c r="BS814" t="s">
        <v>15486</v>
      </c>
      <c r="BT814" t="str">
        <f>HYPERLINK("https%3A%2F%2Fwww.webofscience.com%2Fwos%2Fwoscc%2Ffull-record%2FWOS:000641348900001","View Full Record in Web of Science")</f>
        <v>View Full Record in Web of Science</v>
      </c>
    </row>
    <row r="815" spans="1:72" x14ac:dyDescent="0.25">
      <c r="A815" t="s">
        <v>72</v>
      </c>
      <c r="B815" t="s">
        <v>15487</v>
      </c>
      <c r="C815" t="s">
        <v>74</v>
      </c>
      <c r="D815" t="s">
        <v>74</v>
      </c>
      <c r="E815" t="s">
        <v>74</v>
      </c>
      <c r="F815" t="s">
        <v>15488</v>
      </c>
      <c r="G815" t="s">
        <v>74</v>
      </c>
      <c r="H815" t="s">
        <v>74</v>
      </c>
      <c r="I815" t="s">
        <v>15489</v>
      </c>
      <c r="J815" t="s">
        <v>2091</v>
      </c>
      <c r="K815" t="s">
        <v>74</v>
      </c>
      <c r="L815" t="s">
        <v>74</v>
      </c>
      <c r="M815" t="s">
        <v>78</v>
      </c>
      <c r="N815" t="s">
        <v>79</v>
      </c>
      <c r="O815" t="s">
        <v>74</v>
      </c>
      <c r="P815" t="s">
        <v>74</v>
      </c>
      <c r="Q815" t="s">
        <v>74</v>
      </c>
      <c r="R815" t="s">
        <v>74</v>
      </c>
      <c r="S815" t="s">
        <v>74</v>
      </c>
      <c r="T815" t="s">
        <v>15490</v>
      </c>
      <c r="U815" t="s">
        <v>15491</v>
      </c>
      <c r="V815" t="s">
        <v>15492</v>
      </c>
      <c r="W815" t="s">
        <v>15493</v>
      </c>
      <c r="X815" t="s">
        <v>6137</v>
      </c>
      <c r="Y815" t="s">
        <v>15494</v>
      </c>
      <c r="Z815" t="s">
        <v>15495</v>
      </c>
      <c r="AA815" t="s">
        <v>15496</v>
      </c>
      <c r="AB815" t="s">
        <v>15497</v>
      </c>
      <c r="AC815" t="s">
        <v>15498</v>
      </c>
      <c r="AD815" t="s">
        <v>15498</v>
      </c>
      <c r="AE815" t="s">
        <v>15499</v>
      </c>
      <c r="AF815" t="s">
        <v>74</v>
      </c>
      <c r="AG815">
        <v>89</v>
      </c>
      <c r="AH815">
        <v>13</v>
      </c>
      <c r="AI815">
        <v>14</v>
      </c>
      <c r="AJ815">
        <v>7</v>
      </c>
      <c r="AK815">
        <v>36</v>
      </c>
      <c r="AL815" t="s">
        <v>120</v>
      </c>
      <c r="AM815" t="s">
        <v>121</v>
      </c>
      <c r="AN815" t="s">
        <v>122</v>
      </c>
      <c r="AO815" t="s">
        <v>74</v>
      </c>
      <c r="AP815" t="s">
        <v>2104</v>
      </c>
      <c r="AQ815" t="s">
        <v>74</v>
      </c>
      <c r="AR815" t="s">
        <v>2105</v>
      </c>
      <c r="AS815" t="s">
        <v>2106</v>
      </c>
      <c r="AT815" t="s">
        <v>487</v>
      </c>
      <c r="AU815">
        <v>2021</v>
      </c>
      <c r="AV815">
        <v>11</v>
      </c>
      <c r="AW815">
        <v>8</v>
      </c>
      <c r="AX815" t="s">
        <v>74</v>
      </c>
      <c r="AY815" t="s">
        <v>74</v>
      </c>
      <c r="AZ815" t="s">
        <v>74</v>
      </c>
      <c r="BA815" t="s">
        <v>74</v>
      </c>
      <c r="BB815" t="s">
        <v>74</v>
      </c>
      <c r="BC815" t="s">
        <v>74</v>
      </c>
      <c r="BD815">
        <v>3712</v>
      </c>
      <c r="BE815" t="s">
        <v>15500</v>
      </c>
      <c r="BF815" t="str">
        <f>HYPERLINK("http://dx.doi.org/10.3390/app11083712","http://dx.doi.org/10.3390/app11083712")</f>
        <v>http://dx.doi.org/10.3390/app11083712</v>
      </c>
      <c r="BG815" t="s">
        <v>74</v>
      </c>
      <c r="BH815" t="s">
        <v>74</v>
      </c>
      <c r="BI815">
        <v>18</v>
      </c>
      <c r="BJ815" t="s">
        <v>2109</v>
      </c>
      <c r="BK815" t="s">
        <v>102</v>
      </c>
      <c r="BL815" t="s">
        <v>2110</v>
      </c>
      <c r="BM815" t="s">
        <v>15501</v>
      </c>
      <c r="BN815" t="s">
        <v>74</v>
      </c>
      <c r="BO815" t="s">
        <v>185</v>
      </c>
      <c r="BP815" t="s">
        <v>74</v>
      </c>
      <c r="BQ815" t="s">
        <v>74</v>
      </c>
      <c r="BR815" t="s">
        <v>105</v>
      </c>
      <c r="BS815" t="s">
        <v>15502</v>
      </c>
      <c r="BT815" t="str">
        <f>HYPERLINK("https%3A%2F%2Fwww.webofscience.com%2Fwos%2Fwoscc%2Ffull-record%2FWOS:000643977600001","View Full Record in Web of Science")</f>
        <v>View Full Record in Web of Science</v>
      </c>
    </row>
    <row r="816" spans="1:72" x14ac:dyDescent="0.25">
      <c r="A816" t="s">
        <v>72</v>
      </c>
      <c r="B816" t="s">
        <v>15503</v>
      </c>
      <c r="C816" t="s">
        <v>74</v>
      </c>
      <c r="D816" t="s">
        <v>74</v>
      </c>
      <c r="E816" t="s">
        <v>74</v>
      </c>
      <c r="F816" t="s">
        <v>15504</v>
      </c>
      <c r="G816" t="s">
        <v>74</v>
      </c>
      <c r="H816" t="s">
        <v>15505</v>
      </c>
      <c r="I816" t="s">
        <v>15506</v>
      </c>
      <c r="J816" t="s">
        <v>190</v>
      </c>
      <c r="K816" t="s">
        <v>74</v>
      </c>
      <c r="L816" t="s">
        <v>74</v>
      </c>
      <c r="M816" t="s">
        <v>78</v>
      </c>
      <c r="N816" t="s">
        <v>79</v>
      </c>
      <c r="O816" t="s">
        <v>74</v>
      </c>
      <c r="P816" t="s">
        <v>74</v>
      </c>
      <c r="Q816" t="s">
        <v>74</v>
      </c>
      <c r="R816" t="s">
        <v>74</v>
      </c>
      <c r="S816" t="s">
        <v>74</v>
      </c>
      <c r="T816" t="s">
        <v>15507</v>
      </c>
      <c r="U816" t="s">
        <v>15508</v>
      </c>
      <c r="V816" t="s">
        <v>15509</v>
      </c>
      <c r="W816" t="s">
        <v>15510</v>
      </c>
      <c r="X816" t="s">
        <v>15511</v>
      </c>
      <c r="Y816" t="s">
        <v>15512</v>
      </c>
      <c r="Z816" t="s">
        <v>2188</v>
      </c>
      <c r="AA816" t="s">
        <v>15513</v>
      </c>
      <c r="AB816" t="s">
        <v>15514</v>
      </c>
      <c r="AC816" t="s">
        <v>74</v>
      </c>
      <c r="AD816" t="s">
        <v>74</v>
      </c>
      <c r="AE816" t="s">
        <v>74</v>
      </c>
      <c r="AF816" t="s">
        <v>74</v>
      </c>
      <c r="AG816">
        <v>27</v>
      </c>
      <c r="AH816">
        <v>35</v>
      </c>
      <c r="AI816">
        <v>35</v>
      </c>
      <c r="AJ816">
        <v>1</v>
      </c>
      <c r="AK816">
        <v>48</v>
      </c>
      <c r="AL816" t="s">
        <v>202</v>
      </c>
      <c r="AM816" t="s">
        <v>203</v>
      </c>
      <c r="AN816" t="s">
        <v>204</v>
      </c>
      <c r="AO816" t="s">
        <v>205</v>
      </c>
      <c r="AP816" t="s">
        <v>206</v>
      </c>
      <c r="AQ816" t="s">
        <v>74</v>
      </c>
      <c r="AR816" t="s">
        <v>207</v>
      </c>
      <c r="AS816" t="s">
        <v>208</v>
      </c>
      <c r="AT816" t="s">
        <v>487</v>
      </c>
      <c r="AU816">
        <v>2021</v>
      </c>
      <c r="AV816">
        <v>57</v>
      </c>
      <c r="AW816">
        <v>2</v>
      </c>
      <c r="AX816" t="s">
        <v>74</v>
      </c>
      <c r="AY816" t="s">
        <v>74</v>
      </c>
      <c r="AZ816" t="s">
        <v>74</v>
      </c>
      <c r="BA816" t="s">
        <v>74</v>
      </c>
      <c r="BB816">
        <v>238</v>
      </c>
      <c r="BC816">
        <v>245</v>
      </c>
      <c r="BD816" t="s">
        <v>74</v>
      </c>
      <c r="BE816" t="s">
        <v>15515</v>
      </c>
      <c r="BF816" t="str">
        <f>HYPERLINK("http://dx.doi.org/10.23736/S1973-9087.21.06625-9","http://dx.doi.org/10.23736/S1973-9087.21.06625-9")</f>
        <v>http://dx.doi.org/10.23736/S1973-9087.21.06625-9</v>
      </c>
      <c r="BG816" t="s">
        <v>74</v>
      </c>
      <c r="BH816" t="s">
        <v>74</v>
      </c>
      <c r="BI816">
        <v>8</v>
      </c>
      <c r="BJ816" t="s">
        <v>101</v>
      </c>
      <c r="BK816" t="s">
        <v>182</v>
      </c>
      <c r="BL816" t="s">
        <v>101</v>
      </c>
      <c r="BM816" t="s">
        <v>3753</v>
      </c>
      <c r="BN816">
        <v>33491943</v>
      </c>
      <c r="BO816" t="s">
        <v>74</v>
      </c>
      <c r="BP816" t="s">
        <v>74</v>
      </c>
      <c r="BQ816" t="s">
        <v>74</v>
      </c>
      <c r="BR816" t="s">
        <v>105</v>
      </c>
      <c r="BS816" t="s">
        <v>15516</v>
      </c>
      <c r="BT816" t="str">
        <f>HYPERLINK("https%3A%2F%2Fwww.webofscience.com%2Fwos%2Fwoscc%2Ffull-record%2FWOS:000650215100008","View Full Record in Web of Science")</f>
        <v>View Full Record in Web of Science</v>
      </c>
    </row>
    <row r="817" spans="1:72" x14ac:dyDescent="0.25">
      <c r="A817" t="s">
        <v>72</v>
      </c>
      <c r="B817" t="s">
        <v>15517</v>
      </c>
      <c r="C817" t="s">
        <v>74</v>
      </c>
      <c r="D817" t="s">
        <v>74</v>
      </c>
      <c r="E817" t="s">
        <v>74</v>
      </c>
      <c r="F817" t="s">
        <v>15518</v>
      </c>
      <c r="G817" t="s">
        <v>74</v>
      </c>
      <c r="H817" t="s">
        <v>74</v>
      </c>
      <c r="I817" t="s">
        <v>15519</v>
      </c>
      <c r="J817" t="s">
        <v>10616</v>
      </c>
      <c r="K817" t="s">
        <v>74</v>
      </c>
      <c r="L817" t="s">
        <v>74</v>
      </c>
      <c r="M817" t="s">
        <v>78</v>
      </c>
      <c r="N817" t="s">
        <v>79</v>
      </c>
      <c r="O817" t="s">
        <v>74</v>
      </c>
      <c r="P817" t="s">
        <v>74</v>
      </c>
      <c r="Q817" t="s">
        <v>74</v>
      </c>
      <c r="R817" t="s">
        <v>74</v>
      </c>
      <c r="S817" t="s">
        <v>74</v>
      </c>
      <c r="T817" t="s">
        <v>15520</v>
      </c>
      <c r="U817" t="s">
        <v>15521</v>
      </c>
      <c r="V817" t="s">
        <v>15522</v>
      </c>
      <c r="W817" t="s">
        <v>15523</v>
      </c>
      <c r="X817" t="s">
        <v>15524</v>
      </c>
      <c r="Y817" t="s">
        <v>15525</v>
      </c>
      <c r="Z817" t="s">
        <v>15526</v>
      </c>
      <c r="AA817" t="s">
        <v>15527</v>
      </c>
      <c r="AB817" t="s">
        <v>15528</v>
      </c>
      <c r="AC817" t="s">
        <v>15529</v>
      </c>
      <c r="AD817" t="s">
        <v>15530</v>
      </c>
      <c r="AE817" t="s">
        <v>15531</v>
      </c>
      <c r="AF817" t="s">
        <v>74</v>
      </c>
      <c r="AG817">
        <v>211</v>
      </c>
      <c r="AH817">
        <v>4</v>
      </c>
      <c r="AI817">
        <v>4</v>
      </c>
      <c r="AJ817">
        <v>2</v>
      </c>
      <c r="AK817">
        <v>26</v>
      </c>
      <c r="AL817" t="s">
        <v>5927</v>
      </c>
      <c r="AM817" t="s">
        <v>5928</v>
      </c>
      <c r="AN817" t="s">
        <v>5929</v>
      </c>
      <c r="AO817" t="s">
        <v>74</v>
      </c>
      <c r="AP817" t="s">
        <v>10627</v>
      </c>
      <c r="AQ817" t="s">
        <v>74</v>
      </c>
      <c r="AR817" t="s">
        <v>10628</v>
      </c>
      <c r="AS817" t="s">
        <v>10629</v>
      </c>
      <c r="AT817" t="s">
        <v>6472</v>
      </c>
      <c r="AU817">
        <v>2021</v>
      </c>
      <c r="AV817">
        <v>3</v>
      </c>
      <c r="AW817">
        <v>2</v>
      </c>
      <c r="AX817" t="s">
        <v>74</v>
      </c>
      <c r="AY817" t="s">
        <v>74</v>
      </c>
      <c r="AZ817" t="s">
        <v>74</v>
      </c>
      <c r="BA817" t="s">
        <v>74</v>
      </c>
      <c r="BB817" t="s">
        <v>74</v>
      </c>
      <c r="BC817" t="s">
        <v>74</v>
      </c>
      <c r="BD817">
        <v>22005</v>
      </c>
      <c r="BE817" t="s">
        <v>15532</v>
      </c>
      <c r="BF817" t="str">
        <f>HYPERLINK("http://dx.doi.org/10.1088/2516-1091/abee66","http://dx.doi.org/10.1088/2516-1091/abee66")</f>
        <v>http://dx.doi.org/10.1088/2516-1091/abee66</v>
      </c>
      <c r="BG817" t="s">
        <v>74</v>
      </c>
      <c r="BH817" t="s">
        <v>74</v>
      </c>
      <c r="BI817">
        <v>30</v>
      </c>
      <c r="BJ817" t="s">
        <v>282</v>
      </c>
      <c r="BK817" t="s">
        <v>155</v>
      </c>
      <c r="BL817" t="s">
        <v>183</v>
      </c>
      <c r="BM817" t="s">
        <v>15533</v>
      </c>
      <c r="BN817" t="s">
        <v>74</v>
      </c>
      <c r="BO817" t="s">
        <v>104</v>
      </c>
      <c r="BP817" t="s">
        <v>74</v>
      </c>
      <c r="BQ817" t="s">
        <v>74</v>
      </c>
      <c r="BR817" t="s">
        <v>105</v>
      </c>
      <c r="BS817" t="s">
        <v>15534</v>
      </c>
      <c r="BT817" t="str">
        <f>HYPERLINK("https%3A%2F%2Fwww.webofscience.com%2Fwos%2Fwoscc%2Ffull-record%2FWOS:000835426400001","View Full Record in Web of Science")</f>
        <v>View Full Record in Web of Science</v>
      </c>
    </row>
    <row r="818" spans="1:72" x14ac:dyDescent="0.25">
      <c r="A818" t="s">
        <v>72</v>
      </c>
      <c r="B818" t="s">
        <v>15535</v>
      </c>
      <c r="C818" t="s">
        <v>74</v>
      </c>
      <c r="D818" t="s">
        <v>74</v>
      </c>
      <c r="E818" t="s">
        <v>74</v>
      </c>
      <c r="F818" t="s">
        <v>15536</v>
      </c>
      <c r="G818" t="s">
        <v>74</v>
      </c>
      <c r="H818" t="s">
        <v>74</v>
      </c>
      <c r="I818" t="s">
        <v>15537</v>
      </c>
      <c r="J818" t="s">
        <v>468</v>
      </c>
      <c r="K818" t="s">
        <v>74</v>
      </c>
      <c r="L818" t="s">
        <v>74</v>
      </c>
      <c r="M818" t="s">
        <v>78</v>
      </c>
      <c r="N818" t="s">
        <v>79</v>
      </c>
      <c r="O818" t="s">
        <v>74</v>
      </c>
      <c r="P818" t="s">
        <v>74</v>
      </c>
      <c r="Q818" t="s">
        <v>74</v>
      </c>
      <c r="R818" t="s">
        <v>74</v>
      </c>
      <c r="S818" t="s">
        <v>74</v>
      </c>
      <c r="T818" t="s">
        <v>15538</v>
      </c>
      <c r="U818" t="s">
        <v>15539</v>
      </c>
      <c r="V818" t="s">
        <v>15540</v>
      </c>
      <c r="W818" t="s">
        <v>15541</v>
      </c>
      <c r="X818" t="s">
        <v>15542</v>
      </c>
      <c r="Y818" t="s">
        <v>15543</v>
      </c>
      <c r="Z818" t="s">
        <v>15544</v>
      </c>
      <c r="AA818" t="s">
        <v>74</v>
      </c>
      <c r="AB818" t="s">
        <v>15545</v>
      </c>
      <c r="AC818" t="s">
        <v>15546</v>
      </c>
      <c r="AD818" t="s">
        <v>15547</v>
      </c>
      <c r="AE818" t="s">
        <v>15548</v>
      </c>
      <c r="AF818" t="s">
        <v>74</v>
      </c>
      <c r="AG818">
        <v>41</v>
      </c>
      <c r="AH818">
        <v>18</v>
      </c>
      <c r="AI818">
        <v>20</v>
      </c>
      <c r="AJ818">
        <v>4</v>
      </c>
      <c r="AK818">
        <v>42</v>
      </c>
      <c r="AL818" t="s">
        <v>480</v>
      </c>
      <c r="AM818" t="s">
        <v>481</v>
      </c>
      <c r="AN818" t="s">
        <v>482</v>
      </c>
      <c r="AO818" t="s">
        <v>483</v>
      </c>
      <c r="AP818" t="s">
        <v>484</v>
      </c>
      <c r="AQ818" t="s">
        <v>74</v>
      </c>
      <c r="AR818" t="s">
        <v>485</v>
      </c>
      <c r="AS818" t="s">
        <v>486</v>
      </c>
      <c r="AT818" t="s">
        <v>487</v>
      </c>
      <c r="AU818">
        <v>2021</v>
      </c>
      <c r="AV818">
        <v>53</v>
      </c>
      <c r="AW818">
        <v>4</v>
      </c>
      <c r="AX818" t="s">
        <v>74</v>
      </c>
      <c r="AY818" t="s">
        <v>74</v>
      </c>
      <c r="AZ818" t="s">
        <v>74</v>
      </c>
      <c r="BA818" t="s">
        <v>74</v>
      </c>
      <c r="BB818" t="s">
        <v>74</v>
      </c>
      <c r="BC818" t="s">
        <v>74</v>
      </c>
      <c r="BD818" t="s">
        <v>15549</v>
      </c>
      <c r="BE818" t="s">
        <v>15550</v>
      </c>
      <c r="BF818" t="str">
        <f>HYPERLINK("http://dx.doi.org/10.2340/16501977-2815","http://dx.doi.org/10.2340/16501977-2815")</f>
        <v>http://dx.doi.org/10.2340/16501977-2815</v>
      </c>
      <c r="BG818" t="s">
        <v>74</v>
      </c>
      <c r="BH818" t="s">
        <v>74</v>
      </c>
      <c r="BI818">
        <v>10</v>
      </c>
      <c r="BJ818" t="s">
        <v>236</v>
      </c>
      <c r="BK818" t="s">
        <v>102</v>
      </c>
      <c r="BL818" t="s">
        <v>236</v>
      </c>
      <c r="BM818" t="s">
        <v>15551</v>
      </c>
      <c r="BN818">
        <v>33739436</v>
      </c>
      <c r="BO818" t="s">
        <v>355</v>
      </c>
      <c r="BP818" t="s">
        <v>74</v>
      </c>
      <c r="BQ818" t="s">
        <v>74</v>
      </c>
      <c r="BR818" t="s">
        <v>105</v>
      </c>
      <c r="BS818" t="s">
        <v>15552</v>
      </c>
      <c r="BT818" t="str">
        <f>HYPERLINK("https%3A%2F%2Fwww.webofscience.com%2Fwos%2Fwoscc%2Ffull-record%2FWOS:000637289500001","View Full Record in Web of Science")</f>
        <v>View Full Record in Web of Science</v>
      </c>
    </row>
    <row r="819" spans="1:72" x14ac:dyDescent="0.25">
      <c r="A819" t="s">
        <v>72</v>
      </c>
      <c r="B819" t="s">
        <v>15553</v>
      </c>
      <c r="C819" t="s">
        <v>74</v>
      </c>
      <c r="D819" t="s">
        <v>74</v>
      </c>
      <c r="E819" t="s">
        <v>74</v>
      </c>
      <c r="F819" t="s">
        <v>15554</v>
      </c>
      <c r="G819" t="s">
        <v>74</v>
      </c>
      <c r="H819" t="s">
        <v>74</v>
      </c>
      <c r="I819" t="s">
        <v>15555</v>
      </c>
      <c r="J819" t="s">
        <v>701</v>
      </c>
      <c r="K819" t="s">
        <v>74</v>
      </c>
      <c r="L819" t="s">
        <v>74</v>
      </c>
      <c r="M819" t="s">
        <v>78</v>
      </c>
      <c r="N819" t="s">
        <v>79</v>
      </c>
      <c r="O819" t="s">
        <v>74</v>
      </c>
      <c r="P819" t="s">
        <v>74</v>
      </c>
      <c r="Q819" t="s">
        <v>74</v>
      </c>
      <c r="R819" t="s">
        <v>74</v>
      </c>
      <c r="S819" t="s">
        <v>74</v>
      </c>
      <c r="T819" t="s">
        <v>15556</v>
      </c>
      <c r="U819" t="s">
        <v>15557</v>
      </c>
      <c r="V819" t="s">
        <v>15558</v>
      </c>
      <c r="W819" t="s">
        <v>15559</v>
      </c>
      <c r="X819" t="s">
        <v>15560</v>
      </c>
      <c r="Y819" t="s">
        <v>15561</v>
      </c>
      <c r="Z819" t="s">
        <v>15562</v>
      </c>
      <c r="AA819" t="s">
        <v>15563</v>
      </c>
      <c r="AB819" t="s">
        <v>15564</v>
      </c>
      <c r="AC819" t="s">
        <v>15565</v>
      </c>
      <c r="AD819" t="s">
        <v>15566</v>
      </c>
      <c r="AE819" t="s">
        <v>15567</v>
      </c>
      <c r="AF819" t="s">
        <v>74</v>
      </c>
      <c r="AG819">
        <v>107</v>
      </c>
      <c r="AH819">
        <v>53</v>
      </c>
      <c r="AI819">
        <v>56</v>
      </c>
      <c r="AJ819">
        <v>8</v>
      </c>
      <c r="AK819">
        <v>68</v>
      </c>
      <c r="AL819" t="s">
        <v>392</v>
      </c>
      <c r="AM819" t="s">
        <v>393</v>
      </c>
      <c r="AN819" t="s">
        <v>394</v>
      </c>
      <c r="AO819" t="s">
        <v>709</v>
      </c>
      <c r="AP819" t="s">
        <v>74</v>
      </c>
      <c r="AQ819" t="s">
        <v>74</v>
      </c>
      <c r="AR819" t="s">
        <v>710</v>
      </c>
      <c r="AS819" t="s">
        <v>711</v>
      </c>
      <c r="AT819" t="s">
        <v>15568</v>
      </c>
      <c r="AU819">
        <v>2021</v>
      </c>
      <c r="AV819">
        <v>8</v>
      </c>
      <c r="AW819" t="s">
        <v>74</v>
      </c>
      <c r="AX819" t="s">
        <v>74</v>
      </c>
      <c r="AY819" t="s">
        <v>74</v>
      </c>
      <c r="AZ819" t="s">
        <v>74</v>
      </c>
      <c r="BA819" t="s">
        <v>74</v>
      </c>
      <c r="BB819" t="s">
        <v>74</v>
      </c>
      <c r="BC819" t="s">
        <v>74</v>
      </c>
      <c r="BD819">
        <v>602878</v>
      </c>
      <c r="BE819" t="s">
        <v>15569</v>
      </c>
      <c r="BF819" t="str">
        <f>HYPERLINK("http://dx.doi.org/10.3389/frobt.2021.602878","http://dx.doi.org/10.3389/frobt.2021.602878")</f>
        <v>http://dx.doi.org/10.3389/frobt.2021.602878</v>
      </c>
      <c r="BG819" t="s">
        <v>74</v>
      </c>
      <c r="BH819" t="s">
        <v>74</v>
      </c>
      <c r="BI819">
        <v>18</v>
      </c>
      <c r="BJ819" t="s">
        <v>714</v>
      </c>
      <c r="BK819" t="s">
        <v>155</v>
      </c>
      <c r="BL819" t="s">
        <v>714</v>
      </c>
      <c r="BM819" t="s">
        <v>15570</v>
      </c>
      <c r="BN819">
        <v>33937345</v>
      </c>
      <c r="BO819" t="s">
        <v>355</v>
      </c>
      <c r="BP819" t="s">
        <v>74</v>
      </c>
      <c r="BQ819" t="s">
        <v>74</v>
      </c>
      <c r="BR819" t="s">
        <v>105</v>
      </c>
      <c r="BS819" t="s">
        <v>15571</v>
      </c>
      <c r="BT819" t="str">
        <f>HYPERLINK("https%3A%2F%2Fwww.webofscience.com%2Fwos%2Fwoscc%2Ffull-record%2FWOS:000644946300001","View Full Record in Web of Science")</f>
        <v>View Full Record in Web of Science</v>
      </c>
    </row>
    <row r="820" spans="1:72" x14ac:dyDescent="0.25">
      <c r="A820" t="s">
        <v>72</v>
      </c>
      <c r="B820" t="s">
        <v>15572</v>
      </c>
      <c r="C820" t="s">
        <v>74</v>
      </c>
      <c r="D820" t="s">
        <v>74</v>
      </c>
      <c r="E820" t="s">
        <v>74</v>
      </c>
      <c r="F820" t="s">
        <v>15573</v>
      </c>
      <c r="G820" t="s">
        <v>74</v>
      </c>
      <c r="H820" t="s">
        <v>74</v>
      </c>
      <c r="I820" t="s">
        <v>15574</v>
      </c>
      <c r="J820" t="s">
        <v>594</v>
      </c>
      <c r="K820" t="s">
        <v>74</v>
      </c>
      <c r="L820" t="s">
        <v>74</v>
      </c>
      <c r="M820" t="s">
        <v>78</v>
      </c>
      <c r="N820" t="s">
        <v>79</v>
      </c>
      <c r="O820" t="s">
        <v>74</v>
      </c>
      <c r="P820" t="s">
        <v>74</v>
      </c>
      <c r="Q820" t="s">
        <v>74</v>
      </c>
      <c r="R820" t="s">
        <v>74</v>
      </c>
      <c r="S820" t="s">
        <v>74</v>
      </c>
      <c r="T820" t="s">
        <v>15575</v>
      </c>
      <c r="U820" t="s">
        <v>15576</v>
      </c>
      <c r="V820" t="s">
        <v>15577</v>
      </c>
      <c r="W820" t="s">
        <v>15578</v>
      </c>
      <c r="X820" t="s">
        <v>15579</v>
      </c>
      <c r="Y820" t="s">
        <v>15580</v>
      </c>
      <c r="Z820" t="s">
        <v>15581</v>
      </c>
      <c r="AA820" t="s">
        <v>15582</v>
      </c>
      <c r="AB820" t="s">
        <v>15583</v>
      </c>
      <c r="AC820" t="s">
        <v>15584</v>
      </c>
      <c r="AD820" t="s">
        <v>15585</v>
      </c>
      <c r="AE820" t="s">
        <v>15586</v>
      </c>
      <c r="AF820" t="s">
        <v>74</v>
      </c>
      <c r="AG820">
        <v>90</v>
      </c>
      <c r="AH820">
        <v>61</v>
      </c>
      <c r="AI820">
        <v>64</v>
      </c>
      <c r="AJ820">
        <v>11</v>
      </c>
      <c r="AK820">
        <v>153</v>
      </c>
      <c r="AL820" t="s">
        <v>274</v>
      </c>
      <c r="AM820" t="s">
        <v>275</v>
      </c>
      <c r="AN820" t="s">
        <v>276</v>
      </c>
      <c r="AO820" t="s">
        <v>74</v>
      </c>
      <c r="AP820" t="s">
        <v>606</v>
      </c>
      <c r="AQ820" t="s">
        <v>74</v>
      </c>
      <c r="AR820" t="s">
        <v>607</v>
      </c>
      <c r="AS820" t="s">
        <v>608</v>
      </c>
      <c r="AT820" t="s">
        <v>6527</v>
      </c>
      <c r="AU820">
        <v>2021</v>
      </c>
      <c r="AV820">
        <v>18</v>
      </c>
      <c r="AW820">
        <v>1</v>
      </c>
      <c r="AX820" t="s">
        <v>74</v>
      </c>
      <c r="AY820" t="s">
        <v>74</v>
      </c>
      <c r="AZ820" t="s">
        <v>74</v>
      </c>
      <c r="BA820" t="s">
        <v>74</v>
      </c>
      <c r="BB820" t="s">
        <v>74</v>
      </c>
      <c r="BC820" t="s">
        <v>74</v>
      </c>
      <c r="BD820">
        <v>52</v>
      </c>
      <c r="BE820" t="s">
        <v>15587</v>
      </c>
      <c r="BF820" t="str">
        <f>HYPERLINK("http://dx.doi.org/10.1186/s12984-021-00845-z","http://dx.doi.org/10.1186/s12984-021-00845-z")</f>
        <v>http://dx.doi.org/10.1186/s12984-021-00845-z</v>
      </c>
      <c r="BG820" t="s">
        <v>74</v>
      </c>
      <c r="BH820" t="s">
        <v>74</v>
      </c>
      <c r="BI820">
        <v>15</v>
      </c>
      <c r="BJ820" t="s">
        <v>611</v>
      </c>
      <c r="BK820" t="s">
        <v>182</v>
      </c>
      <c r="BL820" t="s">
        <v>612</v>
      </c>
      <c r="BM820" t="s">
        <v>15588</v>
      </c>
      <c r="BN820">
        <v>33743757</v>
      </c>
      <c r="BO820" t="s">
        <v>131</v>
      </c>
      <c r="BP820" t="s">
        <v>74</v>
      </c>
      <c r="BQ820" t="s">
        <v>74</v>
      </c>
      <c r="BR820" t="s">
        <v>105</v>
      </c>
      <c r="BS820" t="s">
        <v>15589</v>
      </c>
      <c r="BT820" t="str">
        <f>HYPERLINK("https%3A%2F%2Fwww.webofscience.com%2Fwos%2Fwoscc%2Ffull-record%2FWOS:000630860000001","View Full Record in Web of Science")</f>
        <v>View Full Record in Web of Science</v>
      </c>
    </row>
    <row r="821" spans="1:72" x14ac:dyDescent="0.25">
      <c r="A821" t="s">
        <v>72</v>
      </c>
      <c r="B821" t="s">
        <v>15590</v>
      </c>
      <c r="C821" t="s">
        <v>74</v>
      </c>
      <c r="D821" t="s">
        <v>74</v>
      </c>
      <c r="E821" t="s">
        <v>74</v>
      </c>
      <c r="F821" t="s">
        <v>15591</v>
      </c>
      <c r="G821" t="s">
        <v>74</v>
      </c>
      <c r="H821" t="s">
        <v>74</v>
      </c>
      <c r="I821" t="s">
        <v>15592</v>
      </c>
      <c r="J821" t="s">
        <v>15593</v>
      </c>
      <c r="K821" t="s">
        <v>74</v>
      </c>
      <c r="L821" t="s">
        <v>74</v>
      </c>
      <c r="M821" t="s">
        <v>78</v>
      </c>
      <c r="N821" t="s">
        <v>79</v>
      </c>
      <c r="O821" t="s">
        <v>74</v>
      </c>
      <c r="P821" t="s">
        <v>74</v>
      </c>
      <c r="Q821" t="s">
        <v>74</v>
      </c>
      <c r="R821" t="s">
        <v>74</v>
      </c>
      <c r="S821" t="s">
        <v>74</v>
      </c>
      <c r="T821" t="s">
        <v>15594</v>
      </c>
      <c r="U821" t="s">
        <v>15595</v>
      </c>
      <c r="V821" t="s">
        <v>15596</v>
      </c>
      <c r="W821" t="s">
        <v>15597</v>
      </c>
      <c r="X821" t="s">
        <v>15598</v>
      </c>
      <c r="Y821" t="s">
        <v>15599</v>
      </c>
      <c r="Z821" t="s">
        <v>15600</v>
      </c>
      <c r="AA821" t="s">
        <v>15601</v>
      </c>
      <c r="AB821" t="s">
        <v>15602</v>
      </c>
      <c r="AC821" t="s">
        <v>74</v>
      </c>
      <c r="AD821" t="s">
        <v>74</v>
      </c>
      <c r="AE821" t="s">
        <v>74</v>
      </c>
      <c r="AF821" t="s">
        <v>74</v>
      </c>
      <c r="AG821">
        <v>71</v>
      </c>
      <c r="AH821">
        <v>1</v>
      </c>
      <c r="AI821">
        <v>1</v>
      </c>
      <c r="AJ821">
        <v>0</v>
      </c>
      <c r="AK821">
        <v>7</v>
      </c>
      <c r="AL821" t="s">
        <v>1521</v>
      </c>
      <c r="AM821" t="s">
        <v>1522</v>
      </c>
      <c r="AN821" t="s">
        <v>1523</v>
      </c>
      <c r="AO821" t="s">
        <v>15603</v>
      </c>
      <c r="AP821" t="s">
        <v>74</v>
      </c>
      <c r="AQ821" t="s">
        <v>74</v>
      </c>
      <c r="AR821" t="s">
        <v>15604</v>
      </c>
      <c r="AS821" t="s">
        <v>15605</v>
      </c>
      <c r="AT821" t="s">
        <v>15606</v>
      </c>
      <c r="AU821">
        <v>2021</v>
      </c>
      <c r="AV821">
        <v>12</v>
      </c>
      <c r="AW821">
        <v>3</v>
      </c>
      <c r="AX821" t="s">
        <v>74</v>
      </c>
      <c r="AY821" t="s">
        <v>74</v>
      </c>
      <c r="AZ821" t="s">
        <v>74</v>
      </c>
      <c r="BA821" t="s">
        <v>74</v>
      </c>
      <c r="BB821">
        <v>102</v>
      </c>
      <c r="BC821">
        <v>118</v>
      </c>
      <c r="BD821" t="s">
        <v>74</v>
      </c>
      <c r="BE821" t="s">
        <v>15607</v>
      </c>
      <c r="BF821" t="str">
        <f>HYPERLINK("http://dx.doi.org/10.5312/wjo.v12.i3.102","http://dx.doi.org/10.5312/wjo.v12.i3.102")</f>
        <v>http://dx.doi.org/10.5312/wjo.v12.i3.102</v>
      </c>
      <c r="BG821" t="s">
        <v>74</v>
      </c>
      <c r="BH821" t="s">
        <v>74</v>
      </c>
      <c r="BI821">
        <v>17</v>
      </c>
      <c r="BJ821" t="s">
        <v>443</v>
      </c>
      <c r="BK821" t="s">
        <v>155</v>
      </c>
      <c r="BL821" t="s">
        <v>443</v>
      </c>
      <c r="BM821" t="s">
        <v>15608</v>
      </c>
      <c r="BN821">
        <v>33816138</v>
      </c>
      <c r="BO821" t="s">
        <v>355</v>
      </c>
      <c r="BP821" t="s">
        <v>74</v>
      </c>
      <c r="BQ821" t="s">
        <v>74</v>
      </c>
      <c r="BR821" t="s">
        <v>105</v>
      </c>
      <c r="BS821" t="s">
        <v>15609</v>
      </c>
      <c r="BT821" t="str">
        <f>HYPERLINK("https%3A%2F%2Fwww.webofscience.com%2Fwos%2Fwoscc%2Ffull-record%2FWOS:000636232400002","View Full Record in Web of Science")</f>
        <v>View Full Record in Web of Science</v>
      </c>
    </row>
    <row r="822" spans="1:72" x14ac:dyDescent="0.25">
      <c r="A822" t="s">
        <v>72</v>
      </c>
      <c r="B822" t="s">
        <v>15610</v>
      </c>
      <c r="C822" t="s">
        <v>74</v>
      </c>
      <c r="D822" t="s">
        <v>74</v>
      </c>
      <c r="E822" t="s">
        <v>74</v>
      </c>
      <c r="F822" t="s">
        <v>15611</v>
      </c>
      <c r="G822" t="s">
        <v>74</v>
      </c>
      <c r="H822" t="s">
        <v>74</v>
      </c>
      <c r="I822" t="s">
        <v>15612</v>
      </c>
      <c r="J822" t="s">
        <v>15613</v>
      </c>
      <c r="K822" t="s">
        <v>74</v>
      </c>
      <c r="L822" t="s">
        <v>74</v>
      </c>
      <c r="M822" t="s">
        <v>78</v>
      </c>
      <c r="N822" t="s">
        <v>79</v>
      </c>
      <c r="O822" t="s">
        <v>74</v>
      </c>
      <c r="P822" t="s">
        <v>74</v>
      </c>
      <c r="Q822" t="s">
        <v>74</v>
      </c>
      <c r="R822" t="s">
        <v>74</v>
      </c>
      <c r="S822" t="s">
        <v>74</v>
      </c>
      <c r="T822" t="s">
        <v>15614</v>
      </c>
      <c r="U822" t="s">
        <v>15615</v>
      </c>
      <c r="V822" t="s">
        <v>15616</v>
      </c>
      <c r="W822" t="s">
        <v>15617</v>
      </c>
      <c r="X822" t="s">
        <v>15618</v>
      </c>
      <c r="Y822" t="s">
        <v>15619</v>
      </c>
      <c r="Z822" t="s">
        <v>15620</v>
      </c>
      <c r="AA822" t="s">
        <v>15621</v>
      </c>
      <c r="AB822" t="s">
        <v>15622</v>
      </c>
      <c r="AC822" t="s">
        <v>74</v>
      </c>
      <c r="AD822" t="s">
        <v>74</v>
      </c>
      <c r="AE822" t="s">
        <v>74</v>
      </c>
      <c r="AF822" t="s">
        <v>74</v>
      </c>
      <c r="AG822">
        <v>46</v>
      </c>
      <c r="AH822">
        <v>59</v>
      </c>
      <c r="AI822">
        <v>72</v>
      </c>
      <c r="AJ822">
        <v>5</v>
      </c>
      <c r="AK822">
        <v>40</v>
      </c>
      <c r="AL822" t="s">
        <v>346</v>
      </c>
      <c r="AM822" t="s">
        <v>227</v>
      </c>
      <c r="AN822" t="s">
        <v>347</v>
      </c>
      <c r="AO822" t="s">
        <v>15623</v>
      </c>
      <c r="AP822" t="s">
        <v>15624</v>
      </c>
      <c r="AQ822" t="s">
        <v>74</v>
      </c>
      <c r="AR822" t="s">
        <v>15613</v>
      </c>
      <c r="AS822" t="s">
        <v>15613</v>
      </c>
      <c r="AT822" t="s">
        <v>13693</v>
      </c>
      <c r="AU822">
        <v>2021</v>
      </c>
      <c r="AV822">
        <v>46</v>
      </c>
      <c r="AW822">
        <v>6</v>
      </c>
      <c r="AX822" t="s">
        <v>74</v>
      </c>
      <c r="AY822" t="s">
        <v>74</v>
      </c>
      <c r="AZ822" t="s">
        <v>74</v>
      </c>
      <c r="BA822" t="s">
        <v>74</v>
      </c>
      <c r="BB822" t="s">
        <v>15625</v>
      </c>
      <c r="BC822" t="s">
        <v>15626</v>
      </c>
      <c r="BD822" t="s">
        <v>74</v>
      </c>
      <c r="BE822" t="s">
        <v>15627</v>
      </c>
      <c r="BF822" t="str">
        <f>HYPERLINK("http://dx.doi.org/10.1097/BRS.0000000000003789","http://dx.doi.org/10.1097/BRS.0000000000003789")</f>
        <v>http://dx.doi.org/10.1097/BRS.0000000000003789</v>
      </c>
      <c r="BG822" t="s">
        <v>74</v>
      </c>
      <c r="BH822" t="s">
        <v>74</v>
      </c>
      <c r="BI822">
        <v>13</v>
      </c>
      <c r="BJ822" t="s">
        <v>8771</v>
      </c>
      <c r="BK822" t="s">
        <v>182</v>
      </c>
      <c r="BL822" t="s">
        <v>8772</v>
      </c>
      <c r="BM822" t="s">
        <v>15628</v>
      </c>
      <c r="BN822">
        <v>33620185</v>
      </c>
      <c r="BO822" t="s">
        <v>74</v>
      </c>
      <c r="BP822" t="s">
        <v>74</v>
      </c>
      <c r="BQ822" t="s">
        <v>74</v>
      </c>
      <c r="BR822" t="s">
        <v>105</v>
      </c>
      <c r="BS822" t="s">
        <v>15629</v>
      </c>
      <c r="BT822" t="str">
        <f>HYPERLINK("https%3A%2F%2Fwww.webofscience.com%2Fwos%2Fwoscc%2Ffull-record%2FWOS:000663725200012","View Full Record in Web of Science")</f>
        <v>View Full Record in Web of Science</v>
      </c>
    </row>
    <row r="823" spans="1:72" x14ac:dyDescent="0.25">
      <c r="A823" t="s">
        <v>72</v>
      </c>
      <c r="B823" t="s">
        <v>15630</v>
      </c>
      <c r="C823" t="s">
        <v>74</v>
      </c>
      <c r="D823" t="s">
        <v>74</v>
      </c>
      <c r="E823" t="s">
        <v>74</v>
      </c>
      <c r="F823" t="s">
        <v>15631</v>
      </c>
      <c r="G823" t="s">
        <v>74</v>
      </c>
      <c r="H823" t="s">
        <v>74</v>
      </c>
      <c r="I823" t="s">
        <v>15632</v>
      </c>
      <c r="J823" t="s">
        <v>2117</v>
      </c>
      <c r="K823" t="s">
        <v>74</v>
      </c>
      <c r="L823" t="s">
        <v>74</v>
      </c>
      <c r="M823" t="s">
        <v>78</v>
      </c>
      <c r="N823" t="s">
        <v>79</v>
      </c>
      <c r="O823" t="s">
        <v>74</v>
      </c>
      <c r="P823" t="s">
        <v>74</v>
      </c>
      <c r="Q823" t="s">
        <v>74</v>
      </c>
      <c r="R823" t="s">
        <v>74</v>
      </c>
      <c r="S823" t="s">
        <v>74</v>
      </c>
      <c r="T823" t="s">
        <v>15633</v>
      </c>
      <c r="U823" t="s">
        <v>15634</v>
      </c>
      <c r="V823" t="s">
        <v>15635</v>
      </c>
      <c r="W823" t="s">
        <v>15636</v>
      </c>
      <c r="X823" t="s">
        <v>15637</v>
      </c>
      <c r="Y823" t="s">
        <v>15638</v>
      </c>
      <c r="Z823" t="s">
        <v>15639</v>
      </c>
      <c r="AA823" t="s">
        <v>15640</v>
      </c>
      <c r="AB823" t="s">
        <v>15641</v>
      </c>
      <c r="AC823" t="s">
        <v>15642</v>
      </c>
      <c r="AD823" t="s">
        <v>15643</v>
      </c>
      <c r="AE823" t="s">
        <v>15644</v>
      </c>
      <c r="AF823" t="s">
        <v>74</v>
      </c>
      <c r="AG823">
        <v>91</v>
      </c>
      <c r="AH823">
        <v>103</v>
      </c>
      <c r="AI823">
        <v>105</v>
      </c>
      <c r="AJ823">
        <v>12</v>
      </c>
      <c r="AK823">
        <v>139</v>
      </c>
      <c r="AL823" t="s">
        <v>120</v>
      </c>
      <c r="AM823" t="s">
        <v>121</v>
      </c>
      <c r="AN823" t="s">
        <v>1221</v>
      </c>
      <c r="AO823" t="s">
        <v>74</v>
      </c>
      <c r="AP823" t="s">
        <v>2129</v>
      </c>
      <c r="AQ823" t="s">
        <v>74</v>
      </c>
      <c r="AR823" t="s">
        <v>2117</v>
      </c>
      <c r="AS823" t="s">
        <v>714</v>
      </c>
      <c r="AT823" t="s">
        <v>1471</v>
      </c>
      <c r="AU823">
        <v>2021</v>
      </c>
      <c r="AV823">
        <v>10</v>
      </c>
      <c r="AW823">
        <v>1</v>
      </c>
      <c r="AX823" t="s">
        <v>74</v>
      </c>
      <c r="AY823" t="s">
        <v>74</v>
      </c>
      <c r="AZ823" t="s">
        <v>74</v>
      </c>
      <c r="BA823" t="s">
        <v>74</v>
      </c>
      <c r="BB823" t="s">
        <v>74</v>
      </c>
      <c r="BC823" t="s">
        <v>74</v>
      </c>
      <c r="BD823">
        <v>40</v>
      </c>
      <c r="BE823" t="s">
        <v>15645</v>
      </c>
      <c r="BF823" t="str">
        <f>HYPERLINK("http://dx.doi.org/10.3390/robotics10010040","http://dx.doi.org/10.3390/robotics10010040")</f>
        <v>http://dx.doi.org/10.3390/robotics10010040</v>
      </c>
      <c r="BG823" t="s">
        <v>74</v>
      </c>
      <c r="BH823" t="s">
        <v>74</v>
      </c>
      <c r="BI823">
        <v>42</v>
      </c>
      <c r="BJ823" t="s">
        <v>714</v>
      </c>
      <c r="BK823" t="s">
        <v>155</v>
      </c>
      <c r="BL823" t="s">
        <v>714</v>
      </c>
      <c r="BM823" t="s">
        <v>15646</v>
      </c>
      <c r="BN823" t="s">
        <v>74</v>
      </c>
      <c r="BO823" t="s">
        <v>185</v>
      </c>
      <c r="BP823" t="s">
        <v>74</v>
      </c>
      <c r="BQ823" t="s">
        <v>74</v>
      </c>
      <c r="BR823" t="s">
        <v>105</v>
      </c>
      <c r="BS823" t="s">
        <v>15647</v>
      </c>
      <c r="BT823" t="str">
        <f>HYPERLINK("https%3A%2F%2Fwww.webofscience.com%2Fwos%2Fwoscc%2Ffull-record%2FWOS:000633086900001","View Full Record in Web of Science")</f>
        <v>View Full Record in Web of Science</v>
      </c>
    </row>
    <row r="824" spans="1:72" x14ac:dyDescent="0.25">
      <c r="A824" t="s">
        <v>72</v>
      </c>
      <c r="B824" t="s">
        <v>15648</v>
      </c>
      <c r="C824" t="s">
        <v>74</v>
      </c>
      <c r="D824" t="s">
        <v>74</v>
      </c>
      <c r="E824" t="s">
        <v>74</v>
      </c>
      <c r="F824" t="s">
        <v>15649</v>
      </c>
      <c r="G824" t="s">
        <v>74</v>
      </c>
      <c r="H824" t="s">
        <v>74</v>
      </c>
      <c r="I824" t="s">
        <v>15650</v>
      </c>
      <c r="J824" t="s">
        <v>6115</v>
      </c>
      <c r="K824" t="s">
        <v>74</v>
      </c>
      <c r="L824" t="s">
        <v>74</v>
      </c>
      <c r="M824" t="s">
        <v>78</v>
      </c>
      <c r="N824" t="s">
        <v>79</v>
      </c>
      <c r="O824" t="s">
        <v>74</v>
      </c>
      <c r="P824" t="s">
        <v>74</v>
      </c>
      <c r="Q824" t="s">
        <v>74</v>
      </c>
      <c r="R824" t="s">
        <v>74</v>
      </c>
      <c r="S824" t="s">
        <v>74</v>
      </c>
      <c r="T824" t="s">
        <v>15651</v>
      </c>
      <c r="U824" t="s">
        <v>15652</v>
      </c>
      <c r="V824" t="s">
        <v>15653</v>
      </c>
      <c r="W824" t="s">
        <v>15654</v>
      </c>
      <c r="X824" t="s">
        <v>15655</v>
      </c>
      <c r="Y824" t="s">
        <v>15656</v>
      </c>
      <c r="Z824" t="s">
        <v>15657</v>
      </c>
      <c r="AA824" t="s">
        <v>15658</v>
      </c>
      <c r="AB824" t="s">
        <v>74</v>
      </c>
      <c r="AC824" t="s">
        <v>74</v>
      </c>
      <c r="AD824" t="s">
        <v>74</v>
      </c>
      <c r="AE824" t="s">
        <v>74</v>
      </c>
      <c r="AF824" t="s">
        <v>74</v>
      </c>
      <c r="AG824">
        <v>110</v>
      </c>
      <c r="AH824">
        <v>20</v>
      </c>
      <c r="AI824">
        <v>25</v>
      </c>
      <c r="AJ824">
        <v>2</v>
      </c>
      <c r="AK824">
        <v>7</v>
      </c>
      <c r="AL824" t="s">
        <v>120</v>
      </c>
      <c r="AM824" t="s">
        <v>121</v>
      </c>
      <c r="AN824" t="s">
        <v>1221</v>
      </c>
      <c r="AO824" t="s">
        <v>74</v>
      </c>
      <c r="AP824" t="s">
        <v>6124</v>
      </c>
      <c r="AQ824" t="s">
        <v>74</v>
      </c>
      <c r="AR824" t="s">
        <v>6115</v>
      </c>
      <c r="AS824" t="s">
        <v>6125</v>
      </c>
      <c r="AT824" t="s">
        <v>1471</v>
      </c>
      <c r="AU824">
        <v>2021</v>
      </c>
      <c r="AV824">
        <v>13</v>
      </c>
      <c r="AW824">
        <v>6</v>
      </c>
      <c r="AX824" t="s">
        <v>74</v>
      </c>
      <c r="AY824" t="s">
        <v>74</v>
      </c>
      <c r="AZ824" t="s">
        <v>74</v>
      </c>
      <c r="BA824" t="s">
        <v>74</v>
      </c>
      <c r="BB824" t="s">
        <v>74</v>
      </c>
      <c r="BC824" t="s">
        <v>74</v>
      </c>
      <c r="BD824">
        <v>1405</v>
      </c>
      <c r="BE824" t="s">
        <v>15659</v>
      </c>
      <c r="BF824" t="str">
        <f>HYPERLINK("http://dx.doi.org/10.3390/cancers13061405","http://dx.doi.org/10.3390/cancers13061405")</f>
        <v>http://dx.doi.org/10.3390/cancers13061405</v>
      </c>
      <c r="BG824" t="s">
        <v>74</v>
      </c>
      <c r="BH824" t="s">
        <v>74</v>
      </c>
      <c r="BI824">
        <v>17</v>
      </c>
      <c r="BJ824" t="s">
        <v>4032</v>
      </c>
      <c r="BK824" t="s">
        <v>182</v>
      </c>
      <c r="BL824" t="s">
        <v>4032</v>
      </c>
      <c r="BM824" t="s">
        <v>15660</v>
      </c>
      <c r="BN824">
        <v>33808695</v>
      </c>
      <c r="BO824" t="s">
        <v>131</v>
      </c>
      <c r="BP824" t="s">
        <v>74</v>
      </c>
      <c r="BQ824" t="s">
        <v>74</v>
      </c>
      <c r="BR824" t="s">
        <v>105</v>
      </c>
      <c r="BS824" t="s">
        <v>15661</v>
      </c>
      <c r="BT824" t="str">
        <f>HYPERLINK("https%3A%2F%2Fwww.webofscience.com%2Fwos%2Fwoscc%2Ffull-record%2FWOS:000634336000001","View Full Record in Web of Science")</f>
        <v>View Full Record in Web of Science</v>
      </c>
    </row>
    <row r="825" spans="1:72" x14ac:dyDescent="0.25">
      <c r="A825" t="s">
        <v>72</v>
      </c>
      <c r="B825" t="s">
        <v>15662</v>
      </c>
      <c r="C825" t="s">
        <v>74</v>
      </c>
      <c r="D825" t="s">
        <v>74</v>
      </c>
      <c r="E825" t="s">
        <v>74</v>
      </c>
      <c r="F825" t="s">
        <v>15663</v>
      </c>
      <c r="G825" t="s">
        <v>74</v>
      </c>
      <c r="H825" t="s">
        <v>74</v>
      </c>
      <c r="I825" t="s">
        <v>15664</v>
      </c>
      <c r="J825" t="s">
        <v>6946</v>
      </c>
      <c r="K825" t="s">
        <v>74</v>
      </c>
      <c r="L825" t="s">
        <v>74</v>
      </c>
      <c r="M825" t="s">
        <v>78</v>
      </c>
      <c r="N825" t="s">
        <v>79</v>
      </c>
      <c r="O825" t="s">
        <v>74</v>
      </c>
      <c r="P825" t="s">
        <v>74</v>
      </c>
      <c r="Q825" t="s">
        <v>74</v>
      </c>
      <c r="R825" t="s">
        <v>74</v>
      </c>
      <c r="S825" t="s">
        <v>74</v>
      </c>
      <c r="T825" t="s">
        <v>15665</v>
      </c>
      <c r="U825" t="s">
        <v>15666</v>
      </c>
      <c r="V825" t="s">
        <v>15667</v>
      </c>
      <c r="W825" t="s">
        <v>15668</v>
      </c>
      <c r="X825" t="s">
        <v>15669</v>
      </c>
      <c r="Y825" t="s">
        <v>15670</v>
      </c>
      <c r="Z825" t="s">
        <v>15671</v>
      </c>
      <c r="AA825" t="s">
        <v>15672</v>
      </c>
      <c r="AB825" t="s">
        <v>15673</v>
      </c>
      <c r="AC825" t="s">
        <v>15674</v>
      </c>
      <c r="AD825" t="s">
        <v>15675</v>
      </c>
      <c r="AE825" t="s">
        <v>15676</v>
      </c>
      <c r="AF825" t="s">
        <v>74</v>
      </c>
      <c r="AG825">
        <v>149</v>
      </c>
      <c r="AH825">
        <v>191</v>
      </c>
      <c r="AI825">
        <v>208</v>
      </c>
      <c r="AJ825">
        <v>14</v>
      </c>
      <c r="AK825">
        <v>151</v>
      </c>
      <c r="AL825" t="s">
        <v>120</v>
      </c>
      <c r="AM825" t="s">
        <v>121</v>
      </c>
      <c r="AN825" t="s">
        <v>122</v>
      </c>
      <c r="AO825" t="s">
        <v>74</v>
      </c>
      <c r="AP825" t="s">
        <v>6959</v>
      </c>
      <c r="AQ825" t="s">
        <v>74</v>
      </c>
      <c r="AR825" t="s">
        <v>6946</v>
      </c>
      <c r="AS825" t="s">
        <v>6960</v>
      </c>
      <c r="AT825" t="s">
        <v>1471</v>
      </c>
      <c r="AU825">
        <v>2021</v>
      </c>
      <c r="AV825">
        <v>9</v>
      </c>
      <c r="AW825">
        <v>1</v>
      </c>
      <c r="AX825" t="s">
        <v>74</v>
      </c>
      <c r="AY825" t="s">
        <v>74</v>
      </c>
      <c r="AZ825" t="s">
        <v>74</v>
      </c>
      <c r="BA825" t="s">
        <v>74</v>
      </c>
      <c r="BB825" t="s">
        <v>74</v>
      </c>
      <c r="BC825" t="s">
        <v>74</v>
      </c>
      <c r="BD825">
        <v>8</v>
      </c>
      <c r="BE825" t="s">
        <v>15677</v>
      </c>
      <c r="BF825" t="str">
        <f>HYPERLINK("http://dx.doi.org/10.3390/technologies9010008","http://dx.doi.org/10.3390/technologies9010008")</f>
        <v>http://dx.doi.org/10.3390/technologies9010008</v>
      </c>
      <c r="BG825" t="s">
        <v>74</v>
      </c>
      <c r="BH825" t="s">
        <v>74</v>
      </c>
      <c r="BI825">
        <v>26</v>
      </c>
      <c r="BJ825" t="s">
        <v>1202</v>
      </c>
      <c r="BK825" t="s">
        <v>155</v>
      </c>
      <c r="BL825" t="s">
        <v>183</v>
      </c>
      <c r="BM825" t="s">
        <v>15678</v>
      </c>
      <c r="BN825" t="s">
        <v>74</v>
      </c>
      <c r="BO825" t="s">
        <v>185</v>
      </c>
      <c r="BP825" t="s">
        <v>74</v>
      </c>
      <c r="BQ825" t="s">
        <v>74</v>
      </c>
      <c r="BR825" t="s">
        <v>105</v>
      </c>
      <c r="BS825" t="s">
        <v>15679</v>
      </c>
      <c r="BT825" t="str">
        <f>HYPERLINK("https%3A%2F%2Fwww.webofscience.com%2Fwos%2Fwoscc%2Ffull-record%2FWOS:000633092300001","View Full Record in Web of Science")</f>
        <v>View Full Record in Web of Science</v>
      </c>
    </row>
    <row r="826" spans="1:72" x14ac:dyDescent="0.25">
      <c r="A826" t="s">
        <v>72</v>
      </c>
      <c r="B826" t="s">
        <v>15680</v>
      </c>
      <c r="C826" t="s">
        <v>74</v>
      </c>
      <c r="D826" t="s">
        <v>74</v>
      </c>
      <c r="E826" t="s">
        <v>74</v>
      </c>
      <c r="F826" t="s">
        <v>15681</v>
      </c>
      <c r="G826" t="s">
        <v>74</v>
      </c>
      <c r="H826" t="s">
        <v>74</v>
      </c>
      <c r="I826" t="s">
        <v>15682</v>
      </c>
      <c r="J826" t="s">
        <v>2040</v>
      </c>
      <c r="K826" t="s">
        <v>74</v>
      </c>
      <c r="L826" t="s">
        <v>74</v>
      </c>
      <c r="M826" t="s">
        <v>78</v>
      </c>
      <c r="N826" t="s">
        <v>79</v>
      </c>
      <c r="O826" t="s">
        <v>74</v>
      </c>
      <c r="P826" t="s">
        <v>74</v>
      </c>
      <c r="Q826" t="s">
        <v>74</v>
      </c>
      <c r="R826" t="s">
        <v>74</v>
      </c>
      <c r="S826" t="s">
        <v>74</v>
      </c>
      <c r="T826" t="s">
        <v>15683</v>
      </c>
      <c r="U826" t="s">
        <v>15684</v>
      </c>
      <c r="V826" t="s">
        <v>15685</v>
      </c>
      <c r="W826" t="s">
        <v>15686</v>
      </c>
      <c r="X826" t="s">
        <v>15687</v>
      </c>
      <c r="Y826" t="s">
        <v>15688</v>
      </c>
      <c r="Z826" t="s">
        <v>15689</v>
      </c>
      <c r="AA826" t="s">
        <v>15690</v>
      </c>
      <c r="AB826" t="s">
        <v>15691</v>
      </c>
      <c r="AC826" t="s">
        <v>15692</v>
      </c>
      <c r="AD826" t="s">
        <v>15693</v>
      </c>
      <c r="AE826" t="s">
        <v>15694</v>
      </c>
      <c r="AF826" t="s">
        <v>74</v>
      </c>
      <c r="AG826">
        <v>262</v>
      </c>
      <c r="AH826">
        <v>43</v>
      </c>
      <c r="AI826">
        <v>46</v>
      </c>
      <c r="AJ826">
        <v>10</v>
      </c>
      <c r="AK826">
        <v>69</v>
      </c>
      <c r="AL826" t="s">
        <v>120</v>
      </c>
      <c r="AM826" t="s">
        <v>121</v>
      </c>
      <c r="AN826" t="s">
        <v>122</v>
      </c>
      <c r="AO826" t="s">
        <v>74</v>
      </c>
      <c r="AP826" t="s">
        <v>2050</v>
      </c>
      <c r="AQ826" t="s">
        <v>74</v>
      </c>
      <c r="AR826" t="s">
        <v>2051</v>
      </c>
      <c r="AS826" t="s">
        <v>2052</v>
      </c>
      <c r="AT826" t="s">
        <v>1471</v>
      </c>
      <c r="AU826">
        <v>2021</v>
      </c>
      <c r="AV826">
        <v>21</v>
      </c>
      <c r="AW826">
        <v>6</v>
      </c>
      <c r="AX826" t="s">
        <v>74</v>
      </c>
      <c r="AY826" t="s">
        <v>74</v>
      </c>
      <c r="AZ826" t="s">
        <v>74</v>
      </c>
      <c r="BA826" t="s">
        <v>74</v>
      </c>
      <c r="BB826" t="s">
        <v>74</v>
      </c>
      <c r="BC826" t="s">
        <v>74</v>
      </c>
      <c r="BD826">
        <v>2084</v>
      </c>
      <c r="BE826" t="s">
        <v>15695</v>
      </c>
      <c r="BF826" t="str">
        <f>HYPERLINK("http://dx.doi.org/10.3390/s21062084","http://dx.doi.org/10.3390/s21062084")</f>
        <v>http://dx.doi.org/10.3390/s21062084</v>
      </c>
      <c r="BG826" t="s">
        <v>74</v>
      </c>
      <c r="BH826" t="s">
        <v>74</v>
      </c>
      <c r="BI826">
        <v>36</v>
      </c>
      <c r="BJ826" t="s">
        <v>2054</v>
      </c>
      <c r="BK826" t="s">
        <v>102</v>
      </c>
      <c r="BL826" t="s">
        <v>2055</v>
      </c>
      <c r="BM826" t="s">
        <v>15696</v>
      </c>
      <c r="BN826">
        <v>33809721</v>
      </c>
      <c r="BO826" t="s">
        <v>355</v>
      </c>
      <c r="BP826" t="s">
        <v>74</v>
      </c>
      <c r="BQ826" t="s">
        <v>74</v>
      </c>
      <c r="BR826" t="s">
        <v>105</v>
      </c>
      <c r="BS826" t="s">
        <v>15697</v>
      </c>
      <c r="BT826" t="str">
        <f>HYPERLINK("https%3A%2F%2Fwww.webofscience.com%2Fwos%2Fwoscc%2Ffull-record%2FWOS:000652733400001","View Full Record in Web of Science")</f>
        <v>View Full Record in Web of Science</v>
      </c>
    </row>
    <row r="827" spans="1:72" x14ac:dyDescent="0.25">
      <c r="A827" t="s">
        <v>72</v>
      </c>
      <c r="B827" t="s">
        <v>15698</v>
      </c>
      <c r="C827" t="s">
        <v>74</v>
      </c>
      <c r="D827" t="s">
        <v>74</v>
      </c>
      <c r="E827" t="s">
        <v>74</v>
      </c>
      <c r="F827" t="s">
        <v>15699</v>
      </c>
      <c r="G827" t="s">
        <v>74</v>
      </c>
      <c r="H827" t="s">
        <v>74</v>
      </c>
      <c r="I827" t="s">
        <v>15700</v>
      </c>
      <c r="J827" t="s">
        <v>15701</v>
      </c>
      <c r="K827" t="s">
        <v>74</v>
      </c>
      <c r="L827" t="s">
        <v>74</v>
      </c>
      <c r="M827" t="s">
        <v>78</v>
      </c>
      <c r="N827" t="s">
        <v>79</v>
      </c>
      <c r="O827" t="s">
        <v>74</v>
      </c>
      <c r="P827" t="s">
        <v>74</v>
      </c>
      <c r="Q827" t="s">
        <v>74</v>
      </c>
      <c r="R827" t="s">
        <v>74</v>
      </c>
      <c r="S827" t="s">
        <v>74</v>
      </c>
      <c r="T827" t="s">
        <v>15702</v>
      </c>
      <c r="U827" t="s">
        <v>15703</v>
      </c>
      <c r="V827" t="s">
        <v>15704</v>
      </c>
      <c r="W827" t="s">
        <v>15705</v>
      </c>
      <c r="X827" t="s">
        <v>15706</v>
      </c>
      <c r="Y827" t="s">
        <v>15707</v>
      </c>
      <c r="Z827" t="s">
        <v>15708</v>
      </c>
      <c r="AA827" t="s">
        <v>15709</v>
      </c>
      <c r="AB827" t="s">
        <v>15710</v>
      </c>
      <c r="AC827" t="s">
        <v>15711</v>
      </c>
      <c r="AD827" t="s">
        <v>15711</v>
      </c>
      <c r="AE827" t="s">
        <v>15712</v>
      </c>
      <c r="AF827" t="s">
        <v>74</v>
      </c>
      <c r="AG827">
        <v>91</v>
      </c>
      <c r="AH827">
        <v>7</v>
      </c>
      <c r="AI827">
        <v>7</v>
      </c>
      <c r="AJ827">
        <v>0</v>
      </c>
      <c r="AK827">
        <v>16</v>
      </c>
      <c r="AL827" t="s">
        <v>202</v>
      </c>
      <c r="AM827" t="s">
        <v>203</v>
      </c>
      <c r="AN827" t="s">
        <v>204</v>
      </c>
      <c r="AO827" t="s">
        <v>15713</v>
      </c>
      <c r="AP827" t="s">
        <v>15714</v>
      </c>
      <c r="AQ827" t="s">
        <v>74</v>
      </c>
      <c r="AR827" t="s">
        <v>15715</v>
      </c>
      <c r="AS827" t="s">
        <v>15716</v>
      </c>
      <c r="AT827" t="s">
        <v>1471</v>
      </c>
      <c r="AU827">
        <v>2021</v>
      </c>
      <c r="AV827">
        <v>63</v>
      </c>
      <c r="AW827">
        <v>1</v>
      </c>
      <c r="AX827" t="s">
        <v>74</v>
      </c>
      <c r="AY827" t="s">
        <v>74</v>
      </c>
      <c r="AZ827" t="s">
        <v>74</v>
      </c>
      <c r="BA827" t="s">
        <v>74</v>
      </c>
      <c r="BB827">
        <v>62</v>
      </c>
      <c r="BC827">
        <v>74</v>
      </c>
      <c r="BD827" t="s">
        <v>74</v>
      </c>
      <c r="BE827" t="s">
        <v>15717</v>
      </c>
      <c r="BF827" t="str">
        <f>HYPERLINK("http://dx.doi.org/10.23736/S0031-0808.20.04188-9","http://dx.doi.org/10.23736/S0031-0808.20.04188-9")</f>
        <v>http://dx.doi.org/10.23736/S0031-0808.20.04188-9</v>
      </c>
      <c r="BG827" t="s">
        <v>74</v>
      </c>
      <c r="BH827" t="s">
        <v>74</v>
      </c>
      <c r="BI827">
        <v>13</v>
      </c>
      <c r="BJ827" t="s">
        <v>128</v>
      </c>
      <c r="BK827" t="s">
        <v>182</v>
      </c>
      <c r="BL827" t="s">
        <v>129</v>
      </c>
      <c r="BM827" t="s">
        <v>15718</v>
      </c>
      <c r="BN827">
        <v>33165308</v>
      </c>
      <c r="BO827" t="s">
        <v>74</v>
      </c>
      <c r="BP827" t="s">
        <v>74</v>
      </c>
      <c r="BQ827" t="s">
        <v>74</v>
      </c>
      <c r="BR827" t="s">
        <v>105</v>
      </c>
      <c r="BS827" t="s">
        <v>15719</v>
      </c>
      <c r="BT827" t="str">
        <f>HYPERLINK("https%3A%2F%2Fwww.webofscience.com%2Fwos%2Fwoscc%2Ffull-record%2FWOS:000643121300009","View Full Record in Web of Science")</f>
        <v>View Full Record in Web of Science</v>
      </c>
    </row>
    <row r="828" spans="1:72" x14ac:dyDescent="0.25">
      <c r="A828" t="s">
        <v>72</v>
      </c>
      <c r="B828" t="s">
        <v>15720</v>
      </c>
      <c r="C828" t="s">
        <v>74</v>
      </c>
      <c r="D828" t="s">
        <v>74</v>
      </c>
      <c r="E828" t="s">
        <v>74</v>
      </c>
      <c r="F828" t="s">
        <v>15721</v>
      </c>
      <c r="G828" t="s">
        <v>74</v>
      </c>
      <c r="H828" t="s">
        <v>74</v>
      </c>
      <c r="I828" t="s">
        <v>15722</v>
      </c>
      <c r="J828" t="s">
        <v>2452</v>
      </c>
      <c r="K828" t="s">
        <v>74</v>
      </c>
      <c r="L828" t="s">
        <v>74</v>
      </c>
      <c r="M828" t="s">
        <v>78</v>
      </c>
      <c r="N828" t="s">
        <v>79</v>
      </c>
      <c r="O828" t="s">
        <v>74</v>
      </c>
      <c r="P828" t="s">
        <v>74</v>
      </c>
      <c r="Q828" t="s">
        <v>74</v>
      </c>
      <c r="R828" t="s">
        <v>74</v>
      </c>
      <c r="S828" t="s">
        <v>74</v>
      </c>
      <c r="T828" t="s">
        <v>15723</v>
      </c>
      <c r="U828" t="s">
        <v>15724</v>
      </c>
      <c r="V828" t="s">
        <v>15725</v>
      </c>
      <c r="W828" t="s">
        <v>15726</v>
      </c>
      <c r="X828" t="s">
        <v>15727</v>
      </c>
      <c r="Y828" t="s">
        <v>15728</v>
      </c>
      <c r="Z828" t="s">
        <v>15729</v>
      </c>
      <c r="AA828" t="s">
        <v>74</v>
      </c>
      <c r="AB828" t="s">
        <v>3363</v>
      </c>
      <c r="AC828" t="s">
        <v>15730</v>
      </c>
      <c r="AD828" t="s">
        <v>13434</v>
      </c>
      <c r="AE828" t="s">
        <v>15731</v>
      </c>
      <c r="AF828" t="s">
        <v>74</v>
      </c>
      <c r="AG828">
        <v>70</v>
      </c>
      <c r="AH828">
        <v>29</v>
      </c>
      <c r="AI828">
        <v>30</v>
      </c>
      <c r="AJ828">
        <v>3</v>
      </c>
      <c r="AK828">
        <v>45</v>
      </c>
      <c r="AL828" t="s">
        <v>1605</v>
      </c>
      <c r="AM828" t="s">
        <v>1606</v>
      </c>
      <c r="AN828" t="s">
        <v>1607</v>
      </c>
      <c r="AO828" t="s">
        <v>2465</v>
      </c>
      <c r="AP828" t="s">
        <v>74</v>
      </c>
      <c r="AQ828" t="s">
        <v>74</v>
      </c>
      <c r="AR828" t="s">
        <v>2466</v>
      </c>
      <c r="AS828" t="s">
        <v>2467</v>
      </c>
      <c r="AT828" t="s">
        <v>326</v>
      </c>
      <c r="AU828">
        <v>2021</v>
      </c>
      <c r="AV828">
        <v>28</v>
      </c>
      <c r="AW828" t="s">
        <v>74</v>
      </c>
      <c r="AX828" t="s">
        <v>74</v>
      </c>
      <c r="AY828" t="s">
        <v>74</v>
      </c>
      <c r="AZ828" t="s">
        <v>74</v>
      </c>
      <c r="BA828" t="s">
        <v>74</v>
      </c>
      <c r="BB828">
        <v>55</v>
      </c>
      <c r="BC828">
        <v>64</v>
      </c>
      <c r="BD828" t="s">
        <v>74</v>
      </c>
      <c r="BE828" t="s">
        <v>15732</v>
      </c>
      <c r="BF828" t="str">
        <f>HYPERLINK("http://dx.doi.org/10.1016/j.jot.2021.01.001","http://dx.doi.org/10.1016/j.jot.2021.01.001")</f>
        <v>http://dx.doi.org/10.1016/j.jot.2021.01.001</v>
      </c>
      <c r="BG828" t="s">
        <v>74</v>
      </c>
      <c r="BH828" t="s">
        <v>3046</v>
      </c>
      <c r="BI828">
        <v>10</v>
      </c>
      <c r="BJ828" t="s">
        <v>443</v>
      </c>
      <c r="BK828" t="s">
        <v>102</v>
      </c>
      <c r="BL828" t="s">
        <v>443</v>
      </c>
      <c r="BM828" t="s">
        <v>15733</v>
      </c>
      <c r="BN828">
        <v>33717982</v>
      </c>
      <c r="BO828" t="s">
        <v>355</v>
      </c>
      <c r="BP828" t="s">
        <v>74</v>
      </c>
      <c r="BQ828" t="s">
        <v>74</v>
      </c>
      <c r="BR828" t="s">
        <v>105</v>
      </c>
      <c r="BS828" t="s">
        <v>15734</v>
      </c>
      <c r="BT828" t="str">
        <f>HYPERLINK("https%3A%2F%2Fwww.webofscience.com%2Fwos%2Fwoscc%2Ffull-record%2FWOS:000658716900008","View Full Record in Web of Science")</f>
        <v>View Full Record in Web of Science</v>
      </c>
    </row>
    <row r="829" spans="1:72" x14ac:dyDescent="0.25">
      <c r="A829" t="s">
        <v>72</v>
      </c>
      <c r="B829" t="s">
        <v>15735</v>
      </c>
      <c r="C829" t="s">
        <v>74</v>
      </c>
      <c r="D829" t="s">
        <v>74</v>
      </c>
      <c r="E829" t="s">
        <v>74</v>
      </c>
      <c r="F829" t="s">
        <v>15736</v>
      </c>
      <c r="G829" t="s">
        <v>74</v>
      </c>
      <c r="H829" t="s">
        <v>74</v>
      </c>
      <c r="I829" t="s">
        <v>15737</v>
      </c>
      <c r="J829" t="s">
        <v>2040</v>
      </c>
      <c r="K829" t="s">
        <v>74</v>
      </c>
      <c r="L829" t="s">
        <v>74</v>
      </c>
      <c r="M829" t="s">
        <v>78</v>
      </c>
      <c r="N829" t="s">
        <v>79</v>
      </c>
      <c r="O829" t="s">
        <v>74</v>
      </c>
      <c r="P829" t="s">
        <v>74</v>
      </c>
      <c r="Q829" t="s">
        <v>74</v>
      </c>
      <c r="R829" t="s">
        <v>74</v>
      </c>
      <c r="S829" t="s">
        <v>74</v>
      </c>
      <c r="T829" t="s">
        <v>15738</v>
      </c>
      <c r="U829" t="s">
        <v>15739</v>
      </c>
      <c r="V829" t="s">
        <v>15740</v>
      </c>
      <c r="W829" t="s">
        <v>15741</v>
      </c>
      <c r="X829" t="s">
        <v>15742</v>
      </c>
      <c r="Y829" t="s">
        <v>15743</v>
      </c>
      <c r="Z829" t="s">
        <v>15744</v>
      </c>
      <c r="AA829" t="s">
        <v>15745</v>
      </c>
      <c r="AB829" t="s">
        <v>15746</v>
      </c>
      <c r="AC829" t="s">
        <v>15747</v>
      </c>
      <c r="AD829" t="s">
        <v>15748</v>
      </c>
      <c r="AE829" t="s">
        <v>15749</v>
      </c>
      <c r="AF829" t="s">
        <v>74</v>
      </c>
      <c r="AG829">
        <v>104</v>
      </c>
      <c r="AH829">
        <v>74</v>
      </c>
      <c r="AI829">
        <v>79</v>
      </c>
      <c r="AJ829">
        <v>8</v>
      </c>
      <c r="AK829">
        <v>175</v>
      </c>
      <c r="AL829" t="s">
        <v>120</v>
      </c>
      <c r="AM829" t="s">
        <v>121</v>
      </c>
      <c r="AN829" t="s">
        <v>1221</v>
      </c>
      <c r="AO829" t="s">
        <v>74</v>
      </c>
      <c r="AP829" t="s">
        <v>2050</v>
      </c>
      <c r="AQ829" t="s">
        <v>74</v>
      </c>
      <c r="AR829" t="s">
        <v>2051</v>
      </c>
      <c r="AS829" t="s">
        <v>2052</v>
      </c>
      <c r="AT829" t="s">
        <v>1471</v>
      </c>
      <c r="AU829">
        <v>2021</v>
      </c>
      <c r="AV829">
        <v>21</v>
      </c>
      <c r="AW829">
        <v>6</v>
      </c>
      <c r="AX829" t="s">
        <v>74</v>
      </c>
      <c r="AY829" t="s">
        <v>74</v>
      </c>
      <c r="AZ829" t="s">
        <v>74</v>
      </c>
      <c r="BA829" t="s">
        <v>74</v>
      </c>
      <c r="BB829" t="s">
        <v>74</v>
      </c>
      <c r="BC829" t="s">
        <v>74</v>
      </c>
      <c r="BD829">
        <v>2146</v>
      </c>
      <c r="BE829" t="s">
        <v>15750</v>
      </c>
      <c r="BF829" t="str">
        <f>HYPERLINK("http://dx.doi.org/10.3390/s21062146","http://dx.doi.org/10.3390/s21062146")</f>
        <v>http://dx.doi.org/10.3390/s21062146</v>
      </c>
      <c r="BG829" t="s">
        <v>74</v>
      </c>
      <c r="BH829" t="s">
        <v>74</v>
      </c>
      <c r="BI829">
        <v>29</v>
      </c>
      <c r="BJ829" t="s">
        <v>2054</v>
      </c>
      <c r="BK829" t="s">
        <v>182</v>
      </c>
      <c r="BL829" t="s">
        <v>2055</v>
      </c>
      <c r="BM829" t="s">
        <v>15751</v>
      </c>
      <c r="BN829">
        <v>33803911</v>
      </c>
      <c r="BO829" t="s">
        <v>131</v>
      </c>
      <c r="BP829" t="s">
        <v>74</v>
      </c>
      <c r="BQ829" t="s">
        <v>74</v>
      </c>
      <c r="BR829" t="s">
        <v>105</v>
      </c>
      <c r="BS829" t="s">
        <v>15752</v>
      </c>
      <c r="BT829" t="str">
        <f>HYPERLINK("https%3A%2F%2Fwww.webofscience.com%2Fwos%2Fwoscc%2Ffull-record%2FWOS:000652744700001","View Full Record in Web of Science")</f>
        <v>View Full Record in Web of Science</v>
      </c>
    </row>
    <row r="830" spans="1:72" x14ac:dyDescent="0.25">
      <c r="A830" t="s">
        <v>72</v>
      </c>
      <c r="B830" t="s">
        <v>15753</v>
      </c>
      <c r="C830" t="s">
        <v>74</v>
      </c>
      <c r="D830" t="s">
        <v>74</v>
      </c>
      <c r="E830" t="s">
        <v>74</v>
      </c>
      <c r="F830" t="s">
        <v>15754</v>
      </c>
      <c r="G830" t="s">
        <v>74</v>
      </c>
      <c r="H830" t="s">
        <v>74</v>
      </c>
      <c r="I830" t="s">
        <v>15755</v>
      </c>
      <c r="J830" t="s">
        <v>15756</v>
      </c>
      <c r="K830" t="s">
        <v>74</v>
      </c>
      <c r="L830" t="s">
        <v>74</v>
      </c>
      <c r="M830" t="s">
        <v>78</v>
      </c>
      <c r="N830" t="s">
        <v>79</v>
      </c>
      <c r="O830" t="s">
        <v>74</v>
      </c>
      <c r="P830" t="s">
        <v>74</v>
      </c>
      <c r="Q830" t="s">
        <v>74</v>
      </c>
      <c r="R830" t="s">
        <v>74</v>
      </c>
      <c r="S830" t="s">
        <v>74</v>
      </c>
      <c r="T830" t="s">
        <v>15757</v>
      </c>
      <c r="U830" t="s">
        <v>15758</v>
      </c>
      <c r="V830" t="s">
        <v>15759</v>
      </c>
      <c r="W830" t="s">
        <v>15760</v>
      </c>
      <c r="X830" t="s">
        <v>15761</v>
      </c>
      <c r="Y830" t="s">
        <v>15762</v>
      </c>
      <c r="Z830" t="s">
        <v>15763</v>
      </c>
      <c r="AA830" t="s">
        <v>15764</v>
      </c>
      <c r="AB830" t="s">
        <v>15765</v>
      </c>
      <c r="AC830" t="s">
        <v>15766</v>
      </c>
      <c r="AD830" t="s">
        <v>15767</v>
      </c>
      <c r="AE830" t="s">
        <v>15768</v>
      </c>
      <c r="AF830" t="s">
        <v>74</v>
      </c>
      <c r="AG830">
        <v>269</v>
      </c>
      <c r="AH830">
        <v>188</v>
      </c>
      <c r="AI830">
        <v>194</v>
      </c>
      <c r="AJ830">
        <v>93</v>
      </c>
      <c r="AK830">
        <v>395</v>
      </c>
      <c r="AL830" t="s">
        <v>392</v>
      </c>
      <c r="AM830" t="s">
        <v>393</v>
      </c>
      <c r="AN830" t="s">
        <v>394</v>
      </c>
      <c r="AO830" t="s">
        <v>74</v>
      </c>
      <c r="AP830" t="s">
        <v>15769</v>
      </c>
      <c r="AQ830" t="s">
        <v>74</v>
      </c>
      <c r="AR830" t="s">
        <v>15770</v>
      </c>
      <c r="AS830" t="s">
        <v>15771</v>
      </c>
      <c r="AT830" t="s">
        <v>15772</v>
      </c>
      <c r="AU830">
        <v>2021</v>
      </c>
      <c r="AV830">
        <v>15</v>
      </c>
      <c r="AW830" t="s">
        <v>74</v>
      </c>
      <c r="AX830" t="s">
        <v>74</v>
      </c>
      <c r="AY830" t="s">
        <v>74</v>
      </c>
      <c r="AZ830" t="s">
        <v>74</v>
      </c>
      <c r="BA830" t="s">
        <v>74</v>
      </c>
      <c r="BB830" t="s">
        <v>74</v>
      </c>
      <c r="BC830" t="s">
        <v>74</v>
      </c>
      <c r="BD830">
        <v>578875</v>
      </c>
      <c r="BE830" t="s">
        <v>15773</v>
      </c>
      <c r="BF830" t="str">
        <f>HYPERLINK("http://dx.doi.org/10.3389/fnsys.2021.578875","http://dx.doi.org/10.3389/fnsys.2021.578875")</f>
        <v>http://dx.doi.org/10.3389/fnsys.2021.578875</v>
      </c>
      <c r="BG830" t="s">
        <v>74</v>
      </c>
      <c r="BH830" t="s">
        <v>74</v>
      </c>
      <c r="BI830">
        <v>20</v>
      </c>
      <c r="BJ830" t="s">
        <v>374</v>
      </c>
      <c r="BK830" t="s">
        <v>102</v>
      </c>
      <c r="BL830" t="s">
        <v>375</v>
      </c>
      <c r="BM830" t="s">
        <v>15774</v>
      </c>
      <c r="BN830">
        <v>33716680</v>
      </c>
      <c r="BO830" t="s">
        <v>2959</v>
      </c>
      <c r="BP830" t="s">
        <v>869</v>
      </c>
      <c r="BQ830" t="s">
        <v>870</v>
      </c>
      <c r="BR830" t="s">
        <v>105</v>
      </c>
      <c r="BS830" t="s">
        <v>15775</v>
      </c>
      <c r="BT830" t="str">
        <f>HYPERLINK("https%3A%2F%2Fwww.webofscience.com%2Fwos%2Fwoscc%2Ffull-record%2FWOS:000627319900001","View Full Record in Web of Science")</f>
        <v>View Full Record in Web of Science</v>
      </c>
    </row>
    <row r="831" spans="1:72" x14ac:dyDescent="0.25">
      <c r="A831" t="s">
        <v>72</v>
      </c>
      <c r="B831" t="s">
        <v>15776</v>
      </c>
      <c r="C831" t="s">
        <v>74</v>
      </c>
      <c r="D831" t="s">
        <v>74</v>
      </c>
      <c r="E831" t="s">
        <v>74</v>
      </c>
      <c r="F831" t="s">
        <v>15777</v>
      </c>
      <c r="G831" t="s">
        <v>74</v>
      </c>
      <c r="H831" t="s">
        <v>74</v>
      </c>
      <c r="I831" t="s">
        <v>15778</v>
      </c>
      <c r="J831" t="s">
        <v>1759</v>
      </c>
      <c r="K831" t="s">
        <v>74</v>
      </c>
      <c r="L831" t="s">
        <v>74</v>
      </c>
      <c r="M831" t="s">
        <v>78</v>
      </c>
      <c r="N831" t="s">
        <v>79</v>
      </c>
      <c r="O831" t="s">
        <v>74</v>
      </c>
      <c r="P831" t="s">
        <v>74</v>
      </c>
      <c r="Q831" t="s">
        <v>74</v>
      </c>
      <c r="R831" t="s">
        <v>74</v>
      </c>
      <c r="S831" t="s">
        <v>74</v>
      </c>
      <c r="T831" t="s">
        <v>15779</v>
      </c>
      <c r="U831" t="s">
        <v>15780</v>
      </c>
      <c r="V831" t="s">
        <v>15781</v>
      </c>
      <c r="W831" t="s">
        <v>15782</v>
      </c>
      <c r="X831" t="s">
        <v>15783</v>
      </c>
      <c r="Y831" t="s">
        <v>15784</v>
      </c>
      <c r="Z831" t="s">
        <v>15785</v>
      </c>
      <c r="AA831" t="s">
        <v>74</v>
      </c>
      <c r="AB831" t="s">
        <v>15786</v>
      </c>
      <c r="AC831" t="s">
        <v>74</v>
      </c>
      <c r="AD831" t="s">
        <v>74</v>
      </c>
      <c r="AE831" t="s">
        <v>74</v>
      </c>
      <c r="AF831" t="s">
        <v>74</v>
      </c>
      <c r="AG831">
        <v>66</v>
      </c>
      <c r="AH831">
        <v>1</v>
      </c>
      <c r="AI831">
        <v>1</v>
      </c>
      <c r="AJ831">
        <v>0</v>
      </c>
      <c r="AK831">
        <v>13</v>
      </c>
      <c r="AL831" t="s">
        <v>1769</v>
      </c>
      <c r="AM831" t="s">
        <v>1770</v>
      </c>
      <c r="AN831" t="s">
        <v>1771</v>
      </c>
      <c r="AO831" t="s">
        <v>1772</v>
      </c>
      <c r="AP831" t="s">
        <v>1773</v>
      </c>
      <c r="AQ831" t="s">
        <v>74</v>
      </c>
      <c r="AR831" t="s">
        <v>1774</v>
      </c>
      <c r="AS831" t="s">
        <v>1775</v>
      </c>
      <c r="AT831" t="s">
        <v>326</v>
      </c>
      <c r="AU831">
        <v>2021</v>
      </c>
      <c r="AV831">
        <v>42</v>
      </c>
      <c r="AW831">
        <v>5</v>
      </c>
      <c r="AX831" t="s">
        <v>74</v>
      </c>
      <c r="AY831" t="s">
        <v>74</v>
      </c>
      <c r="AZ831" t="s">
        <v>74</v>
      </c>
      <c r="BA831" t="s">
        <v>74</v>
      </c>
      <c r="BB831">
        <v>1705</v>
      </c>
      <c r="BC831">
        <v>1717</v>
      </c>
      <c r="BD831" t="s">
        <v>74</v>
      </c>
      <c r="BE831" t="s">
        <v>15787</v>
      </c>
      <c r="BF831" t="str">
        <f>HYPERLINK("http://dx.doi.org/10.1007/s10072-021-05126-0","http://dx.doi.org/10.1007/s10072-021-05126-0")</f>
        <v>http://dx.doi.org/10.1007/s10072-021-05126-0</v>
      </c>
      <c r="BG831" t="s">
        <v>74</v>
      </c>
      <c r="BH831" t="s">
        <v>15788</v>
      </c>
      <c r="BI831">
        <v>13</v>
      </c>
      <c r="BJ831" t="s">
        <v>400</v>
      </c>
      <c r="BK831" t="s">
        <v>182</v>
      </c>
      <c r="BL831" t="s">
        <v>375</v>
      </c>
      <c r="BM831" t="s">
        <v>15789</v>
      </c>
      <c r="BN831">
        <v>33604762</v>
      </c>
      <c r="BO831" t="s">
        <v>74</v>
      </c>
      <c r="BP831" t="s">
        <v>74</v>
      </c>
      <c r="BQ831" t="s">
        <v>74</v>
      </c>
      <c r="BR831" t="s">
        <v>105</v>
      </c>
      <c r="BS831" t="s">
        <v>15790</v>
      </c>
      <c r="BT831" t="str">
        <f>HYPERLINK("https%3A%2F%2Fwww.webofscience.com%2Fwos%2Fwoscc%2Ffull-record%2FWOS:000619377100002","View Full Record in Web of Science")</f>
        <v>View Full Record in Web of Science</v>
      </c>
    </row>
    <row r="832" spans="1:72" x14ac:dyDescent="0.25">
      <c r="A832" t="s">
        <v>72</v>
      </c>
      <c r="B832" t="s">
        <v>15791</v>
      </c>
      <c r="C832" t="s">
        <v>74</v>
      </c>
      <c r="D832" t="s">
        <v>74</v>
      </c>
      <c r="E832" t="s">
        <v>74</v>
      </c>
      <c r="F832" t="s">
        <v>15792</v>
      </c>
      <c r="G832" t="s">
        <v>74</v>
      </c>
      <c r="H832" t="s">
        <v>74</v>
      </c>
      <c r="I832" t="s">
        <v>15793</v>
      </c>
      <c r="J832" t="s">
        <v>15794</v>
      </c>
      <c r="K832" t="s">
        <v>74</v>
      </c>
      <c r="L832" t="s">
        <v>74</v>
      </c>
      <c r="M832" t="s">
        <v>78</v>
      </c>
      <c r="N832" t="s">
        <v>79</v>
      </c>
      <c r="O832" t="s">
        <v>74</v>
      </c>
      <c r="P832" t="s">
        <v>74</v>
      </c>
      <c r="Q832" t="s">
        <v>74</v>
      </c>
      <c r="R832" t="s">
        <v>74</v>
      </c>
      <c r="S832" t="s">
        <v>74</v>
      </c>
      <c r="T832" t="s">
        <v>74</v>
      </c>
      <c r="U832" t="s">
        <v>74</v>
      </c>
      <c r="V832" t="s">
        <v>15795</v>
      </c>
      <c r="W832" t="s">
        <v>15796</v>
      </c>
      <c r="X832" t="s">
        <v>15797</v>
      </c>
      <c r="Y832" t="s">
        <v>15798</v>
      </c>
      <c r="Z832" t="s">
        <v>15799</v>
      </c>
      <c r="AA832" t="s">
        <v>74</v>
      </c>
      <c r="AB832" t="s">
        <v>74</v>
      </c>
      <c r="AC832" t="s">
        <v>15800</v>
      </c>
      <c r="AD832" t="s">
        <v>15801</v>
      </c>
      <c r="AE832" t="s">
        <v>15802</v>
      </c>
      <c r="AF832" t="s">
        <v>74</v>
      </c>
      <c r="AG832">
        <v>105</v>
      </c>
      <c r="AH832">
        <v>51</v>
      </c>
      <c r="AI832">
        <v>51</v>
      </c>
      <c r="AJ832">
        <v>2</v>
      </c>
      <c r="AK832">
        <v>57</v>
      </c>
      <c r="AL832" t="s">
        <v>4113</v>
      </c>
      <c r="AM832" t="s">
        <v>4114</v>
      </c>
      <c r="AN832" t="s">
        <v>4115</v>
      </c>
      <c r="AO832" t="s">
        <v>15803</v>
      </c>
      <c r="AP832" t="s">
        <v>15804</v>
      </c>
      <c r="AQ832" t="s">
        <v>74</v>
      </c>
      <c r="AR832" t="s">
        <v>15805</v>
      </c>
      <c r="AS832" t="s">
        <v>15806</v>
      </c>
      <c r="AT832" t="s">
        <v>1471</v>
      </c>
      <c r="AU832">
        <v>2021</v>
      </c>
      <c r="AV832">
        <v>25</v>
      </c>
      <c r="AW832">
        <v>3</v>
      </c>
      <c r="AX832" t="s">
        <v>74</v>
      </c>
      <c r="AY832" t="s">
        <v>74</v>
      </c>
      <c r="AZ832" t="s">
        <v>74</v>
      </c>
      <c r="BA832" t="s">
        <v>74</v>
      </c>
      <c r="BB832">
        <v>252</v>
      </c>
      <c r="BC832">
        <v>263</v>
      </c>
      <c r="BD832" t="s">
        <v>74</v>
      </c>
      <c r="BE832" t="s">
        <v>15807</v>
      </c>
      <c r="BF832" t="str">
        <f>HYPERLINK("http://dx.doi.org/10.1016/j.tics.2020.12.006","http://dx.doi.org/10.1016/j.tics.2020.12.006")</f>
        <v>http://dx.doi.org/10.1016/j.tics.2020.12.006</v>
      </c>
      <c r="BG832" t="s">
        <v>74</v>
      </c>
      <c r="BH832" t="s">
        <v>15788</v>
      </c>
      <c r="BI832">
        <v>12</v>
      </c>
      <c r="BJ832" t="s">
        <v>15808</v>
      </c>
      <c r="BK832" t="s">
        <v>102</v>
      </c>
      <c r="BL832" t="s">
        <v>15809</v>
      </c>
      <c r="BM832" t="s">
        <v>15810</v>
      </c>
      <c r="BN832">
        <v>33436307</v>
      </c>
      <c r="BO832" t="s">
        <v>1052</v>
      </c>
      <c r="BP832" t="s">
        <v>74</v>
      </c>
      <c r="BQ832" t="s">
        <v>74</v>
      </c>
      <c r="BR832" t="s">
        <v>105</v>
      </c>
      <c r="BS832" t="s">
        <v>15811</v>
      </c>
      <c r="BT832" t="str">
        <f>HYPERLINK("https%3A%2F%2Fwww.webofscience.com%2Fwos%2Fwoscc%2Ffull-record%2FWOS:000617282300008","View Full Record in Web of Science")</f>
        <v>View Full Record in Web of Science</v>
      </c>
    </row>
    <row r="833" spans="1:72" x14ac:dyDescent="0.25">
      <c r="A833" t="s">
        <v>72</v>
      </c>
      <c r="B833" t="s">
        <v>15812</v>
      </c>
      <c r="C833" t="s">
        <v>74</v>
      </c>
      <c r="D833" t="s">
        <v>74</v>
      </c>
      <c r="E833" t="s">
        <v>74</v>
      </c>
      <c r="F833" t="s">
        <v>15813</v>
      </c>
      <c r="G833" t="s">
        <v>74</v>
      </c>
      <c r="H833" t="s">
        <v>74</v>
      </c>
      <c r="I833" t="s">
        <v>15814</v>
      </c>
      <c r="J833" t="s">
        <v>7912</v>
      </c>
      <c r="K833" t="s">
        <v>74</v>
      </c>
      <c r="L833" t="s">
        <v>74</v>
      </c>
      <c r="M833" t="s">
        <v>78</v>
      </c>
      <c r="N833" t="s">
        <v>79</v>
      </c>
      <c r="O833" t="s">
        <v>74</v>
      </c>
      <c r="P833" t="s">
        <v>74</v>
      </c>
      <c r="Q833" t="s">
        <v>74</v>
      </c>
      <c r="R833" t="s">
        <v>74</v>
      </c>
      <c r="S833" t="s">
        <v>74</v>
      </c>
      <c r="T833" t="s">
        <v>15815</v>
      </c>
      <c r="U833" t="s">
        <v>74</v>
      </c>
      <c r="V833" t="s">
        <v>15816</v>
      </c>
      <c r="W833" t="s">
        <v>15817</v>
      </c>
      <c r="X833" t="s">
        <v>15818</v>
      </c>
      <c r="Y833" t="s">
        <v>15819</v>
      </c>
      <c r="Z833" t="s">
        <v>15820</v>
      </c>
      <c r="AA833" t="s">
        <v>74</v>
      </c>
      <c r="AB833" t="s">
        <v>15821</v>
      </c>
      <c r="AC833" t="s">
        <v>15822</v>
      </c>
      <c r="AD833" t="s">
        <v>15823</v>
      </c>
      <c r="AE833" t="s">
        <v>15824</v>
      </c>
      <c r="AF833" t="s">
        <v>74</v>
      </c>
      <c r="AG833">
        <v>34</v>
      </c>
      <c r="AH833">
        <v>7</v>
      </c>
      <c r="AI833">
        <v>7</v>
      </c>
      <c r="AJ833">
        <v>0</v>
      </c>
      <c r="AK833">
        <v>18</v>
      </c>
      <c r="AL833" t="s">
        <v>92</v>
      </c>
      <c r="AM833" t="s">
        <v>93</v>
      </c>
      <c r="AN833" t="s">
        <v>94</v>
      </c>
      <c r="AO833" t="s">
        <v>7922</v>
      </c>
      <c r="AP833" t="s">
        <v>7923</v>
      </c>
      <c r="AQ833" t="s">
        <v>74</v>
      </c>
      <c r="AR833" t="s">
        <v>7924</v>
      </c>
      <c r="AS833" t="s">
        <v>7925</v>
      </c>
      <c r="AT833" t="s">
        <v>5683</v>
      </c>
      <c r="AU833">
        <v>2022</v>
      </c>
      <c r="AV833">
        <v>29</v>
      </c>
      <c r="AW833">
        <v>2</v>
      </c>
      <c r="AX833" t="s">
        <v>74</v>
      </c>
      <c r="AY833" t="s">
        <v>74</v>
      </c>
      <c r="AZ833" t="s">
        <v>74</v>
      </c>
      <c r="BA833" t="s">
        <v>74</v>
      </c>
      <c r="BB833">
        <v>114</v>
      </c>
      <c r="BC833">
        <v>124</v>
      </c>
      <c r="BD833" t="s">
        <v>74</v>
      </c>
      <c r="BE833" t="s">
        <v>15825</v>
      </c>
      <c r="BF833" t="str">
        <f>HYPERLINK("http://dx.doi.org/10.1080/10749357.2021.1878669","http://dx.doi.org/10.1080/10749357.2021.1878669")</f>
        <v>http://dx.doi.org/10.1080/10749357.2021.1878669</v>
      </c>
      <c r="BG833" t="s">
        <v>74</v>
      </c>
      <c r="BH833" t="s">
        <v>15788</v>
      </c>
      <c r="BI833">
        <v>11</v>
      </c>
      <c r="BJ833" t="s">
        <v>101</v>
      </c>
      <c r="BK833" t="s">
        <v>182</v>
      </c>
      <c r="BL833" t="s">
        <v>101</v>
      </c>
      <c r="BM833" t="s">
        <v>15826</v>
      </c>
      <c r="BN833">
        <v>33517868</v>
      </c>
      <c r="BO833" t="s">
        <v>74</v>
      </c>
      <c r="BP833" t="s">
        <v>74</v>
      </c>
      <c r="BQ833" t="s">
        <v>74</v>
      </c>
      <c r="BR833" t="s">
        <v>105</v>
      </c>
      <c r="BS833" t="s">
        <v>15827</v>
      </c>
      <c r="BT833" t="str">
        <f>HYPERLINK("https%3A%2F%2Fwww.webofscience.com%2Fwos%2Fwoscc%2Ffull-record%2FWOS:000613396900001","View Full Record in Web of Science")</f>
        <v>View Full Record in Web of Science</v>
      </c>
    </row>
    <row r="834" spans="1:72" x14ac:dyDescent="0.25">
      <c r="A834" t="s">
        <v>72</v>
      </c>
      <c r="B834" t="s">
        <v>15828</v>
      </c>
      <c r="C834" t="s">
        <v>74</v>
      </c>
      <c r="D834" t="s">
        <v>74</v>
      </c>
      <c r="E834" t="s">
        <v>74</v>
      </c>
      <c r="F834" t="s">
        <v>15829</v>
      </c>
      <c r="G834" t="s">
        <v>74</v>
      </c>
      <c r="H834" t="s">
        <v>74</v>
      </c>
      <c r="I834" t="s">
        <v>15830</v>
      </c>
      <c r="J834" t="s">
        <v>1920</v>
      </c>
      <c r="K834" t="s">
        <v>74</v>
      </c>
      <c r="L834" t="s">
        <v>74</v>
      </c>
      <c r="M834" t="s">
        <v>78</v>
      </c>
      <c r="N834" t="s">
        <v>79</v>
      </c>
      <c r="O834" t="s">
        <v>74</v>
      </c>
      <c r="P834" t="s">
        <v>74</v>
      </c>
      <c r="Q834" t="s">
        <v>74</v>
      </c>
      <c r="R834" t="s">
        <v>74</v>
      </c>
      <c r="S834" t="s">
        <v>74</v>
      </c>
      <c r="T834" t="s">
        <v>15831</v>
      </c>
      <c r="U834" t="s">
        <v>15832</v>
      </c>
      <c r="V834" t="s">
        <v>15833</v>
      </c>
      <c r="W834" t="s">
        <v>15834</v>
      </c>
      <c r="X834" t="s">
        <v>15835</v>
      </c>
      <c r="Y834" t="s">
        <v>15836</v>
      </c>
      <c r="Z834" t="s">
        <v>15837</v>
      </c>
      <c r="AA834" t="s">
        <v>74</v>
      </c>
      <c r="AB834" t="s">
        <v>15838</v>
      </c>
      <c r="AC834" t="s">
        <v>74</v>
      </c>
      <c r="AD834" t="s">
        <v>74</v>
      </c>
      <c r="AE834" t="s">
        <v>74</v>
      </c>
      <c r="AF834" t="s">
        <v>74</v>
      </c>
      <c r="AG834">
        <v>51</v>
      </c>
      <c r="AH834">
        <v>11</v>
      </c>
      <c r="AI834">
        <v>12</v>
      </c>
      <c r="AJ834">
        <v>1</v>
      </c>
      <c r="AK834">
        <v>4</v>
      </c>
      <c r="AL834" t="s">
        <v>1114</v>
      </c>
      <c r="AM834" t="s">
        <v>1115</v>
      </c>
      <c r="AN834" t="s">
        <v>1116</v>
      </c>
      <c r="AO834" t="s">
        <v>74</v>
      </c>
      <c r="AP834" t="s">
        <v>1933</v>
      </c>
      <c r="AQ834" t="s">
        <v>74</v>
      </c>
      <c r="AR834" t="s">
        <v>1934</v>
      </c>
      <c r="AS834" t="s">
        <v>1935</v>
      </c>
      <c r="AT834" t="s">
        <v>351</v>
      </c>
      <c r="AU834">
        <v>2021</v>
      </c>
      <c r="AV834">
        <v>3</v>
      </c>
      <c r="AW834">
        <v>1</v>
      </c>
      <c r="AX834" t="s">
        <v>74</v>
      </c>
      <c r="AY834" t="s">
        <v>74</v>
      </c>
      <c r="AZ834" t="s">
        <v>74</v>
      </c>
      <c r="BA834" t="s">
        <v>74</v>
      </c>
      <c r="BB834">
        <v>21</v>
      </c>
      <c r="BC834">
        <v>30</v>
      </c>
      <c r="BD834" t="s">
        <v>74</v>
      </c>
      <c r="BE834" t="s">
        <v>15839</v>
      </c>
      <c r="BF834" t="str">
        <f>HYPERLINK("http://dx.doi.org/10.1109/TMRB.2020.3038117","http://dx.doi.org/10.1109/TMRB.2020.3038117")</f>
        <v>http://dx.doi.org/10.1109/TMRB.2020.3038117</v>
      </c>
      <c r="BG834" t="s">
        <v>74</v>
      </c>
      <c r="BH834" t="s">
        <v>74</v>
      </c>
      <c r="BI834">
        <v>10</v>
      </c>
      <c r="BJ834" t="s">
        <v>1937</v>
      </c>
      <c r="BK834" t="s">
        <v>155</v>
      </c>
      <c r="BL834" t="s">
        <v>1938</v>
      </c>
      <c r="BM834" t="s">
        <v>2399</v>
      </c>
      <c r="BN834" t="s">
        <v>74</v>
      </c>
      <c r="BO834" t="s">
        <v>74</v>
      </c>
      <c r="BP834" t="s">
        <v>74</v>
      </c>
      <c r="BQ834" t="s">
        <v>74</v>
      </c>
      <c r="BR834" t="s">
        <v>105</v>
      </c>
      <c r="BS834" t="s">
        <v>15840</v>
      </c>
      <c r="BT834" t="str">
        <f>HYPERLINK("https%3A%2F%2Fwww.webofscience.com%2Fwos%2Fwoscc%2Ffull-record%2FWOS:000896660300003","View Full Record in Web of Science")</f>
        <v>View Full Record in Web of Science</v>
      </c>
    </row>
    <row r="835" spans="1:72" x14ac:dyDescent="0.25">
      <c r="A835" t="s">
        <v>72</v>
      </c>
      <c r="B835" t="s">
        <v>15841</v>
      </c>
      <c r="C835" t="s">
        <v>74</v>
      </c>
      <c r="D835" t="s">
        <v>74</v>
      </c>
      <c r="E835" t="s">
        <v>74</v>
      </c>
      <c r="F835" t="s">
        <v>15842</v>
      </c>
      <c r="G835" t="s">
        <v>74</v>
      </c>
      <c r="H835" t="s">
        <v>74</v>
      </c>
      <c r="I835" t="s">
        <v>15843</v>
      </c>
      <c r="J835" t="s">
        <v>15201</v>
      </c>
      <c r="K835" t="s">
        <v>74</v>
      </c>
      <c r="L835" t="s">
        <v>74</v>
      </c>
      <c r="M835" t="s">
        <v>78</v>
      </c>
      <c r="N835" t="s">
        <v>79</v>
      </c>
      <c r="O835" t="s">
        <v>74</v>
      </c>
      <c r="P835" t="s">
        <v>74</v>
      </c>
      <c r="Q835" t="s">
        <v>74</v>
      </c>
      <c r="R835" t="s">
        <v>74</v>
      </c>
      <c r="S835" t="s">
        <v>74</v>
      </c>
      <c r="T835" t="s">
        <v>15844</v>
      </c>
      <c r="U835" t="s">
        <v>15845</v>
      </c>
      <c r="V835" t="s">
        <v>15846</v>
      </c>
      <c r="W835" t="s">
        <v>15847</v>
      </c>
      <c r="X835" t="s">
        <v>15848</v>
      </c>
      <c r="Y835" t="s">
        <v>15849</v>
      </c>
      <c r="Z835" t="s">
        <v>15850</v>
      </c>
      <c r="AA835" t="s">
        <v>15851</v>
      </c>
      <c r="AB835" t="s">
        <v>15852</v>
      </c>
      <c r="AC835" t="s">
        <v>15853</v>
      </c>
      <c r="AD835" t="s">
        <v>15854</v>
      </c>
      <c r="AE835" t="s">
        <v>15855</v>
      </c>
      <c r="AF835" t="s">
        <v>74</v>
      </c>
      <c r="AG835">
        <v>75</v>
      </c>
      <c r="AH835">
        <v>40</v>
      </c>
      <c r="AI835">
        <v>48</v>
      </c>
      <c r="AJ835">
        <v>13</v>
      </c>
      <c r="AK835">
        <v>386</v>
      </c>
      <c r="AL835" t="s">
        <v>504</v>
      </c>
      <c r="AM835" t="s">
        <v>505</v>
      </c>
      <c r="AN835" t="s">
        <v>816</v>
      </c>
      <c r="AO835" t="s">
        <v>15214</v>
      </c>
      <c r="AP835" t="s">
        <v>15215</v>
      </c>
      <c r="AQ835" t="s">
        <v>74</v>
      </c>
      <c r="AR835" t="s">
        <v>15216</v>
      </c>
      <c r="AS835" t="s">
        <v>15217</v>
      </c>
      <c r="AT835" t="s">
        <v>351</v>
      </c>
      <c r="AU835">
        <v>2021</v>
      </c>
      <c r="AV835">
        <v>16</v>
      </c>
      <c r="AW835">
        <v>2</v>
      </c>
      <c r="AX835" t="s">
        <v>74</v>
      </c>
      <c r="AY835" t="s">
        <v>74</v>
      </c>
      <c r="AZ835" t="s">
        <v>74</v>
      </c>
      <c r="BA835" t="s">
        <v>74</v>
      </c>
      <c r="BB835">
        <v>264</v>
      </c>
      <c r="BC835">
        <v>269</v>
      </c>
      <c r="BD835" t="s">
        <v>15856</v>
      </c>
      <c r="BE835" t="s">
        <v>15857</v>
      </c>
      <c r="BF835" t="str">
        <f>HYPERLINK("http://dx.doi.org/10.4103/1673-5374.290884","http://dx.doi.org/10.4103/1673-5374.290884")</f>
        <v>http://dx.doi.org/10.4103/1673-5374.290884</v>
      </c>
      <c r="BG835" t="s">
        <v>74</v>
      </c>
      <c r="BH835" t="s">
        <v>74</v>
      </c>
      <c r="BI835">
        <v>6</v>
      </c>
      <c r="BJ835" t="s">
        <v>15219</v>
      </c>
      <c r="BK835" t="s">
        <v>182</v>
      </c>
      <c r="BL835" t="s">
        <v>15220</v>
      </c>
      <c r="BM835" t="s">
        <v>15858</v>
      </c>
      <c r="BN835">
        <v>32859773</v>
      </c>
      <c r="BO835" t="s">
        <v>355</v>
      </c>
      <c r="BP835" t="s">
        <v>74</v>
      </c>
      <c r="BQ835" t="s">
        <v>74</v>
      </c>
      <c r="BR835" t="s">
        <v>105</v>
      </c>
      <c r="BS835" t="s">
        <v>15859</v>
      </c>
      <c r="BT835" t="str">
        <f>HYPERLINK("https%3A%2F%2Fwww.webofscience.com%2Fwos%2Fwoscc%2Ffull-record%2FWOS:000573661500009","View Full Record in Web of Science")</f>
        <v>View Full Record in Web of Science</v>
      </c>
    </row>
    <row r="836" spans="1:72" x14ac:dyDescent="0.25">
      <c r="A836" t="s">
        <v>72</v>
      </c>
      <c r="B836" t="s">
        <v>15860</v>
      </c>
      <c r="C836" t="s">
        <v>74</v>
      </c>
      <c r="D836" t="s">
        <v>74</v>
      </c>
      <c r="E836" t="s">
        <v>74</v>
      </c>
      <c r="F836" t="s">
        <v>15861</v>
      </c>
      <c r="G836" t="s">
        <v>74</v>
      </c>
      <c r="H836" t="s">
        <v>74</v>
      </c>
      <c r="I836" t="s">
        <v>15862</v>
      </c>
      <c r="J836" t="s">
        <v>2091</v>
      </c>
      <c r="K836" t="s">
        <v>74</v>
      </c>
      <c r="L836" t="s">
        <v>74</v>
      </c>
      <c r="M836" t="s">
        <v>78</v>
      </c>
      <c r="N836" t="s">
        <v>79</v>
      </c>
      <c r="O836" t="s">
        <v>74</v>
      </c>
      <c r="P836" t="s">
        <v>74</v>
      </c>
      <c r="Q836" t="s">
        <v>74</v>
      </c>
      <c r="R836" t="s">
        <v>74</v>
      </c>
      <c r="S836" t="s">
        <v>74</v>
      </c>
      <c r="T836" t="s">
        <v>15863</v>
      </c>
      <c r="U836" t="s">
        <v>15864</v>
      </c>
      <c r="V836" t="s">
        <v>15865</v>
      </c>
      <c r="W836" t="s">
        <v>15866</v>
      </c>
      <c r="X836" t="s">
        <v>15867</v>
      </c>
      <c r="Y836" t="s">
        <v>15868</v>
      </c>
      <c r="Z836" t="s">
        <v>15869</v>
      </c>
      <c r="AA836" t="s">
        <v>15870</v>
      </c>
      <c r="AB836" t="s">
        <v>15871</v>
      </c>
      <c r="AC836" t="s">
        <v>15867</v>
      </c>
      <c r="AD836" t="s">
        <v>15872</v>
      </c>
      <c r="AE836" t="s">
        <v>15873</v>
      </c>
      <c r="AF836" t="s">
        <v>74</v>
      </c>
      <c r="AG836">
        <v>66</v>
      </c>
      <c r="AH836">
        <v>4</v>
      </c>
      <c r="AI836">
        <v>4</v>
      </c>
      <c r="AJ836">
        <v>5</v>
      </c>
      <c r="AK836">
        <v>29</v>
      </c>
      <c r="AL836" t="s">
        <v>120</v>
      </c>
      <c r="AM836" t="s">
        <v>121</v>
      </c>
      <c r="AN836" t="s">
        <v>122</v>
      </c>
      <c r="AO836" t="s">
        <v>74</v>
      </c>
      <c r="AP836" t="s">
        <v>2104</v>
      </c>
      <c r="AQ836" t="s">
        <v>74</v>
      </c>
      <c r="AR836" t="s">
        <v>2105</v>
      </c>
      <c r="AS836" t="s">
        <v>2106</v>
      </c>
      <c r="AT836" t="s">
        <v>351</v>
      </c>
      <c r="AU836">
        <v>2021</v>
      </c>
      <c r="AV836">
        <v>11</v>
      </c>
      <c r="AW836">
        <v>4</v>
      </c>
      <c r="AX836" t="s">
        <v>74</v>
      </c>
      <c r="AY836" t="s">
        <v>74</v>
      </c>
      <c r="AZ836" t="s">
        <v>74</v>
      </c>
      <c r="BA836" t="s">
        <v>74</v>
      </c>
      <c r="BB836" t="s">
        <v>74</v>
      </c>
      <c r="BC836" t="s">
        <v>74</v>
      </c>
      <c r="BD836">
        <v>1711</v>
      </c>
      <c r="BE836" t="s">
        <v>15874</v>
      </c>
      <c r="BF836" t="str">
        <f>HYPERLINK("http://dx.doi.org/10.3390/app11041711","http://dx.doi.org/10.3390/app11041711")</f>
        <v>http://dx.doi.org/10.3390/app11041711</v>
      </c>
      <c r="BG836" t="s">
        <v>74</v>
      </c>
      <c r="BH836" t="s">
        <v>74</v>
      </c>
      <c r="BI836">
        <v>21</v>
      </c>
      <c r="BJ836" t="s">
        <v>2109</v>
      </c>
      <c r="BK836" t="s">
        <v>182</v>
      </c>
      <c r="BL836" t="s">
        <v>2110</v>
      </c>
      <c r="BM836" t="s">
        <v>15875</v>
      </c>
      <c r="BN836" t="s">
        <v>74</v>
      </c>
      <c r="BO836" t="s">
        <v>185</v>
      </c>
      <c r="BP836" t="s">
        <v>74</v>
      </c>
      <c r="BQ836" t="s">
        <v>74</v>
      </c>
      <c r="BR836" t="s">
        <v>105</v>
      </c>
      <c r="BS836" t="s">
        <v>15876</v>
      </c>
      <c r="BT836" t="str">
        <f>HYPERLINK("https%3A%2F%2Fwww.webofscience.com%2Fwos%2Fwoscc%2Ffull-record%2FWOS:000632098100001","View Full Record in Web of Science")</f>
        <v>View Full Record in Web of Science</v>
      </c>
    </row>
    <row r="837" spans="1:72" x14ac:dyDescent="0.25">
      <c r="A837" t="s">
        <v>72</v>
      </c>
      <c r="B837" t="s">
        <v>15877</v>
      </c>
      <c r="C837" t="s">
        <v>74</v>
      </c>
      <c r="D837" t="s">
        <v>74</v>
      </c>
      <c r="E837" t="s">
        <v>74</v>
      </c>
      <c r="F837" t="s">
        <v>15878</v>
      </c>
      <c r="G837" t="s">
        <v>74</v>
      </c>
      <c r="H837" t="s">
        <v>74</v>
      </c>
      <c r="I837" t="s">
        <v>15879</v>
      </c>
      <c r="J837" t="s">
        <v>15880</v>
      </c>
      <c r="K837" t="s">
        <v>74</v>
      </c>
      <c r="L837" t="s">
        <v>74</v>
      </c>
      <c r="M837" t="s">
        <v>78</v>
      </c>
      <c r="N837" t="s">
        <v>79</v>
      </c>
      <c r="O837" t="s">
        <v>74</v>
      </c>
      <c r="P837" t="s">
        <v>74</v>
      </c>
      <c r="Q837" t="s">
        <v>74</v>
      </c>
      <c r="R837" t="s">
        <v>74</v>
      </c>
      <c r="S837" t="s">
        <v>74</v>
      </c>
      <c r="T837" t="s">
        <v>15881</v>
      </c>
      <c r="U837" t="s">
        <v>15882</v>
      </c>
      <c r="V837" t="s">
        <v>15883</v>
      </c>
      <c r="W837" t="s">
        <v>15884</v>
      </c>
      <c r="X837" t="s">
        <v>15885</v>
      </c>
      <c r="Y837" t="s">
        <v>15886</v>
      </c>
      <c r="Z837" t="s">
        <v>15887</v>
      </c>
      <c r="AA837" t="s">
        <v>15888</v>
      </c>
      <c r="AB837" t="s">
        <v>15889</v>
      </c>
      <c r="AC837" t="s">
        <v>74</v>
      </c>
      <c r="AD837" t="s">
        <v>74</v>
      </c>
      <c r="AE837" t="s">
        <v>74</v>
      </c>
      <c r="AF837" t="s">
        <v>74</v>
      </c>
      <c r="AG837">
        <v>142</v>
      </c>
      <c r="AH837">
        <v>35</v>
      </c>
      <c r="AI837">
        <v>35</v>
      </c>
      <c r="AJ837">
        <v>2</v>
      </c>
      <c r="AK837">
        <v>60</v>
      </c>
      <c r="AL837" t="s">
        <v>5121</v>
      </c>
      <c r="AM837" t="s">
        <v>173</v>
      </c>
      <c r="AN837" t="s">
        <v>5122</v>
      </c>
      <c r="AO837" t="s">
        <v>15890</v>
      </c>
      <c r="AP837" t="s">
        <v>15891</v>
      </c>
      <c r="AQ837" t="s">
        <v>74</v>
      </c>
      <c r="AR837" t="s">
        <v>15892</v>
      </c>
      <c r="AS837" t="s">
        <v>15893</v>
      </c>
      <c r="AT837" t="s">
        <v>351</v>
      </c>
      <c r="AU837">
        <v>2021</v>
      </c>
      <c r="AV837">
        <v>53</v>
      </c>
      <c r="AW837">
        <v>6</v>
      </c>
      <c r="AX837" t="s">
        <v>74</v>
      </c>
      <c r="AY837" t="s">
        <v>74</v>
      </c>
      <c r="AZ837" t="s">
        <v>74</v>
      </c>
      <c r="BA837" t="s">
        <v>74</v>
      </c>
      <c r="BB837" t="s">
        <v>74</v>
      </c>
      <c r="BC837" t="s">
        <v>74</v>
      </c>
      <c r="BD837">
        <v>130</v>
      </c>
      <c r="BE837" t="s">
        <v>15894</v>
      </c>
      <c r="BF837" t="str">
        <f>HYPERLINK("http://dx.doi.org/10.1145/3419368","http://dx.doi.org/10.1145/3419368")</f>
        <v>http://dx.doi.org/10.1145/3419368</v>
      </c>
      <c r="BG837" t="s">
        <v>74</v>
      </c>
      <c r="BH837" t="s">
        <v>74</v>
      </c>
      <c r="BI837">
        <v>37</v>
      </c>
      <c r="BJ837" t="s">
        <v>15895</v>
      </c>
      <c r="BK837" t="s">
        <v>102</v>
      </c>
      <c r="BL837" t="s">
        <v>6189</v>
      </c>
      <c r="BM837" t="s">
        <v>15896</v>
      </c>
      <c r="BN837" t="s">
        <v>74</v>
      </c>
      <c r="BO837" t="s">
        <v>74</v>
      </c>
      <c r="BP837" t="s">
        <v>74</v>
      </c>
      <c r="BQ837" t="s">
        <v>74</v>
      </c>
      <c r="BR837" t="s">
        <v>105</v>
      </c>
      <c r="BS837" t="s">
        <v>15897</v>
      </c>
      <c r="BT837" t="str">
        <f>HYPERLINK("https%3A%2F%2Fwww.webofscience.com%2Fwos%2Fwoscc%2Ffull-record%2FWOS:000618191200019","View Full Record in Web of Science")</f>
        <v>View Full Record in Web of Science</v>
      </c>
    </row>
    <row r="838" spans="1:72" x14ac:dyDescent="0.25">
      <c r="A838" t="s">
        <v>72</v>
      </c>
      <c r="B838" t="s">
        <v>15898</v>
      </c>
      <c r="C838" t="s">
        <v>74</v>
      </c>
      <c r="D838" t="s">
        <v>74</v>
      </c>
      <c r="E838" t="s">
        <v>74</v>
      </c>
      <c r="F838" t="s">
        <v>15899</v>
      </c>
      <c r="G838" t="s">
        <v>74</v>
      </c>
      <c r="H838" t="s">
        <v>74</v>
      </c>
      <c r="I838" t="s">
        <v>15900</v>
      </c>
      <c r="J838" t="s">
        <v>1032</v>
      </c>
      <c r="K838" t="s">
        <v>74</v>
      </c>
      <c r="L838" t="s">
        <v>74</v>
      </c>
      <c r="M838" t="s">
        <v>78</v>
      </c>
      <c r="N838" t="s">
        <v>79</v>
      </c>
      <c r="O838" t="s">
        <v>74</v>
      </c>
      <c r="P838" t="s">
        <v>74</v>
      </c>
      <c r="Q838" t="s">
        <v>74</v>
      </c>
      <c r="R838" t="s">
        <v>74</v>
      </c>
      <c r="S838" t="s">
        <v>74</v>
      </c>
      <c r="T838" t="s">
        <v>15901</v>
      </c>
      <c r="U838" t="s">
        <v>15902</v>
      </c>
      <c r="V838" t="s">
        <v>15903</v>
      </c>
      <c r="W838" t="s">
        <v>15904</v>
      </c>
      <c r="X838" t="s">
        <v>15905</v>
      </c>
      <c r="Y838" t="s">
        <v>15906</v>
      </c>
      <c r="Z838" t="s">
        <v>15907</v>
      </c>
      <c r="AA838" t="s">
        <v>15908</v>
      </c>
      <c r="AB838" t="s">
        <v>15909</v>
      </c>
      <c r="AC838" t="s">
        <v>15910</v>
      </c>
      <c r="AD838" t="s">
        <v>15911</v>
      </c>
      <c r="AE838" t="s">
        <v>15912</v>
      </c>
      <c r="AF838" t="s">
        <v>74</v>
      </c>
      <c r="AG838">
        <v>48</v>
      </c>
      <c r="AH838">
        <v>25</v>
      </c>
      <c r="AI838">
        <v>28</v>
      </c>
      <c r="AJ838">
        <v>0</v>
      </c>
      <c r="AK838">
        <v>28</v>
      </c>
      <c r="AL838" t="s">
        <v>1040</v>
      </c>
      <c r="AM838" t="s">
        <v>1041</v>
      </c>
      <c r="AN838" t="s">
        <v>1042</v>
      </c>
      <c r="AO838" t="s">
        <v>1043</v>
      </c>
      <c r="AP838" t="s">
        <v>1044</v>
      </c>
      <c r="AQ838" t="s">
        <v>74</v>
      </c>
      <c r="AR838" t="s">
        <v>1045</v>
      </c>
      <c r="AS838" t="s">
        <v>1046</v>
      </c>
      <c r="AT838" t="s">
        <v>1471</v>
      </c>
      <c r="AU838">
        <v>2021</v>
      </c>
      <c r="AV838">
        <v>35</v>
      </c>
      <c r="AW838">
        <v>3</v>
      </c>
      <c r="AX838" t="s">
        <v>74</v>
      </c>
      <c r="AY838" t="s">
        <v>74</v>
      </c>
      <c r="AZ838" t="s">
        <v>74</v>
      </c>
      <c r="BA838" t="s">
        <v>74</v>
      </c>
      <c r="BB838">
        <v>256</v>
      </c>
      <c r="BC838">
        <v>266</v>
      </c>
      <c r="BD838" t="s">
        <v>74</v>
      </c>
      <c r="BE838" t="s">
        <v>15913</v>
      </c>
      <c r="BF838" t="str">
        <f>HYPERLINK("http://dx.doi.org/10.1177/1545968321989353","http://dx.doi.org/10.1177/1545968321989353")</f>
        <v>http://dx.doi.org/10.1177/1545968321989353</v>
      </c>
      <c r="BG838" t="s">
        <v>74</v>
      </c>
      <c r="BH838" t="s">
        <v>15788</v>
      </c>
      <c r="BI838">
        <v>11</v>
      </c>
      <c r="BJ838" t="s">
        <v>1049</v>
      </c>
      <c r="BK838" t="s">
        <v>182</v>
      </c>
      <c r="BL838" t="s">
        <v>1050</v>
      </c>
      <c r="BM838" t="s">
        <v>15914</v>
      </c>
      <c r="BN838">
        <v>33522417</v>
      </c>
      <c r="BO838" t="s">
        <v>74</v>
      </c>
      <c r="BP838" t="s">
        <v>74</v>
      </c>
      <c r="BQ838" t="s">
        <v>74</v>
      </c>
      <c r="BR838" t="s">
        <v>105</v>
      </c>
      <c r="BS838" t="s">
        <v>15915</v>
      </c>
      <c r="BT838" t="str">
        <f>HYPERLINK("https%3A%2F%2Fwww.webofscience.com%2Fwos%2Fwoscc%2Ffull-record%2FWOS:000626224000001","View Full Record in Web of Science")</f>
        <v>View Full Record in Web of Science</v>
      </c>
    </row>
    <row r="839" spans="1:72" x14ac:dyDescent="0.25">
      <c r="A839" t="s">
        <v>72</v>
      </c>
      <c r="B839" t="s">
        <v>15916</v>
      </c>
      <c r="C839" t="s">
        <v>74</v>
      </c>
      <c r="D839" t="s">
        <v>74</v>
      </c>
      <c r="E839" t="s">
        <v>74</v>
      </c>
      <c r="F839" t="s">
        <v>15917</v>
      </c>
      <c r="G839" t="s">
        <v>74</v>
      </c>
      <c r="H839" t="s">
        <v>74</v>
      </c>
      <c r="I839" t="s">
        <v>15918</v>
      </c>
      <c r="J839" t="s">
        <v>594</v>
      </c>
      <c r="K839" t="s">
        <v>74</v>
      </c>
      <c r="L839" t="s">
        <v>74</v>
      </c>
      <c r="M839" t="s">
        <v>78</v>
      </c>
      <c r="N839" t="s">
        <v>79</v>
      </c>
      <c r="O839" t="s">
        <v>74</v>
      </c>
      <c r="P839" t="s">
        <v>74</v>
      </c>
      <c r="Q839" t="s">
        <v>74</v>
      </c>
      <c r="R839" t="s">
        <v>74</v>
      </c>
      <c r="S839" t="s">
        <v>74</v>
      </c>
      <c r="T839" t="s">
        <v>15919</v>
      </c>
      <c r="U839" t="s">
        <v>15920</v>
      </c>
      <c r="V839" t="s">
        <v>15921</v>
      </c>
      <c r="W839" t="s">
        <v>15922</v>
      </c>
      <c r="X839" t="s">
        <v>15923</v>
      </c>
      <c r="Y839" t="s">
        <v>15924</v>
      </c>
      <c r="Z839" t="s">
        <v>15925</v>
      </c>
      <c r="AA839" t="s">
        <v>15926</v>
      </c>
      <c r="AB839" t="s">
        <v>15927</v>
      </c>
      <c r="AC839" t="s">
        <v>15928</v>
      </c>
      <c r="AD839" t="s">
        <v>15929</v>
      </c>
      <c r="AE839" t="s">
        <v>15930</v>
      </c>
      <c r="AF839" t="s">
        <v>74</v>
      </c>
      <c r="AG839">
        <v>139</v>
      </c>
      <c r="AH839">
        <v>227</v>
      </c>
      <c r="AI839">
        <v>246</v>
      </c>
      <c r="AJ839">
        <v>74</v>
      </c>
      <c r="AK839">
        <v>686</v>
      </c>
      <c r="AL839" t="s">
        <v>274</v>
      </c>
      <c r="AM839" t="s">
        <v>275</v>
      </c>
      <c r="AN839" t="s">
        <v>276</v>
      </c>
      <c r="AO839" t="s">
        <v>74</v>
      </c>
      <c r="AP839" t="s">
        <v>606</v>
      </c>
      <c r="AQ839" t="s">
        <v>74</v>
      </c>
      <c r="AR839" t="s">
        <v>607</v>
      </c>
      <c r="AS839" t="s">
        <v>608</v>
      </c>
      <c r="AT839" t="s">
        <v>9186</v>
      </c>
      <c r="AU839">
        <v>2021</v>
      </c>
      <c r="AV839">
        <v>18</v>
      </c>
      <c r="AW839">
        <v>1</v>
      </c>
      <c r="AX839" t="s">
        <v>74</v>
      </c>
      <c r="AY839" t="s">
        <v>74</v>
      </c>
      <c r="AZ839" t="s">
        <v>74</v>
      </c>
      <c r="BA839" t="s">
        <v>74</v>
      </c>
      <c r="BB839" t="s">
        <v>74</v>
      </c>
      <c r="BC839" t="s">
        <v>74</v>
      </c>
      <c r="BD839">
        <v>22</v>
      </c>
      <c r="BE839" t="s">
        <v>15931</v>
      </c>
      <c r="BF839" t="str">
        <f>HYPERLINK("http://dx.doi.org/10.1186/s12984-021-00815-5","http://dx.doi.org/10.1186/s12984-021-00815-5")</f>
        <v>http://dx.doi.org/10.1186/s12984-021-00815-5</v>
      </c>
      <c r="BG839" t="s">
        <v>74</v>
      </c>
      <c r="BH839" t="s">
        <v>74</v>
      </c>
      <c r="BI839">
        <v>21</v>
      </c>
      <c r="BJ839" t="s">
        <v>611</v>
      </c>
      <c r="BK839" t="s">
        <v>102</v>
      </c>
      <c r="BL839" t="s">
        <v>612</v>
      </c>
      <c r="BM839" t="s">
        <v>15932</v>
      </c>
      <c r="BN839">
        <v>33526065</v>
      </c>
      <c r="BO839" t="s">
        <v>5437</v>
      </c>
      <c r="BP839" t="s">
        <v>869</v>
      </c>
      <c r="BQ839" t="s">
        <v>870</v>
      </c>
      <c r="BR839" t="s">
        <v>105</v>
      </c>
      <c r="BS839" t="s">
        <v>15933</v>
      </c>
      <c r="BT839" t="str">
        <f>HYPERLINK("https%3A%2F%2Fwww.webofscience.com%2Fwos%2Fwoscc%2Ffull-record%2FWOS:000616632000003","View Full Record in Web of Science")</f>
        <v>View Full Record in Web of Science</v>
      </c>
    </row>
    <row r="840" spans="1:72" x14ac:dyDescent="0.25">
      <c r="A840" t="s">
        <v>72</v>
      </c>
      <c r="B840" t="s">
        <v>15934</v>
      </c>
      <c r="C840" t="s">
        <v>74</v>
      </c>
      <c r="D840" t="s">
        <v>74</v>
      </c>
      <c r="E840" t="s">
        <v>74</v>
      </c>
      <c r="F840" t="s">
        <v>15935</v>
      </c>
      <c r="G840" t="s">
        <v>74</v>
      </c>
      <c r="H840" t="s">
        <v>74</v>
      </c>
      <c r="I840" t="s">
        <v>15936</v>
      </c>
      <c r="J840" t="s">
        <v>1339</v>
      </c>
      <c r="K840" t="s">
        <v>74</v>
      </c>
      <c r="L840" t="s">
        <v>74</v>
      </c>
      <c r="M840" t="s">
        <v>78</v>
      </c>
      <c r="N840" t="s">
        <v>79</v>
      </c>
      <c r="O840" t="s">
        <v>74</v>
      </c>
      <c r="P840" t="s">
        <v>74</v>
      </c>
      <c r="Q840" t="s">
        <v>74</v>
      </c>
      <c r="R840" t="s">
        <v>74</v>
      </c>
      <c r="S840" t="s">
        <v>74</v>
      </c>
      <c r="T840" t="s">
        <v>15937</v>
      </c>
      <c r="U840" t="s">
        <v>15938</v>
      </c>
      <c r="V840" t="s">
        <v>15939</v>
      </c>
      <c r="W840" t="s">
        <v>15940</v>
      </c>
      <c r="X840" t="s">
        <v>15941</v>
      </c>
      <c r="Y840" t="s">
        <v>15942</v>
      </c>
      <c r="Z840" t="s">
        <v>15943</v>
      </c>
      <c r="AA840" t="s">
        <v>74</v>
      </c>
      <c r="AB840" t="s">
        <v>74</v>
      </c>
      <c r="AC840" t="s">
        <v>15944</v>
      </c>
      <c r="AD840" t="s">
        <v>15945</v>
      </c>
      <c r="AE840" t="s">
        <v>15946</v>
      </c>
      <c r="AF840" t="s">
        <v>74</v>
      </c>
      <c r="AG840">
        <v>197</v>
      </c>
      <c r="AH840">
        <v>27</v>
      </c>
      <c r="AI840">
        <v>28</v>
      </c>
      <c r="AJ840">
        <v>1</v>
      </c>
      <c r="AK840">
        <v>1</v>
      </c>
      <c r="AL840" t="s">
        <v>1348</v>
      </c>
      <c r="AM840" t="s">
        <v>1349</v>
      </c>
      <c r="AN840" t="s">
        <v>15947</v>
      </c>
      <c r="AO840" t="s">
        <v>1351</v>
      </c>
      <c r="AP840" t="s">
        <v>1352</v>
      </c>
      <c r="AQ840" t="s">
        <v>74</v>
      </c>
      <c r="AR840" t="s">
        <v>1353</v>
      </c>
      <c r="AS840" t="s">
        <v>1354</v>
      </c>
      <c r="AT840" t="s">
        <v>351</v>
      </c>
      <c r="AU840">
        <v>2021</v>
      </c>
      <c r="AV840">
        <v>33</v>
      </c>
      <c r="AW840">
        <v>1</v>
      </c>
      <c r="AX840" t="s">
        <v>74</v>
      </c>
      <c r="AY840" t="s">
        <v>74</v>
      </c>
      <c r="AZ840" t="s">
        <v>74</v>
      </c>
      <c r="BA840" t="s">
        <v>74</v>
      </c>
      <c r="BB840">
        <v>45</v>
      </c>
      <c r="BC840">
        <v>68</v>
      </c>
      <c r="BD840" t="s">
        <v>74</v>
      </c>
      <c r="BE840" t="s">
        <v>74</v>
      </c>
      <c r="BF840" t="s">
        <v>74</v>
      </c>
      <c r="BG840" t="s">
        <v>74</v>
      </c>
      <c r="BH840" t="s">
        <v>74</v>
      </c>
      <c r="BI840">
        <v>24</v>
      </c>
      <c r="BJ840" t="s">
        <v>714</v>
      </c>
      <c r="BK840" t="s">
        <v>155</v>
      </c>
      <c r="BL840" t="s">
        <v>714</v>
      </c>
      <c r="BM840" t="s">
        <v>15948</v>
      </c>
      <c r="BN840" t="s">
        <v>74</v>
      </c>
      <c r="BO840" t="s">
        <v>74</v>
      </c>
      <c r="BP840" t="s">
        <v>74</v>
      </c>
      <c r="BQ840" t="s">
        <v>74</v>
      </c>
      <c r="BR840" t="s">
        <v>105</v>
      </c>
      <c r="BS840" t="s">
        <v>15949</v>
      </c>
      <c r="BT840" t="str">
        <f>HYPERLINK("https%3A%2F%2Fwww.webofscience.com%2Fwos%2Fwoscc%2Ffull-record%2FWOS:000621401900005","View Full Record in Web of Science")</f>
        <v>View Full Record in Web of Science</v>
      </c>
    </row>
    <row r="841" spans="1:72" x14ac:dyDescent="0.25">
      <c r="A841" t="s">
        <v>72</v>
      </c>
      <c r="B841" t="s">
        <v>15950</v>
      </c>
      <c r="C841" t="s">
        <v>74</v>
      </c>
      <c r="D841" t="s">
        <v>74</v>
      </c>
      <c r="E841" t="s">
        <v>74</v>
      </c>
      <c r="F841" t="s">
        <v>15951</v>
      </c>
      <c r="G841" t="s">
        <v>74</v>
      </c>
      <c r="H841" t="s">
        <v>74</v>
      </c>
      <c r="I841" t="s">
        <v>15952</v>
      </c>
      <c r="J841" t="s">
        <v>360</v>
      </c>
      <c r="K841" t="s">
        <v>74</v>
      </c>
      <c r="L841" t="s">
        <v>74</v>
      </c>
      <c r="M841" t="s">
        <v>78</v>
      </c>
      <c r="N841" t="s">
        <v>79</v>
      </c>
      <c r="O841" t="s">
        <v>74</v>
      </c>
      <c r="P841" t="s">
        <v>74</v>
      </c>
      <c r="Q841" t="s">
        <v>74</v>
      </c>
      <c r="R841" t="s">
        <v>74</v>
      </c>
      <c r="S841" t="s">
        <v>74</v>
      </c>
      <c r="T841" t="s">
        <v>74</v>
      </c>
      <c r="U841" t="s">
        <v>74</v>
      </c>
      <c r="V841" t="s">
        <v>15953</v>
      </c>
      <c r="W841" t="s">
        <v>15954</v>
      </c>
      <c r="X841" t="s">
        <v>15955</v>
      </c>
      <c r="Y841" t="s">
        <v>15956</v>
      </c>
      <c r="Z841" t="s">
        <v>15957</v>
      </c>
      <c r="AA841" t="s">
        <v>15958</v>
      </c>
      <c r="AB841" t="s">
        <v>15959</v>
      </c>
      <c r="AC841" t="s">
        <v>74</v>
      </c>
      <c r="AD841" t="s">
        <v>74</v>
      </c>
      <c r="AE841" t="s">
        <v>74</v>
      </c>
      <c r="AF841" t="s">
        <v>74</v>
      </c>
      <c r="AG841">
        <v>47</v>
      </c>
      <c r="AH841">
        <v>5</v>
      </c>
      <c r="AI841">
        <v>5</v>
      </c>
      <c r="AJ841">
        <v>0</v>
      </c>
      <c r="AK841">
        <v>1</v>
      </c>
      <c r="AL841" t="s">
        <v>367</v>
      </c>
      <c r="AM841" t="s">
        <v>275</v>
      </c>
      <c r="AN841" t="s">
        <v>368</v>
      </c>
      <c r="AO841" t="s">
        <v>369</v>
      </c>
      <c r="AP841" t="s">
        <v>370</v>
      </c>
      <c r="AQ841" t="s">
        <v>74</v>
      </c>
      <c r="AR841" t="s">
        <v>371</v>
      </c>
      <c r="AS841" t="s">
        <v>372</v>
      </c>
      <c r="AT841" t="s">
        <v>11478</v>
      </c>
      <c r="AU841">
        <v>2021</v>
      </c>
      <c r="AV841">
        <v>2021</v>
      </c>
      <c r="AW841" t="s">
        <v>74</v>
      </c>
      <c r="AX841" t="s">
        <v>74</v>
      </c>
      <c r="AY841" t="s">
        <v>74</v>
      </c>
      <c r="AZ841" t="s">
        <v>74</v>
      </c>
      <c r="BA841" t="s">
        <v>74</v>
      </c>
      <c r="BB841" t="s">
        <v>74</v>
      </c>
      <c r="BC841" t="s">
        <v>74</v>
      </c>
      <c r="BD841">
        <v>6690715</v>
      </c>
      <c r="BE841" t="s">
        <v>15960</v>
      </c>
      <c r="BF841" t="str">
        <f>HYPERLINK("http://dx.doi.org/10.1155/2021/6690715","http://dx.doi.org/10.1155/2021/6690715")</f>
        <v>http://dx.doi.org/10.1155/2021/6690715</v>
      </c>
      <c r="BG841" t="s">
        <v>74</v>
      </c>
      <c r="BH841" t="s">
        <v>74</v>
      </c>
      <c r="BI841">
        <v>8</v>
      </c>
      <c r="BJ841" t="s">
        <v>374</v>
      </c>
      <c r="BK841" t="s">
        <v>155</v>
      </c>
      <c r="BL841" t="s">
        <v>375</v>
      </c>
      <c r="BM841" t="s">
        <v>15961</v>
      </c>
      <c r="BN841">
        <v>33564477</v>
      </c>
      <c r="BO841" t="s">
        <v>131</v>
      </c>
      <c r="BP841" t="s">
        <v>74</v>
      </c>
      <c r="BQ841" t="s">
        <v>74</v>
      </c>
      <c r="BR841" t="s">
        <v>105</v>
      </c>
      <c r="BS841" t="s">
        <v>15962</v>
      </c>
      <c r="BT841" t="str">
        <f>HYPERLINK("https%3A%2F%2Fwww.webofscience.com%2Fwos%2Fwoscc%2Ffull-record%2FWOS:000617616400001","View Full Record in Web of Science")</f>
        <v>View Full Record in Web of Science</v>
      </c>
    </row>
    <row r="842" spans="1:72" x14ac:dyDescent="0.25">
      <c r="A842" t="s">
        <v>72</v>
      </c>
      <c r="B842" t="s">
        <v>15963</v>
      </c>
      <c r="C842" t="s">
        <v>74</v>
      </c>
      <c r="D842" t="s">
        <v>74</v>
      </c>
      <c r="E842" t="s">
        <v>74</v>
      </c>
      <c r="F842" t="s">
        <v>15964</v>
      </c>
      <c r="G842" t="s">
        <v>74</v>
      </c>
      <c r="H842" t="s">
        <v>74</v>
      </c>
      <c r="I842" t="s">
        <v>15965</v>
      </c>
      <c r="J842" t="s">
        <v>3028</v>
      </c>
      <c r="K842" t="s">
        <v>74</v>
      </c>
      <c r="L842" t="s">
        <v>74</v>
      </c>
      <c r="M842" t="s">
        <v>78</v>
      </c>
      <c r="N842" t="s">
        <v>79</v>
      </c>
      <c r="O842" t="s">
        <v>74</v>
      </c>
      <c r="P842" t="s">
        <v>74</v>
      </c>
      <c r="Q842" t="s">
        <v>74</v>
      </c>
      <c r="R842" t="s">
        <v>74</v>
      </c>
      <c r="S842" t="s">
        <v>74</v>
      </c>
      <c r="T842" t="s">
        <v>15966</v>
      </c>
      <c r="U842" t="s">
        <v>15967</v>
      </c>
      <c r="V842" t="s">
        <v>15968</v>
      </c>
      <c r="W842" t="s">
        <v>15969</v>
      </c>
      <c r="X842" t="s">
        <v>15970</v>
      </c>
      <c r="Y842" t="s">
        <v>15971</v>
      </c>
      <c r="Z842" t="s">
        <v>15972</v>
      </c>
      <c r="AA842" t="s">
        <v>15973</v>
      </c>
      <c r="AB842" t="s">
        <v>15974</v>
      </c>
      <c r="AC842" t="s">
        <v>15975</v>
      </c>
      <c r="AD842" t="s">
        <v>15976</v>
      </c>
      <c r="AE842" t="s">
        <v>15977</v>
      </c>
      <c r="AF842" t="s">
        <v>74</v>
      </c>
      <c r="AG842">
        <v>228</v>
      </c>
      <c r="AH842">
        <v>33</v>
      </c>
      <c r="AI842">
        <v>36</v>
      </c>
      <c r="AJ842">
        <v>0</v>
      </c>
      <c r="AK842">
        <v>41</v>
      </c>
      <c r="AL842" t="s">
        <v>3038</v>
      </c>
      <c r="AM842" t="s">
        <v>3039</v>
      </c>
      <c r="AN842" t="s">
        <v>3040</v>
      </c>
      <c r="AO842" t="s">
        <v>3041</v>
      </c>
      <c r="AP842" t="s">
        <v>3042</v>
      </c>
      <c r="AQ842" t="s">
        <v>74</v>
      </c>
      <c r="AR842" t="s">
        <v>3043</v>
      </c>
      <c r="AS842" t="s">
        <v>3044</v>
      </c>
      <c r="AT842" t="s">
        <v>326</v>
      </c>
      <c r="AU842">
        <v>2021</v>
      </c>
      <c r="AV842">
        <v>339</v>
      </c>
      <c r="AW842" t="s">
        <v>74</v>
      </c>
      <c r="AX842" t="s">
        <v>74</v>
      </c>
      <c r="AY842" t="s">
        <v>74</v>
      </c>
      <c r="AZ842" t="s">
        <v>74</v>
      </c>
      <c r="BA842" t="s">
        <v>74</v>
      </c>
      <c r="BB842" t="s">
        <v>74</v>
      </c>
      <c r="BC842" t="s">
        <v>74</v>
      </c>
      <c r="BD842">
        <v>113612</v>
      </c>
      <c r="BE842" t="s">
        <v>15978</v>
      </c>
      <c r="BF842" t="str">
        <f>HYPERLINK("http://dx.doi.org/10.1016/j.expneurol.2021.113612","http://dx.doi.org/10.1016/j.expneurol.2021.113612")</f>
        <v>http://dx.doi.org/10.1016/j.expneurol.2021.113612</v>
      </c>
      <c r="BG842" t="s">
        <v>74</v>
      </c>
      <c r="BH842" t="s">
        <v>2576</v>
      </c>
      <c r="BI842">
        <v>15</v>
      </c>
      <c r="BJ842" t="s">
        <v>374</v>
      </c>
      <c r="BK842" t="s">
        <v>182</v>
      </c>
      <c r="BL842" t="s">
        <v>375</v>
      </c>
      <c r="BM842" t="s">
        <v>15979</v>
      </c>
      <c r="BN842">
        <v>33453213</v>
      </c>
      <c r="BO842" t="s">
        <v>2246</v>
      </c>
      <c r="BP842" t="s">
        <v>74</v>
      </c>
      <c r="BQ842" t="s">
        <v>74</v>
      </c>
      <c r="BR842" t="s">
        <v>105</v>
      </c>
      <c r="BS842" t="s">
        <v>15980</v>
      </c>
      <c r="BT842" t="str">
        <f>HYPERLINK("https%3A%2F%2Fwww.webofscience.com%2Fwos%2Fwoscc%2Ffull-record%2FWOS:000634819800005","View Full Record in Web of Science")</f>
        <v>View Full Record in Web of Science</v>
      </c>
    </row>
    <row r="843" spans="1:72" x14ac:dyDescent="0.25">
      <c r="A843" t="s">
        <v>72</v>
      </c>
      <c r="B843" t="s">
        <v>15981</v>
      </c>
      <c r="C843" t="s">
        <v>74</v>
      </c>
      <c r="D843" t="s">
        <v>74</v>
      </c>
      <c r="E843" t="s">
        <v>74</v>
      </c>
      <c r="F843" t="s">
        <v>15982</v>
      </c>
      <c r="G843" t="s">
        <v>74</v>
      </c>
      <c r="H843" t="s">
        <v>74</v>
      </c>
      <c r="I843" t="s">
        <v>15983</v>
      </c>
      <c r="J843" t="s">
        <v>15984</v>
      </c>
      <c r="K843" t="s">
        <v>74</v>
      </c>
      <c r="L843" t="s">
        <v>74</v>
      </c>
      <c r="M843" t="s">
        <v>78</v>
      </c>
      <c r="N843" t="s">
        <v>79</v>
      </c>
      <c r="O843" t="s">
        <v>74</v>
      </c>
      <c r="P843" t="s">
        <v>74</v>
      </c>
      <c r="Q843" t="s">
        <v>74</v>
      </c>
      <c r="R843" t="s">
        <v>74</v>
      </c>
      <c r="S843" t="s">
        <v>74</v>
      </c>
      <c r="T843" t="s">
        <v>15985</v>
      </c>
      <c r="U843" t="s">
        <v>15986</v>
      </c>
      <c r="V843" t="s">
        <v>15987</v>
      </c>
      <c r="W843" t="s">
        <v>15988</v>
      </c>
      <c r="X843" t="s">
        <v>15989</v>
      </c>
      <c r="Y843" t="s">
        <v>15990</v>
      </c>
      <c r="Z843" t="s">
        <v>15991</v>
      </c>
      <c r="AA843" t="s">
        <v>15992</v>
      </c>
      <c r="AB843" t="s">
        <v>15993</v>
      </c>
      <c r="AC843" t="s">
        <v>74</v>
      </c>
      <c r="AD843" t="s">
        <v>74</v>
      </c>
      <c r="AE843" t="s">
        <v>74</v>
      </c>
      <c r="AF843" t="s">
        <v>74</v>
      </c>
      <c r="AG843">
        <v>56</v>
      </c>
      <c r="AH843">
        <v>13</v>
      </c>
      <c r="AI843">
        <v>17</v>
      </c>
      <c r="AJ843">
        <v>2</v>
      </c>
      <c r="AK843">
        <v>40</v>
      </c>
      <c r="AL843" t="s">
        <v>1605</v>
      </c>
      <c r="AM843" t="s">
        <v>1606</v>
      </c>
      <c r="AN843" t="s">
        <v>1607</v>
      </c>
      <c r="AO843" t="s">
        <v>15994</v>
      </c>
      <c r="AP843" t="s">
        <v>15995</v>
      </c>
      <c r="AQ843" t="s">
        <v>74</v>
      </c>
      <c r="AR843" t="s">
        <v>15996</v>
      </c>
      <c r="AS843" t="s">
        <v>15997</v>
      </c>
      <c r="AT843" t="s">
        <v>487</v>
      </c>
      <c r="AU843">
        <v>2021</v>
      </c>
      <c r="AV843">
        <v>30</v>
      </c>
      <c r="AW843">
        <v>4</v>
      </c>
      <c r="AX843" t="s">
        <v>74</v>
      </c>
      <c r="AY843" t="s">
        <v>74</v>
      </c>
      <c r="AZ843" t="s">
        <v>74</v>
      </c>
      <c r="BA843" t="s">
        <v>74</v>
      </c>
      <c r="BB843" t="s">
        <v>74</v>
      </c>
      <c r="BC843" t="s">
        <v>74</v>
      </c>
      <c r="BD843">
        <v>105617</v>
      </c>
      <c r="BE843" t="s">
        <v>15998</v>
      </c>
      <c r="BF843" t="str">
        <f>HYPERLINK("http://dx.doi.org/10.1016/j.jstrokecerebrovasdis.2021.105617","http://dx.doi.org/10.1016/j.jstrokecerebrovasdis.2021.105617")</f>
        <v>http://dx.doi.org/10.1016/j.jstrokecerebrovasdis.2021.105617</v>
      </c>
      <c r="BG843" t="s">
        <v>74</v>
      </c>
      <c r="BH843" t="s">
        <v>2576</v>
      </c>
      <c r="BI843">
        <v>15</v>
      </c>
      <c r="BJ843" t="s">
        <v>15999</v>
      </c>
      <c r="BK843" t="s">
        <v>182</v>
      </c>
      <c r="BL843" t="s">
        <v>13418</v>
      </c>
      <c r="BM843" t="s">
        <v>16000</v>
      </c>
      <c r="BN843">
        <v>33516068</v>
      </c>
      <c r="BO843" t="s">
        <v>104</v>
      </c>
      <c r="BP843" t="s">
        <v>74</v>
      </c>
      <c r="BQ843" t="s">
        <v>74</v>
      </c>
      <c r="BR843" t="s">
        <v>105</v>
      </c>
      <c r="BS843" t="s">
        <v>16001</v>
      </c>
      <c r="BT843" t="str">
        <f>HYPERLINK("https%3A%2F%2Fwww.webofscience.com%2Fwos%2Fwoscc%2Ffull-record%2FWOS:000632614500050","View Full Record in Web of Science")</f>
        <v>View Full Record in Web of Science</v>
      </c>
    </row>
    <row r="844" spans="1:72" x14ac:dyDescent="0.25">
      <c r="A844" t="s">
        <v>72</v>
      </c>
      <c r="B844" t="s">
        <v>16002</v>
      </c>
      <c r="C844" t="s">
        <v>74</v>
      </c>
      <c r="D844" t="s">
        <v>74</v>
      </c>
      <c r="E844" t="s">
        <v>74</v>
      </c>
      <c r="F844" t="s">
        <v>16003</v>
      </c>
      <c r="G844" t="s">
        <v>74</v>
      </c>
      <c r="H844" t="s">
        <v>74</v>
      </c>
      <c r="I844" t="s">
        <v>16004</v>
      </c>
      <c r="J844" t="s">
        <v>16005</v>
      </c>
      <c r="K844" t="s">
        <v>74</v>
      </c>
      <c r="L844" t="s">
        <v>74</v>
      </c>
      <c r="M844" t="s">
        <v>78</v>
      </c>
      <c r="N844" t="s">
        <v>79</v>
      </c>
      <c r="O844" t="s">
        <v>74</v>
      </c>
      <c r="P844" t="s">
        <v>74</v>
      </c>
      <c r="Q844" t="s">
        <v>74</v>
      </c>
      <c r="R844" t="s">
        <v>74</v>
      </c>
      <c r="S844" t="s">
        <v>74</v>
      </c>
      <c r="T844" t="s">
        <v>16006</v>
      </c>
      <c r="U844" t="s">
        <v>74</v>
      </c>
      <c r="V844" t="s">
        <v>16007</v>
      </c>
      <c r="W844" t="s">
        <v>16008</v>
      </c>
      <c r="X844" t="s">
        <v>16009</v>
      </c>
      <c r="Y844" t="s">
        <v>16010</v>
      </c>
      <c r="Z844" t="s">
        <v>16011</v>
      </c>
      <c r="AA844" t="s">
        <v>16012</v>
      </c>
      <c r="AB844" t="s">
        <v>16013</v>
      </c>
      <c r="AC844" t="s">
        <v>74</v>
      </c>
      <c r="AD844" t="s">
        <v>74</v>
      </c>
      <c r="AE844" t="s">
        <v>74</v>
      </c>
      <c r="AF844" t="s">
        <v>74</v>
      </c>
      <c r="AG844">
        <v>134</v>
      </c>
      <c r="AH844">
        <v>63</v>
      </c>
      <c r="AI844">
        <v>71</v>
      </c>
      <c r="AJ844">
        <v>7</v>
      </c>
      <c r="AK844">
        <v>59</v>
      </c>
      <c r="AL844" t="s">
        <v>172</v>
      </c>
      <c r="AM844" t="s">
        <v>173</v>
      </c>
      <c r="AN844" t="s">
        <v>174</v>
      </c>
      <c r="AO844" t="s">
        <v>16014</v>
      </c>
      <c r="AP844" t="s">
        <v>16015</v>
      </c>
      <c r="AQ844" t="s">
        <v>74</v>
      </c>
      <c r="AR844" t="s">
        <v>16016</v>
      </c>
      <c r="AS844" t="s">
        <v>16017</v>
      </c>
      <c r="AT844" t="s">
        <v>487</v>
      </c>
      <c r="AU844">
        <v>2021</v>
      </c>
      <c r="AV844">
        <v>121</v>
      </c>
      <c r="AW844">
        <v>4</v>
      </c>
      <c r="AX844" t="s">
        <v>74</v>
      </c>
      <c r="AY844" t="s">
        <v>74</v>
      </c>
      <c r="AZ844" t="s">
        <v>74</v>
      </c>
      <c r="BA844" t="s">
        <v>74</v>
      </c>
      <c r="BB844">
        <v>1009</v>
      </c>
      <c r="BC844">
        <v>1025</v>
      </c>
      <c r="BD844" t="s">
        <v>74</v>
      </c>
      <c r="BE844" t="s">
        <v>16018</v>
      </c>
      <c r="BF844" t="str">
        <f>HYPERLINK("http://dx.doi.org/10.1007/s00421-021-04604-9","http://dx.doi.org/10.1007/s00421-021-04604-9")</f>
        <v>http://dx.doi.org/10.1007/s00421-021-04604-9</v>
      </c>
      <c r="BG844" t="s">
        <v>74</v>
      </c>
      <c r="BH844" t="s">
        <v>2576</v>
      </c>
      <c r="BI844">
        <v>17</v>
      </c>
      <c r="BJ844" t="s">
        <v>16019</v>
      </c>
      <c r="BK844" t="s">
        <v>182</v>
      </c>
      <c r="BL844" t="s">
        <v>16019</v>
      </c>
      <c r="BM844" t="s">
        <v>16020</v>
      </c>
      <c r="BN844">
        <v>33496848</v>
      </c>
      <c r="BO844" t="s">
        <v>74</v>
      </c>
      <c r="BP844" t="s">
        <v>74</v>
      </c>
      <c r="BQ844" t="s">
        <v>74</v>
      </c>
      <c r="BR844" t="s">
        <v>105</v>
      </c>
      <c r="BS844" t="s">
        <v>16021</v>
      </c>
      <c r="BT844" t="str">
        <f>HYPERLINK("https%3A%2F%2Fwww.webofscience.com%2Fwos%2Fwoscc%2Ffull-record%2FWOS:000611926500001","View Full Record in Web of Science")</f>
        <v>View Full Record in Web of Science</v>
      </c>
    </row>
    <row r="845" spans="1:72" x14ac:dyDescent="0.25">
      <c r="A845" t="s">
        <v>72</v>
      </c>
      <c r="B845" t="s">
        <v>16022</v>
      </c>
      <c r="C845" t="s">
        <v>74</v>
      </c>
      <c r="D845" t="s">
        <v>74</v>
      </c>
      <c r="E845" t="s">
        <v>74</v>
      </c>
      <c r="F845" t="s">
        <v>16023</v>
      </c>
      <c r="G845" t="s">
        <v>74</v>
      </c>
      <c r="H845" t="s">
        <v>74</v>
      </c>
      <c r="I845" t="s">
        <v>16024</v>
      </c>
      <c r="J845" t="s">
        <v>594</v>
      </c>
      <c r="K845" t="s">
        <v>74</v>
      </c>
      <c r="L845" t="s">
        <v>74</v>
      </c>
      <c r="M845" t="s">
        <v>78</v>
      </c>
      <c r="N845" t="s">
        <v>79</v>
      </c>
      <c r="O845" t="s">
        <v>74</v>
      </c>
      <c r="P845" t="s">
        <v>74</v>
      </c>
      <c r="Q845" t="s">
        <v>74</v>
      </c>
      <c r="R845" t="s">
        <v>74</v>
      </c>
      <c r="S845" t="s">
        <v>74</v>
      </c>
      <c r="T845" t="s">
        <v>16025</v>
      </c>
      <c r="U845" t="s">
        <v>16026</v>
      </c>
      <c r="V845" t="s">
        <v>16027</v>
      </c>
      <c r="W845" t="s">
        <v>16028</v>
      </c>
      <c r="X845" t="s">
        <v>16029</v>
      </c>
      <c r="Y845" t="s">
        <v>16030</v>
      </c>
      <c r="Z845" t="s">
        <v>16031</v>
      </c>
      <c r="AA845" t="s">
        <v>16032</v>
      </c>
      <c r="AB845" t="s">
        <v>16033</v>
      </c>
      <c r="AC845" t="s">
        <v>16034</v>
      </c>
      <c r="AD845" t="s">
        <v>16035</v>
      </c>
      <c r="AE845" t="s">
        <v>16036</v>
      </c>
      <c r="AF845" t="s">
        <v>74</v>
      </c>
      <c r="AG845">
        <v>124</v>
      </c>
      <c r="AH845">
        <v>121</v>
      </c>
      <c r="AI845">
        <v>132</v>
      </c>
      <c r="AJ845">
        <v>23</v>
      </c>
      <c r="AK845">
        <v>608</v>
      </c>
      <c r="AL845" t="s">
        <v>274</v>
      </c>
      <c r="AM845" t="s">
        <v>275</v>
      </c>
      <c r="AN845" t="s">
        <v>276</v>
      </c>
      <c r="AO845" t="s">
        <v>74</v>
      </c>
      <c r="AP845" t="s">
        <v>606</v>
      </c>
      <c r="AQ845" t="s">
        <v>74</v>
      </c>
      <c r="AR845" t="s">
        <v>607</v>
      </c>
      <c r="AS845" t="s">
        <v>608</v>
      </c>
      <c r="AT845" t="s">
        <v>441</v>
      </c>
      <c r="AU845">
        <v>2021</v>
      </c>
      <c r="AV845">
        <v>18</v>
      </c>
      <c r="AW845">
        <v>1</v>
      </c>
      <c r="AX845" t="s">
        <v>74</v>
      </c>
      <c r="AY845" t="s">
        <v>74</v>
      </c>
      <c r="AZ845" t="s">
        <v>74</v>
      </c>
      <c r="BA845" t="s">
        <v>74</v>
      </c>
      <c r="BB845" t="s">
        <v>74</v>
      </c>
      <c r="BC845" t="s">
        <v>74</v>
      </c>
      <c r="BD845">
        <v>15</v>
      </c>
      <c r="BE845" t="s">
        <v>16037</v>
      </c>
      <c r="BF845" t="str">
        <f>HYPERLINK("http://dx.doi.org/10.1186/s12984-021-00820-8","http://dx.doi.org/10.1186/s12984-021-00820-8")</f>
        <v>http://dx.doi.org/10.1186/s12984-021-00820-8</v>
      </c>
      <c r="BG845" t="s">
        <v>74</v>
      </c>
      <c r="BH845" t="s">
        <v>74</v>
      </c>
      <c r="BI845">
        <v>25</v>
      </c>
      <c r="BJ845" t="s">
        <v>611</v>
      </c>
      <c r="BK845" t="s">
        <v>182</v>
      </c>
      <c r="BL845" t="s">
        <v>612</v>
      </c>
      <c r="BM845" t="s">
        <v>16038</v>
      </c>
      <c r="BN845">
        <v>33485365</v>
      </c>
      <c r="BO845" t="s">
        <v>1573</v>
      </c>
      <c r="BP845" t="s">
        <v>74</v>
      </c>
      <c r="BQ845" t="s">
        <v>74</v>
      </c>
      <c r="BR845" t="s">
        <v>105</v>
      </c>
      <c r="BS845" t="s">
        <v>16039</v>
      </c>
      <c r="BT845" t="str">
        <f>HYPERLINK("https%3A%2F%2Fwww.webofscience.com%2Fwos%2Fwoscc%2Ffull-record%2FWOS:000613370800002","View Full Record in Web of Science")</f>
        <v>View Full Record in Web of Science</v>
      </c>
    </row>
    <row r="846" spans="1:72" x14ac:dyDescent="0.25">
      <c r="A846" t="s">
        <v>72</v>
      </c>
      <c r="B846" t="s">
        <v>16040</v>
      </c>
      <c r="C846" t="s">
        <v>74</v>
      </c>
      <c r="D846" t="s">
        <v>74</v>
      </c>
      <c r="E846" t="s">
        <v>74</v>
      </c>
      <c r="F846" t="s">
        <v>16041</v>
      </c>
      <c r="G846" t="s">
        <v>74</v>
      </c>
      <c r="H846" t="s">
        <v>74</v>
      </c>
      <c r="I846" t="s">
        <v>16042</v>
      </c>
      <c r="J846" t="s">
        <v>214</v>
      </c>
      <c r="K846" t="s">
        <v>74</v>
      </c>
      <c r="L846" t="s">
        <v>74</v>
      </c>
      <c r="M846" t="s">
        <v>78</v>
      </c>
      <c r="N846" t="s">
        <v>79</v>
      </c>
      <c r="O846" t="s">
        <v>74</v>
      </c>
      <c r="P846" t="s">
        <v>74</v>
      </c>
      <c r="Q846" t="s">
        <v>74</v>
      </c>
      <c r="R846" t="s">
        <v>74</v>
      </c>
      <c r="S846" t="s">
        <v>74</v>
      </c>
      <c r="T846" t="s">
        <v>16043</v>
      </c>
      <c r="U846" t="s">
        <v>16044</v>
      </c>
      <c r="V846" t="s">
        <v>16045</v>
      </c>
      <c r="W846" t="s">
        <v>16046</v>
      </c>
      <c r="X846" t="s">
        <v>16047</v>
      </c>
      <c r="Y846" t="s">
        <v>16048</v>
      </c>
      <c r="Z846" t="s">
        <v>16049</v>
      </c>
      <c r="AA846" t="s">
        <v>16050</v>
      </c>
      <c r="AB846" t="s">
        <v>16051</v>
      </c>
      <c r="AC846" t="s">
        <v>74</v>
      </c>
      <c r="AD846" t="s">
        <v>74</v>
      </c>
      <c r="AE846" t="s">
        <v>74</v>
      </c>
      <c r="AF846" t="s">
        <v>74</v>
      </c>
      <c r="AG846">
        <v>28</v>
      </c>
      <c r="AH846">
        <v>33</v>
      </c>
      <c r="AI846">
        <v>34</v>
      </c>
      <c r="AJ846">
        <v>1</v>
      </c>
      <c r="AK846">
        <v>30</v>
      </c>
      <c r="AL846" t="s">
        <v>226</v>
      </c>
      <c r="AM846" t="s">
        <v>227</v>
      </c>
      <c r="AN846" t="s">
        <v>228</v>
      </c>
      <c r="AO846" t="s">
        <v>229</v>
      </c>
      <c r="AP846" t="s">
        <v>230</v>
      </c>
      <c r="AQ846" t="s">
        <v>74</v>
      </c>
      <c r="AR846" t="s">
        <v>231</v>
      </c>
      <c r="AS846" t="s">
        <v>232</v>
      </c>
      <c r="AT846" t="s">
        <v>351</v>
      </c>
      <c r="AU846">
        <v>2021</v>
      </c>
      <c r="AV846">
        <v>102</v>
      </c>
      <c r="AW846">
        <v>2</v>
      </c>
      <c r="AX846" t="s">
        <v>74</v>
      </c>
      <c r="AY846" t="s">
        <v>74</v>
      </c>
      <c r="AZ846" t="s">
        <v>74</v>
      </c>
      <c r="BA846" t="s">
        <v>74</v>
      </c>
      <c r="BB846">
        <v>300</v>
      </c>
      <c r="BC846">
        <v>313</v>
      </c>
      <c r="BD846" t="s">
        <v>74</v>
      </c>
      <c r="BE846" t="s">
        <v>16052</v>
      </c>
      <c r="BF846" t="str">
        <f>HYPERLINK("http://dx.doi.org/10.1016/j.apmr.2019.01.025","http://dx.doi.org/10.1016/j.apmr.2019.01.025")</f>
        <v>http://dx.doi.org/10.1016/j.apmr.2019.01.025</v>
      </c>
      <c r="BG846" t="s">
        <v>74</v>
      </c>
      <c r="BH846" t="s">
        <v>2576</v>
      </c>
      <c r="BI846">
        <v>14</v>
      </c>
      <c r="BJ846" t="s">
        <v>236</v>
      </c>
      <c r="BK846" t="s">
        <v>182</v>
      </c>
      <c r="BL846" t="s">
        <v>236</v>
      </c>
      <c r="BM846" t="s">
        <v>16053</v>
      </c>
      <c r="BN846">
        <v>30849306</v>
      </c>
      <c r="BO846" t="s">
        <v>74</v>
      </c>
      <c r="BP846" t="s">
        <v>74</v>
      </c>
      <c r="BQ846" t="s">
        <v>74</v>
      </c>
      <c r="BR846" t="s">
        <v>105</v>
      </c>
      <c r="BS846" t="s">
        <v>16054</v>
      </c>
      <c r="BT846" t="str">
        <f>HYPERLINK("https%3A%2F%2Fwww.webofscience.com%2Fwos%2Fwoscc%2Ffull-record%2FWOS:000614543000014","View Full Record in Web of Science")</f>
        <v>View Full Record in Web of Science</v>
      </c>
    </row>
    <row r="847" spans="1:72" x14ac:dyDescent="0.25">
      <c r="A847" t="s">
        <v>72</v>
      </c>
      <c r="B847" t="s">
        <v>16055</v>
      </c>
      <c r="C847" t="s">
        <v>74</v>
      </c>
      <c r="D847" t="s">
        <v>74</v>
      </c>
      <c r="E847" t="s">
        <v>74</v>
      </c>
      <c r="F847" t="s">
        <v>16056</v>
      </c>
      <c r="G847" t="s">
        <v>74</v>
      </c>
      <c r="H847" t="s">
        <v>74</v>
      </c>
      <c r="I847" t="s">
        <v>16057</v>
      </c>
      <c r="J847" t="s">
        <v>9167</v>
      </c>
      <c r="K847" t="s">
        <v>74</v>
      </c>
      <c r="L847" t="s">
        <v>74</v>
      </c>
      <c r="M847" t="s">
        <v>78</v>
      </c>
      <c r="N847" t="s">
        <v>79</v>
      </c>
      <c r="O847" t="s">
        <v>74</v>
      </c>
      <c r="P847" t="s">
        <v>74</v>
      </c>
      <c r="Q847" t="s">
        <v>74</v>
      </c>
      <c r="R847" t="s">
        <v>74</v>
      </c>
      <c r="S847" t="s">
        <v>74</v>
      </c>
      <c r="T847" t="s">
        <v>16058</v>
      </c>
      <c r="U847" t="s">
        <v>16059</v>
      </c>
      <c r="V847" t="s">
        <v>16060</v>
      </c>
      <c r="W847" t="s">
        <v>16061</v>
      </c>
      <c r="X847" t="s">
        <v>1285</v>
      </c>
      <c r="Y847" t="s">
        <v>16062</v>
      </c>
      <c r="Z847" t="s">
        <v>16063</v>
      </c>
      <c r="AA847" t="s">
        <v>16064</v>
      </c>
      <c r="AB847" t="s">
        <v>16065</v>
      </c>
      <c r="AC847" t="s">
        <v>16066</v>
      </c>
      <c r="AD847" t="s">
        <v>16067</v>
      </c>
      <c r="AE847" t="s">
        <v>16068</v>
      </c>
      <c r="AF847" t="s">
        <v>74</v>
      </c>
      <c r="AG847">
        <v>74</v>
      </c>
      <c r="AH847">
        <v>55</v>
      </c>
      <c r="AI847">
        <v>59</v>
      </c>
      <c r="AJ847">
        <v>8</v>
      </c>
      <c r="AK847">
        <v>58</v>
      </c>
      <c r="AL847" t="s">
        <v>9179</v>
      </c>
      <c r="AM847" t="s">
        <v>9180</v>
      </c>
      <c r="AN847" t="s">
        <v>9181</v>
      </c>
      <c r="AO847" t="s">
        <v>9182</v>
      </c>
      <c r="AP847" t="s">
        <v>9183</v>
      </c>
      <c r="AQ847" t="s">
        <v>74</v>
      </c>
      <c r="AR847" t="s">
        <v>9184</v>
      </c>
      <c r="AS847" t="s">
        <v>9185</v>
      </c>
      <c r="AT847" t="s">
        <v>487</v>
      </c>
      <c r="AU847">
        <v>2021</v>
      </c>
      <c r="AV847">
        <v>101</v>
      </c>
      <c r="AW847">
        <v>4</v>
      </c>
      <c r="AX847" t="s">
        <v>74</v>
      </c>
      <c r="AY847" t="s">
        <v>74</v>
      </c>
      <c r="AZ847" t="s">
        <v>74</v>
      </c>
      <c r="BA847" t="s">
        <v>74</v>
      </c>
      <c r="BB847" t="s">
        <v>74</v>
      </c>
      <c r="BC847" t="s">
        <v>74</v>
      </c>
      <c r="BD847" t="s">
        <v>16069</v>
      </c>
      <c r="BE847" t="s">
        <v>16070</v>
      </c>
      <c r="BF847" t="str">
        <f>HYPERLINK("http://dx.doi.org/10.1093/ptj/pzab010","http://dx.doi.org/10.1093/ptj/pzab010")</f>
        <v>http://dx.doi.org/10.1093/ptj/pzab010</v>
      </c>
      <c r="BG847" t="s">
        <v>74</v>
      </c>
      <c r="BH847" t="s">
        <v>2576</v>
      </c>
      <c r="BI847">
        <v>13</v>
      </c>
      <c r="BJ847" t="s">
        <v>3977</v>
      </c>
      <c r="BK847" t="s">
        <v>102</v>
      </c>
      <c r="BL847" t="s">
        <v>3977</v>
      </c>
      <c r="BM847" t="s">
        <v>16071</v>
      </c>
      <c r="BN847">
        <v>33454787</v>
      </c>
      <c r="BO847" t="s">
        <v>1052</v>
      </c>
      <c r="BP847" t="s">
        <v>74</v>
      </c>
      <c r="BQ847" t="s">
        <v>74</v>
      </c>
      <c r="BR847" t="s">
        <v>105</v>
      </c>
      <c r="BS847" t="s">
        <v>16072</v>
      </c>
      <c r="BT847" t="str">
        <f>HYPERLINK("https%3A%2F%2Fwww.webofscience.com%2Fwos%2Fwoscc%2Ffull-record%2FWOS:000644537200004","View Full Record in Web of Science")</f>
        <v>View Full Record in Web of Science</v>
      </c>
    </row>
    <row r="848" spans="1:72" x14ac:dyDescent="0.25">
      <c r="A848" t="s">
        <v>72</v>
      </c>
      <c r="B848" t="s">
        <v>16073</v>
      </c>
      <c r="C848" t="s">
        <v>74</v>
      </c>
      <c r="D848" t="s">
        <v>74</v>
      </c>
      <c r="E848" t="s">
        <v>74</v>
      </c>
      <c r="F848" t="s">
        <v>16074</v>
      </c>
      <c r="G848" t="s">
        <v>74</v>
      </c>
      <c r="H848" t="s">
        <v>74</v>
      </c>
      <c r="I848" t="s">
        <v>16075</v>
      </c>
      <c r="J848" t="s">
        <v>16076</v>
      </c>
      <c r="K848" t="s">
        <v>74</v>
      </c>
      <c r="L848" t="s">
        <v>74</v>
      </c>
      <c r="M848" t="s">
        <v>78</v>
      </c>
      <c r="N848" t="s">
        <v>79</v>
      </c>
      <c r="O848" t="s">
        <v>74</v>
      </c>
      <c r="P848" t="s">
        <v>74</v>
      </c>
      <c r="Q848" t="s">
        <v>74</v>
      </c>
      <c r="R848" t="s">
        <v>74</v>
      </c>
      <c r="S848" t="s">
        <v>74</v>
      </c>
      <c r="T848" t="s">
        <v>74</v>
      </c>
      <c r="U848" t="s">
        <v>16077</v>
      </c>
      <c r="V848" t="s">
        <v>16078</v>
      </c>
      <c r="W848" t="s">
        <v>16079</v>
      </c>
      <c r="X848" t="s">
        <v>16080</v>
      </c>
      <c r="Y848" t="s">
        <v>16081</v>
      </c>
      <c r="Z848" t="s">
        <v>74</v>
      </c>
      <c r="AA848" t="s">
        <v>16082</v>
      </c>
      <c r="AB848" t="s">
        <v>16083</v>
      </c>
      <c r="AC848" t="s">
        <v>74</v>
      </c>
      <c r="AD848" t="s">
        <v>74</v>
      </c>
      <c r="AE848" t="s">
        <v>74</v>
      </c>
      <c r="AF848" t="s">
        <v>74</v>
      </c>
      <c r="AG848">
        <v>55</v>
      </c>
      <c r="AH848">
        <v>33</v>
      </c>
      <c r="AI848">
        <v>34</v>
      </c>
      <c r="AJ848">
        <v>1</v>
      </c>
      <c r="AK848">
        <v>7</v>
      </c>
      <c r="AL848" t="s">
        <v>346</v>
      </c>
      <c r="AM848" t="s">
        <v>227</v>
      </c>
      <c r="AN848" t="s">
        <v>347</v>
      </c>
      <c r="AO848" t="s">
        <v>16084</v>
      </c>
      <c r="AP848" t="s">
        <v>16085</v>
      </c>
      <c r="AQ848" t="s">
        <v>74</v>
      </c>
      <c r="AR848" t="s">
        <v>16086</v>
      </c>
      <c r="AS848" t="s">
        <v>16087</v>
      </c>
      <c r="AT848" t="s">
        <v>16088</v>
      </c>
      <c r="AU848">
        <v>2021</v>
      </c>
      <c r="AV848">
        <v>29</v>
      </c>
      <c r="AW848">
        <v>2</v>
      </c>
      <c r="AX848" t="s">
        <v>74</v>
      </c>
      <c r="AY848" t="s">
        <v>74</v>
      </c>
      <c r="AZ848" t="s">
        <v>74</v>
      </c>
      <c r="BA848" t="s">
        <v>74</v>
      </c>
      <c r="BB848">
        <v>45</v>
      </c>
      <c r="BC848">
        <v>59</v>
      </c>
      <c r="BD848" t="s">
        <v>74</v>
      </c>
      <c r="BE848" t="s">
        <v>16089</v>
      </c>
      <c r="BF848" t="str">
        <f>HYPERLINK("http://dx.doi.org/10.5435/JAAOS-D-20-00654","http://dx.doi.org/10.5435/JAAOS-D-20-00654")</f>
        <v>http://dx.doi.org/10.5435/JAAOS-D-20-00654</v>
      </c>
      <c r="BG848" t="s">
        <v>74</v>
      </c>
      <c r="BH848" t="s">
        <v>74</v>
      </c>
      <c r="BI848">
        <v>15</v>
      </c>
      <c r="BJ848" t="s">
        <v>3388</v>
      </c>
      <c r="BK848" t="s">
        <v>182</v>
      </c>
      <c r="BL848" t="s">
        <v>3388</v>
      </c>
      <c r="BM848" t="s">
        <v>16090</v>
      </c>
      <c r="BN848">
        <v>33394612</v>
      </c>
      <c r="BO848" t="s">
        <v>74</v>
      </c>
      <c r="BP848" t="s">
        <v>74</v>
      </c>
      <c r="BQ848" t="s">
        <v>74</v>
      </c>
      <c r="BR848" t="s">
        <v>105</v>
      </c>
      <c r="BS848" t="s">
        <v>16091</v>
      </c>
      <c r="BT848" t="str">
        <f>HYPERLINK("https%3A%2F%2Fwww.webofscience.com%2Fwos%2Fwoscc%2Ffull-record%2FWOS:000658819400001","View Full Record in Web of Science")</f>
        <v>View Full Record in Web of Science</v>
      </c>
    </row>
    <row r="849" spans="1:72" x14ac:dyDescent="0.25">
      <c r="A849" t="s">
        <v>72</v>
      </c>
      <c r="B849" t="s">
        <v>16092</v>
      </c>
      <c r="C849" t="s">
        <v>74</v>
      </c>
      <c r="D849" t="s">
        <v>74</v>
      </c>
      <c r="E849" t="s">
        <v>74</v>
      </c>
      <c r="F849" t="s">
        <v>16093</v>
      </c>
      <c r="G849" t="s">
        <v>74</v>
      </c>
      <c r="H849" t="s">
        <v>74</v>
      </c>
      <c r="I849" t="s">
        <v>16094</v>
      </c>
      <c r="J849" t="s">
        <v>2745</v>
      </c>
      <c r="K849" t="s">
        <v>74</v>
      </c>
      <c r="L849" t="s">
        <v>74</v>
      </c>
      <c r="M849" t="s">
        <v>78</v>
      </c>
      <c r="N849" t="s">
        <v>79</v>
      </c>
      <c r="O849" t="s">
        <v>74</v>
      </c>
      <c r="P849" t="s">
        <v>74</v>
      </c>
      <c r="Q849" t="s">
        <v>74</v>
      </c>
      <c r="R849" t="s">
        <v>74</v>
      </c>
      <c r="S849" t="s">
        <v>74</v>
      </c>
      <c r="T849" t="s">
        <v>16095</v>
      </c>
      <c r="U849" t="s">
        <v>74</v>
      </c>
      <c r="V849" t="s">
        <v>16096</v>
      </c>
      <c r="W849" t="s">
        <v>16097</v>
      </c>
      <c r="X849" t="s">
        <v>16098</v>
      </c>
      <c r="Y849" t="s">
        <v>16099</v>
      </c>
      <c r="Z849" t="s">
        <v>16100</v>
      </c>
      <c r="AA849" t="s">
        <v>16101</v>
      </c>
      <c r="AB849" t="s">
        <v>16102</v>
      </c>
      <c r="AC849" t="s">
        <v>16103</v>
      </c>
      <c r="AD849" t="s">
        <v>16104</v>
      </c>
      <c r="AE849" t="s">
        <v>16105</v>
      </c>
      <c r="AF849" t="s">
        <v>74</v>
      </c>
      <c r="AG849">
        <v>90</v>
      </c>
      <c r="AH849">
        <v>19</v>
      </c>
      <c r="AI849">
        <v>19</v>
      </c>
      <c r="AJ849">
        <v>7</v>
      </c>
      <c r="AK849">
        <v>82</v>
      </c>
      <c r="AL849" t="s">
        <v>120</v>
      </c>
      <c r="AM849" t="s">
        <v>121</v>
      </c>
      <c r="AN849" t="s">
        <v>122</v>
      </c>
      <c r="AO849" t="s">
        <v>74</v>
      </c>
      <c r="AP849" t="s">
        <v>2757</v>
      </c>
      <c r="AQ849" t="s">
        <v>74</v>
      </c>
      <c r="AR849" t="s">
        <v>2745</v>
      </c>
      <c r="AS849" t="s">
        <v>2758</v>
      </c>
      <c r="AT849" t="s">
        <v>538</v>
      </c>
      <c r="AU849">
        <v>2021</v>
      </c>
      <c r="AV849">
        <v>8</v>
      </c>
      <c r="AW849">
        <v>1</v>
      </c>
      <c r="AX849" t="s">
        <v>74</v>
      </c>
      <c r="AY849" t="s">
        <v>74</v>
      </c>
      <c r="AZ849" t="s">
        <v>74</v>
      </c>
      <c r="BA849" t="s">
        <v>74</v>
      </c>
      <c r="BB849" t="s">
        <v>74</v>
      </c>
      <c r="BC849" t="s">
        <v>74</v>
      </c>
      <c r="BD849">
        <v>2</v>
      </c>
      <c r="BE849" t="s">
        <v>16106</v>
      </c>
      <c r="BF849" t="str">
        <f>HYPERLINK("http://dx.doi.org/10.3390/bioengineering8010002","http://dx.doi.org/10.3390/bioengineering8010002")</f>
        <v>http://dx.doi.org/10.3390/bioengineering8010002</v>
      </c>
      <c r="BG849" t="s">
        <v>74</v>
      </c>
      <c r="BH849" t="s">
        <v>74</v>
      </c>
      <c r="BI849">
        <v>14</v>
      </c>
      <c r="BJ849" t="s">
        <v>2760</v>
      </c>
      <c r="BK849" t="s">
        <v>182</v>
      </c>
      <c r="BL849" t="s">
        <v>2761</v>
      </c>
      <c r="BM849" t="s">
        <v>16107</v>
      </c>
      <c r="BN849">
        <v>33375594</v>
      </c>
      <c r="BO849" t="s">
        <v>355</v>
      </c>
      <c r="BP849" t="s">
        <v>74</v>
      </c>
      <c r="BQ849" t="s">
        <v>74</v>
      </c>
      <c r="BR849" t="s">
        <v>105</v>
      </c>
      <c r="BS849" t="s">
        <v>16108</v>
      </c>
      <c r="BT849" t="str">
        <f>HYPERLINK("https%3A%2F%2Fwww.webofscience.com%2Fwos%2Fwoscc%2Ffull-record%2FWOS:000609750200001","View Full Record in Web of Science")</f>
        <v>View Full Record in Web of Science</v>
      </c>
    </row>
    <row r="850" spans="1:72" x14ac:dyDescent="0.25">
      <c r="A850" t="s">
        <v>72</v>
      </c>
      <c r="B850" t="s">
        <v>16109</v>
      </c>
      <c r="C850" t="s">
        <v>74</v>
      </c>
      <c r="D850" t="s">
        <v>74</v>
      </c>
      <c r="E850" t="s">
        <v>74</v>
      </c>
      <c r="F850" t="s">
        <v>16110</v>
      </c>
      <c r="G850" t="s">
        <v>74</v>
      </c>
      <c r="H850" t="s">
        <v>74</v>
      </c>
      <c r="I850" t="s">
        <v>16111</v>
      </c>
      <c r="J850" t="s">
        <v>3906</v>
      </c>
      <c r="K850" t="s">
        <v>74</v>
      </c>
      <c r="L850" t="s">
        <v>74</v>
      </c>
      <c r="M850" t="s">
        <v>78</v>
      </c>
      <c r="N850" t="s">
        <v>79</v>
      </c>
      <c r="O850" t="s">
        <v>74</v>
      </c>
      <c r="P850" t="s">
        <v>74</v>
      </c>
      <c r="Q850" t="s">
        <v>74</v>
      </c>
      <c r="R850" t="s">
        <v>74</v>
      </c>
      <c r="S850" t="s">
        <v>74</v>
      </c>
      <c r="T850" t="s">
        <v>74</v>
      </c>
      <c r="U850" t="s">
        <v>16112</v>
      </c>
      <c r="V850" t="s">
        <v>16113</v>
      </c>
      <c r="W850" t="s">
        <v>16114</v>
      </c>
      <c r="X850" t="s">
        <v>16115</v>
      </c>
      <c r="Y850" t="s">
        <v>16116</v>
      </c>
      <c r="Z850" t="s">
        <v>16117</v>
      </c>
      <c r="AA850" t="s">
        <v>74</v>
      </c>
      <c r="AB850" t="s">
        <v>16118</v>
      </c>
      <c r="AC850" t="s">
        <v>16119</v>
      </c>
      <c r="AD850" t="s">
        <v>16119</v>
      </c>
      <c r="AE850" t="s">
        <v>16120</v>
      </c>
      <c r="AF850" t="s">
        <v>74</v>
      </c>
      <c r="AG850">
        <v>227</v>
      </c>
      <c r="AH850">
        <v>45</v>
      </c>
      <c r="AI850">
        <v>47</v>
      </c>
      <c r="AJ850">
        <v>1</v>
      </c>
      <c r="AK850">
        <v>20</v>
      </c>
      <c r="AL850" t="s">
        <v>297</v>
      </c>
      <c r="AM850" t="s">
        <v>298</v>
      </c>
      <c r="AN850" t="s">
        <v>299</v>
      </c>
      <c r="AO850" t="s">
        <v>3917</v>
      </c>
      <c r="AP850" t="s">
        <v>3918</v>
      </c>
      <c r="AQ850" t="s">
        <v>74</v>
      </c>
      <c r="AR850" t="s">
        <v>3919</v>
      </c>
      <c r="AS850" t="s">
        <v>3920</v>
      </c>
      <c r="AT850" t="s">
        <v>74</v>
      </c>
      <c r="AU850">
        <v>2021</v>
      </c>
      <c r="AV850" t="s">
        <v>74</v>
      </c>
      <c r="AW850">
        <v>10</v>
      </c>
      <c r="AX850" t="s">
        <v>74</v>
      </c>
      <c r="AY850" t="s">
        <v>74</v>
      </c>
      <c r="AZ850" t="s">
        <v>74</v>
      </c>
      <c r="BA850" t="s">
        <v>74</v>
      </c>
      <c r="BB850" t="s">
        <v>74</v>
      </c>
      <c r="BC850" t="s">
        <v>74</v>
      </c>
      <c r="BD850" t="s">
        <v>16121</v>
      </c>
      <c r="BE850" t="s">
        <v>16122</v>
      </c>
      <c r="BF850" t="str">
        <f>HYPERLINK("http://dx.doi.org/10.1002/14651858.CD012612.pub2","http://dx.doi.org/10.1002/14651858.CD012612.pub2")</f>
        <v>http://dx.doi.org/10.1002/14651858.CD012612.pub2</v>
      </c>
      <c r="BG850" t="s">
        <v>74</v>
      </c>
      <c r="BH850" t="s">
        <v>74</v>
      </c>
      <c r="BI850">
        <v>128</v>
      </c>
      <c r="BJ850" t="s">
        <v>128</v>
      </c>
      <c r="BK850" t="s">
        <v>102</v>
      </c>
      <c r="BL850" t="s">
        <v>129</v>
      </c>
      <c r="BM850" t="s">
        <v>16123</v>
      </c>
      <c r="BN850">
        <v>34695300</v>
      </c>
      <c r="BO850" t="s">
        <v>2246</v>
      </c>
      <c r="BP850" t="s">
        <v>74</v>
      </c>
      <c r="BQ850" t="s">
        <v>74</v>
      </c>
      <c r="BR850" t="s">
        <v>105</v>
      </c>
      <c r="BS850" t="s">
        <v>16124</v>
      </c>
      <c r="BT850" t="str">
        <f>HYPERLINK("https%3A%2F%2Fwww.webofscience.com%2Fwos%2Fwoscc%2Ffull-record%2FWOS:000714433300009","View Full Record in Web of Science")</f>
        <v>View Full Record in Web of Science</v>
      </c>
    </row>
    <row r="851" spans="1:72" x14ac:dyDescent="0.25">
      <c r="A851" t="s">
        <v>72</v>
      </c>
      <c r="B851" t="s">
        <v>16125</v>
      </c>
      <c r="C851" t="s">
        <v>74</v>
      </c>
      <c r="D851" t="s">
        <v>74</v>
      </c>
      <c r="E851" t="s">
        <v>74</v>
      </c>
      <c r="F851" t="s">
        <v>16126</v>
      </c>
      <c r="G851" t="s">
        <v>74</v>
      </c>
      <c r="H851" t="s">
        <v>74</v>
      </c>
      <c r="I851" t="s">
        <v>16127</v>
      </c>
      <c r="J851" t="s">
        <v>6967</v>
      </c>
      <c r="K851" t="s">
        <v>74</v>
      </c>
      <c r="L851" t="s">
        <v>74</v>
      </c>
      <c r="M851" t="s">
        <v>78</v>
      </c>
      <c r="N851" t="s">
        <v>79</v>
      </c>
      <c r="O851" t="s">
        <v>74</v>
      </c>
      <c r="P851" t="s">
        <v>74</v>
      </c>
      <c r="Q851" t="s">
        <v>74</v>
      </c>
      <c r="R851" t="s">
        <v>74</v>
      </c>
      <c r="S851" t="s">
        <v>74</v>
      </c>
      <c r="T851" t="s">
        <v>16128</v>
      </c>
      <c r="U851" t="s">
        <v>16129</v>
      </c>
      <c r="V851" t="s">
        <v>16130</v>
      </c>
      <c r="W851" t="s">
        <v>16131</v>
      </c>
      <c r="X851" t="s">
        <v>16132</v>
      </c>
      <c r="Y851" t="s">
        <v>16133</v>
      </c>
      <c r="Z851" t="s">
        <v>16134</v>
      </c>
      <c r="AA851" t="s">
        <v>16135</v>
      </c>
      <c r="AB851" t="s">
        <v>16136</v>
      </c>
      <c r="AC851" t="s">
        <v>16137</v>
      </c>
      <c r="AD851" t="s">
        <v>16138</v>
      </c>
      <c r="AE851" t="s">
        <v>16139</v>
      </c>
      <c r="AF851" t="s">
        <v>74</v>
      </c>
      <c r="AG851">
        <v>68</v>
      </c>
      <c r="AH851">
        <v>10</v>
      </c>
      <c r="AI851">
        <v>12</v>
      </c>
      <c r="AJ851">
        <v>5</v>
      </c>
      <c r="AK851">
        <v>33</v>
      </c>
      <c r="AL851" t="s">
        <v>9434</v>
      </c>
      <c r="AM851" t="s">
        <v>1606</v>
      </c>
      <c r="AN851" t="s">
        <v>9435</v>
      </c>
      <c r="AO851" t="s">
        <v>6979</v>
      </c>
      <c r="AP851" t="s">
        <v>6980</v>
      </c>
      <c r="AQ851" t="s">
        <v>74</v>
      </c>
      <c r="AR851" t="s">
        <v>6967</v>
      </c>
      <c r="AS851" t="s">
        <v>6981</v>
      </c>
      <c r="AT851" t="s">
        <v>74</v>
      </c>
      <c r="AU851">
        <v>2021</v>
      </c>
      <c r="AV851">
        <v>49</v>
      </c>
      <c r="AW851">
        <v>3</v>
      </c>
      <c r="AX851" t="s">
        <v>74</v>
      </c>
      <c r="AY851" t="s">
        <v>74</v>
      </c>
      <c r="AZ851" t="s">
        <v>74</v>
      </c>
      <c r="BA851" t="s">
        <v>74</v>
      </c>
      <c r="BB851">
        <v>333</v>
      </c>
      <c r="BC851">
        <v>348</v>
      </c>
      <c r="BD851" t="s">
        <v>74</v>
      </c>
      <c r="BE851" t="s">
        <v>16140</v>
      </c>
      <c r="BF851" t="str">
        <f>HYPERLINK("http://dx.doi.org/10.3233/NRE-210135","http://dx.doi.org/10.3233/NRE-210135")</f>
        <v>http://dx.doi.org/10.3233/NRE-210135</v>
      </c>
      <c r="BG851" t="s">
        <v>74</v>
      </c>
      <c r="BH851" t="s">
        <v>74</v>
      </c>
      <c r="BI851">
        <v>16</v>
      </c>
      <c r="BJ851" t="s">
        <v>1049</v>
      </c>
      <c r="BK851" t="s">
        <v>102</v>
      </c>
      <c r="BL851" t="s">
        <v>1050</v>
      </c>
      <c r="BM851" t="s">
        <v>16141</v>
      </c>
      <c r="BN851">
        <v>34219676</v>
      </c>
      <c r="BO851" t="s">
        <v>74</v>
      </c>
      <c r="BP851" t="s">
        <v>74</v>
      </c>
      <c r="BQ851" t="s">
        <v>74</v>
      </c>
      <c r="BR851" t="s">
        <v>105</v>
      </c>
      <c r="BS851" t="s">
        <v>16142</v>
      </c>
      <c r="BT851" t="str">
        <f>HYPERLINK("https%3A%2F%2Fwww.webofscience.com%2Fwos%2Fwoscc%2Ffull-record%2FWOS:000718170100001","View Full Record in Web of Science")</f>
        <v>View Full Record in Web of Science</v>
      </c>
    </row>
    <row r="852" spans="1:72" x14ac:dyDescent="0.25">
      <c r="A852" t="s">
        <v>72</v>
      </c>
      <c r="B852" t="s">
        <v>16143</v>
      </c>
      <c r="C852" t="s">
        <v>74</v>
      </c>
      <c r="D852" t="s">
        <v>74</v>
      </c>
      <c r="E852" t="s">
        <v>74</v>
      </c>
      <c r="F852" t="s">
        <v>16144</v>
      </c>
      <c r="G852" t="s">
        <v>74</v>
      </c>
      <c r="H852" t="s">
        <v>74</v>
      </c>
      <c r="I852" t="s">
        <v>16145</v>
      </c>
      <c r="J852" t="s">
        <v>2091</v>
      </c>
      <c r="K852" t="s">
        <v>74</v>
      </c>
      <c r="L852" t="s">
        <v>74</v>
      </c>
      <c r="M852" t="s">
        <v>78</v>
      </c>
      <c r="N852" t="s">
        <v>79</v>
      </c>
      <c r="O852" t="s">
        <v>74</v>
      </c>
      <c r="P852" t="s">
        <v>74</v>
      </c>
      <c r="Q852" t="s">
        <v>74</v>
      </c>
      <c r="R852" t="s">
        <v>74</v>
      </c>
      <c r="S852" t="s">
        <v>74</v>
      </c>
      <c r="T852" t="s">
        <v>16146</v>
      </c>
      <c r="U852" t="s">
        <v>16147</v>
      </c>
      <c r="V852" t="s">
        <v>16148</v>
      </c>
      <c r="W852" t="s">
        <v>16149</v>
      </c>
      <c r="X852" t="s">
        <v>16150</v>
      </c>
      <c r="Y852" t="s">
        <v>16151</v>
      </c>
      <c r="Z852" t="s">
        <v>16152</v>
      </c>
      <c r="AA852" t="s">
        <v>16153</v>
      </c>
      <c r="AB852" t="s">
        <v>16154</v>
      </c>
      <c r="AC852" t="s">
        <v>16155</v>
      </c>
      <c r="AD852" t="s">
        <v>16156</v>
      </c>
      <c r="AE852" t="s">
        <v>16157</v>
      </c>
      <c r="AF852" t="s">
        <v>74</v>
      </c>
      <c r="AG852">
        <v>97</v>
      </c>
      <c r="AH852">
        <v>38</v>
      </c>
      <c r="AI852">
        <v>39</v>
      </c>
      <c r="AJ852">
        <v>2</v>
      </c>
      <c r="AK852">
        <v>49</v>
      </c>
      <c r="AL852" t="s">
        <v>120</v>
      </c>
      <c r="AM852" t="s">
        <v>121</v>
      </c>
      <c r="AN852" t="s">
        <v>122</v>
      </c>
      <c r="AO852" t="s">
        <v>74</v>
      </c>
      <c r="AP852" t="s">
        <v>2104</v>
      </c>
      <c r="AQ852" t="s">
        <v>74</v>
      </c>
      <c r="AR852" t="s">
        <v>2105</v>
      </c>
      <c r="AS852" t="s">
        <v>2106</v>
      </c>
      <c r="AT852" t="s">
        <v>538</v>
      </c>
      <c r="AU852">
        <v>2021</v>
      </c>
      <c r="AV852">
        <v>11</v>
      </c>
      <c r="AW852">
        <v>1</v>
      </c>
      <c r="AX852" t="s">
        <v>74</v>
      </c>
      <c r="AY852" t="s">
        <v>74</v>
      </c>
      <c r="AZ852" t="s">
        <v>74</v>
      </c>
      <c r="BA852" t="s">
        <v>74</v>
      </c>
      <c r="BB852" t="s">
        <v>74</v>
      </c>
      <c r="BC852" t="s">
        <v>74</v>
      </c>
      <c r="BD852">
        <v>76</v>
      </c>
      <c r="BE852" t="s">
        <v>16158</v>
      </c>
      <c r="BF852" t="str">
        <f>HYPERLINK("http://dx.doi.org/10.3390/app11010076","http://dx.doi.org/10.3390/app11010076")</f>
        <v>http://dx.doi.org/10.3390/app11010076</v>
      </c>
      <c r="BG852" t="s">
        <v>74</v>
      </c>
      <c r="BH852" t="s">
        <v>74</v>
      </c>
      <c r="BI852">
        <v>25</v>
      </c>
      <c r="BJ852" t="s">
        <v>2109</v>
      </c>
      <c r="BK852" t="s">
        <v>182</v>
      </c>
      <c r="BL852" t="s">
        <v>2110</v>
      </c>
      <c r="BM852" t="s">
        <v>16159</v>
      </c>
      <c r="BN852" t="s">
        <v>74</v>
      </c>
      <c r="BO852" t="s">
        <v>185</v>
      </c>
      <c r="BP852" t="s">
        <v>74</v>
      </c>
      <c r="BQ852" t="s">
        <v>74</v>
      </c>
      <c r="BR852" t="s">
        <v>105</v>
      </c>
      <c r="BS852" t="s">
        <v>16160</v>
      </c>
      <c r="BT852" t="str">
        <f>HYPERLINK("https%3A%2F%2Fwww.webofscience.com%2Fwos%2Fwoscc%2Ffull-record%2FWOS:000605814700001","View Full Record in Web of Science")</f>
        <v>View Full Record in Web of Science</v>
      </c>
    </row>
    <row r="853" spans="1:72" x14ac:dyDescent="0.25">
      <c r="A853" t="s">
        <v>72</v>
      </c>
      <c r="B853" t="s">
        <v>16161</v>
      </c>
      <c r="C853" t="s">
        <v>74</v>
      </c>
      <c r="D853" t="s">
        <v>74</v>
      </c>
      <c r="E853" t="s">
        <v>74</v>
      </c>
      <c r="F853" t="s">
        <v>16162</v>
      </c>
      <c r="G853" t="s">
        <v>74</v>
      </c>
      <c r="H853" t="s">
        <v>74</v>
      </c>
      <c r="I853" t="s">
        <v>16163</v>
      </c>
      <c r="J853" t="s">
        <v>16164</v>
      </c>
      <c r="K853" t="s">
        <v>74</v>
      </c>
      <c r="L853" t="s">
        <v>74</v>
      </c>
      <c r="M853" t="s">
        <v>78</v>
      </c>
      <c r="N853" t="s">
        <v>79</v>
      </c>
      <c r="O853" t="s">
        <v>74</v>
      </c>
      <c r="P853" t="s">
        <v>74</v>
      </c>
      <c r="Q853" t="s">
        <v>74</v>
      </c>
      <c r="R853" t="s">
        <v>74</v>
      </c>
      <c r="S853" t="s">
        <v>74</v>
      </c>
      <c r="T853" t="s">
        <v>16165</v>
      </c>
      <c r="U853" t="s">
        <v>16166</v>
      </c>
      <c r="V853" t="s">
        <v>16167</v>
      </c>
      <c r="W853" t="s">
        <v>16168</v>
      </c>
      <c r="X853" t="s">
        <v>16169</v>
      </c>
      <c r="Y853" t="s">
        <v>16170</v>
      </c>
      <c r="Z853" t="s">
        <v>15191</v>
      </c>
      <c r="AA853" t="s">
        <v>16171</v>
      </c>
      <c r="AB853" t="s">
        <v>16172</v>
      </c>
      <c r="AC853" t="s">
        <v>74</v>
      </c>
      <c r="AD853" t="s">
        <v>74</v>
      </c>
      <c r="AE853" t="s">
        <v>74</v>
      </c>
      <c r="AF853" t="s">
        <v>74</v>
      </c>
      <c r="AG853">
        <v>45</v>
      </c>
      <c r="AH853">
        <v>4</v>
      </c>
      <c r="AI853">
        <v>5</v>
      </c>
      <c r="AJ853">
        <v>0</v>
      </c>
      <c r="AK853">
        <v>5</v>
      </c>
      <c r="AL853" t="s">
        <v>9434</v>
      </c>
      <c r="AM853" t="s">
        <v>1606</v>
      </c>
      <c r="AN853" t="s">
        <v>9435</v>
      </c>
      <c r="AO853" t="s">
        <v>16173</v>
      </c>
      <c r="AP853" t="s">
        <v>16174</v>
      </c>
      <c r="AQ853" t="s">
        <v>74</v>
      </c>
      <c r="AR853" t="s">
        <v>16175</v>
      </c>
      <c r="AS853" t="s">
        <v>16176</v>
      </c>
      <c r="AT853" t="s">
        <v>74</v>
      </c>
      <c r="AU853">
        <v>2021</v>
      </c>
      <c r="AV853">
        <v>39</v>
      </c>
      <c r="AW853">
        <v>6</v>
      </c>
      <c r="AX853" t="s">
        <v>74</v>
      </c>
      <c r="AY853" t="s">
        <v>74</v>
      </c>
      <c r="AZ853" t="s">
        <v>74</v>
      </c>
      <c r="BA853" t="s">
        <v>74</v>
      </c>
      <c r="BB853">
        <v>435</v>
      </c>
      <c r="BC853">
        <v>446</v>
      </c>
      <c r="BD853" t="s">
        <v>74</v>
      </c>
      <c r="BE853" t="s">
        <v>16177</v>
      </c>
      <c r="BF853" t="str">
        <f>HYPERLINK("http://dx.doi.org/10.3233/RNN-211218","http://dx.doi.org/10.3233/RNN-211218")</f>
        <v>http://dx.doi.org/10.3233/RNN-211218</v>
      </c>
      <c r="BG853" t="s">
        <v>74</v>
      </c>
      <c r="BH853" t="s">
        <v>74</v>
      </c>
      <c r="BI853">
        <v>12</v>
      </c>
      <c r="BJ853" t="s">
        <v>374</v>
      </c>
      <c r="BK853" t="s">
        <v>182</v>
      </c>
      <c r="BL853" t="s">
        <v>375</v>
      </c>
      <c r="BM853" t="s">
        <v>16178</v>
      </c>
      <c r="BN853">
        <v>34974446</v>
      </c>
      <c r="BO853" t="s">
        <v>74</v>
      </c>
      <c r="BP853" t="s">
        <v>74</v>
      </c>
      <c r="BQ853" t="s">
        <v>74</v>
      </c>
      <c r="BR853" t="s">
        <v>105</v>
      </c>
      <c r="BS853" t="s">
        <v>16179</v>
      </c>
      <c r="BT853" t="str">
        <f>HYPERLINK("https%3A%2F%2Fwww.webofscience.com%2Fwos%2Fwoscc%2Ffull-record%2FWOS:000739234400004","View Full Record in Web of Science")</f>
        <v>View Full Record in Web of Science</v>
      </c>
    </row>
    <row r="854" spans="1:72" x14ac:dyDescent="0.25">
      <c r="A854" t="s">
        <v>72</v>
      </c>
      <c r="B854" t="s">
        <v>16180</v>
      </c>
      <c r="C854" t="s">
        <v>74</v>
      </c>
      <c r="D854" t="s">
        <v>74</v>
      </c>
      <c r="E854" t="s">
        <v>74</v>
      </c>
      <c r="F854" t="s">
        <v>16181</v>
      </c>
      <c r="G854" t="s">
        <v>74</v>
      </c>
      <c r="H854" t="s">
        <v>74</v>
      </c>
      <c r="I854" t="s">
        <v>16182</v>
      </c>
      <c r="J854" t="s">
        <v>6967</v>
      </c>
      <c r="K854" t="s">
        <v>74</v>
      </c>
      <c r="L854" t="s">
        <v>74</v>
      </c>
      <c r="M854" t="s">
        <v>78</v>
      </c>
      <c r="N854" t="s">
        <v>79</v>
      </c>
      <c r="O854" t="s">
        <v>74</v>
      </c>
      <c r="P854" t="s">
        <v>74</v>
      </c>
      <c r="Q854" t="s">
        <v>74</v>
      </c>
      <c r="R854" t="s">
        <v>74</v>
      </c>
      <c r="S854" t="s">
        <v>74</v>
      </c>
      <c r="T854" t="s">
        <v>16183</v>
      </c>
      <c r="U854" t="s">
        <v>16184</v>
      </c>
      <c r="V854" t="s">
        <v>16185</v>
      </c>
      <c r="W854" t="s">
        <v>16186</v>
      </c>
      <c r="X854" t="s">
        <v>16187</v>
      </c>
      <c r="Y854" t="s">
        <v>16188</v>
      </c>
      <c r="Z854" t="s">
        <v>16189</v>
      </c>
      <c r="AA854" t="s">
        <v>16190</v>
      </c>
      <c r="AB854" t="s">
        <v>16191</v>
      </c>
      <c r="AC854" t="s">
        <v>74</v>
      </c>
      <c r="AD854" t="s">
        <v>74</v>
      </c>
      <c r="AE854" t="s">
        <v>74</v>
      </c>
      <c r="AF854" t="s">
        <v>74</v>
      </c>
      <c r="AG854">
        <v>67</v>
      </c>
      <c r="AH854">
        <v>7</v>
      </c>
      <c r="AI854">
        <v>7</v>
      </c>
      <c r="AJ854">
        <v>1</v>
      </c>
      <c r="AK854">
        <v>12</v>
      </c>
      <c r="AL854" t="s">
        <v>9434</v>
      </c>
      <c r="AM854" t="s">
        <v>1606</v>
      </c>
      <c r="AN854" t="s">
        <v>9435</v>
      </c>
      <c r="AO854" t="s">
        <v>6979</v>
      </c>
      <c r="AP854" t="s">
        <v>6980</v>
      </c>
      <c r="AQ854" t="s">
        <v>74</v>
      </c>
      <c r="AR854" t="s">
        <v>6967</v>
      </c>
      <c r="AS854" t="s">
        <v>6981</v>
      </c>
      <c r="AT854" t="s">
        <v>74</v>
      </c>
      <c r="AU854">
        <v>2021</v>
      </c>
      <c r="AV854">
        <v>49</v>
      </c>
      <c r="AW854">
        <v>1</v>
      </c>
      <c r="AX854" t="s">
        <v>74</v>
      </c>
      <c r="AY854" t="s">
        <v>74</v>
      </c>
      <c r="AZ854" t="s">
        <v>74</v>
      </c>
      <c r="BA854" t="s">
        <v>74</v>
      </c>
      <c r="BB854">
        <v>23</v>
      </c>
      <c r="BC854">
        <v>38</v>
      </c>
      <c r="BD854" t="s">
        <v>74</v>
      </c>
      <c r="BE854" t="s">
        <v>16192</v>
      </c>
      <c r="BF854" t="str">
        <f>HYPERLINK("http://dx.doi.org/10.3233/NRE-210042","http://dx.doi.org/10.3233/NRE-210042")</f>
        <v>http://dx.doi.org/10.3233/NRE-210042</v>
      </c>
      <c r="BG854" t="s">
        <v>74</v>
      </c>
      <c r="BH854" t="s">
        <v>74</v>
      </c>
      <c r="BI854">
        <v>16</v>
      </c>
      <c r="BJ854" t="s">
        <v>1049</v>
      </c>
      <c r="BK854" t="s">
        <v>102</v>
      </c>
      <c r="BL854" t="s">
        <v>1050</v>
      </c>
      <c r="BM854" t="s">
        <v>16193</v>
      </c>
      <c r="BN854">
        <v>33967071</v>
      </c>
      <c r="BO854" t="s">
        <v>74</v>
      </c>
      <c r="BP854" t="s">
        <v>74</v>
      </c>
      <c r="BQ854" t="s">
        <v>74</v>
      </c>
      <c r="BR854" t="s">
        <v>105</v>
      </c>
      <c r="BS854" t="s">
        <v>16194</v>
      </c>
      <c r="BT854" t="str">
        <f>HYPERLINK("https%3A%2F%2Fwww.webofscience.com%2Fwos%2Fwoscc%2Ffull-record%2FWOS:000687053200002","View Full Record in Web of Science")</f>
        <v>View Full Record in Web of Science</v>
      </c>
    </row>
    <row r="855" spans="1:72" x14ac:dyDescent="0.25">
      <c r="A855" t="s">
        <v>72</v>
      </c>
      <c r="B855" t="s">
        <v>16195</v>
      </c>
      <c r="C855" t="s">
        <v>74</v>
      </c>
      <c r="D855" t="s">
        <v>74</v>
      </c>
      <c r="E855" t="s">
        <v>74</v>
      </c>
      <c r="F855" t="s">
        <v>16196</v>
      </c>
      <c r="G855" t="s">
        <v>74</v>
      </c>
      <c r="H855" t="s">
        <v>74</v>
      </c>
      <c r="I855" t="s">
        <v>16197</v>
      </c>
      <c r="J855" t="s">
        <v>1837</v>
      </c>
      <c r="K855" t="s">
        <v>74</v>
      </c>
      <c r="L855" t="s">
        <v>74</v>
      </c>
      <c r="M855" t="s">
        <v>78</v>
      </c>
      <c r="N855" t="s">
        <v>79</v>
      </c>
      <c r="O855" t="s">
        <v>74</v>
      </c>
      <c r="P855" t="s">
        <v>74</v>
      </c>
      <c r="Q855" t="s">
        <v>74</v>
      </c>
      <c r="R855" t="s">
        <v>74</v>
      </c>
      <c r="S855" t="s">
        <v>74</v>
      </c>
      <c r="T855" t="s">
        <v>16198</v>
      </c>
      <c r="U855" t="s">
        <v>16199</v>
      </c>
      <c r="V855" t="s">
        <v>16200</v>
      </c>
      <c r="W855" t="s">
        <v>16201</v>
      </c>
      <c r="X855" t="s">
        <v>12724</v>
      </c>
      <c r="Y855" t="s">
        <v>16202</v>
      </c>
      <c r="Z855" t="s">
        <v>16203</v>
      </c>
      <c r="AA855" t="s">
        <v>74</v>
      </c>
      <c r="AB855" t="s">
        <v>16204</v>
      </c>
      <c r="AC855" t="s">
        <v>16205</v>
      </c>
      <c r="AD855" t="s">
        <v>16206</v>
      </c>
      <c r="AE855" t="s">
        <v>16207</v>
      </c>
      <c r="AF855" t="s">
        <v>74</v>
      </c>
      <c r="AG855">
        <v>117</v>
      </c>
      <c r="AH855">
        <v>26</v>
      </c>
      <c r="AI855">
        <v>27</v>
      </c>
      <c r="AJ855">
        <v>11</v>
      </c>
      <c r="AK855">
        <v>109</v>
      </c>
      <c r="AL855" t="s">
        <v>1114</v>
      </c>
      <c r="AM855" t="s">
        <v>1115</v>
      </c>
      <c r="AN855" t="s">
        <v>1116</v>
      </c>
      <c r="AO855" t="s">
        <v>1850</v>
      </c>
      <c r="AP855" t="s">
        <v>74</v>
      </c>
      <c r="AQ855" t="s">
        <v>74</v>
      </c>
      <c r="AR855" t="s">
        <v>1837</v>
      </c>
      <c r="AS855" t="s">
        <v>1851</v>
      </c>
      <c r="AT855" t="s">
        <v>74</v>
      </c>
      <c r="AU855">
        <v>2021</v>
      </c>
      <c r="AV855">
        <v>9</v>
      </c>
      <c r="AW855" t="s">
        <v>74</v>
      </c>
      <c r="AX855" t="s">
        <v>74</v>
      </c>
      <c r="AY855" t="s">
        <v>74</v>
      </c>
      <c r="AZ855" t="s">
        <v>74</v>
      </c>
      <c r="BA855" t="s">
        <v>74</v>
      </c>
      <c r="BB855">
        <v>113788</v>
      </c>
      <c r="BC855">
        <v>113812</v>
      </c>
      <c r="BD855" t="s">
        <v>74</v>
      </c>
      <c r="BE855" t="s">
        <v>16208</v>
      </c>
      <c r="BF855" t="str">
        <f>HYPERLINK("http://dx.doi.org/10.1109/ACCESS.2021.3104464","http://dx.doi.org/10.1109/ACCESS.2021.3104464")</f>
        <v>http://dx.doi.org/10.1109/ACCESS.2021.3104464</v>
      </c>
      <c r="BG855" t="s">
        <v>74</v>
      </c>
      <c r="BH855" t="s">
        <v>74</v>
      </c>
      <c r="BI855">
        <v>25</v>
      </c>
      <c r="BJ855" t="s">
        <v>1853</v>
      </c>
      <c r="BK855" t="s">
        <v>182</v>
      </c>
      <c r="BL855" t="s">
        <v>1854</v>
      </c>
      <c r="BM855" t="s">
        <v>16209</v>
      </c>
      <c r="BN855" t="s">
        <v>74</v>
      </c>
      <c r="BO855" t="s">
        <v>4280</v>
      </c>
      <c r="BP855" t="s">
        <v>74</v>
      </c>
      <c r="BQ855" t="s">
        <v>74</v>
      </c>
      <c r="BR855" t="s">
        <v>105</v>
      </c>
      <c r="BS855" t="s">
        <v>16210</v>
      </c>
      <c r="BT855" t="str">
        <f>HYPERLINK("https%3A%2F%2Fwww.webofscience.com%2Fwos%2Fwoscc%2Ffull-record%2FWOS:000686752600001","View Full Record in Web of Science")</f>
        <v>View Full Record in Web of Science</v>
      </c>
    </row>
    <row r="856" spans="1:72" x14ac:dyDescent="0.25">
      <c r="A856" t="s">
        <v>72</v>
      </c>
      <c r="B856" t="s">
        <v>16211</v>
      </c>
      <c r="C856" t="s">
        <v>74</v>
      </c>
      <c r="D856" t="s">
        <v>74</v>
      </c>
      <c r="E856" t="s">
        <v>74</v>
      </c>
      <c r="F856" t="s">
        <v>16212</v>
      </c>
      <c r="G856" t="s">
        <v>74</v>
      </c>
      <c r="H856" t="s">
        <v>74</v>
      </c>
      <c r="I856" t="s">
        <v>16213</v>
      </c>
      <c r="J856" t="s">
        <v>1837</v>
      </c>
      <c r="K856" t="s">
        <v>74</v>
      </c>
      <c r="L856" t="s">
        <v>74</v>
      </c>
      <c r="M856" t="s">
        <v>78</v>
      </c>
      <c r="N856" t="s">
        <v>79</v>
      </c>
      <c r="O856" t="s">
        <v>74</v>
      </c>
      <c r="P856" t="s">
        <v>74</v>
      </c>
      <c r="Q856" t="s">
        <v>74</v>
      </c>
      <c r="R856" t="s">
        <v>74</v>
      </c>
      <c r="S856" t="s">
        <v>74</v>
      </c>
      <c r="T856" t="s">
        <v>16214</v>
      </c>
      <c r="U856" t="s">
        <v>16215</v>
      </c>
      <c r="V856" t="s">
        <v>16216</v>
      </c>
      <c r="W856" t="s">
        <v>16217</v>
      </c>
      <c r="X856" t="s">
        <v>16218</v>
      </c>
      <c r="Y856" t="s">
        <v>16219</v>
      </c>
      <c r="Z856" t="s">
        <v>16220</v>
      </c>
      <c r="AA856" t="s">
        <v>16221</v>
      </c>
      <c r="AB856" t="s">
        <v>16222</v>
      </c>
      <c r="AC856" t="s">
        <v>16223</v>
      </c>
      <c r="AD856" t="s">
        <v>16224</v>
      </c>
      <c r="AE856" t="s">
        <v>16225</v>
      </c>
      <c r="AF856" t="s">
        <v>74</v>
      </c>
      <c r="AG856">
        <v>197</v>
      </c>
      <c r="AH856">
        <v>41</v>
      </c>
      <c r="AI856">
        <v>45</v>
      </c>
      <c r="AJ856">
        <v>12</v>
      </c>
      <c r="AK856">
        <v>220</v>
      </c>
      <c r="AL856" t="s">
        <v>1114</v>
      </c>
      <c r="AM856" t="s">
        <v>1115</v>
      </c>
      <c r="AN856" t="s">
        <v>1116</v>
      </c>
      <c r="AO856" t="s">
        <v>1850</v>
      </c>
      <c r="AP856" t="s">
        <v>74</v>
      </c>
      <c r="AQ856" t="s">
        <v>74</v>
      </c>
      <c r="AR856" t="s">
        <v>1837</v>
      </c>
      <c r="AS856" t="s">
        <v>1851</v>
      </c>
      <c r="AT856" t="s">
        <v>74</v>
      </c>
      <c r="AU856">
        <v>2021</v>
      </c>
      <c r="AV856">
        <v>9</v>
      </c>
      <c r="AW856" t="s">
        <v>74</v>
      </c>
      <c r="AX856" t="s">
        <v>74</v>
      </c>
      <c r="AY856" t="s">
        <v>74</v>
      </c>
      <c r="AZ856" t="s">
        <v>74</v>
      </c>
      <c r="BA856" t="s">
        <v>74</v>
      </c>
      <c r="BB856">
        <v>123040</v>
      </c>
      <c r="BC856">
        <v>123060</v>
      </c>
      <c r="BD856" t="s">
        <v>74</v>
      </c>
      <c r="BE856" t="s">
        <v>16226</v>
      </c>
      <c r="BF856" t="str">
        <f>HYPERLINK("http://dx.doi.org/10.1109/ACCESS.2021.3110595","http://dx.doi.org/10.1109/ACCESS.2021.3110595")</f>
        <v>http://dx.doi.org/10.1109/ACCESS.2021.3110595</v>
      </c>
      <c r="BG856" t="s">
        <v>74</v>
      </c>
      <c r="BH856" t="s">
        <v>74</v>
      </c>
      <c r="BI856">
        <v>21</v>
      </c>
      <c r="BJ856" t="s">
        <v>1853</v>
      </c>
      <c r="BK856" t="s">
        <v>182</v>
      </c>
      <c r="BL856" t="s">
        <v>1854</v>
      </c>
      <c r="BM856" t="s">
        <v>16227</v>
      </c>
      <c r="BN856" t="s">
        <v>74</v>
      </c>
      <c r="BO856" t="s">
        <v>185</v>
      </c>
      <c r="BP856" t="s">
        <v>74</v>
      </c>
      <c r="BQ856" t="s">
        <v>74</v>
      </c>
      <c r="BR856" t="s">
        <v>105</v>
      </c>
      <c r="BS856" t="s">
        <v>16228</v>
      </c>
      <c r="BT856" t="str">
        <f>HYPERLINK("https%3A%2F%2Fwww.webofscience.com%2Fwos%2Fwoscc%2Ffull-record%2FWOS:000696067800001","View Full Record in Web of Science")</f>
        <v>View Full Record in Web of Science</v>
      </c>
    </row>
    <row r="857" spans="1:72" x14ac:dyDescent="0.25">
      <c r="A857" t="s">
        <v>72</v>
      </c>
      <c r="B857" t="s">
        <v>16229</v>
      </c>
      <c r="C857" t="s">
        <v>74</v>
      </c>
      <c r="D857" t="s">
        <v>74</v>
      </c>
      <c r="E857" t="s">
        <v>74</v>
      </c>
      <c r="F857" t="s">
        <v>16230</v>
      </c>
      <c r="G857" t="s">
        <v>74</v>
      </c>
      <c r="H857" t="s">
        <v>74</v>
      </c>
      <c r="I857" t="s">
        <v>16231</v>
      </c>
      <c r="J857" t="s">
        <v>406</v>
      </c>
      <c r="K857" t="s">
        <v>74</v>
      </c>
      <c r="L857" t="s">
        <v>74</v>
      </c>
      <c r="M857" t="s">
        <v>78</v>
      </c>
      <c r="N857" t="s">
        <v>79</v>
      </c>
      <c r="O857" t="s">
        <v>74</v>
      </c>
      <c r="P857" t="s">
        <v>74</v>
      </c>
      <c r="Q857" t="s">
        <v>74</v>
      </c>
      <c r="R857" t="s">
        <v>74</v>
      </c>
      <c r="S857" t="s">
        <v>74</v>
      </c>
      <c r="T857" t="s">
        <v>16232</v>
      </c>
      <c r="U857" t="s">
        <v>16233</v>
      </c>
      <c r="V857" t="s">
        <v>16234</v>
      </c>
      <c r="W857" t="s">
        <v>16235</v>
      </c>
      <c r="X857" t="s">
        <v>16236</v>
      </c>
      <c r="Y857" t="s">
        <v>16237</v>
      </c>
      <c r="Z857" t="s">
        <v>16238</v>
      </c>
      <c r="AA857" t="s">
        <v>16239</v>
      </c>
      <c r="AB857" t="s">
        <v>16240</v>
      </c>
      <c r="AC857" t="s">
        <v>74</v>
      </c>
      <c r="AD857" t="s">
        <v>74</v>
      </c>
      <c r="AE857" t="s">
        <v>74</v>
      </c>
      <c r="AF857" t="s">
        <v>74</v>
      </c>
      <c r="AG857">
        <v>75</v>
      </c>
      <c r="AH857">
        <v>7</v>
      </c>
      <c r="AI857">
        <v>7</v>
      </c>
      <c r="AJ857">
        <v>5</v>
      </c>
      <c r="AK857">
        <v>57</v>
      </c>
      <c r="AL857" t="s">
        <v>120</v>
      </c>
      <c r="AM857" t="s">
        <v>121</v>
      </c>
      <c r="AN857" t="s">
        <v>122</v>
      </c>
      <c r="AO857" t="s">
        <v>74</v>
      </c>
      <c r="AP857" t="s">
        <v>417</v>
      </c>
      <c r="AQ857" t="s">
        <v>74</v>
      </c>
      <c r="AR857" t="s">
        <v>418</v>
      </c>
      <c r="AS857" t="s">
        <v>419</v>
      </c>
      <c r="AT857" t="s">
        <v>538</v>
      </c>
      <c r="AU857">
        <v>2021</v>
      </c>
      <c r="AV857">
        <v>9</v>
      </c>
      <c r="AW857">
        <v>1</v>
      </c>
      <c r="AX857" t="s">
        <v>74</v>
      </c>
      <c r="AY857" t="s">
        <v>74</v>
      </c>
      <c r="AZ857" t="s">
        <v>74</v>
      </c>
      <c r="BA857" t="s">
        <v>74</v>
      </c>
      <c r="BB857" t="s">
        <v>74</v>
      </c>
      <c r="BC857" t="s">
        <v>74</v>
      </c>
      <c r="BD857">
        <v>70</v>
      </c>
      <c r="BE857" t="s">
        <v>16241</v>
      </c>
      <c r="BF857" t="str">
        <f>HYPERLINK("http://dx.doi.org/10.3390/healthcare9010070","http://dx.doi.org/10.3390/healthcare9010070")</f>
        <v>http://dx.doi.org/10.3390/healthcare9010070</v>
      </c>
      <c r="BG857" t="s">
        <v>74</v>
      </c>
      <c r="BH857" t="s">
        <v>74</v>
      </c>
      <c r="BI857">
        <v>29</v>
      </c>
      <c r="BJ857" t="s">
        <v>422</v>
      </c>
      <c r="BK857" t="s">
        <v>102</v>
      </c>
      <c r="BL857" t="s">
        <v>423</v>
      </c>
      <c r="BM857" t="s">
        <v>16242</v>
      </c>
      <c r="BN857">
        <v>33451142</v>
      </c>
      <c r="BO857" t="s">
        <v>355</v>
      </c>
      <c r="BP857" t="s">
        <v>74</v>
      </c>
      <c r="BQ857" t="s">
        <v>74</v>
      </c>
      <c r="BR857" t="s">
        <v>105</v>
      </c>
      <c r="BS857" t="s">
        <v>16243</v>
      </c>
      <c r="BT857" t="str">
        <f>HYPERLINK("https%3A%2F%2Fwww.webofscience.com%2Fwos%2Fwoscc%2Ffull-record%2FWOS:000610284300001","View Full Record in Web of Science")</f>
        <v>View Full Record in Web of Science</v>
      </c>
    </row>
    <row r="858" spans="1:72" x14ac:dyDescent="0.25">
      <c r="A858" t="s">
        <v>72</v>
      </c>
      <c r="B858" t="s">
        <v>16244</v>
      </c>
      <c r="C858" t="s">
        <v>74</v>
      </c>
      <c r="D858" t="s">
        <v>74</v>
      </c>
      <c r="E858" t="s">
        <v>74</v>
      </c>
      <c r="F858" t="s">
        <v>16245</v>
      </c>
      <c r="G858" t="s">
        <v>74</v>
      </c>
      <c r="H858" t="s">
        <v>74</v>
      </c>
      <c r="I858" t="s">
        <v>16246</v>
      </c>
      <c r="J858" t="s">
        <v>3219</v>
      </c>
      <c r="K858" t="s">
        <v>74</v>
      </c>
      <c r="L858" t="s">
        <v>74</v>
      </c>
      <c r="M858" t="s">
        <v>78</v>
      </c>
      <c r="N858" t="s">
        <v>79</v>
      </c>
      <c r="O858" t="s">
        <v>74</v>
      </c>
      <c r="P858" t="s">
        <v>74</v>
      </c>
      <c r="Q858" t="s">
        <v>74</v>
      </c>
      <c r="R858" t="s">
        <v>74</v>
      </c>
      <c r="S858" t="s">
        <v>74</v>
      </c>
      <c r="T858" t="s">
        <v>16247</v>
      </c>
      <c r="U858" t="s">
        <v>16248</v>
      </c>
      <c r="V858" t="s">
        <v>16249</v>
      </c>
      <c r="W858" t="s">
        <v>16250</v>
      </c>
      <c r="X858" t="s">
        <v>16251</v>
      </c>
      <c r="Y858" t="s">
        <v>16252</v>
      </c>
      <c r="Z858" t="s">
        <v>74</v>
      </c>
      <c r="AA858" t="s">
        <v>74</v>
      </c>
      <c r="AB858" t="s">
        <v>74</v>
      </c>
      <c r="AC858" t="s">
        <v>74</v>
      </c>
      <c r="AD858" t="s">
        <v>74</v>
      </c>
      <c r="AE858" t="s">
        <v>74</v>
      </c>
      <c r="AF858" t="s">
        <v>74</v>
      </c>
      <c r="AG858">
        <v>79</v>
      </c>
      <c r="AH858">
        <v>22</v>
      </c>
      <c r="AI858">
        <v>25</v>
      </c>
      <c r="AJ858">
        <v>5</v>
      </c>
      <c r="AK858">
        <v>43</v>
      </c>
      <c r="AL858" t="s">
        <v>346</v>
      </c>
      <c r="AM858" t="s">
        <v>227</v>
      </c>
      <c r="AN858" t="s">
        <v>347</v>
      </c>
      <c r="AO858" t="s">
        <v>3228</v>
      </c>
      <c r="AP858" t="s">
        <v>3229</v>
      </c>
      <c r="AQ858" t="s">
        <v>74</v>
      </c>
      <c r="AR858" t="s">
        <v>3230</v>
      </c>
      <c r="AS858" t="s">
        <v>3231</v>
      </c>
      <c r="AT858" t="s">
        <v>538</v>
      </c>
      <c r="AU858">
        <v>2021</v>
      </c>
      <c r="AV858">
        <v>100</v>
      </c>
      <c r="AW858">
        <v>1</v>
      </c>
      <c r="AX858" t="s">
        <v>74</v>
      </c>
      <c r="AY858" t="s">
        <v>74</v>
      </c>
      <c r="AZ858" t="s">
        <v>74</v>
      </c>
      <c r="BA858" t="s">
        <v>74</v>
      </c>
      <c r="BB858">
        <v>92</v>
      </c>
      <c r="BC858">
        <v>99</v>
      </c>
      <c r="BD858" t="s">
        <v>74</v>
      </c>
      <c r="BE858" t="s">
        <v>16253</v>
      </c>
      <c r="BF858" t="str">
        <f>HYPERLINK("http://dx.doi.org/10.1097/PHM.0000000000001554","http://dx.doi.org/10.1097/PHM.0000000000001554")</f>
        <v>http://dx.doi.org/10.1097/PHM.0000000000001554</v>
      </c>
      <c r="BG858" t="s">
        <v>74</v>
      </c>
      <c r="BH858" t="s">
        <v>74</v>
      </c>
      <c r="BI858">
        <v>8</v>
      </c>
      <c r="BJ858" t="s">
        <v>236</v>
      </c>
      <c r="BK858" t="s">
        <v>102</v>
      </c>
      <c r="BL858" t="s">
        <v>236</v>
      </c>
      <c r="BM858" t="s">
        <v>16254</v>
      </c>
      <c r="BN858">
        <v>32740053</v>
      </c>
      <c r="BO858" t="s">
        <v>74</v>
      </c>
      <c r="BP858" t="s">
        <v>74</v>
      </c>
      <c r="BQ858" t="s">
        <v>74</v>
      </c>
      <c r="BR858" t="s">
        <v>105</v>
      </c>
      <c r="BS858" t="s">
        <v>16255</v>
      </c>
      <c r="BT858" t="str">
        <f>HYPERLINK("https%3A%2F%2Fwww.webofscience.com%2Fwos%2Fwoscc%2Ffull-record%2FWOS:000599411600020","View Full Record in Web of Science")</f>
        <v>View Full Record in Web of Science</v>
      </c>
    </row>
    <row r="859" spans="1:72" x14ac:dyDescent="0.25">
      <c r="A859" t="s">
        <v>72</v>
      </c>
      <c r="B859" t="s">
        <v>16256</v>
      </c>
      <c r="C859" t="s">
        <v>74</v>
      </c>
      <c r="D859" t="s">
        <v>74</v>
      </c>
      <c r="E859" t="s">
        <v>74</v>
      </c>
      <c r="F859" t="s">
        <v>16257</v>
      </c>
      <c r="G859" t="s">
        <v>74</v>
      </c>
      <c r="H859" t="s">
        <v>74</v>
      </c>
      <c r="I859" t="s">
        <v>16258</v>
      </c>
      <c r="J859" t="s">
        <v>16259</v>
      </c>
      <c r="K859" t="s">
        <v>74</v>
      </c>
      <c r="L859" t="s">
        <v>74</v>
      </c>
      <c r="M859" t="s">
        <v>16260</v>
      </c>
      <c r="N859" t="s">
        <v>79</v>
      </c>
      <c r="O859" t="s">
        <v>74</v>
      </c>
      <c r="P859" t="s">
        <v>74</v>
      </c>
      <c r="Q859" t="s">
        <v>74</v>
      </c>
      <c r="R859" t="s">
        <v>74</v>
      </c>
      <c r="S859" t="s">
        <v>74</v>
      </c>
      <c r="T859" t="s">
        <v>16261</v>
      </c>
      <c r="U859" t="s">
        <v>16262</v>
      </c>
      <c r="V859" t="s">
        <v>16263</v>
      </c>
      <c r="W859" t="s">
        <v>16264</v>
      </c>
      <c r="X859" t="s">
        <v>16265</v>
      </c>
      <c r="Y859" t="s">
        <v>16266</v>
      </c>
      <c r="Z859" t="s">
        <v>16267</v>
      </c>
      <c r="AA859" t="s">
        <v>16268</v>
      </c>
      <c r="AB859" t="s">
        <v>16269</v>
      </c>
      <c r="AC859" t="s">
        <v>74</v>
      </c>
      <c r="AD859" t="s">
        <v>74</v>
      </c>
      <c r="AE859" t="s">
        <v>74</v>
      </c>
      <c r="AF859" t="s">
        <v>74</v>
      </c>
      <c r="AG859">
        <v>35</v>
      </c>
      <c r="AH859">
        <v>2</v>
      </c>
      <c r="AI859">
        <v>2</v>
      </c>
      <c r="AJ859">
        <v>0</v>
      </c>
      <c r="AK859">
        <v>2</v>
      </c>
      <c r="AL859" t="s">
        <v>16270</v>
      </c>
      <c r="AM859" t="s">
        <v>16271</v>
      </c>
      <c r="AN859" t="s">
        <v>16272</v>
      </c>
      <c r="AO859" t="s">
        <v>16273</v>
      </c>
      <c r="AP859" t="s">
        <v>16274</v>
      </c>
      <c r="AQ859" t="s">
        <v>74</v>
      </c>
      <c r="AR859" t="s">
        <v>16259</v>
      </c>
      <c r="AS859" t="s">
        <v>16275</v>
      </c>
      <c r="AT859" t="s">
        <v>74</v>
      </c>
      <c r="AU859">
        <v>2021</v>
      </c>
      <c r="AV859">
        <v>17</v>
      </c>
      <c r="AW859">
        <v>3</v>
      </c>
      <c r="AX859" t="s">
        <v>74</v>
      </c>
      <c r="AY859" t="s">
        <v>74</v>
      </c>
      <c r="AZ859" t="s">
        <v>74</v>
      </c>
      <c r="BA859" t="s">
        <v>74</v>
      </c>
      <c r="BB859">
        <v>121</v>
      </c>
      <c r="BC859">
        <v>128</v>
      </c>
      <c r="BD859" t="s">
        <v>74</v>
      </c>
      <c r="BE859" t="s">
        <v>16276</v>
      </c>
      <c r="BF859" t="str">
        <f>HYPERLINK("http://dx.doi.org/10.17650/1726-9776-2021-17-3-121-128","http://dx.doi.org/10.17650/1726-9776-2021-17-3-121-128")</f>
        <v>http://dx.doi.org/10.17650/1726-9776-2021-17-3-121-128</v>
      </c>
      <c r="BG859" t="s">
        <v>74</v>
      </c>
      <c r="BH859" t="s">
        <v>74</v>
      </c>
      <c r="BI859">
        <v>8</v>
      </c>
      <c r="BJ859" t="s">
        <v>4032</v>
      </c>
      <c r="BK859" t="s">
        <v>155</v>
      </c>
      <c r="BL859" t="s">
        <v>4032</v>
      </c>
      <c r="BM859" t="s">
        <v>16277</v>
      </c>
      <c r="BN859" t="s">
        <v>74</v>
      </c>
      <c r="BO859" t="s">
        <v>185</v>
      </c>
      <c r="BP859" t="s">
        <v>74</v>
      </c>
      <c r="BQ859" t="s">
        <v>74</v>
      </c>
      <c r="BR859" t="s">
        <v>105</v>
      </c>
      <c r="BS859" t="s">
        <v>16278</v>
      </c>
      <c r="BT859" t="str">
        <f>HYPERLINK("https%3A%2F%2Fwww.webofscience.com%2Fwos%2Fwoscc%2Ffull-record%2FWOS:000717954000011","View Full Record in Web of Science")</f>
        <v>View Full Record in Web of Science</v>
      </c>
    </row>
    <row r="860" spans="1:72" x14ac:dyDescent="0.25">
      <c r="A860" t="s">
        <v>72</v>
      </c>
      <c r="B860" t="s">
        <v>16279</v>
      </c>
      <c r="C860" t="s">
        <v>74</v>
      </c>
      <c r="D860" t="s">
        <v>74</v>
      </c>
      <c r="E860" t="s">
        <v>74</v>
      </c>
      <c r="F860" t="s">
        <v>16280</v>
      </c>
      <c r="G860" t="s">
        <v>74</v>
      </c>
      <c r="H860" t="s">
        <v>74</v>
      </c>
      <c r="I860" t="s">
        <v>16281</v>
      </c>
      <c r="J860" t="s">
        <v>1101</v>
      </c>
      <c r="K860" t="s">
        <v>74</v>
      </c>
      <c r="L860" t="s">
        <v>74</v>
      </c>
      <c r="M860" t="s">
        <v>78</v>
      </c>
      <c r="N860" t="s">
        <v>79</v>
      </c>
      <c r="O860" t="s">
        <v>74</v>
      </c>
      <c r="P860" t="s">
        <v>74</v>
      </c>
      <c r="Q860" t="s">
        <v>74</v>
      </c>
      <c r="R860" t="s">
        <v>74</v>
      </c>
      <c r="S860" t="s">
        <v>74</v>
      </c>
      <c r="T860" t="s">
        <v>16282</v>
      </c>
      <c r="U860" t="s">
        <v>16283</v>
      </c>
      <c r="V860" t="s">
        <v>16284</v>
      </c>
      <c r="W860" t="s">
        <v>16285</v>
      </c>
      <c r="X860" t="s">
        <v>12724</v>
      </c>
      <c r="Y860" t="s">
        <v>16286</v>
      </c>
      <c r="Z860" t="s">
        <v>16287</v>
      </c>
      <c r="AA860" t="s">
        <v>74</v>
      </c>
      <c r="AB860" t="s">
        <v>16288</v>
      </c>
      <c r="AC860" t="s">
        <v>16289</v>
      </c>
      <c r="AD860" t="s">
        <v>16290</v>
      </c>
      <c r="AE860" t="s">
        <v>16291</v>
      </c>
      <c r="AF860" t="s">
        <v>74</v>
      </c>
      <c r="AG860">
        <v>174</v>
      </c>
      <c r="AH860">
        <v>60</v>
      </c>
      <c r="AI860">
        <v>63</v>
      </c>
      <c r="AJ860">
        <v>17</v>
      </c>
      <c r="AK860">
        <v>105</v>
      </c>
      <c r="AL860" t="s">
        <v>1114</v>
      </c>
      <c r="AM860" t="s">
        <v>1115</v>
      </c>
      <c r="AN860" t="s">
        <v>1116</v>
      </c>
      <c r="AO860" t="s">
        <v>1117</v>
      </c>
      <c r="AP860" t="s">
        <v>1118</v>
      </c>
      <c r="AQ860" t="s">
        <v>74</v>
      </c>
      <c r="AR860" t="s">
        <v>1119</v>
      </c>
      <c r="AS860" t="s">
        <v>1120</v>
      </c>
      <c r="AT860" t="s">
        <v>74</v>
      </c>
      <c r="AU860">
        <v>2021</v>
      </c>
      <c r="AV860">
        <v>29</v>
      </c>
      <c r="AW860" t="s">
        <v>74</v>
      </c>
      <c r="AX860" t="s">
        <v>74</v>
      </c>
      <c r="AY860" t="s">
        <v>74</v>
      </c>
      <c r="AZ860" t="s">
        <v>74</v>
      </c>
      <c r="BA860" t="s">
        <v>74</v>
      </c>
      <c r="BB860">
        <v>2695</v>
      </c>
      <c r="BC860">
        <v>2720</v>
      </c>
      <c r="BD860" t="s">
        <v>74</v>
      </c>
      <c r="BE860" t="s">
        <v>16292</v>
      </c>
      <c r="BF860" t="str">
        <f>HYPERLINK("http://dx.doi.org/10.1109/TNSRE.2021.3136088","http://dx.doi.org/10.1109/TNSRE.2021.3136088")</f>
        <v>http://dx.doi.org/10.1109/TNSRE.2021.3136088</v>
      </c>
      <c r="BG860" t="s">
        <v>74</v>
      </c>
      <c r="BH860" t="s">
        <v>74</v>
      </c>
      <c r="BI860">
        <v>26</v>
      </c>
      <c r="BJ860" t="s">
        <v>1122</v>
      </c>
      <c r="BK860" t="s">
        <v>182</v>
      </c>
      <c r="BL860" t="s">
        <v>1123</v>
      </c>
      <c r="BM860" t="s">
        <v>16293</v>
      </c>
      <c r="BN860">
        <v>34910636</v>
      </c>
      <c r="BO860" t="s">
        <v>185</v>
      </c>
      <c r="BP860" t="s">
        <v>74</v>
      </c>
      <c r="BQ860" t="s">
        <v>74</v>
      </c>
      <c r="BR860" t="s">
        <v>105</v>
      </c>
      <c r="BS860" t="s">
        <v>16294</v>
      </c>
      <c r="BT860" t="str">
        <f>HYPERLINK("https%3A%2F%2Fwww.webofscience.com%2Fwos%2Fwoscc%2Ffull-record%2FWOS:000739631600003","View Full Record in Web of Science")</f>
        <v>View Full Record in Web of Science</v>
      </c>
    </row>
    <row r="861" spans="1:72" x14ac:dyDescent="0.25">
      <c r="A861" t="s">
        <v>72</v>
      </c>
      <c r="B861" t="s">
        <v>16295</v>
      </c>
      <c r="C861" t="s">
        <v>74</v>
      </c>
      <c r="D861" t="s">
        <v>74</v>
      </c>
      <c r="E861" t="s">
        <v>74</v>
      </c>
      <c r="F861" t="s">
        <v>16296</v>
      </c>
      <c r="G861" t="s">
        <v>74</v>
      </c>
      <c r="H861" t="s">
        <v>74</v>
      </c>
      <c r="I861" t="s">
        <v>16297</v>
      </c>
      <c r="J861" t="s">
        <v>16298</v>
      </c>
      <c r="K861" t="s">
        <v>74</v>
      </c>
      <c r="L861" t="s">
        <v>74</v>
      </c>
      <c r="M861" t="s">
        <v>78</v>
      </c>
      <c r="N861" t="s">
        <v>79</v>
      </c>
      <c r="O861" t="s">
        <v>74</v>
      </c>
      <c r="P861" t="s">
        <v>74</v>
      </c>
      <c r="Q861" t="s">
        <v>74</v>
      </c>
      <c r="R861" t="s">
        <v>74</v>
      </c>
      <c r="S861" t="s">
        <v>74</v>
      </c>
      <c r="T861" t="s">
        <v>16299</v>
      </c>
      <c r="U861" t="s">
        <v>16300</v>
      </c>
      <c r="V861" t="s">
        <v>16301</v>
      </c>
      <c r="W861" t="s">
        <v>16302</v>
      </c>
      <c r="X861" t="s">
        <v>74</v>
      </c>
      <c r="Y861" t="s">
        <v>16303</v>
      </c>
      <c r="Z861" t="s">
        <v>16304</v>
      </c>
      <c r="AA861" t="s">
        <v>16305</v>
      </c>
      <c r="AB861" t="s">
        <v>74</v>
      </c>
      <c r="AC861" t="s">
        <v>16306</v>
      </c>
      <c r="AD861" t="s">
        <v>16307</v>
      </c>
      <c r="AE861" t="s">
        <v>16308</v>
      </c>
      <c r="AF861" t="s">
        <v>74</v>
      </c>
      <c r="AG861">
        <v>37</v>
      </c>
      <c r="AH861">
        <v>9</v>
      </c>
      <c r="AI861">
        <v>9</v>
      </c>
      <c r="AJ861">
        <v>1</v>
      </c>
      <c r="AK861">
        <v>7</v>
      </c>
      <c r="AL861" t="s">
        <v>16309</v>
      </c>
      <c r="AM861" t="s">
        <v>16310</v>
      </c>
      <c r="AN861" t="s">
        <v>16311</v>
      </c>
      <c r="AO861" t="s">
        <v>74</v>
      </c>
      <c r="AP861" t="s">
        <v>16312</v>
      </c>
      <c r="AQ861" t="s">
        <v>74</v>
      </c>
      <c r="AR861" t="s">
        <v>16313</v>
      </c>
      <c r="AS861" t="s">
        <v>16314</v>
      </c>
      <c r="AT861" t="s">
        <v>74</v>
      </c>
      <c r="AU861">
        <v>2021</v>
      </c>
      <c r="AV861">
        <v>17</v>
      </c>
      <c r="AW861">
        <v>8</v>
      </c>
      <c r="AX861" t="s">
        <v>74</v>
      </c>
      <c r="AY861" t="s">
        <v>74</v>
      </c>
      <c r="AZ861" t="s">
        <v>74</v>
      </c>
      <c r="BA861" t="s">
        <v>74</v>
      </c>
      <c r="BB861">
        <v>74</v>
      </c>
      <c r="BC861">
        <v>90</v>
      </c>
      <c r="BD861" t="s">
        <v>74</v>
      </c>
      <c r="BE861" t="s">
        <v>16315</v>
      </c>
      <c r="BF861" t="str">
        <f>HYPERLINK("http://dx.doi.org/10.3991/ijoe.v17i08.23643","http://dx.doi.org/10.3991/ijoe.v17i08.23643")</f>
        <v>http://dx.doi.org/10.3991/ijoe.v17i08.23643</v>
      </c>
      <c r="BG861" t="s">
        <v>74</v>
      </c>
      <c r="BH861" t="s">
        <v>74</v>
      </c>
      <c r="BI861">
        <v>17</v>
      </c>
      <c r="BJ861" t="s">
        <v>16316</v>
      </c>
      <c r="BK861" t="s">
        <v>155</v>
      </c>
      <c r="BL861" t="s">
        <v>6189</v>
      </c>
      <c r="BM861" t="s">
        <v>16317</v>
      </c>
      <c r="BN861" t="s">
        <v>74</v>
      </c>
      <c r="BO861" t="s">
        <v>185</v>
      </c>
      <c r="BP861" t="s">
        <v>74</v>
      </c>
      <c r="BQ861" t="s">
        <v>74</v>
      </c>
      <c r="BR861" t="s">
        <v>105</v>
      </c>
      <c r="BS861" t="s">
        <v>16318</v>
      </c>
      <c r="BT861" t="str">
        <f>HYPERLINK("https%3A%2F%2Fwww.webofscience.com%2Fwos%2Fwoscc%2Ffull-record%2FWOS:000686330400005","View Full Record in Web of Science")</f>
        <v>View Full Record in Web of Science</v>
      </c>
    </row>
    <row r="862" spans="1:72" x14ac:dyDescent="0.25">
      <c r="A862" t="s">
        <v>72</v>
      </c>
      <c r="B862" t="s">
        <v>16319</v>
      </c>
      <c r="C862" t="s">
        <v>74</v>
      </c>
      <c r="D862" t="s">
        <v>74</v>
      </c>
      <c r="E862" t="s">
        <v>74</v>
      </c>
      <c r="F862" t="s">
        <v>16320</v>
      </c>
      <c r="G862" t="s">
        <v>74</v>
      </c>
      <c r="H862" t="s">
        <v>74</v>
      </c>
      <c r="I862" t="s">
        <v>16321</v>
      </c>
      <c r="J862" t="s">
        <v>1837</v>
      </c>
      <c r="K862" t="s">
        <v>74</v>
      </c>
      <c r="L862" t="s">
        <v>74</v>
      </c>
      <c r="M862" t="s">
        <v>78</v>
      </c>
      <c r="N862" t="s">
        <v>79</v>
      </c>
      <c r="O862" t="s">
        <v>74</v>
      </c>
      <c r="P862" t="s">
        <v>74</v>
      </c>
      <c r="Q862" t="s">
        <v>74</v>
      </c>
      <c r="R862" t="s">
        <v>74</v>
      </c>
      <c r="S862" t="s">
        <v>74</v>
      </c>
      <c r="T862" t="s">
        <v>16322</v>
      </c>
      <c r="U862" t="s">
        <v>16323</v>
      </c>
      <c r="V862" t="s">
        <v>16324</v>
      </c>
      <c r="W862" t="s">
        <v>16325</v>
      </c>
      <c r="X862" t="s">
        <v>16326</v>
      </c>
      <c r="Y862" t="s">
        <v>16327</v>
      </c>
      <c r="Z862" t="s">
        <v>16328</v>
      </c>
      <c r="AA862" t="s">
        <v>16329</v>
      </c>
      <c r="AB862" t="s">
        <v>16330</v>
      </c>
      <c r="AC862" t="s">
        <v>16331</v>
      </c>
      <c r="AD862" t="s">
        <v>16332</v>
      </c>
      <c r="AE862" t="s">
        <v>16333</v>
      </c>
      <c r="AF862" t="s">
        <v>74</v>
      </c>
      <c r="AG862">
        <v>198</v>
      </c>
      <c r="AH862">
        <v>20</v>
      </c>
      <c r="AI862">
        <v>20</v>
      </c>
      <c r="AJ862">
        <v>9</v>
      </c>
      <c r="AK862">
        <v>63</v>
      </c>
      <c r="AL862" t="s">
        <v>1114</v>
      </c>
      <c r="AM862" t="s">
        <v>1115</v>
      </c>
      <c r="AN862" t="s">
        <v>1116</v>
      </c>
      <c r="AO862" t="s">
        <v>1850</v>
      </c>
      <c r="AP862" t="s">
        <v>74</v>
      </c>
      <c r="AQ862" t="s">
        <v>74</v>
      </c>
      <c r="AR862" t="s">
        <v>1837</v>
      </c>
      <c r="AS862" t="s">
        <v>1851</v>
      </c>
      <c r="AT862" t="s">
        <v>74</v>
      </c>
      <c r="AU862">
        <v>2021</v>
      </c>
      <c r="AV862">
        <v>9</v>
      </c>
      <c r="AW862" t="s">
        <v>74</v>
      </c>
      <c r="AX862" t="s">
        <v>74</v>
      </c>
      <c r="AY862" t="s">
        <v>74</v>
      </c>
      <c r="AZ862" t="s">
        <v>74</v>
      </c>
      <c r="BA862" t="s">
        <v>74</v>
      </c>
      <c r="BB862">
        <v>55920</v>
      </c>
      <c r="BC862">
        <v>55938</v>
      </c>
      <c r="BD862" t="s">
        <v>74</v>
      </c>
      <c r="BE862" t="s">
        <v>16334</v>
      </c>
      <c r="BF862" t="str">
        <f>HYPERLINK("http://dx.doi.org/10.1109/ACCESS.2021.3071599","http://dx.doi.org/10.1109/ACCESS.2021.3071599")</f>
        <v>http://dx.doi.org/10.1109/ACCESS.2021.3071599</v>
      </c>
      <c r="BG862" t="s">
        <v>74</v>
      </c>
      <c r="BH862" t="s">
        <v>74</v>
      </c>
      <c r="BI862">
        <v>19</v>
      </c>
      <c r="BJ862" t="s">
        <v>1853</v>
      </c>
      <c r="BK862" t="s">
        <v>182</v>
      </c>
      <c r="BL862" t="s">
        <v>1854</v>
      </c>
      <c r="BM862" t="s">
        <v>16335</v>
      </c>
      <c r="BN862" t="s">
        <v>74</v>
      </c>
      <c r="BO862" t="s">
        <v>185</v>
      </c>
      <c r="BP862" t="s">
        <v>74</v>
      </c>
      <c r="BQ862" t="s">
        <v>74</v>
      </c>
      <c r="BR862" t="s">
        <v>105</v>
      </c>
      <c r="BS862" t="s">
        <v>16336</v>
      </c>
      <c r="BT862" t="str">
        <f>HYPERLINK("https%3A%2F%2Fwww.webofscience.com%2Fwos%2Fwoscc%2Ffull-record%2FWOS:000641012700001","View Full Record in Web of Science")</f>
        <v>View Full Record in Web of Science</v>
      </c>
    </row>
    <row r="863" spans="1:72" x14ac:dyDescent="0.25">
      <c r="A863" t="s">
        <v>72</v>
      </c>
      <c r="B863" t="s">
        <v>16337</v>
      </c>
      <c r="C863" t="s">
        <v>74</v>
      </c>
      <c r="D863" t="s">
        <v>74</v>
      </c>
      <c r="E863" t="s">
        <v>74</v>
      </c>
      <c r="F863" t="s">
        <v>16338</v>
      </c>
      <c r="G863" t="s">
        <v>74</v>
      </c>
      <c r="H863" t="s">
        <v>74</v>
      </c>
      <c r="I863" t="s">
        <v>16339</v>
      </c>
      <c r="J863" t="s">
        <v>521</v>
      </c>
      <c r="K863" t="s">
        <v>74</v>
      </c>
      <c r="L863" t="s">
        <v>74</v>
      </c>
      <c r="M863" t="s">
        <v>78</v>
      </c>
      <c r="N863" t="s">
        <v>79</v>
      </c>
      <c r="O863" t="s">
        <v>74</v>
      </c>
      <c r="P863" t="s">
        <v>74</v>
      </c>
      <c r="Q863" t="s">
        <v>74</v>
      </c>
      <c r="R863" t="s">
        <v>74</v>
      </c>
      <c r="S863" t="s">
        <v>74</v>
      </c>
      <c r="T863" t="s">
        <v>16340</v>
      </c>
      <c r="U863" t="s">
        <v>16341</v>
      </c>
      <c r="V863" t="s">
        <v>16342</v>
      </c>
      <c r="W863" t="s">
        <v>16343</v>
      </c>
      <c r="X863" t="s">
        <v>16344</v>
      </c>
      <c r="Y863" t="s">
        <v>16345</v>
      </c>
      <c r="Z863" t="s">
        <v>16346</v>
      </c>
      <c r="AA863" t="s">
        <v>16347</v>
      </c>
      <c r="AB863" t="s">
        <v>16348</v>
      </c>
      <c r="AC863" t="s">
        <v>16349</v>
      </c>
      <c r="AD863" t="s">
        <v>16349</v>
      </c>
      <c r="AE863" t="s">
        <v>16350</v>
      </c>
      <c r="AF863" t="s">
        <v>74</v>
      </c>
      <c r="AG863">
        <v>48</v>
      </c>
      <c r="AH863">
        <v>38</v>
      </c>
      <c r="AI863">
        <v>39</v>
      </c>
      <c r="AJ863">
        <v>0</v>
      </c>
      <c r="AK863">
        <v>28</v>
      </c>
      <c r="AL863" t="s">
        <v>531</v>
      </c>
      <c r="AM863" t="s">
        <v>532</v>
      </c>
      <c r="AN863" t="s">
        <v>533</v>
      </c>
      <c r="AO863" t="s">
        <v>534</v>
      </c>
      <c r="AP863" t="s">
        <v>535</v>
      </c>
      <c r="AQ863" t="s">
        <v>74</v>
      </c>
      <c r="AR863" t="s">
        <v>536</v>
      </c>
      <c r="AS863" t="s">
        <v>537</v>
      </c>
      <c r="AT863" t="s">
        <v>538</v>
      </c>
      <c r="AU863">
        <v>2021</v>
      </c>
      <c r="AV863">
        <v>47</v>
      </c>
      <c r="AW863" t="s">
        <v>74</v>
      </c>
      <c r="AX863" t="s">
        <v>74</v>
      </c>
      <c r="AY863" t="s">
        <v>74</v>
      </c>
      <c r="AZ863" t="s">
        <v>74</v>
      </c>
      <c r="BA863" t="s">
        <v>74</v>
      </c>
      <c r="BB863" t="s">
        <v>74</v>
      </c>
      <c r="BC863" t="s">
        <v>74</v>
      </c>
      <c r="BD863">
        <v>102610</v>
      </c>
      <c r="BE863" t="s">
        <v>16351</v>
      </c>
      <c r="BF863" t="str">
        <f>HYPERLINK("http://dx.doi.org/10.1016/j.msard.2020.102610","http://dx.doi.org/10.1016/j.msard.2020.102610")</f>
        <v>http://dx.doi.org/10.1016/j.msard.2020.102610</v>
      </c>
      <c r="BG863" t="s">
        <v>74</v>
      </c>
      <c r="BH863" t="s">
        <v>74</v>
      </c>
      <c r="BI863">
        <v>10</v>
      </c>
      <c r="BJ863" t="s">
        <v>541</v>
      </c>
      <c r="BK863" t="s">
        <v>102</v>
      </c>
      <c r="BL863" t="s">
        <v>375</v>
      </c>
      <c r="BM863" t="s">
        <v>16352</v>
      </c>
      <c r="BN863">
        <v>33212400</v>
      </c>
      <c r="BO863" t="s">
        <v>3048</v>
      </c>
      <c r="BP863" t="s">
        <v>74</v>
      </c>
      <c r="BQ863" t="s">
        <v>74</v>
      </c>
      <c r="BR863" t="s">
        <v>105</v>
      </c>
      <c r="BS863" t="s">
        <v>16353</v>
      </c>
      <c r="BT863" t="str">
        <f>HYPERLINK("https%3A%2F%2Fwww.webofscience.com%2Fwos%2Fwoscc%2Ffull-record%2FWOS:000618264300007","View Full Record in Web of Science")</f>
        <v>View Full Record in Web of Science</v>
      </c>
    </row>
    <row r="864" spans="1:72" x14ac:dyDescent="0.25">
      <c r="A864" t="s">
        <v>72</v>
      </c>
      <c r="B864" t="s">
        <v>16354</v>
      </c>
      <c r="C864" t="s">
        <v>74</v>
      </c>
      <c r="D864" t="s">
        <v>74</v>
      </c>
      <c r="E864" t="s">
        <v>74</v>
      </c>
      <c r="F864" t="s">
        <v>16355</v>
      </c>
      <c r="G864" t="s">
        <v>74</v>
      </c>
      <c r="H864" t="s">
        <v>74</v>
      </c>
      <c r="I864" t="s">
        <v>16356</v>
      </c>
      <c r="J864" t="s">
        <v>571</v>
      </c>
      <c r="K864" t="s">
        <v>74</v>
      </c>
      <c r="L864" t="s">
        <v>74</v>
      </c>
      <c r="M864" t="s">
        <v>78</v>
      </c>
      <c r="N864" t="s">
        <v>79</v>
      </c>
      <c r="O864" t="s">
        <v>74</v>
      </c>
      <c r="P864" t="s">
        <v>74</v>
      </c>
      <c r="Q864" t="s">
        <v>74</v>
      </c>
      <c r="R864" t="s">
        <v>74</v>
      </c>
      <c r="S864" t="s">
        <v>74</v>
      </c>
      <c r="T864" t="s">
        <v>16357</v>
      </c>
      <c r="U864" t="s">
        <v>74</v>
      </c>
      <c r="V864" t="s">
        <v>16358</v>
      </c>
      <c r="W864" t="s">
        <v>16359</v>
      </c>
      <c r="X864" t="s">
        <v>16360</v>
      </c>
      <c r="Y864" t="s">
        <v>16361</v>
      </c>
      <c r="Z864" t="s">
        <v>16362</v>
      </c>
      <c r="AA864" t="s">
        <v>16363</v>
      </c>
      <c r="AB864" t="s">
        <v>16364</v>
      </c>
      <c r="AC864" t="s">
        <v>16365</v>
      </c>
      <c r="AD864" t="s">
        <v>16366</v>
      </c>
      <c r="AE864" t="s">
        <v>16367</v>
      </c>
      <c r="AF864" t="s">
        <v>74</v>
      </c>
      <c r="AG864">
        <v>17</v>
      </c>
      <c r="AH864">
        <v>2</v>
      </c>
      <c r="AI864">
        <v>2</v>
      </c>
      <c r="AJ864">
        <v>0</v>
      </c>
      <c r="AK864">
        <v>7</v>
      </c>
      <c r="AL864" t="s">
        <v>583</v>
      </c>
      <c r="AM864" t="s">
        <v>275</v>
      </c>
      <c r="AN864" t="s">
        <v>584</v>
      </c>
      <c r="AO864" t="s">
        <v>585</v>
      </c>
      <c r="AP864" t="s">
        <v>74</v>
      </c>
      <c r="AQ864" t="s">
        <v>74</v>
      </c>
      <c r="AR864" t="s">
        <v>571</v>
      </c>
      <c r="AS864" t="s">
        <v>586</v>
      </c>
      <c r="AT864" t="s">
        <v>74</v>
      </c>
      <c r="AU864">
        <v>2021</v>
      </c>
      <c r="AV864">
        <v>11</v>
      </c>
      <c r="AW864">
        <v>2</v>
      </c>
      <c r="AX864" t="s">
        <v>74</v>
      </c>
      <c r="AY864" t="s">
        <v>74</v>
      </c>
      <c r="AZ864" t="s">
        <v>74</v>
      </c>
      <c r="BA864" t="s">
        <v>74</v>
      </c>
      <c r="BB864" t="s">
        <v>74</v>
      </c>
      <c r="BC864" t="s">
        <v>74</v>
      </c>
      <c r="BD864" t="s">
        <v>16368</v>
      </c>
      <c r="BE864" t="s">
        <v>16369</v>
      </c>
      <c r="BF864" t="str">
        <f>HYPERLINK("http://dx.doi.org/10.1136/bmjopen-2020-039975","http://dx.doi.org/10.1136/bmjopen-2020-039975")</f>
        <v>http://dx.doi.org/10.1136/bmjopen-2020-039975</v>
      </c>
      <c r="BG864" t="s">
        <v>74</v>
      </c>
      <c r="BH864" t="s">
        <v>74</v>
      </c>
      <c r="BI864">
        <v>6</v>
      </c>
      <c r="BJ864" t="s">
        <v>128</v>
      </c>
      <c r="BK864" t="s">
        <v>182</v>
      </c>
      <c r="BL864" t="s">
        <v>129</v>
      </c>
      <c r="BM864" t="s">
        <v>16370</v>
      </c>
      <c r="BN864">
        <v>33602700</v>
      </c>
      <c r="BO864" t="s">
        <v>355</v>
      </c>
      <c r="BP864" t="s">
        <v>74</v>
      </c>
      <c r="BQ864" t="s">
        <v>74</v>
      </c>
      <c r="BR864" t="s">
        <v>105</v>
      </c>
      <c r="BS864" t="s">
        <v>16371</v>
      </c>
      <c r="BT864" t="str">
        <f>HYPERLINK("https%3A%2F%2Fwww.webofscience.com%2Fwos%2Fwoscc%2Ffull-record%2FWOS:000621252500007","View Full Record in Web of Science")</f>
        <v>View Full Record in Web of Science</v>
      </c>
    </row>
    <row r="865" spans="1:72" x14ac:dyDescent="0.25">
      <c r="A865" t="s">
        <v>72</v>
      </c>
      <c r="B865" t="s">
        <v>16372</v>
      </c>
      <c r="C865" t="s">
        <v>74</v>
      </c>
      <c r="D865" t="s">
        <v>74</v>
      </c>
      <c r="E865" t="s">
        <v>74</v>
      </c>
      <c r="F865" t="s">
        <v>16373</v>
      </c>
      <c r="G865" t="s">
        <v>74</v>
      </c>
      <c r="H865" t="s">
        <v>74</v>
      </c>
      <c r="I865" t="s">
        <v>16374</v>
      </c>
      <c r="J865" t="s">
        <v>2157</v>
      </c>
      <c r="K865" t="s">
        <v>74</v>
      </c>
      <c r="L865" t="s">
        <v>74</v>
      </c>
      <c r="M865" t="s">
        <v>78</v>
      </c>
      <c r="N865" t="s">
        <v>79</v>
      </c>
      <c r="O865" t="s">
        <v>74</v>
      </c>
      <c r="P865" t="s">
        <v>74</v>
      </c>
      <c r="Q865" t="s">
        <v>74</v>
      </c>
      <c r="R865" t="s">
        <v>74</v>
      </c>
      <c r="S865" t="s">
        <v>74</v>
      </c>
      <c r="T865" t="s">
        <v>16375</v>
      </c>
      <c r="U865" t="s">
        <v>16376</v>
      </c>
      <c r="V865" t="s">
        <v>16377</v>
      </c>
      <c r="W865" t="s">
        <v>16378</v>
      </c>
      <c r="X865" t="s">
        <v>16379</v>
      </c>
      <c r="Y865" t="s">
        <v>16380</v>
      </c>
      <c r="Z865" t="s">
        <v>15479</v>
      </c>
      <c r="AA865" t="s">
        <v>16381</v>
      </c>
      <c r="AB865" t="s">
        <v>16382</v>
      </c>
      <c r="AC865" t="s">
        <v>16383</v>
      </c>
      <c r="AD865" t="s">
        <v>14938</v>
      </c>
      <c r="AE865" t="s">
        <v>16384</v>
      </c>
      <c r="AF865" t="s">
        <v>74</v>
      </c>
      <c r="AG865">
        <v>96</v>
      </c>
      <c r="AH865">
        <v>31</v>
      </c>
      <c r="AI865">
        <v>39</v>
      </c>
      <c r="AJ865">
        <v>3</v>
      </c>
      <c r="AK865">
        <v>56</v>
      </c>
      <c r="AL865" t="s">
        <v>92</v>
      </c>
      <c r="AM865" t="s">
        <v>93</v>
      </c>
      <c r="AN865" t="s">
        <v>94</v>
      </c>
      <c r="AO865" t="s">
        <v>2170</v>
      </c>
      <c r="AP865" t="s">
        <v>2171</v>
      </c>
      <c r="AQ865" t="s">
        <v>74</v>
      </c>
      <c r="AR865" t="s">
        <v>2172</v>
      </c>
      <c r="AS865" t="s">
        <v>2173</v>
      </c>
      <c r="AT865" t="s">
        <v>863</v>
      </c>
      <c r="AU865">
        <v>2021</v>
      </c>
      <c r="AV865">
        <v>18</v>
      </c>
      <c r="AW865">
        <v>1</v>
      </c>
      <c r="AX865" t="s">
        <v>74</v>
      </c>
      <c r="AY865" t="s">
        <v>74</v>
      </c>
      <c r="AZ865" t="s">
        <v>74</v>
      </c>
      <c r="BA865" t="s">
        <v>74</v>
      </c>
      <c r="BB865">
        <v>31</v>
      </c>
      <c r="BC865">
        <v>46</v>
      </c>
      <c r="BD865" t="s">
        <v>74</v>
      </c>
      <c r="BE865" t="s">
        <v>16385</v>
      </c>
      <c r="BF865" t="str">
        <f>HYPERLINK("http://dx.doi.org/10.1080/17434440.2021.1857729","http://dx.doi.org/10.1080/17434440.2021.1857729")</f>
        <v>http://dx.doi.org/10.1080/17434440.2021.1857729</v>
      </c>
      <c r="BG865" t="s">
        <v>74</v>
      </c>
      <c r="BH865" t="s">
        <v>2488</v>
      </c>
      <c r="BI865">
        <v>16</v>
      </c>
      <c r="BJ865" t="s">
        <v>282</v>
      </c>
      <c r="BK865" t="s">
        <v>102</v>
      </c>
      <c r="BL865" t="s">
        <v>183</v>
      </c>
      <c r="BM865" t="s">
        <v>16386</v>
      </c>
      <c r="BN865">
        <v>33249938</v>
      </c>
      <c r="BO865" t="s">
        <v>74</v>
      </c>
      <c r="BP865" t="s">
        <v>74</v>
      </c>
      <c r="BQ865" t="s">
        <v>74</v>
      </c>
      <c r="BR865" t="s">
        <v>105</v>
      </c>
      <c r="BS865" t="s">
        <v>16387</v>
      </c>
      <c r="BT865" t="str">
        <f>HYPERLINK("https%3A%2F%2Fwww.webofscience.com%2Fwos%2Fwoscc%2Ffull-record%2FWOS:000603776900001","View Full Record in Web of Science")</f>
        <v>View Full Record in Web of Science</v>
      </c>
    </row>
    <row r="866" spans="1:72" x14ac:dyDescent="0.25">
      <c r="A866" t="s">
        <v>72</v>
      </c>
      <c r="B866" t="s">
        <v>16388</v>
      </c>
      <c r="C866" t="s">
        <v>74</v>
      </c>
      <c r="D866" t="s">
        <v>74</v>
      </c>
      <c r="E866" t="s">
        <v>74</v>
      </c>
      <c r="F866" t="s">
        <v>16389</v>
      </c>
      <c r="G866" t="s">
        <v>74</v>
      </c>
      <c r="H866" t="s">
        <v>74</v>
      </c>
      <c r="I866" t="s">
        <v>16390</v>
      </c>
      <c r="J866" t="s">
        <v>10852</v>
      </c>
      <c r="K866" t="s">
        <v>74</v>
      </c>
      <c r="L866" t="s">
        <v>74</v>
      </c>
      <c r="M866" t="s">
        <v>78</v>
      </c>
      <c r="N866" t="s">
        <v>79</v>
      </c>
      <c r="O866" t="s">
        <v>74</v>
      </c>
      <c r="P866" t="s">
        <v>74</v>
      </c>
      <c r="Q866" t="s">
        <v>74</v>
      </c>
      <c r="R866" t="s">
        <v>74</v>
      </c>
      <c r="S866" t="s">
        <v>74</v>
      </c>
      <c r="T866" t="s">
        <v>16391</v>
      </c>
      <c r="U866" t="s">
        <v>16392</v>
      </c>
      <c r="V866" t="s">
        <v>16393</v>
      </c>
      <c r="W866" t="s">
        <v>16394</v>
      </c>
      <c r="X866" t="s">
        <v>16395</v>
      </c>
      <c r="Y866" t="s">
        <v>16396</v>
      </c>
      <c r="Z866" t="s">
        <v>16397</v>
      </c>
      <c r="AA866" t="s">
        <v>74</v>
      </c>
      <c r="AB866" t="s">
        <v>16398</v>
      </c>
      <c r="AC866" t="s">
        <v>74</v>
      </c>
      <c r="AD866" t="s">
        <v>74</v>
      </c>
      <c r="AE866" t="s">
        <v>74</v>
      </c>
      <c r="AF866" t="s">
        <v>74</v>
      </c>
      <c r="AG866">
        <v>214</v>
      </c>
      <c r="AH866">
        <v>16</v>
      </c>
      <c r="AI866">
        <v>17</v>
      </c>
      <c r="AJ866">
        <v>2</v>
      </c>
      <c r="AK866">
        <v>60</v>
      </c>
      <c r="AL866" t="s">
        <v>392</v>
      </c>
      <c r="AM866" t="s">
        <v>393</v>
      </c>
      <c r="AN866" t="s">
        <v>394</v>
      </c>
      <c r="AO866" t="s">
        <v>10865</v>
      </c>
      <c r="AP866" t="s">
        <v>74</v>
      </c>
      <c r="AQ866" t="s">
        <v>74</v>
      </c>
      <c r="AR866" t="s">
        <v>10866</v>
      </c>
      <c r="AS866" t="s">
        <v>10867</v>
      </c>
      <c r="AT866" t="s">
        <v>11977</v>
      </c>
      <c r="AU866">
        <v>2020</v>
      </c>
      <c r="AV866">
        <v>11</v>
      </c>
      <c r="AW866" t="s">
        <v>74</v>
      </c>
      <c r="AX866" t="s">
        <v>74</v>
      </c>
      <c r="AY866" t="s">
        <v>74</v>
      </c>
      <c r="AZ866" t="s">
        <v>74</v>
      </c>
      <c r="BA866" t="s">
        <v>74</v>
      </c>
      <c r="BB866" t="s">
        <v>74</v>
      </c>
      <c r="BC866" t="s">
        <v>74</v>
      </c>
      <c r="BD866">
        <v>598898</v>
      </c>
      <c r="BE866" t="s">
        <v>16399</v>
      </c>
      <c r="BF866" t="str">
        <f>HYPERLINK("http://dx.doi.org/10.3389/fphys.2020.598898","http://dx.doi.org/10.3389/fphys.2020.598898")</f>
        <v>http://dx.doi.org/10.3389/fphys.2020.598898</v>
      </c>
      <c r="BG866" t="s">
        <v>74</v>
      </c>
      <c r="BH866" t="s">
        <v>74</v>
      </c>
      <c r="BI866">
        <v>38</v>
      </c>
      <c r="BJ866" t="s">
        <v>10869</v>
      </c>
      <c r="BK866" t="s">
        <v>102</v>
      </c>
      <c r="BL866" t="s">
        <v>10869</v>
      </c>
      <c r="BM866" t="s">
        <v>16400</v>
      </c>
      <c r="BN866">
        <v>33408640</v>
      </c>
      <c r="BO866" t="s">
        <v>355</v>
      </c>
      <c r="BP866" t="s">
        <v>74</v>
      </c>
      <c r="BQ866" t="s">
        <v>74</v>
      </c>
      <c r="BR866" t="s">
        <v>105</v>
      </c>
      <c r="BS866" t="s">
        <v>16401</v>
      </c>
      <c r="BT866" t="str">
        <f>HYPERLINK("https%3A%2F%2Fwww.webofscience.com%2Fwos%2Fwoscc%2Ffull-record%2FWOS:000604288800001","View Full Record in Web of Science")</f>
        <v>View Full Record in Web of Science</v>
      </c>
    </row>
    <row r="867" spans="1:72" x14ac:dyDescent="0.25">
      <c r="A867" t="s">
        <v>72</v>
      </c>
      <c r="B867" t="s">
        <v>16402</v>
      </c>
      <c r="C867" t="s">
        <v>74</v>
      </c>
      <c r="D867" t="s">
        <v>74</v>
      </c>
      <c r="E867" t="s">
        <v>74</v>
      </c>
      <c r="F867" t="s">
        <v>16403</v>
      </c>
      <c r="G867" t="s">
        <v>74</v>
      </c>
      <c r="H867" t="s">
        <v>74</v>
      </c>
      <c r="I867" t="s">
        <v>16404</v>
      </c>
      <c r="J867" t="s">
        <v>16405</v>
      </c>
      <c r="K867" t="s">
        <v>74</v>
      </c>
      <c r="L867" t="s">
        <v>74</v>
      </c>
      <c r="M867" t="s">
        <v>11854</v>
      </c>
      <c r="N867" t="s">
        <v>79</v>
      </c>
      <c r="O867" t="s">
        <v>74</v>
      </c>
      <c r="P867" t="s">
        <v>74</v>
      </c>
      <c r="Q867" t="s">
        <v>74</v>
      </c>
      <c r="R867" t="s">
        <v>74</v>
      </c>
      <c r="S867" t="s">
        <v>74</v>
      </c>
      <c r="T867" t="s">
        <v>16406</v>
      </c>
      <c r="U867" t="s">
        <v>16407</v>
      </c>
      <c r="V867" t="s">
        <v>16408</v>
      </c>
      <c r="W867" t="s">
        <v>16409</v>
      </c>
      <c r="X867" t="s">
        <v>9230</v>
      </c>
      <c r="Y867" t="s">
        <v>16410</v>
      </c>
      <c r="Z867" t="s">
        <v>16411</v>
      </c>
      <c r="AA867" t="s">
        <v>16412</v>
      </c>
      <c r="AB867" t="s">
        <v>16413</v>
      </c>
      <c r="AC867" t="s">
        <v>16414</v>
      </c>
      <c r="AD867" t="s">
        <v>16415</v>
      </c>
      <c r="AE867" t="s">
        <v>16416</v>
      </c>
      <c r="AF867" t="s">
        <v>74</v>
      </c>
      <c r="AG867">
        <v>128</v>
      </c>
      <c r="AH867">
        <v>9</v>
      </c>
      <c r="AI867">
        <v>9</v>
      </c>
      <c r="AJ867">
        <v>60</v>
      </c>
      <c r="AK867">
        <v>150</v>
      </c>
      <c r="AL867" t="s">
        <v>16417</v>
      </c>
      <c r="AM867" t="s">
        <v>8745</v>
      </c>
      <c r="AN867" t="s">
        <v>16418</v>
      </c>
      <c r="AO867" t="s">
        <v>16419</v>
      </c>
      <c r="AP867" t="s">
        <v>74</v>
      </c>
      <c r="AQ867" t="s">
        <v>74</v>
      </c>
      <c r="AR867" t="s">
        <v>16420</v>
      </c>
      <c r="AS867" t="s">
        <v>16421</v>
      </c>
      <c r="AT867" t="s">
        <v>16422</v>
      </c>
      <c r="AU867">
        <v>2020</v>
      </c>
      <c r="AV867">
        <v>36</v>
      </c>
      <c r="AW867">
        <v>12</v>
      </c>
      <c r="AX867" t="s">
        <v>74</v>
      </c>
      <c r="AY867" t="s">
        <v>74</v>
      </c>
      <c r="AZ867" t="s">
        <v>74</v>
      </c>
      <c r="BA867" t="s">
        <v>74</v>
      </c>
      <c r="BB867" t="s">
        <v>74</v>
      </c>
      <c r="BC867" t="s">
        <v>74</v>
      </c>
      <c r="BD867">
        <v>2007004</v>
      </c>
      <c r="BE867" t="s">
        <v>16423</v>
      </c>
      <c r="BF867" t="str">
        <f>HYPERLINK("http://dx.doi.org/10.3866/PKU.WHXB202007004","http://dx.doi.org/10.3866/PKU.WHXB202007004")</f>
        <v>http://dx.doi.org/10.3866/PKU.WHXB202007004</v>
      </c>
      <c r="BG867" t="s">
        <v>74</v>
      </c>
      <c r="BH867" t="s">
        <v>74</v>
      </c>
      <c r="BI867">
        <v>13</v>
      </c>
      <c r="BJ867" t="s">
        <v>16424</v>
      </c>
      <c r="BK867" t="s">
        <v>182</v>
      </c>
      <c r="BL867" t="s">
        <v>156</v>
      </c>
      <c r="BM867" t="s">
        <v>16425</v>
      </c>
      <c r="BN867" t="s">
        <v>74</v>
      </c>
      <c r="BO867" t="s">
        <v>1052</v>
      </c>
      <c r="BP867" t="s">
        <v>74</v>
      </c>
      <c r="BQ867" t="s">
        <v>74</v>
      </c>
      <c r="BR867" t="s">
        <v>105</v>
      </c>
      <c r="BS867" t="s">
        <v>16426</v>
      </c>
      <c r="BT867" t="str">
        <f>HYPERLINK("https%3A%2F%2Fwww.webofscience.com%2Fwos%2Fwoscc%2Ffull-record%2FWOS:000607780200009","View Full Record in Web of Science")</f>
        <v>View Full Record in Web of Science</v>
      </c>
    </row>
    <row r="868" spans="1:72" x14ac:dyDescent="0.25">
      <c r="A868" t="s">
        <v>72</v>
      </c>
      <c r="B868" t="s">
        <v>16427</v>
      </c>
      <c r="C868" t="s">
        <v>74</v>
      </c>
      <c r="D868" t="s">
        <v>74</v>
      </c>
      <c r="E868" t="s">
        <v>74</v>
      </c>
      <c r="F868" t="s">
        <v>16428</v>
      </c>
      <c r="G868" t="s">
        <v>74</v>
      </c>
      <c r="H868" t="s">
        <v>74</v>
      </c>
      <c r="I868" t="s">
        <v>16429</v>
      </c>
      <c r="J868" t="s">
        <v>3687</v>
      </c>
      <c r="K868" t="s">
        <v>74</v>
      </c>
      <c r="L868" t="s">
        <v>74</v>
      </c>
      <c r="M868" t="s">
        <v>78</v>
      </c>
      <c r="N868" t="s">
        <v>79</v>
      </c>
      <c r="O868" t="s">
        <v>74</v>
      </c>
      <c r="P868" t="s">
        <v>74</v>
      </c>
      <c r="Q868" t="s">
        <v>74</v>
      </c>
      <c r="R868" t="s">
        <v>74</v>
      </c>
      <c r="S868" t="s">
        <v>74</v>
      </c>
      <c r="T868" t="s">
        <v>16430</v>
      </c>
      <c r="U868" t="s">
        <v>16431</v>
      </c>
      <c r="V868" t="s">
        <v>16432</v>
      </c>
      <c r="W868" t="s">
        <v>16433</v>
      </c>
      <c r="X868" t="s">
        <v>74</v>
      </c>
      <c r="Y868" t="s">
        <v>16434</v>
      </c>
      <c r="Z868" t="s">
        <v>16435</v>
      </c>
      <c r="AA868" t="s">
        <v>16436</v>
      </c>
      <c r="AB868" t="s">
        <v>16437</v>
      </c>
      <c r="AC868" t="s">
        <v>16438</v>
      </c>
      <c r="AD868" t="s">
        <v>16439</v>
      </c>
      <c r="AE868" t="s">
        <v>16440</v>
      </c>
      <c r="AF868" t="s">
        <v>74</v>
      </c>
      <c r="AG868">
        <v>530</v>
      </c>
      <c r="AH868">
        <v>209</v>
      </c>
      <c r="AI868">
        <v>230</v>
      </c>
      <c r="AJ868">
        <v>28</v>
      </c>
      <c r="AK868">
        <v>408</v>
      </c>
      <c r="AL868" t="s">
        <v>2998</v>
      </c>
      <c r="AM868" t="s">
        <v>2999</v>
      </c>
      <c r="AN868" t="s">
        <v>3000</v>
      </c>
      <c r="AO868" t="s">
        <v>3697</v>
      </c>
      <c r="AP868" t="s">
        <v>3698</v>
      </c>
      <c r="AQ868" t="s">
        <v>74</v>
      </c>
      <c r="AR868" t="s">
        <v>3699</v>
      </c>
      <c r="AS868" t="s">
        <v>3700</v>
      </c>
      <c r="AT868" t="s">
        <v>351</v>
      </c>
      <c r="AU868">
        <v>2021</v>
      </c>
      <c r="AV868">
        <v>31</v>
      </c>
      <c r="AW868">
        <v>6</v>
      </c>
      <c r="AX868" t="s">
        <v>74</v>
      </c>
      <c r="AY868" t="s">
        <v>74</v>
      </c>
      <c r="AZ868" t="s">
        <v>74</v>
      </c>
      <c r="BA868" t="s">
        <v>74</v>
      </c>
      <c r="BB868" t="s">
        <v>74</v>
      </c>
      <c r="BC868" t="s">
        <v>74</v>
      </c>
      <c r="BD868">
        <v>2008278</v>
      </c>
      <c r="BE868" t="s">
        <v>16441</v>
      </c>
      <c r="BF868" t="str">
        <f>HYPERLINK("http://dx.doi.org/10.1002/adfm.202008278","http://dx.doi.org/10.1002/adfm.202008278")</f>
        <v>http://dx.doi.org/10.1002/adfm.202008278</v>
      </c>
      <c r="BG868" t="s">
        <v>74</v>
      </c>
      <c r="BH868" t="s">
        <v>2488</v>
      </c>
      <c r="BI868">
        <v>55</v>
      </c>
      <c r="BJ868" t="s">
        <v>3702</v>
      </c>
      <c r="BK868" t="s">
        <v>182</v>
      </c>
      <c r="BL868" t="s">
        <v>3703</v>
      </c>
      <c r="BM868" t="s">
        <v>16442</v>
      </c>
      <c r="BN868" t="s">
        <v>74</v>
      </c>
      <c r="BO868" t="s">
        <v>74</v>
      </c>
      <c r="BP868" t="s">
        <v>74</v>
      </c>
      <c r="BQ868" t="s">
        <v>74</v>
      </c>
      <c r="BR868" t="s">
        <v>105</v>
      </c>
      <c r="BS868" t="s">
        <v>16443</v>
      </c>
      <c r="BT868" t="str">
        <f>HYPERLINK("https%3A%2F%2Fwww.webofscience.com%2Fwos%2Fwoscc%2Ffull-record%2FWOS:000596950700001","View Full Record in Web of Science")</f>
        <v>View Full Record in Web of Science</v>
      </c>
    </row>
    <row r="869" spans="1:72" x14ac:dyDescent="0.25">
      <c r="A869" t="s">
        <v>72</v>
      </c>
      <c r="B869" t="s">
        <v>16444</v>
      </c>
      <c r="C869" t="s">
        <v>74</v>
      </c>
      <c r="D869" t="s">
        <v>74</v>
      </c>
      <c r="E869" t="s">
        <v>74</v>
      </c>
      <c r="F869" t="s">
        <v>16445</v>
      </c>
      <c r="G869" t="s">
        <v>74</v>
      </c>
      <c r="H869" t="s">
        <v>74</v>
      </c>
      <c r="I869" t="s">
        <v>16446</v>
      </c>
      <c r="J869" t="s">
        <v>382</v>
      </c>
      <c r="K869" t="s">
        <v>74</v>
      </c>
      <c r="L869" t="s">
        <v>74</v>
      </c>
      <c r="M869" t="s">
        <v>78</v>
      </c>
      <c r="N869" t="s">
        <v>79</v>
      </c>
      <c r="O869" t="s">
        <v>74</v>
      </c>
      <c r="P869" t="s">
        <v>74</v>
      </c>
      <c r="Q869" t="s">
        <v>74</v>
      </c>
      <c r="R869" t="s">
        <v>74</v>
      </c>
      <c r="S869" t="s">
        <v>74</v>
      </c>
      <c r="T869" t="s">
        <v>16447</v>
      </c>
      <c r="U869" t="s">
        <v>16448</v>
      </c>
      <c r="V869" t="s">
        <v>16449</v>
      </c>
      <c r="W869" t="s">
        <v>16450</v>
      </c>
      <c r="X869" t="s">
        <v>16451</v>
      </c>
      <c r="Y869" t="s">
        <v>16452</v>
      </c>
      <c r="Z869" t="s">
        <v>16453</v>
      </c>
      <c r="AA869" t="s">
        <v>16454</v>
      </c>
      <c r="AB869" t="s">
        <v>16455</v>
      </c>
      <c r="AC869" t="s">
        <v>16456</v>
      </c>
      <c r="AD869" t="s">
        <v>16457</v>
      </c>
      <c r="AE869" t="s">
        <v>16458</v>
      </c>
      <c r="AF869" t="s">
        <v>74</v>
      </c>
      <c r="AG869">
        <v>67</v>
      </c>
      <c r="AH869">
        <v>9</v>
      </c>
      <c r="AI869">
        <v>9</v>
      </c>
      <c r="AJ869">
        <v>0</v>
      </c>
      <c r="AK869">
        <v>26</v>
      </c>
      <c r="AL869" t="s">
        <v>392</v>
      </c>
      <c r="AM869" t="s">
        <v>393</v>
      </c>
      <c r="AN869" t="s">
        <v>394</v>
      </c>
      <c r="AO869" t="s">
        <v>395</v>
      </c>
      <c r="AP869" t="s">
        <v>74</v>
      </c>
      <c r="AQ869" t="s">
        <v>74</v>
      </c>
      <c r="AR869" t="s">
        <v>396</v>
      </c>
      <c r="AS869" t="s">
        <v>397</v>
      </c>
      <c r="AT869" t="s">
        <v>9591</v>
      </c>
      <c r="AU869">
        <v>2020</v>
      </c>
      <c r="AV869">
        <v>11</v>
      </c>
      <c r="AW869" t="s">
        <v>74</v>
      </c>
      <c r="AX869" t="s">
        <v>74</v>
      </c>
      <c r="AY869" t="s">
        <v>74</v>
      </c>
      <c r="AZ869" t="s">
        <v>74</v>
      </c>
      <c r="BA869" t="s">
        <v>74</v>
      </c>
      <c r="BB869" t="s">
        <v>74</v>
      </c>
      <c r="BC869" t="s">
        <v>74</v>
      </c>
      <c r="BD869">
        <v>572038</v>
      </c>
      <c r="BE869" t="s">
        <v>16459</v>
      </c>
      <c r="BF869" t="str">
        <f>HYPERLINK("http://dx.doi.org/10.3389/fneur.2020.572038","http://dx.doi.org/10.3389/fneur.2020.572038")</f>
        <v>http://dx.doi.org/10.3389/fneur.2020.572038</v>
      </c>
      <c r="BG869" t="s">
        <v>74</v>
      </c>
      <c r="BH869" t="s">
        <v>74</v>
      </c>
      <c r="BI869">
        <v>17</v>
      </c>
      <c r="BJ869" t="s">
        <v>400</v>
      </c>
      <c r="BK869" t="s">
        <v>182</v>
      </c>
      <c r="BL869" t="s">
        <v>375</v>
      </c>
      <c r="BM869" t="s">
        <v>16460</v>
      </c>
      <c r="BN869">
        <v>33343485</v>
      </c>
      <c r="BO869" t="s">
        <v>355</v>
      </c>
      <c r="BP869" t="s">
        <v>74</v>
      </c>
      <c r="BQ869" t="s">
        <v>74</v>
      </c>
      <c r="BR869" t="s">
        <v>105</v>
      </c>
      <c r="BS869" t="s">
        <v>16461</v>
      </c>
      <c r="BT869" t="str">
        <f>HYPERLINK("https%3A%2F%2Fwww.webofscience.com%2Fwos%2Fwoscc%2Ffull-record%2FWOS:000599597500001","View Full Record in Web of Science")</f>
        <v>View Full Record in Web of Science</v>
      </c>
    </row>
    <row r="870" spans="1:72" x14ac:dyDescent="0.25">
      <c r="A870" t="s">
        <v>72</v>
      </c>
      <c r="B870" t="s">
        <v>11889</v>
      </c>
      <c r="C870" t="s">
        <v>74</v>
      </c>
      <c r="D870" t="s">
        <v>74</v>
      </c>
      <c r="E870" t="s">
        <v>74</v>
      </c>
      <c r="F870" t="s">
        <v>11890</v>
      </c>
      <c r="G870" t="s">
        <v>74</v>
      </c>
      <c r="H870" t="s">
        <v>74</v>
      </c>
      <c r="I870" t="s">
        <v>16462</v>
      </c>
      <c r="J870" t="s">
        <v>243</v>
      </c>
      <c r="K870" t="s">
        <v>74</v>
      </c>
      <c r="L870" t="s">
        <v>74</v>
      </c>
      <c r="M870" t="s">
        <v>78</v>
      </c>
      <c r="N870" t="s">
        <v>79</v>
      </c>
      <c r="O870" t="s">
        <v>74</v>
      </c>
      <c r="P870" t="s">
        <v>74</v>
      </c>
      <c r="Q870" t="s">
        <v>74</v>
      </c>
      <c r="R870" t="s">
        <v>74</v>
      </c>
      <c r="S870" t="s">
        <v>74</v>
      </c>
      <c r="T870" t="s">
        <v>16463</v>
      </c>
      <c r="U870" t="s">
        <v>16464</v>
      </c>
      <c r="V870" t="s">
        <v>16465</v>
      </c>
      <c r="W870" t="s">
        <v>16466</v>
      </c>
      <c r="X870" t="s">
        <v>16467</v>
      </c>
      <c r="Y870" t="s">
        <v>16468</v>
      </c>
      <c r="Z870" t="s">
        <v>16469</v>
      </c>
      <c r="AA870" t="s">
        <v>16470</v>
      </c>
      <c r="AB870" t="s">
        <v>11900</v>
      </c>
      <c r="AC870" t="s">
        <v>16471</v>
      </c>
      <c r="AD870" t="s">
        <v>16472</v>
      </c>
      <c r="AE870" t="s">
        <v>16473</v>
      </c>
      <c r="AF870" t="s">
        <v>74</v>
      </c>
      <c r="AG870">
        <v>92</v>
      </c>
      <c r="AH870">
        <v>10</v>
      </c>
      <c r="AI870">
        <v>11</v>
      </c>
      <c r="AJ870">
        <v>4</v>
      </c>
      <c r="AK870">
        <v>15</v>
      </c>
      <c r="AL870" t="s">
        <v>253</v>
      </c>
      <c r="AM870" t="s">
        <v>227</v>
      </c>
      <c r="AN870" t="s">
        <v>254</v>
      </c>
      <c r="AO870" t="s">
        <v>255</v>
      </c>
      <c r="AP870" t="s">
        <v>256</v>
      </c>
      <c r="AQ870" t="s">
        <v>74</v>
      </c>
      <c r="AR870" t="s">
        <v>257</v>
      </c>
      <c r="AS870" t="s">
        <v>258</v>
      </c>
      <c r="AT870" t="s">
        <v>6075</v>
      </c>
      <c r="AU870">
        <v>2023</v>
      </c>
      <c r="AV870">
        <v>18</v>
      </c>
      <c r="AW870">
        <v>4</v>
      </c>
      <c r="AX870" t="s">
        <v>74</v>
      </c>
      <c r="AY870" t="s">
        <v>74</v>
      </c>
      <c r="AZ870" t="s">
        <v>74</v>
      </c>
      <c r="BA870" t="s">
        <v>74</v>
      </c>
      <c r="BB870">
        <v>392</v>
      </c>
      <c r="BC870">
        <v>406</v>
      </c>
      <c r="BD870" t="s">
        <v>74</v>
      </c>
      <c r="BE870" t="s">
        <v>16474</v>
      </c>
      <c r="BF870" t="str">
        <f>HYPERLINK("http://dx.doi.org/10.1080/17483107.2020.1858976","http://dx.doi.org/10.1080/17483107.2020.1858976")</f>
        <v>http://dx.doi.org/10.1080/17483107.2020.1858976</v>
      </c>
      <c r="BG870" t="s">
        <v>74</v>
      </c>
      <c r="BH870" t="s">
        <v>2488</v>
      </c>
      <c r="BI870">
        <v>15</v>
      </c>
      <c r="BJ870" t="s">
        <v>101</v>
      </c>
      <c r="BK870" t="s">
        <v>462</v>
      </c>
      <c r="BL870" t="s">
        <v>101</v>
      </c>
      <c r="BM870" t="s">
        <v>16475</v>
      </c>
      <c r="BN870">
        <v>33332159</v>
      </c>
      <c r="BO870" t="s">
        <v>74</v>
      </c>
      <c r="BP870" t="s">
        <v>74</v>
      </c>
      <c r="BQ870" t="s">
        <v>74</v>
      </c>
      <c r="BR870" t="s">
        <v>105</v>
      </c>
      <c r="BS870" t="s">
        <v>16476</v>
      </c>
      <c r="BT870" t="str">
        <f>HYPERLINK("https%3A%2F%2Fwww.webofscience.com%2Fwos%2Fwoscc%2Ffull-record%2FWOS:000599656800001","View Full Record in Web of Science")</f>
        <v>View Full Record in Web of Science</v>
      </c>
    </row>
    <row r="871" spans="1:72" x14ac:dyDescent="0.25">
      <c r="A871" t="s">
        <v>72</v>
      </c>
      <c r="B871" t="s">
        <v>16477</v>
      </c>
      <c r="C871" t="s">
        <v>74</v>
      </c>
      <c r="D871" t="s">
        <v>74</v>
      </c>
      <c r="E871" t="s">
        <v>74</v>
      </c>
      <c r="F871" t="s">
        <v>16478</v>
      </c>
      <c r="G871" t="s">
        <v>74</v>
      </c>
      <c r="H871" t="s">
        <v>74</v>
      </c>
      <c r="I871" t="s">
        <v>16479</v>
      </c>
      <c r="J871" t="s">
        <v>16480</v>
      </c>
      <c r="K871" t="s">
        <v>74</v>
      </c>
      <c r="L871" t="s">
        <v>74</v>
      </c>
      <c r="M871" t="s">
        <v>1579</v>
      </c>
      <c r="N871" t="s">
        <v>79</v>
      </c>
      <c r="O871" t="s">
        <v>74</v>
      </c>
      <c r="P871" t="s">
        <v>74</v>
      </c>
      <c r="Q871" t="s">
        <v>74</v>
      </c>
      <c r="R871" t="s">
        <v>74</v>
      </c>
      <c r="S871" t="s">
        <v>74</v>
      </c>
      <c r="T871" t="s">
        <v>16481</v>
      </c>
      <c r="U871" t="s">
        <v>16482</v>
      </c>
      <c r="V871" t="s">
        <v>16483</v>
      </c>
      <c r="W871" t="s">
        <v>16484</v>
      </c>
      <c r="X871" t="s">
        <v>16485</v>
      </c>
      <c r="Y871" t="s">
        <v>16486</v>
      </c>
      <c r="Z871" t="s">
        <v>16487</v>
      </c>
      <c r="AA871" t="s">
        <v>16488</v>
      </c>
      <c r="AB871" t="s">
        <v>74</v>
      </c>
      <c r="AC871" t="s">
        <v>74</v>
      </c>
      <c r="AD871" t="s">
        <v>74</v>
      </c>
      <c r="AE871" t="s">
        <v>74</v>
      </c>
      <c r="AF871" t="s">
        <v>74</v>
      </c>
      <c r="AG871">
        <v>34</v>
      </c>
      <c r="AH871">
        <v>0</v>
      </c>
      <c r="AI871">
        <v>0</v>
      </c>
      <c r="AJ871">
        <v>0</v>
      </c>
      <c r="AK871">
        <v>6</v>
      </c>
      <c r="AL871" t="s">
        <v>1063</v>
      </c>
      <c r="AM871" t="s">
        <v>1064</v>
      </c>
      <c r="AN871" t="s">
        <v>1065</v>
      </c>
      <c r="AO871" t="s">
        <v>16489</v>
      </c>
      <c r="AP871" t="s">
        <v>16490</v>
      </c>
      <c r="AQ871" t="s">
        <v>74</v>
      </c>
      <c r="AR871" t="s">
        <v>16491</v>
      </c>
      <c r="AS871" t="s">
        <v>16492</v>
      </c>
      <c r="AT871" t="s">
        <v>151</v>
      </c>
      <c r="AU871">
        <v>2020</v>
      </c>
      <c r="AV871">
        <v>34</v>
      </c>
      <c r="AW871">
        <v>4</v>
      </c>
      <c r="AX871" t="s">
        <v>74</v>
      </c>
      <c r="AY871" t="s">
        <v>74</v>
      </c>
      <c r="AZ871" t="s">
        <v>74</v>
      </c>
      <c r="BA871" t="s">
        <v>74</v>
      </c>
      <c r="BB871">
        <v>281</v>
      </c>
      <c r="BC871">
        <v>285</v>
      </c>
      <c r="BD871" t="s">
        <v>74</v>
      </c>
      <c r="BE871" t="s">
        <v>16493</v>
      </c>
      <c r="BF871" t="str">
        <f>HYPERLINK("http://dx.doi.org/10.1016/j.nupar.2020.10.003","http://dx.doi.org/10.1016/j.nupar.2020.10.003")</f>
        <v>http://dx.doi.org/10.1016/j.nupar.2020.10.003</v>
      </c>
      <c r="BG871" t="s">
        <v>74</v>
      </c>
      <c r="BH871" t="s">
        <v>74</v>
      </c>
      <c r="BI871">
        <v>5</v>
      </c>
      <c r="BJ871" t="s">
        <v>16494</v>
      </c>
      <c r="BK871" t="s">
        <v>182</v>
      </c>
      <c r="BL871" t="s">
        <v>16494</v>
      </c>
      <c r="BM871" t="s">
        <v>16495</v>
      </c>
      <c r="BN871" t="s">
        <v>74</v>
      </c>
      <c r="BO871" t="s">
        <v>74</v>
      </c>
      <c r="BP871" t="s">
        <v>74</v>
      </c>
      <c r="BQ871" t="s">
        <v>74</v>
      </c>
      <c r="BR871" t="s">
        <v>105</v>
      </c>
      <c r="BS871" t="s">
        <v>16496</v>
      </c>
      <c r="BT871" t="str">
        <f>HYPERLINK("https%3A%2F%2Fwww.webofscience.com%2Fwos%2Fwoscc%2Ffull-record%2FWOS:000596361600010","View Full Record in Web of Science")</f>
        <v>View Full Record in Web of Science</v>
      </c>
    </row>
    <row r="872" spans="1:72" x14ac:dyDescent="0.25">
      <c r="A872" t="s">
        <v>72</v>
      </c>
      <c r="B872" t="s">
        <v>16497</v>
      </c>
      <c r="C872" t="s">
        <v>74</v>
      </c>
      <c r="D872" t="s">
        <v>74</v>
      </c>
      <c r="E872" t="s">
        <v>74</v>
      </c>
      <c r="F872" t="s">
        <v>16498</v>
      </c>
      <c r="G872" t="s">
        <v>74</v>
      </c>
      <c r="H872" t="s">
        <v>74</v>
      </c>
      <c r="I872" t="s">
        <v>16499</v>
      </c>
      <c r="J872" t="s">
        <v>16500</v>
      </c>
      <c r="K872" t="s">
        <v>74</v>
      </c>
      <c r="L872" t="s">
        <v>74</v>
      </c>
      <c r="M872" t="s">
        <v>78</v>
      </c>
      <c r="N872" t="s">
        <v>79</v>
      </c>
      <c r="O872" t="s">
        <v>74</v>
      </c>
      <c r="P872" t="s">
        <v>74</v>
      </c>
      <c r="Q872" t="s">
        <v>74</v>
      </c>
      <c r="R872" t="s">
        <v>74</v>
      </c>
      <c r="S872" t="s">
        <v>74</v>
      </c>
      <c r="T872" t="s">
        <v>16501</v>
      </c>
      <c r="U872" t="s">
        <v>16502</v>
      </c>
      <c r="V872" t="s">
        <v>16503</v>
      </c>
      <c r="W872" t="s">
        <v>16504</v>
      </c>
      <c r="X872" t="s">
        <v>16505</v>
      </c>
      <c r="Y872" t="s">
        <v>16506</v>
      </c>
      <c r="Z872" t="s">
        <v>16507</v>
      </c>
      <c r="AA872" t="s">
        <v>74</v>
      </c>
      <c r="AB872" t="s">
        <v>16508</v>
      </c>
      <c r="AC872" t="s">
        <v>16509</v>
      </c>
      <c r="AD872" t="s">
        <v>16510</v>
      </c>
      <c r="AE872" t="s">
        <v>16511</v>
      </c>
      <c r="AF872" t="s">
        <v>74</v>
      </c>
      <c r="AG872">
        <v>40</v>
      </c>
      <c r="AH872">
        <v>4</v>
      </c>
      <c r="AI872">
        <v>5</v>
      </c>
      <c r="AJ872">
        <v>0</v>
      </c>
      <c r="AK872">
        <v>6</v>
      </c>
      <c r="AL872" t="s">
        <v>557</v>
      </c>
      <c r="AM872" t="s">
        <v>275</v>
      </c>
      <c r="AN872" t="s">
        <v>558</v>
      </c>
      <c r="AO872" t="s">
        <v>16512</v>
      </c>
      <c r="AP872" t="s">
        <v>74</v>
      </c>
      <c r="AQ872" t="s">
        <v>74</v>
      </c>
      <c r="AR872" t="s">
        <v>16513</v>
      </c>
      <c r="AS872" t="s">
        <v>16514</v>
      </c>
      <c r="AT872" t="s">
        <v>151</v>
      </c>
      <c r="AU872">
        <v>2020</v>
      </c>
      <c r="AV872">
        <v>9</v>
      </c>
      <c r="AW872" t="s">
        <v>74</v>
      </c>
      <c r="AX872" t="s">
        <v>74</v>
      </c>
      <c r="AY872" t="s">
        <v>74</v>
      </c>
      <c r="AZ872" t="s">
        <v>74</v>
      </c>
      <c r="BA872" t="s">
        <v>74</v>
      </c>
      <c r="BB872" t="s">
        <v>74</v>
      </c>
      <c r="BC872" t="s">
        <v>74</v>
      </c>
      <c r="BD872">
        <v>1179572720979013</v>
      </c>
      <c r="BE872" t="s">
        <v>16515</v>
      </c>
      <c r="BF872" t="str">
        <f>HYPERLINK("http://dx.doi.org/10.1177/1179572720979013","http://dx.doi.org/10.1177/1179572720979013")</f>
        <v>http://dx.doi.org/10.1177/1179572720979013</v>
      </c>
      <c r="BG872" t="s">
        <v>74</v>
      </c>
      <c r="BH872" t="s">
        <v>74</v>
      </c>
      <c r="BI872">
        <v>17</v>
      </c>
      <c r="BJ872" t="s">
        <v>101</v>
      </c>
      <c r="BK872" t="s">
        <v>155</v>
      </c>
      <c r="BL872" t="s">
        <v>101</v>
      </c>
      <c r="BM872" t="s">
        <v>16516</v>
      </c>
      <c r="BN872">
        <v>34497471</v>
      </c>
      <c r="BO872" t="s">
        <v>355</v>
      </c>
      <c r="BP872" t="s">
        <v>74</v>
      </c>
      <c r="BQ872" t="s">
        <v>74</v>
      </c>
      <c r="BR872" t="s">
        <v>105</v>
      </c>
      <c r="BS872" t="s">
        <v>16517</v>
      </c>
      <c r="BT872" t="str">
        <f>HYPERLINK("https%3A%2F%2Fwww.webofscience.com%2Fwos%2Fwoscc%2Ffull-record%2FWOS:000600038200001","View Full Record in Web of Science")</f>
        <v>View Full Record in Web of Science</v>
      </c>
    </row>
    <row r="873" spans="1:72" x14ac:dyDescent="0.25">
      <c r="A873" t="s">
        <v>72</v>
      </c>
      <c r="B873" t="s">
        <v>16518</v>
      </c>
      <c r="C873" t="s">
        <v>74</v>
      </c>
      <c r="D873" t="s">
        <v>74</v>
      </c>
      <c r="E873" t="s">
        <v>74</v>
      </c>
      <c r="F873" t="s">
        <v>16519</v>
      </c>
      <c r="G873" t="s">
        <v>74</v>
      </c>
      <c r="H873" t="s">
        <v>74</v>
      </c>
      <c r="I873" t="s">
        <v>16520</v>
      </c>
      <c r="J873" t="s">
        <v>16521</v>
      </c>
      <c r="K873" t="s">
        <v>74</v>
      </c>
      <c r="L873" t="s">
        <v>74</v>
      </c>
      <c r="M873" t="s">
        <v>78</v>
      </c>
      <c r="N873" t="s">
        <v>79</v>
      </c>
      <c r="O873" t="s">
        <v>74</v>
      </c>
      <c r="P873" t="s">
        <v>74</v>
      </c>
      <c r="Q873" t="s">
        <v>74</v>
      </c>
      <c r="R873" t="s">
        <v>74</v>
      </c>
      <c r="S873" t="s">
        <v>74</v>
      </c>
      <c r="T873" t="s">
        <v>16522</v>
      </c>
      <c r="U873" t="s">
        <v>74</v>
      </c>
      <c r="V873" t="s">
        <v>16523</v>
      </c>
      <c r="W873" t="s">
        <v>16524</v>
      </c>
      <c r="X873" t="s">
        <v>16525</v>
      </c>
      <c r="Y873" t="s">
        <v>16526</v>
      </c>
      <c r="Z873" t="s">
        <v>16527</v>
      </c>
      <c r="AA873" t="s">
        <v>16528</v>
      </c>
      <c r="AB873" t="s">
        <v>16529</v>
      </c>
      <c r="AC873" t="s">
        <v>74</v>
      </c>
      <c r="AD873" t="s">
        <v>74</v>
      </c>
      <c r="AE873" t="s">
        <v>74</v>
      </c>
      <c r="AF873" t="s">
        <v>74</v>
      </c>
      <c r="AG873">
        <v>44</v>
      </c>
      <c r="AH873">
        <v>6</v>
      </c>
      <c r="AI873">
        <v>6</v>
      </c>
      <c r="AJ873">
        <v>0</v>
      </c>
      <c r="AK873">
        <v>0</v>
      </c>
      <c r="AL873" t="s">
        <v>226</v>
      </c>
      <c r="AM873" t="s">
        <v>227</v>
      </c>
      <c r="AN873" t="s">
        <v>228</v>
      </c>
      <c r="AO873" t="s">
        <v>16530</v>
      </c>
      <c r="AP873" t="s">
        <v>16531</v>
      </c>
      <c r="AQ873" t="s">
        <v>74</v>
      </c>
      <c r="AR873" t="s">
        <v>16532</v>
      </c>
      <c r="AS873" t="s">
        <v>16533</v>
      </c>
      <c r="AT873" t="s">
        <v>151</v>
      </c>
      <c r="AU873">
        <v>2020</v>
      </c>
      <c r="AV873">
        <v>53</v>
      </c>
      <c r="AW873">
        <v>6</v>
      </c>
      <c r="AX873" t="s">
        <v>74</v>
      </c>
      <c r="AY873" t="s">
        <v>74</v>
      </c>
      <c r="AZ873" t="s">
        <v>74</v>
      </c>
      <c r="BA873" t="s">
        <v>74</v>
      </c>
      <c r="BB873">
        <v>1091</v>
      </c>
      <c r="BC873" t="s">
        <v>233</v>
      </c>
      <c r="BD873" t="s">
        <v>74</v>
      </c>
      <c r="BE873" t="s">
        <v>16534</v>
      </c>
      <c r="BF873" t="str">
        <f>HYPERLINK("http://dx.doi.org/10.1016/j.otc.2020.07.016","http://dx.doi.org/10.1016/j.otc.2020.07.016")</f>
        <v>http://dx.doi.org/10.1016/j.otc.2020.07.016</v>
      </c>
      <c r="BG873" t="s">
        <v>74</v>
      </c>
      <c r="BH873" t="s">
        <v>74</v>
      </c>
      <c r="BI873">
        <v>19</v>
      </c>
      <c r="BJ873" t="s">
        <v>5169</v>
      </c>
      <c r="BK873" t="s">
        <v>182</v>
      </c>
      <c r="BL873" t="s">
        <v>5169</v>
      </c>
      <c r="BM873" t="s">
        <v>16535</v>
      </c>
      <c r="BN873">
        <v>33127041</v>
      </c>
      <c r="BO873" t="s">
        <v>74</v>
      </c>
      <c r="BP873" t="s">
        <v>74</v>
      </c>
      <c r="BQ873" t="s">
        <v>74</v>
      </c>
      <c r="BR873" t="s">
        <v>105</v>
      </c>
      <c r="BS873" t="s">
        <v>16536</v>
      </c>
      <c r="BT873" t="str">
        <f>HYPERLINK("https%3A%2F%2Fwww.webofscience.com%2Fwos%2Fwoscc%2Ffull-record%2FWOS:000616401700018","View Full Record in Web of Science")</f>
        <v>View Full Record in Web of Science</v>
      </c>
    </row>
    <row r="874" spans="1:72" x14ac:dyDescent="0.25">
      <c r="A874" t="s">
        <v>72</v>
      </c>
      <c r="B874" t="s">
        <v>16537</v>
      </c>
      <c r="C874" t="s">
        <v>74</v>
      </c>
      <c r="D874" t="s">
        <v>74</v>
      </c>
      <c r="E874" t="s">
        <v>74</v>
      </c>
      <c r="F874" t="s">
        <v>16538</v>
      </c>
      <c r="G874" t="s">
        <v>74</v>
      </c>
      <c r="H874" t="s">
        <v>74</v>
      </c>
      <c r="I874" t="s">
        <v>16539</v>
      </c>
      <c r="J874" t="s">
        <v>701</v>
      </c>
      <c r="K874" t="s">
        <v>74</v>
      </c>
      <c r="L874" t="s">
        <v>74</v>
      </c>
      <c r="M874" t="s">
        <v>78</v>
      </c>
      <c r="N874" t="s">
        <v>79</v>
      </c>
      <c r="O874" t="s">
        <v>74</v>
      </c>
      <c r="P874" t="s">
        <v>74</v>
      </c>
      <c r="Q874" t="s">
        <v>74</v>
      </c>
      <c r="R874" t="s">
        <v>74</v>
      </c>
      <c r="S874" t="s">
        <v>74</v>
      </c>
      <c r="T874" t="s">
        <v>16540</v>
      </c>
      <c r="U874" t="s">
        <v>16541</v>
      </c>
      <c r="V874" t="s">
        <v>16542</v>
      </c>
      <c r="W874" t="s">
        <v>16543</v>
      </c>
      <c r="X874" t="s">
        <v>8679</v>
      </c>
      <c r="Y874" t="s">
        <v>15561</v>
      </c>
      <c r="Z874" t="s">
        <v>15562</v>
      </c>
      <c r="AA874" t="s">
        <v>16544</v>
      </c>
      <c r="AB874" t="s">
        <v>16545</v>
      </c>
      <c r="AC874" t="s">
        <v>16546</v>
      </c>
      <c r="AD874" t="s">
        <v>1649</v>
      </c>
      <c r="AE874" t="s">
        <v>16547</v>
      </c>
      <c r="AF874" t="s">
        <v>74</v>
      </c>
      <c r="AG874">
        <v>84</v>
      </c>
      <c r="AH874">
        <v>24</v>
      </c>
      <c r="AI874">
        <v>25</v>
      </c>
      <c r="AJ874">
        <v>1</v>
      </c>
      <c r="AK874">
        <v>11</v>
      </c>
      <c r="AL874" t="s">
        <v>392</v>
      </c>
      <c r="AM874" t="s">
        <v>393</v>
      </c>
      <c r="AN874" t="s">
        <v>394</v>
      </c>
      <c r="AO874" t="s">
        <v>709</v>
      </c>
      <c r="AP874" t="s">
        <v>74</v>
      </c>
      <c r="AQ874" t="s">
        <v>74</v>
      </c>
      <c r="AR874" t="s">
        <v>710</v>
      </c>
      <c r="AS874" t="s">
        <v>711</v>
      </c>
      <c r="AT874" t="s">
        <v>9013</v>
      </c>
      <c r="AU874">
        <v>2020</v>
      </c>
      <c r="AV874">
        <v>7</v>
      </c>
      <c r="AW874" t="s">
        <v>74</v>
      </c>
      <c r="AX874" t="s">
        <v>74</v>
      </c>
      <c r="AY874" t="s">
        <v>74</v>
      </c>
      <c r="AZ874" t="s">
        <v>74</v>
      </c>
      <c r="BA874" t="s">
        <v>74</v>
      </c>
      <c r="BB874" t="s">
        <v>74</v>
      </c>
      <c r="BC874" t="s">
        <v>74</v>
      </c>
      <c r="BD874">
        <v>557606</v>
      </c>
      <c r="BE874" t="s">
        <v>16548</v>
      </c>
      <c r="BF874" t="str">
        <f>HYPERLINK("http://dx.doi.org/10.3389/frobt.2020.557606","http://dx.doi.org/10.3389/frobt.2020.557606")</f>
        <v>http://dx.doi.org/10.3389/frobt.2020.557606</v>
      </c>
      <c r="BG874" t="s">
        <v>74</v>
      </c>
      <c r="BH874" t="s">
        <v>74</v>
      </c>
      <c r="BI874">
        <v>17</v>
      </c>
      <c r="BJ874" t="s">
        <v>714</v>
      </c>
      <c r="BK874" t="s">
        <v>155</v>
      </c>
      <c r="BL874" t="s">
        <v>714</v>
      </c>
      <c r="BM874" t="s">
        <v>16549</v>
      </c>
      <c r="BN874">
        <v>33501319</v>
      </c>
      <c r="BO874" t="s">
        <v>131</v>
      </c>
      <c r="BP874" t="s">
        <v>74</v>
      </c>
      <c r="BQ874" t="s">
        <v>74</v>
      </c>
      <c r="BR874" t="s">
        <v>105</v>
      </c>
      <c r="BS874" t="s">
        <v>16550</v>
      </c>
      <c r="BT874" t="str">
        <f>HYPERLINK("https%3A%2F%2Fwww.webofscience.com%2Fwos%2Fwoscc%2Ffull-record%2FWOS:000593927200001","View Full Record in Web of Science")</f>
        <v>View Full Record in Web of Science</v>
      </c>
    </row>
    <row r="875" spans="1:72" x14ac:dyDescent="0.25">
      <c r="A875" t="s">
        <v>72</v>
      </c>
      <c r="B875" t="s">
        <v>16551</v>
      </c>
      <c r="C875" t="s">
        <v>74</v>
      </c>
      <c r="D875" t="s">
        <v>74</v>
      </c>
      <c r="E875" t="s">
        <v>74</v>
      </c>
      <c r="F875" t="s">
        <v>16552</v>
      </c>
      <c r="G875" t="s">
        <v>74</v>
      </c>
      <c r="H875" t="s">
        <v>74</v>
      </c>
      <c r="I875" t="s">
        <v>16553</v>
      </c>
      <c r="J875" t="s">
        <v>12194</v>
      </c>
      <c r="K875" t="s">
        <v>74</v>
      </c>
      <c r="L875" t="s">
        <v>74</v>
      </c>
      <c r="M875" t="s">
        <v>78</v>
      </c>
      <c r="N875" t="s">
        <v>79</v>
      </c>
      <c r="O875" t="s">
        <v>74</v>
      </c>
      <c r="P875" t="s">
        <v>74</v>
      </c>
      <c r="Q875" t="s">
        <v>74</v>
      </c>
      <c r="R875" t="s">
        <v>74</v>
      </c>
      <c r="S875" t="s">
        <v>74</v>
      </c>
      <c r="T875" t="s">
        <v>16554</v>
      </c>
      <c r="U875" t="s">
        <v>74</v>
      </c>
      <c r="V875" t="s">
        <v>16555</v>
      </c>
      <c r="W875" t="s">
        <v>16556</v>
      </c>
      <c r="X875" t="s">
        <v>16557</v>
      </c>
      <c r="Y875" t="s">
        <v>16558</v>
      </c>
      <c r="Z875" t="s">
        <v>16559</v>
      </c>
      <c r="AA875" t="s">
        <v>16560</v>
      </c>
      <c r="AB875" t="s">
        <v>16561</v>
      </c>
      <c r="AC875" t="s">
        <v>74</v>
      </c>
      <c r="AD875" t="s">
        <v>74</v>
      </c>
      <c r="AE875" t="s">
        <v>74</v>
      </c>
      <c r="AF875" t="s">
        <v>74</v>
      </c>
      <c r="AG875">
        <v>36</v>
      </c>
      <c r="AH875">
        <v>91</v>
      </c>
      <c r="AI875">
        <v>99</v>
      </c>
      <c r="AJ875">
        <v>4</v>
      </c>
      <c r="AK875">
        <v>65</v>
      </c>
      <c r="AL875" t="s">
        <v>12207</v>
      </c>
      <c r="AM875" t="s">
        <v>12208</v>
      </c>
      <c r="AN875" t="s">
        <v>12209</v>
      </c>
      <c r="AO875" t="s">
        <v>12210</v>
      </c>
      <c r="AP875" t="s">
        <v>12211</v>
      </c>
      <c r="AQ875" t="s">
        <v>74</v>
      </c>
      <c r="AR875" t="s">
        <v>12212</v>
      </c>
      <c r="AS875" t="s">
        <v>12213</v>
      </c>
      <c r="AT875" t="s">
        <v>126</v>
      </c>
      <c r="AU875">
        <v>2020</v>
      </c>
      <c r="AV875">
        <v>63</v>
      </c>
      <c r="AW875">
        <v>6</v>
      </c>
      <c r="AX875" t="s">
        <v>74</v>
      </c>
      <c r="AY875" t="s">
        <v>74</v>
      </c>
      <c r="AZ875" t="s">
        <v>74</v>
      </c>
      <c r="BA875" t="s">
        <v>74</v>
      </c>
      <c r="BB875">
        <v>518</v>
      </c>
      <c r="BC875">
        <v>534</v>
      </c>
      <c r="BD875" t="s">
        <v>74</v>
      </c>
      <c r="BE875" t="s">
        <v>16562</v>
      </c>
      <c r="BF875" t="str">
        <f>HYPERLINK("http://dx.doi.org/10.1016/j.rehab.2020.02.008","http://dx.doi.org/10.1016/j.rehab.2020.02.008")</f>
        <v>http://dx.doi.org/10.1016/j.rehab.2020.02.008</v>
      </c>
      <c r="BG875" t="s">
        <v>74</v>
      </c>
      <c r="BH875" t="s">
        <v>74</v>
      </c>
      <c r="BI875">
        <v>17</v>
      </c>
      <c r="BJ875" t="s">
        <v>101</v>
      </c>
      <c r="BK875" t="s">
        <v>102</v>
      </c>
      <c r="BL875" t="s">
        <v>101</v>
      </c>
      <c r="BM875" t="s">
        <v>16563</v>
      </c>
      <c r="BN875">
        <v>32229177</v>
      </c>
      <c r="BO875" t="s">
        <v>4373</v>
      </c>
      <c r="BP875" t="s">
        <v>74</v>
      </c>
      <c r="BQ875" t="s">
        <v>74</v>
      </c>
      <c r="BR875" t="s">
        <v>105</v>
      </c>
      <c r="BS875" t="s">
        <v>16564</v>
      </c>
      <c r="BT875" t="str">
        <f>HYPERLINK("https%3A%2F%2Fwww.webofscience.com%2Fwos%2Fwoscc%2Ffull-record%2FWOS:000595251600009","View Full Record in Web of Science")</f>
        <v>View Full Record in Web of Science</v>
      </c>
    </row>
    <row r="876" spans="1:72" x14ac:dyDescent="0.25">
      <c r="A876" t="s">
        <v>72</v>
      </c>
      <c r="B876" t="s">
        <v>16565</v>
      </c>
      <c r="C876" t="s">
        <v>74</v>
      </c>
      <c r="D876" t="s">
        <v>74</v>
      </c>
      <c r="E876" t="s">
        <v>74</v>
      </c>
      <c r="F876" t="s">
        <v>16566</v>
      </c>
      <c r="G876" t="s">
        <v>74</v>
      </c>
      <c r="H876" t="s">
        <v>74</v>
      </c>
      <c r="I876" t="s">
        <v>16567</v>
      </c>
      <c r="J876" t="s">
        <v>2091</v>
      </c>
      <c r="K876" t="s">
        <v>74</v>
      </c>
      <c r="L876" t="s">
        <v>74</v>
      </c>
      <c r="M876" t="s">
        <v>78</v>
      </c>
      <c r="N876" t="s">
        <v>79</v>
      </c>
      <c r="O876" t="s">
        <v>74</v>
      </c>
      <c r="P876" t="s">
        <v>74</v>
      </c>
      <c r="Q876" t="s">
        <v>74</v>
      </c>
      <c r="R876" t="s">
        <v>74</v>
      </c>
      <c r="S876" t="s">
        <v>74</v>
      </c>
      <c r="T876" t="s">
        <v>16568</v>
      </c>
      <c r="U876" t="s">
        <v>16569</v>
      </c>
      <c r="V876" t="s">
        <v>16570</v>
      </c>
      <c r="W876" t="s">
        <v>16571</v>
      </c>
      <c r="X876" t="s">
        <v>2355</v>
      </c>
      <c r="Y876" t="s">
        <v>16572</v>
      </c>
      <c r="Z876" t="s">
        <v>16573</v>
      </c>
      <c r="AA876" t="s">
        <v>15331</v>
      </c>
      <c r="AB876" t="s">
        <v>16574</v>
      </c>
      <c r="AC876" t="s">
        <v>74</v>
      </c>
      <c r="AD876" t="s">
        <v>74</v>
      </c>
      <c r="AE876" t="s">
        <v>74</v>
      </c>
      <c r="AF876" t="s">
        <v>74</v>
      </c>
      <c r="AG876">
        <v>75</v>
      </c>
      <c r="AH876">
        <v>31</v>
      </c>
      <c r="AI876">
        <v>34</v>
      </c>
      <c r="AJ876">
        <v>17</v>
      </c>
      <c r="AK876">
        <v>168</v>
      </c>
      <c r="AL876" t="s">
        <v>120</v>
      </c>
      <c r="AM876" t="s">
        <v>121</v>
      </c>
      <c r="AN876" t="s">
        <v>122</v>
      </c>
      <c r="AO876" t="s">
        <v>74</v>
      </c>
      <c r="AP876" t="s">
        <v>2104</v>
      </c>
      <c r="AQ876" t="s">
        <v>74</v>
      </c>
      <c r="AR876" t="s">
        <v>2105</v>
      </c>
      <c r="AS876" t="s">
        <v>2106</v>
      </c>
      <c r="AT876" t="s">
        <v>126</v>
      </c>
      <c r="AU876">
        <v>2020</v>
      </c>
      <c r="AV876">
        <v>10</v>
      </c>
      <c r="AW876">
        <v>21</v>
      </c>
      <c r="AX876" t="s">
        <v>74</v>
      </c>
      <c r="AY876" t="s">
        <v>74</v>
      </c>
      <c r="AZ876" t="s">
        <v>74</v>
      </c>
      <c r="BA876" t="s">
        <v>74</v>
      </c>
      <c r="BB876" t="s">
        <v>74</v>
      </c>
      <c r="BC876" t="s">
        <v>74</v>
      </c>
      <c r="BD876">
        <v>7626</v>
      </c>
      <c r="BE876" t="s">
        <v>16575</v>
      </c>
      <c r="BF876" t="str">
        <f>HYPERLINK("http://dx.doi.org/10.3390/app10217626","http://dx.doi.org/10.3390/app10217626")</f>
        <v>http://dx.doi.org/10.3390/app10217626</v>
      </c>
      <c r="BG876" t="s">
        <v>74</v>
      </c>
      <c r="BH876" t="s">
        <v>74</v>
      </c>
      <c r="BI876">
        <v>21</v>
      </c>
      <c r="BJ876" t="s">
        <v>2109</v>
      </c>
      <c r="BK876" t="s">
        <v>182</v>
      </c>
      <c r="BL876" t="s">
        <v>2110</v>
      </c>
      <c r="BM876" t="s">
        <v>16576</v>
      </c>
      <c r="BN876" t="s">
        <v>74</v>
      </c>
      <c r="BO876" t="s">
        <v>9819</v>
      </c>
      <c r="BP876" t="s">
        <v>74</v>
      </c>
      <c r="BQ876" t="s">
        <v>74</v>
      </c>
      <c r="BR876" t="s">
        <v>105</v>
      </c>
      <c r="BS876" t="s">
        <v>16577</v>
      </c>
      <c r="BT876" t="str">
        <f>HYPERLINK("https%3A%2F%2Fwww.webofscience.com%2Fwos%2Fwoscc%2Ffull-record%2FWOS:000588937200001","View Full Record in Web of Science")</f>
        <v>View Full Record in Web of Science</v>
      </c>
    </row>
    <row r="877" spans="1:72" x14ac:dyDescent="0.25">
      <c r="A877" t="s">
        <v>72</v>
      </c>
      <c r="B877" t="s">
        <v>16578</v>
      </c>
      <c r="C877" t="s">
        <v>74</v>
      </c>
      <c r="D877" t="s">
        <v>74</v>
      </c>
      <c r="E877" t="s">
        <v>74</v>
      </c>
      <c r="F877" t="s">
        <v>16579</v>
      </c>
      <c r="G877" t="s">
        <v>74</v>
      </c>
      <c r="H877" t="s">
        <v>74</v>
      </c>
      <c r="I877" t="s">
        <v>16580</v>
      </c>
      <c r="J877" t="s">
        <v>243</v>
      </c>
      <c r="K877" t="s">
        <v>74</v>
      </c>
      <c r="L877" t="s">
        <v>74</v>
      </c>
      <c r="M877" t="s">
        <v>78</v>
      </c>
      <c r="N877" t="s">
        <v>79</v>
      </c>
      <c r="O877" t="s">
        <v>74</v>
      </c>
      <c r="P877" t="s">
        <v>74</v>
      </c>
      <c r="Q877" t="s">
        <v>74</v>
      </c>
      <c r="R877" t="s">
        <v>74</v>
      </c>
      <c r="S877" t="s">
        <v>74</v>
      </c>
      <c r="T877" t="s">
        <v>16581</v>
      </c>
      <c r="U877" t="s">
        <v>16582</v>
      </c>
      <c r="V877" t="s">
        <v>16583</v>
      </c>
      <c r="W877" t="s">
        <v>16584</v>
      </c>
      <c r="X877" t="s">
        <v>16585</v>
      </c>
      <c r="Y877" t="s">
        <v>16586</v>
      </c>
      <c r="Z877" t="s">
        <v>16587</v>
      </c>
      <c r="AA877" t="s">
        <v>16588</v>
      </c>
      <c r="AB877" t="s">
        <v>16589</v>
      </c>
      <c r="AC877" t="s">
        <v>74</v>
      </c>
      <c r="AD877" t="s">
        <v>74</v>
      </c>
      <c r="AE877" t="s">
        <v>74</v>
      </c>
      <c r="AF877" t="s">
        <v>74</v>
      </c>
      <c r="AG877">
        <v>77</v>
      </c>
      <c r="AH877">
        <v>9</v>
      </c>
      <c r="AI877">
        <v>11</v>
      </c>
      <c r="AJ877">
        <v>2</v>
      </c>
      <c r="AK877">
        <v>39</v>
      </c>
      <c r="AL877" t="s">
        <v>253</v>
      </c>
      <c r="AM877" t="s">
        <v>227</v>
      </c>
      <c r="AN877" t="s">
        <v>254</v>
      </c>
      <c r="AO877" t="s">
        <v>255</v>
      </c>
      <c r="AP877" t="s">
        <v>256</v>
      </c>
      <c r="AQ877" t="s">
        <v>74</v>
      </c>
      <c r="AR877" t="s">
        <v>257</v>
      </c>
      <c r="AS877" t="s">
        <v>258</v>
      </c>
      <c r="AT877" t="s">
        <v>4603</v>
      </c>
      <c r="AU877">
        <v>2022</v>
      </c>
      <c r="AV877">
        <v>17</v>
      </c>
      <c r="AW877">
        <v>7</v>
      </c>
      <c r="AX877" t="s">
        <v>74</v>
      </c>
      <c r="AY877" t="s">
        <v>74</v>
      </c>
      <c r="AZ877" t="s">
        <v>74</v>
      </c>
      <c r="BA877" t="s">
        <v>74</v>
      </c>
      <c r="BB877">
        <v>738</v>
      </c>
      <c r="BC877">
        <v>746</v>
      </c>
      <c r="BD877" t="s">
        <v>74</v>
      </c>
      <c r="BE877" t="s">
        <v>16590</v>
      </c>
      <c r="BF877" t="str">
        <f>HYPERLINK("http://dx.doi.org/10.1080/17483107.2020.1839580","http://dx.doi.org/10.1080/17483107.2020.1839580")</f>
        <v>http://dx.doi.org/10.1080/17483107.2020.1839580</v>
      </c>
      <c r="BG877" t="s">
        <v>74</v>
      </c>
      <c r="BH877" t="s">
        <v>16591</v>
      </c>
      <c r="BI877">
        <v>9</v>
      </c>
      <c r="BJ877" t="s">
        <v>101</v>
      </c>
      <c r="BK877" t="s">
        <v>462</v>
      </c>
      <c r="BL877" t="s">
        <v>101</v>
      </c>
      <c r="BM877" t="s">
        <v>16592</v>
      </c>
      <c r="BN877">
        <v>33125855</v>
      </c>
      <c r="BO877" t="s">
        <v>74</v>
      </c>
      <c r="BP877" t="s">
        <v>74</v>
      </c>
      <c r="BQ877" t="s">
        <v>74</v>
      </c>
      <c r="BR877" t="s">
        <v>105</v>
      </c>
      <c r="BS877" t="s">
        <v>16593</v>
      </c>
      <c r="BT877" t="str">
        <f>HYPERLINK("https%3A%2F%2Fwww.webofscience.com%2Fwos%2Fwoscc%2Ffull-record%2FWOS:000590879600001","View Full Record in Web of Science")</f>
        <v>View Full Record in Web of Science</v>
      </c>
    </row>
    <row r="878" spans="1:72" x14ac:dyDescent="0.25">
      <c r="A878" t="s">
        <v>72</v>
      </c>
      <c r="B878" t="s">
        <v>16594</v>
      </c>
      <c r="C878" t="s">
        <v>74</v>
      </c>
      <c r="D878" t="s">
        <v>74</v>
      </c>
      <c r="E878" t="s">
        <v>74</v>
      </c>
      <c r="F878" t="s">
        <v>16595</v>
      </c>
      <c r="G878" t="s">
        <v>74</v>
      </c>
      <c r="H878" t="s">
        <v>74</v>
      </c>
      <c r="I878" t="s">
        <v>16596</v>
      </c>
      <c r="J878" t="s">
        <v>2233</v>
      </c>
      <c r="K878" t="s">
        <v>74</v>
      </c>
      <c r="L878" t="s">
        <v>74</v>
      </c>
      <c r="M878" t="s">
        <v>78</v>
      </c>
      <c r="N878" t="s">
        <v>79</v>
      </c>
      <c r="O878" t="s">
        <v>74</v>
      </c>
      <c r="P878" t="s">
        <v>74</v>
      </c>
      <c r="Q878" t="s">
        <v>74</v>
      </c>
      <c r="R878" t="s">
        <v>74</v>
      </c>
      <c r="S878" t="s">
        <v>74</v>
      </c>
      <c r="T878" t="s">
        <v>74</v>
      </c>
      <c r="U878" t="s">
        <v>16597</v>
      </c>
      <c r="V878" t="s">
        <v>16598</v>
      </c>
      <c r="W878" t="s">
        <v>16599</v>
      </c>
      <c r="X878" t="s">
        <v>16600</v>
      </c>
      <c r="Y878" t="s">
        <v>16601</v>
      </c>
      <c r="Z878" t="s">
        <v>16602</v>
      </c>
      <c r="AA878" t="s">
        <v>16603</v>
      </c>
      <c r="AB878" t="s">
        <v>16604</v>
      </c>
      <c r="AC878" t="s">
        <v>16605</v>
      </c>
      <c r="AD878" t="s">
        <v>4047</v>
      </c>
      <c r="AE878" t="s">
        <v>16606</v>
      </c>
      <c r="AF878" t="s">
        <v>74</v>
      </c>
      <c r="AG878">
        <v>49</v>
      </c>
      <c r="AH878">
        <v>24</v>
      </c>
      <c r="AI878">
        <v>24</v>
      </c>
      <c r="AJ878">
        <v>0</v>
      </c>
      <c r="AK878">
        <v>33</v>
      </c>
      <c r="AL878" t="s">
        <v>367</v>
      </c>
      <c r="AM878" t="s">
        <v>275</v>
      </c>
      <c r="AN878" t="s">
        <v>368</v>
      </c>
      <c r="AO878" t="s">
        <v>2240</v>
      </c>
      <c r="AP878" t="s">
        <v>2241</v>
      </c>
      <c r="AQ878" t="s">
        <v>74</v>
      </c>
      <c r="AR878" t="s">
        <v>2242</v>
      </c>
      <c r="AS878" t="s">
        <v>2243</v>
      </c>
      <c r="AT878" t="s">
        <v>9889</v>
      </c>
      <c r="AU878">
        <v>2020</v>
      </c>
      <c r="AV878">
        <v>2020</v>
      </c>
      <c r="AW878" t="s">
        <v>74</v>
      </c>
      <c r="AX878" t="s">
        <v>74</v>
      </c>
      <c r="AY878" t="s">
        <v>74</v>
      </c>
      <c r="AZ878" t="s">
        <v>74</v>
      </c>
      <c r="BA878" t="s">
        <v>74</v>
      </c>
      <c r="BB878" t="s">
        <v>74</v>
      </c>
      <c r="BC878" t="s">
        <v>74</v>
      </c>
      <c r="BD878">
        <v>8810867</v>
      </c>
      <c r="BE878" t="s">
        <v>16607</v>
      </c>
      <c r="BF878" t="str">
        <f>HYPERLINK("http://dx.doi.org/10.1155/2020/8810867","http://dx.doi.org/10.1155/2020/8810867")</f>
        <v>http://dx.doi.org/10.1155/2020/8810867</v>
      </c>
      <c r="BG878" t="s">
        <v>74</v>
      </c>
      <c r="BH878" t="s">
        <v>74</v>
      </c>
      <c r="BI878">
        <v>10</v>
      </c>
      <c r="BJ878" t="s">
        <v>423</v>
      </c>
      <c r="BK878" t="s">
        <v>182</v>
      </c>
      <c r="BL878" t="s">
        <v>423</v>
      </c>
      <c r="BM878" t="s">
        <v>16608</v>
      </c>
      <c r="BN878">
        <v>33194159</v>
      </c>
      <c r="BO878" t="s">
        <v>238</v>
      </c>
      <c r="BP878" t="s">
        <v>74</v>
      </c>
      <c r="BQ878" t="s">
        <v>74</v>
      </c>
      <c r="BR878" t="s">
        <v>105</v>
      </c>
      <c r="BS878" t="s">
        <v>16609</v>
      </c>
      <c r="BT878" t="str">
        <f>HYPERLINK("https%3A%2F%2Fwww.webofscience.com%2Fwos%2Fwoscc%2Ffull-record%2FWOS:000594083500002","View Full Record in Web of Science")</f>
        <v>View Full Record in Web of Science</v>
      </c>
    </row>
    <row r="879" spans="1:72" x14ac:dyDescent="0.25">
      <c r="A879" t="s">
        <v>72</v>
      </c>
      <c r="B879" t="s">
        <v>16610</v>
      </c>
      <c r="C879" t="s">
        <v>74</v>
      </c>
      <c r="D879" t="s">
        <v>74</v>
      </c>
      <c r="E879" t="s">
        <v>74</v>
      </c>
      <c r="F879" t="s">
        <v>16611</v>
      </c>
      <c r="G879" t="s">
        <v>74</v>
      </c>
      <c r="H879" t="s">
        <v>74</v>
      </c>
      <c r="I879" t="s">
        <v>16612</v>
      </c>
      <c r="J879" t="s">
        <v>16613</v>
      </c>
      <c r="K879" t="s">
        <v>74</v>
      </c>
      <c r="L879" t="s">
        <v>74</v>
      </c>
      <c r="M879" t="s">
        <v>78</v>
      </c>
      <c r="N879" t="s">
        <v>79</v>
      </c>
      <c r="O879" t="s">
        <v>74</v>
      </c>
      <c r="P879" t="s">
        <v>74</v>
      </c>
      <c r="Q879" t="s">
        <v>74</v>
      </c>
      <c r="R879" t="s">
        <v>74</v>
      </c>
      <c r="S879" t="s">
        <v>74</v>
      </c>
      <c r="T879" t="s">
        <v>16614</v>
      </c>
      <c r="U879" t="s">
        <v>16615</v>
      </c>
      <c r="V879" t="s">
        <v>16616</v>
      </c>
      <c r="W879" t="s">
        <v>16617</v>
      </c>
      <c r="X879" t="s">
        <v>16618</v>
      </c>
      <c r="Y879" t="s">
        <v>16619</v>
      </c>
      <c r="Z879" t="s">
        <v>16620</v>
      </c>
      <c r="AA879" t="s">
        <v>74</v>
      </c>
      <c r="AB879" t="s">
        <v>16621</v>
      </c>
      <c r="AC879" t="s">
        <v>74</v>
      </c>
      <c r="AD879" t="s">
        <v>74</v>
      </c>
      <c r="AE879" t="s">
        <v>74</v>
      </c>
      <c r="AF879" t="s">
        <v>74</v>
      </c>
      <c r="AG879">
        <v>53</v>
      </c>
      <c r="AH879">
        <v>9</v>
      </c>
      <c r="AI879">
        <v>9</v>
      </c>
      <c r="AJ879">
        <v>0</v>
      </c>
      <c r="AK879">
        <v>6</v>
      </c>
      <c r="AL879" t="s">
        <v>996</v>
      </c>
      <c r="AM879" t="s">
        <v>275</v>
      </c>
      <c r="AN879" t="s">
        <v>997</v>
      </c>
      <c r="AO879" t="s">
        <v>16622</v>
      </c>
      <c r="AP879" t="s">
        <v>16623</v>
      </c>
      <c r="AQ879" t="s">
        <v>74</v>
      </c>
      <c r="AR879" t="s">
        <v>16624</v>
      </c>
      <c r="AS879" t="s">
        <v>16625</v>
      </c>
      <c r="AT879" t="s">
        <v>487</v>
      </c>
      <c r="AU879">
        <v>2021</v>
      </c>
      <c r="AV879">
        <v>15</v>
      </c>
      <c r="AW879">
        <v>2</v>
      </c>
      <c r="AX879" t="s">
        <v>74</v>
      </c>
      <c r="AY879" t="s">
        <v>74</v>
      </c>
      <c r="AZ879" t="s">
        <v>74</v>
      </c>
      <c r="BA879" t="s">
        <v>74</v>
      </c>
      <c r="BB879">
        <v>165</v>
      </c>
      <c r="BC879">
        <v>177</v>
      </c>
      <c r="BD879" t="s">
        <v>74</v>
      </c>
      <c r="BE879" t="s">
        <v>16626</v>
      </c>
      <c r="BF879" t="str">
        <f>HYPERLINK("http://dx.doi.org/10.1007/s11701-020-01162-8","http://dx.doi.org/10.1007/s11701-020-01162-8")</f>
        <v>http://dx.doi.org/10.1007/s11701-020-01162-8</v>
      </c>
      <c r="BG879" t="s">
        <v>74</v>
      </c>
      <c r="BH879" t="s">
        <v>16591</v>
      </c>
      <c r="BI879">
        <v>13</v>
      </c>
      <c r="BJ879" t="s">
        <v>4896</v>
      </c>
      <c r="BK879" t="s">
        <v>182</v>
      </c>
      <c r="BL879" t="s">
        <v>4896</v>
      </c>
      <c r="BM879" t="s">
        <v>16627</v>
      </c>
      <c r="BN879">
        <v>33111233</v>
      </c>
      <c r="BO879" t="s">
        <v>74</v>
      </c>
      <c r="BP879" t="s">
        <v>74</v>
      </c>
      <c r="BQ879" t="s">
        <v>74</v>
      </c>
      <c r="BR879" t="s">
        <v>105</v>
      </c>
      <c r="BS879" t="s">
        <v>16628</v>
      </c>
      <c r="BT879" t="str">
        <f>HYPERLINK("https%3A%2F%2Fwww.webofscience.com%2Fwos%2Fwoscc%2Ffull-record%2FWOS:000584653100001","View Full Record in Web of Science")</f>
        <v>View Full Record in Web of Science</v>
      </c>
    </row>
    <row r="880" spans="1:72" x14ac:dyDescent="0.25">
      <c r="A880" t="s">
        <v>72</v>
      </c>
      <c r="B880" t="s">
        <v>16629</v>
      </c>
      <c r="C880" t="s">
        <v>74</v>
      </c>
      <c r="D880" t="s">
        <v>74</v>
      </c>
      <c r="E880" t="s">
        <v>74</v>
      </c>
      <c r="F880" t="s">
        <v>16630</v>
      </c>
      <c r="G880" t="s">
        <v>74</v>
      </c>
      <c r="H880" t="s">
        <v>74</v>
      </c>
      <c r="I880" t="s">
        <v>16631</v>
      </c>
      <c r="J880" t="s">
        <v>594</v>
      </c>
      <c r="K880" t="s">
        <v>74</v>
      </c>
      <c r="L880" t="s">
        <v>74</v>
      </c>
      <c r="M880" t="s">
        <v>78</v>
      </c>
      <c r="N880" t="s">
        <v>79</v>
      </c>
      <c r="O880" t="s">
        <v>74</v>
      </c>
      <c r="P880" t="s">
        <v>74</v>
      </c>
      <c r="Q880" t="s">
        <v>74</v>
      </c>
      <c r="R880" t="s">
        <v>74</v>
      </c>
      <c r="S880" t="s">
        <v>74</v>
      </c>
      <c r="T880" t="s">
        <v>16632</v>
      </c>
      <c r="U880" t="s">
        <v>16633</v>
      </c>
      <c r="V880" t="s">
        <v>16634</v>
      </c>
      <c r="W880" t="s">
        <v>16635</v>
      </c>
      <c r="X880" t="s">
        <v>16636</v>
      </c>
      <c r="Y880" t="s">
        <v>16637</v>
      </c>
      <c r="Z880" t="s">
        <v>16638</v>
      </c>
      <c r="AA880" t="s">
        <v>16639</v>
      </c>
      <c r="AB880" t="s">
        <v>16640</v>
      </c>
      <c r="AC880" t="s">
        <v>16641</v>
      </c>
      <c r="AD880" t="s">
        <v>16642</v>
      </c>
      <c r="AE880" t="s">
        <v>16643</v>
      </c>
      <c r="AF880" t="s">
        <v>74</v>
      </c>
      <c r="AG880">
        <v>171</v>
      </c>
      <c r="AH880">
        <v>62</v>
      </c>
      <c r="AI880">
        <v>73</v>
      </c>
      <c r="AJ880">
        <v>1</v>
      </c>
      <c r="AK880">
        <v>11</v>
      </c>
      <c r="AL880" t="s">
        <v>274</v>
      </c>
      <c r="AM880" t="s">
        <v>275</v>
      </c>
      <c r="AN880" t="s">
        <v>276</v>
      </c>
      <c r="AO880" t="s">
        <v>74</v>
      </c>
      <c r="AP880" t="s">
        <v>606</v>
      </c>
      <c r="AQ880" t="s">
        <v>74</v>
      </c>
      <c r="AR880" t="s">
        <v>607</v>
      </c>
      <c r="AS880" t="s">
        <v>608</v>
      </c>
      <c r="AT880" t="s">
        <v>4254</v>
      </c>
      <c r="AU880">
        <v>2020</v>
      </c>
      <c r="AV880">
        <v>17</v>
      </c>
      <c r="AW880">
        <v>1</v>
      </c>
      <c r="AX880" t="s">
        <v>74</v>
      </c>
      <c r="AY880" t="s">
        <v>74</v>
      </c>
      <c r="AZ880" t="s">
        <v>74</v>
      </c>
      <c r="BA880" t="s">
        <v>74</v>
      </c>
      <c r="BB880" t="s">
        <v>74</v>
      </c>
      <c r="BC880" t="s">
        <v>74</v>
      </c>
      <c r="BD880">
        <v>139</v>
      </c>
      <c r="BE880" t="s">
        <v>16644</v>
      </c>
      <c r="BF880" t="str">
        <f>HYPERLINK("http://dx.doi.org/10.1186/s12984-020-00747-6","http://dx.doi.org/10.1186/s12984-020-00747-6")</f>
        <v>http://dx.doi.org/10.1186/s12984-020-00747-6</v>
      </c>
      <c r="BG880" t="s">
        <v>74</v>
      </c>
      <c r="BH880" t="s">
        <v>74</v>
      </c>
      <c r="BI880">
        <v>16</v>
      </c>
      <c r="BJ880" t="s">
        <v>611</v>
      </c>
      <c r="BK880" t="s">
        <v>102</v>
      </c>
      <c r="BL880" t="s">
        <v>612</v>
      </c>
      <c r="BM880" t="s">
        <v>16645</v>
      </c>
      <c r="BN880">
        <v>33087137</v>
      </c>
      <c r="BO880" t="s">
        <v>131</v>
      </c>
      <c r="BP880" t="s">
        <v>74</v>
      </c>
      <c r="BQ880" t="s">
        <v>74</v>
      </c>
      <c r="BR880" t="s">
        <v>105</v>
      </c>
      <c r="BS880" t="s">
        <v>16646</v>
      </c>
      <c r="BT880" t="str">
        <f>HYPERLINK("https%3A%2F%2Fwww.webofscience.com%2Fwos%2Fwoscc%2Ffull-record%2FWOS:000583370800001","View Full Record in Web of Science")</f>
        <v>View Full Record in Web of Science</v>
      </c>
    </row>
    <row r="881" spans="1:72" x14ac:dyDescent="0.25">
      <c r="A881" t="s">
        <v>72</v>
      </c>
      <c r="B881" t="s">
        <v>16647</v>
      </c>
      <c r="C881" t="s">
        <v>74</v>
      </c>
      <c r="D881" t="s">
        <v>74</v>
      </c>
      <c r="E881" t="s">
        <v>74</v>
      </c>
      <c r="F881" t="s">
        <v>16648</v>
      </c>
      <c r="G881" t="s">
        <v>74</v>
      </c>
      <c r="H881" t="s">
        <v>74</v>
      </c>
      <c r="I881" t="s">
        <v>16649</v>
      </c>
      <c r="J881" t="s">
        <v>16650</v>
      </c>
      <c r="K881" t="s">
        <v>74</v>
      </c>
      <c r="L881" t="s">
        <v>74</v>
      </c>
      <c r="M881" t="s">
        <v>78</v>
      </c>
      <c r="N881" t="s">
        <v>79</v>
      </c>
      <c r="O881" t="s">
        <v>74</v>
      </c>
      <c r="P881" t="s">
        <v>74</v>
      </c>
      <c r="Q881" t="s">
        <v>74</v>
      </c>
      <c r="R881" t="s">
        <v>74</v>
      </c>
      <c r="S881" t="s">
        <v>74</v>
      </c>
      <c r="T881" t="s">
        <v>16651</v>
      </c>
      <c r="U881" t="s">
        <v>16652</v>
      </c>
      <c r="V881" t="s">
        <v>16653</v>
      </c>
      <c r="W881" t="s">
        <v>16654</v>
      </c>
      <c r="X881" t="s">
        <v>16655</v>
      </c>
      <c r="Y881" t="s">
        <v>16656</v>
      </c>
      <c r="Z881" t="s">
        <v>16657</v>
      </c>
      <c r="AA881" t="s">
        <v>16658</v>
      </c>
      <c r="AB881" t="s">
        <v>16659</v>
      </c>
      <c r="AC881" t="s">
        <v>74</v>
      </c>
      <c r="AD881" t="s">
        <v>74</v>
      </c>
      <c r="AE881" t="s">
        <v>74</v>
      </c>
      <c r="AF881" t="s">
        <v>74</v>
      </c>
      <c r="AG881">
        <v>75</v>
      </c>
      <c r="AH881">
        <v>25</v>
      </c>
      <c r="AI881">
        <v>25</v>
      </c>
      <c r="AJ881">
        <v>3</v>
      </c>
      <c r="AK881">
        <v>15</v>
      </c>
      <c r="AL881" t="s">
        <v>172</v>
      </c>
      <c r="AM881" t="s">
        <v>173</v>
      </c>
      <c r="AN881" t="s">
        <v>174</v>
      </c>
      <c r="AO881" t="s">
        <v>16660</v>
      </c>
      <c r="AP881" t="s">
        <v>16661</v>
      </c>
      <c r="AQ881" t="s">
        <v>74</v>
      </c>
      <c r="AR881" t="s">
        <v>16662</v>
      </c>
      <c r="AS881" t="s">
        <v>16663</v>
      </c>
      <c r="AT881" t="s">
        <v>634</v>
      </c>
      <c r="AU881">
        <v>2021</v>
      </c>
      <c r="AV881">
        <v>45</v>
      </c>
      <c r="AW881">
        <v>8</v>
      </c>
      <c r="AX881" t="s">
        <v>74</v>
      </c>
      <c r="AY881" t="s">
        <v>74</v>
      </c>
      <c r="AZ881" t="s">
        <v>74</v>
      </c>
      <c r="BA881" t="s">
        <v>74</v>
      </c>
      <c r="BB881">
        <v>1933</v>
      </c>
      <c r="BC881">
        <v>1940</v>
      </c>
      <c r="BD881" t="s">
        <v>74</v>
      </c>
      <c r="BE881" t="s">
        <v>16664</v>
      </c>
      <c r="BF881" t="str">
        <f>HYPERLINK("http://dx.doi.org/10.1007/s00264-020-04814-4","http://dx.doi.org/10.1007/s00264-020-04814-4")</f>
        <v>http://dx.doi.org/10.1007/s00264-020-04814-4</v>
      </c>
      <c r="BG881" t="s">
        <v>74</v>
      </c>
      <c r="BH881" t="s">
        <v>16591</v>
      </c>
      <c r="BI881">
        <v>8</v>
      </c>
      <c r="BJ881" t="s">
        <v>443</v>
      </c>
      <c r="BK881" t="s">
        <v>182</v>
      </c>
      <c r="BL881" t="s">
        <v>443</v>
      </c>
      <c r="BM881" t="s">
        <v>16665</v>
      </c>
      <c r="BN881">
        <v>33051693</v>
      </c>
      <c r="BO881" t="s">
        <v>662</v>
      </c>
      <c r="BP881" t="s">
        <v>74</v>
      </c>
      <c r="BQ881" t="s">
        <v>74</v>
      </c>
      <c r="BR881" t="s">
        <v>105</v>
      </c>
      <c r="BS881" t="s">
        <v>16666</v>
      </c>
      <c r="BT881" t="str">
        <f>HYPERLINK("https%3A%2F%2Fwww.webofscience.com%2Fwos%2Fwoscc%2Ffull-record%2FWOS:000578109400002","View Full Record in Web of Science")</f>
        <v>View Full Record in Web of Science</v>
      </c>
    </row>
    <row r="882" spans="1:72" x14ac:dyDescent="0.25">
      <c r="A882" t="s">
        <v>72</v>
      </c>
      <c r="B882" t="s">
        <v>16667</v>
      </c>
      <c r="C882" t="s">
        <v>74</v>
      </c>
      <c r="D882" t="s">
        <v>74</v>
      </c>
      <c r="E882" t="s">
        <v>74</v>
      </c>
      <c r="F882" t="s">
        <v>16668</v>
      </c>
      <c r="G882" t="s">
        <v>74</v>
      </c>
      <c r="H882" t="s">
        <v>74</v>
      </c>
      <c r="I882" t="s">
        <v>16669</v>
      </c>
      <c r="J882" t="s">
        <v>892</v>
      </c>
      <c r="K882" t="s">
        <v>74</v>
      </c>
      <c r="L882" t="s">
        <v>74</v>
      </c>
      <c r="M882" t="s">
        <v>78</v>
      </c>
      <c r="N882" t="s">
        <v>79</v>
      </c>
      <c r="O882" t="s">
        <v>74</v>
      </c>
      <c r="P882" t="s">
        <v>74</v>
      </c>
      <c r="Q882" t="s">
        <v>74</v>
      </c>
      <c r="R882" t="s">
        <v>74</v>
      </c>
      <c r="S882" t="s">
        <v>74</v>
      </c>
      <c r="T882" t="s">
        <v>16670</v>
      </c>
      <c r="U882" t="s">
        <v>16671</v>
      </c>
      <c r="V882" t="s">
        <v>16672</v>
      </c>
      <c r="W882" t="s">
        <v>16673</v>
      </c>
      <c r="X882" t="s">
        <v>16674</v>
      </c>
      <c r="Y882" t="s">
        <v>16675</v>
      </c>
      <c r="Z882" t="s">
        <v>16676</v>
      </c>
      <c r="AA882" t="s">
        <v>16677</v>
      </c>
      <c r="AB882" t="s">
        <v>16678</v>
      </c>
      <c r="AC882" t="s">
        <v>12677</v>
      </c>
      <c r="AD882" t="s">
        <v>1649</v>
      </c>
      <c r="AE882" t="s">
        <v>16679</v>
      </c>
      <c r="AF882" t="s">
        <v>74</v>
      </c>
      <c r="AG882">
        <v>77</v>
      </c>
      <c r="AH882">
        <v>38</v>
      </c>
      <c r="AI882">
        <v>39</v>
      </c>
      <c r="AJ882">
        <v>3</v>
      </c>
      <c r="AK882">
        <v>50</v>
      </c>
      <c r="AL882" t="s">
        <v>120</v>
      </c>
      <c r="AM882" t="s">
        <v>121</v>
      </c>
      <c r="AN882" t="s">
        <v>122</v>
      </c>
      <c r="AO882" t="s">
        <v>74</v>
      </c>
      <c r="AP882" t="s">
        <v>905</v>
      </c>
      <c r="AQ882" t="s">
        <v>74</v>
      </c>
      <c r="AR882" t="s">
        <v>906</v>
      </c>
      <c r="AS882" t="s">
        <v>907</v>
      </c>
      <c r="AT882" t="s">
        <v>1888</v>
      </c>
      <c r="AU882">
        <v>2020</v>
      </c>
      <c r="AV882">
        <v>17</v>
      </c>
      <c r="AW882">
        <v>20</v>
      </c>
      <c r="AX882" t="s">
        <v>74</v>
      </c>
      <c r="AY882" t="s">
        <v>74</v>
      </c>
      <c r="AZ882" t="s">
        <v>74</v>
      </c>
      <c r="BA882" t="s">
        <v>74</v>
      </c>
      <c r="BB882" t="s">
        <v>74</v>
      </c>
      <c r="BC882" t="s">
        <v>74</v>
      </c>
      <c r="BD882">
        <v>7374</v>
      </c>
      <c r="BE882" t="s">
        <v>16680</v>
      </c>
      <c r="BF882" t="str">
        <f>HYPERLINK("http://dx.doi.org/10.3390/ijerph17207374","http://dx.doi.org/10.3390/ijerph17207374")</f>
        <v>http://dx.doi.org/10.3390/ijerph17207374</v>
      </c>
      <c r="BG882" t="s">
        <v>74</v>
      </c>
      <c r="BH882" t="s">
        <v>74</v>
      </c>
      <c r="BI882">
        <v>25</v>
      </c>
      <c r="BJ882" t="s">
        <v>909</v>
      </c>
      <c r="BK882" t="s">
        <v>102</v>
      </c>
      <c r="BL882" t="s">
        <v>910</v>
      </c>
      <c r="BM882" t="s">
        <v>16681</v>
      </c>
      <c r="BN882">
        <v>33050273</v>
      </c>
      <c r="BO882" t="s">
        <v>355</v>
      </c>
      <c r="BP882" t="s">
        <v>74</v>
      </c>
      <c r="BQ882" t="s">
        <v>74</v>
      </c>
      <c r="BR882" t="s">
        <v>105</v>
      </c>
      <c r="BS882" t="s">
        <v>16682</v>
      </c>
      <c r="BT882" t="str">
        <f>HYPERLINK("https%3A%2F%2Fwww.webofscience.com%2Fwos%2Fwoscc%2Ffull-record%2FWOS:000585494200001","View Full Record in Web of Science")</f>
        <v>View Full Record in Web of Science</v>
      </c>
    </row>
    <row r="883" spans="1:72" x14ac:dyDescent="0.25">
      <c r="A883" t="s">
        <v>72</v>
      </c>
      <c r="B883" t="s">
        <v>16683</v>
      </c>
      <c r="C883" t="s">
        <v>74</v>
      </c>
      <c r="D883" t="s">
        <v>74</v>
      </c>
      <c r="E883" t="s">
        <v>74</v>
      </c>
      <c r="F883" t="s">
        <v>16684</v>
      </c>
      <c r="G883" t="s">
        <v>74</v>
      </c>
      <c r="H883" t="s">
        <v>74</v>
      </c>
      <c r="I883" t="s">
        <v>16685</v>
      </c>
      <c r="J883" t="s">
        <v>16686</v>
      </c>
      <c r="K883" t="s">
        <v>74</v>
      </c>
      <c r="L883" t="s">
        <v>74</v>
      </c>
      <c r="M883" t="s">
        <v>78</v>
      </c>
      <c r="N883" t="s">
        <v>79</v>
      </c>
      <c r="O883" t="s">
        <v>74</v>
      </c>
      <c r="P883" t="s">
        <v>74</v>
      </c>
      <c r="Q883" t="s">
        <v>74</v>
      </c>
      <c r="R883" t="s">
        <v>74</v>
      </c>
      <c r="S883" t="s">
        <v>74</v>
      </c>
      <c r="T883" t="s">
        <v>16687</v>
      </c>
      <c r="U883" t="s">
        <v>16688</v>
      </c>
      <c r="V883" t="s">
        <v>16689</v>
      </c>
      <c r="W883" t="s">
        <v>16690</v>
      </c>
      <c r="X883" t="s">
        <v>16691</v>
      </c>
      <c r="Y883" t="s">
        <v>16692</v>
      </c>
      <c r="Z883" t="s">
        <v>16693</v>
      </c>
      <c r="AA883" t="s">
        <v>16694</v>
      </c>
      <c r="AB883" t="s">
        <v>16695</v>
      </c>
      <c r="AC883" t="s">
        <v>74</v>
      </c>
      <c r="AD883" t="s">
        <v>74</v>
      </c>
      <c r="AE883" t="s">
        <v>74</v>
      </c>
      <c r="AF883" t="s">
        <v>74</v>
      </c>
      <c r="AG883">
        <v>124</v>
      </c>
      <c r="AH883">
        <v>25</v>
      </c>
      <c r="AI883">
        <v>26</v>
      </c>
      <c r="AJ883">
        <v>2</v>
      </c>
      <c r="AK883">
        <v>44</v>
      </c>
      <c r="AL883" t="s">
        <v>297</v>
      </c>
      <c r="AM883" t="s">
        <v>298</v>
      </c>
      <c r="AN883" t="s">
        <v>299</v>
      </c>
      <c r="AO883" t="s">
        <v>16696</v>
      </c>
      <c r="AP883" t="s">
        <v>16697</v>
      </c>
      <c r="AQ883" t="s">
        <v>74</v>
      </c>
      <c r="AR883" t="s">
        <v>16698</v>
      </c>
      <c r="AS883" t="s">
        <v>16699</v>
      </c>
      <c r="AT883" t="s">
        <v>1888</v>
      </c>
      <c r="AU883">
        <v>2020</v>
      </c>
      <c r="AV883">
        <v>1478</v>
      </c>
      <c r="AW883">
        <v>1</v>
      </c>
      <c r="AX883" t="s">
        <v>74</v>
      </c>
      <c r="AY883" t="s">
        <v>74</v>
      </c>
      <c r="AZ883" t="s">
        <v>74</v>
      </c>
      <c r="BA883" t="s">
        <v>74</v>
      </c>
      <c r="BB883">
        <v>18</v>
      </c>
      <c r="BC883">
        <v>42</v>
      </c>
      <c r="BD883" t="s">
        <v>74</v>
      </c>
      <c r="BE883" t="s">
        <v>16700</v>
      </c>
      <c r="BF883" t="str">
        <f>HYPERLINK("http://dx.doi.org/10.1111/nyas.14420","http://dx.doi.org/10.1111/nyas.14420")</f>
        <v>http://dx.doi.org/10.1111/nyas.14420</v>
      </c>
      <c r="BG883" t="s">
        <v>74</v>
      </c>
      <c r="BH883" t="s">
        <v>74</v>
      </c>
      <c r="BI883">
        <v>25</v>
      </c>
      <c r="BJ883" t="s">
        <v>936</v>
      </c>
      <c r="BK883" t="s">
        <v>102</v>
      </c>
      <c r="BL883" t="s">
        <v>937</v>
      </c>
      <c r="BM883" t="s">
        <v>16701</v>
      </c>
      <c r="BN883">
        <v>32659041</v>
      </c>
      <c r="BO883" t="s">
        <v>74</v>
      </c>
      <c r="BP883" t="s">
        <v>74</v>
      </c>
      <c r="BQ883" t="s">
        <v>74</v>
      </c>
      <c r="BR883" t="s">
        <v>105</v>
      </c>
      <c r="BS883" t="s">
        <v>16702</v>
      </c>
      <c r="BT883" t="str">
        <f>HYPERLINK("https%3A%2F%2Fwww.webofscience.com%2Fwos%2Fwoscc%2Ffull-record%2FWOS:000585860500002","View Full Record in Web of Science")</f>
        <v>View Full Record in Web of Science</v>
      </c>
    </row>
    <row r="884" spans="1:72" x14ac:dyDescent="0.25">
      <c r="A884" t="s">
        <v>72</v>
      </c>
      <c r="B884" t="s">
        <v>16703</v>
      </c>
      <c r="C884" t="s">
        <v>74</v>
      </c>
      <c r="D884" t="s">
        <v>74</v>
      </c>
      <c r="E884" t="s">
        <v>74</v>
      </c>
      <c r="F884" t="s">
        <v>16704</v>
      </c>
      <c r="G884" t="s">
        <v>74</v>
      </c>
      <c r="H884" t="s">
        <v>74</v>
      </c>
      <c r="I884" t="s">
        <v>16705</v>
      </c>
      <c r="J884" t="s">
        <v>16706</v>
      </c>
      <c r="K884" t="s">
        <v>74</v>
      </c>
      <c r="L884" t="s">
        <v>74</v>
      </c>
      <c r="M884" t="s">
        <v>78</v>
      </c>
      <c r="N884" t="s">
        <v>79</v>
      </c>
      <c r="O884" t="s">
        <v>74</v>
      </c>
      <c r="P884" t="s">
        <v>74</v>
      </c>
      <c r="Q884" t="s">
        <v>74</v>
      </c>
      <c r="R884" t="s">
        <v>74</v>
      </c>
      <c r="S884" t="s">
        <v>74</v>
      </c>
      <c r="T884" t="s">
        <v>16707</v>
      </c>
      <c r="U884" t="s">
        <v>16708</v>
      </c>
      <c r="V884" t="s">
        <v>16709</v>
      </c>
      <c r="W884" t="s">
        <v>16710</v>
      </c>
      <c r="X884" t="s">
        <v>16711</v>
      </c>
      <c r="Y884" t="s">
        <v>16712</v>
      </c>
      <c r="Z884" t="s">
        <v>16713</v>
      </c>
      <c r="AA884" t="s">
        <v>16714</v>
      </c>
      <c r="AB884" t="s">
        <v>16715</v>
      </c>
      <c r="AC884" t="s">
        <v>16716</v>
      </c>
      <c r="AD884" t="s">
        <v>74</v>
      </c>
      <c r="AE884" t="s">
        <v>16717</v>
      </c>
      <c r="AF884" t="s">
        <v>74</v>
      </c>
      <c r="AG884">
        <v>130</v>
      </c>
      <c r="AH884">
        <v>35</v>
      </c>
      <c r="AI884">
        <v>40</v>
      </c>
      <c r="AJ884">
        <v>11</v>
      </c>
      <c r="AK884">
        <v>133</v>
      </c>
      <c r="AL884" t="s">
        <v>1605</v>
      </c>
      <c r="AM884" t="s">
        <v>1606</v>
      </c>
      <c r="AN884" t="s">
        <v>1607</v>
      </c>
      <c r="AO884" t="s">
        <v>16718</v>
      </c>
      <c r="AP884" t="s">
        <v>74</v>
      </c>
      <c r="AQ884" t="s">
        <v>74</v>
      </c>
      <c r="AR884" t="s">
        <v>16719</v>
      </c>
      <c r="AS884" t="s">
        <v>16720</v>
      </c>
      <c r="AT884" t="s">
        <v>7199</v>
      </c>
      <c r="AU884">
        <v>2020</v>
      </c>
      <c r="AV884">
        <v>40</v>
      </c>
      <c r="AW884">
        <v>4</v>
      </c>
      <c r="AX884" t="s">
        <v>74</v>
      </c>
      <c r="AY884" t="s">
        <v>74</v>
      </c>
      <c r="AZ884" t="s">
        <v>74</v>
      </c>
      <c r="BA884" t="s">
        <v>74</v>
      </c>
      <c r="BB884">
        <v>1666</v>
      </c>
      <c r="BC884">
        <v>1679</v>
      </c>
      <c r="BD884" t="s">
        <v>74</v>
      </c>
      <c r="BE884" t="s">
        <v>16721</v>
      </c>
      <c r="BF884" t="str">
        <f>HYPERLINK("http://dx.doi.org/10.1016/j.bbe.2020.09.004","http://dx.doi.org/10.1016/j.bbe.2020.09.004")</f>
        <v>http://dx.doi.org/10.1016/j.bbe.2020.09.004</v>
      </c>
      <c r="BG884" t="s">
        <v>74</v>
      </c>
      <c r="BH884" t="s">
        <v>74</v>
      </c>
      <c r="BI884">
        <v>14</v>
      </c>
      <c r="BJ884" t="s">
        <v>282</v>
      </c>
      <c r="BK884" t="s">
        <v>182</v>
      </c>
      <c r="BL884" t="s">
        <v>183</v>
      </c>
      <c r="BM884" t="s">
        <v>16722</v>
      </c>
      <c r="BN884" t="s">
        <v>74</v>
      </c>
      <c r="BO884" t="s">
        <v>74</v>
      </c>
      <c r="BP884" t="s">
        <v>74</v>
      </c>
      <c r="BQ884" t="s">
        <v>74</v>
      </c>
      <c r="BR884" t="s">
        <v>105</v>
      </c>
      <c r="BS884" t="s">
        <v>16723</v>
      </c>
      <c r="BT884" t="str">
        <f>HYPERLINK("https%3A%2F%2Fwww.webofscience.com%2Fwos%2Fwoscc%2Ffull-record%2FWOS:000605451000009","View Full Record in Web of Science")</f>
        <v>View Full Record in Web of Science</v>
      </c>
    </row>
    <row r="885" spans="1:72" x14ac:dyDescent="0.25">
      <c r="A885" t="s">
        <v>72</v>
      </c>
      <c r="B885" t="s">
        <v>16724</v>
      </c>
      <c r="C885" t="s">
        <v>74</v>
      </c>
      <c r="D885" t="s">
        <v>74</v>
      </c>
      <c r="E885" t="s">
        <v>74</v>
      </c>
      <c r="F885" t="s">
        <v>16725</v>
      </c>
      <c r="G885" t="s">
        <v>74</v>
      </c>
      <c r="H885" t="s">
        <v>74</v>
      </c>
      <c r="I885" t="s">
        <v>16726</v>
      </c>
      <c r="J885" t="s">
        <v>16727</v>
      </c>
      <c r="K885" t="s">
        <v>74</v>
      </c>
      <c r="L885" t="s">
        <v>74</v>
      </c>
      <c r="M885" t="s">
        <v>78</v>
      </c>
      <c r="N885" t="s">
        <v>79</v>
      </c>
      <c r="O885" t="s">
        <v>74</v>
      </c>
      <c r="P885" t="s">
        <v>74</v>
      </c>
      <c r="Q885" t="s">
        <v>74</v>
      </c>
      <c r="R885" t="s">
        <v>74</v>
      </c>
      <c r="S885" t="s">
        <v>74</v>
      </c>
      <c r="T885" t="s">
        <v>16728</v>
      </c>
      <c r="U885" t="s">
        <v>16729</v>
      </c>
      <c r="V885" t="s">
        <v>16730</v>
      </c>
      <c r="W885" t="s">
        <v>16731</v>
      </c>
      <c r="X885" t="s">
        <v>16732</v>
      </c>
      <c r="Y885" t="s">
        <v>16733</v>
      </c>
      <c r="Z885" t="s">
        <v>16734</v>
      </c>
      <c r="AA885" t="s">
        <v>16735</v>
      </c>
      <c r="AB885" t="s">
        <v>16736</v>
      </c>
      <c r="AC885" t="s">
        <v>16737</v>
      </c>
      <c r="AD885" t="s">
        <v>16738</v>
      </c>
      <c r="AE885" t="s">
        <v>16739</v>
      </c>
      <c r="AF885" t="s">
        <v>74</v>
      </c>
      <c r="AG885">
        <v>180</v>
      </c>
      <c r="AH885">
        <v>25</v>
      </c>
      <c r="AI885">
        <v>25</v>
      </c>
      <c r="AJ885">
        <v>1</v>
      </c>
      <c r="AK885">
        <v>59</v>
      </c>
      <c r="AL885" t="s">
        <v>1391</v>
      </c>
      <c r="AM885" t="s">
        <v>1392</v>
      </c>
      <c r="AN885" t="s">
        <v>1393</v>
      </c>
      <c r="AO885" t="s">
        <v>16740</v>
      </c>
      <c r="AP885" t="s">
        <v>74</v>
      </c>
      <c r="AQ885" t="s">
        <v>74</v>
      </c>
      <c r="AR885" t="s">
        <v>16727</v>
      </c>
      <c r="AS885" t="s">
        <v>16741</v>
      </c>
      <c r="AT885" t="s">
        <v>7199</v>
      </c>
      <c r="AU885">
        <v>2020</v>
      </c>
      <c r="AV885">
        <v>8</v>
      </c>
      <c r="AW885">
        <v>4</v>
      </c>
      <c r="AX885" t="s">
        <v>74</v>
      </c>
      <c r="AY885" t="s">
        <v>74</v>
      </c>
      <c r="AZ885" t="s">
        <v>74</v>
      </c>
      <c r="BA885" t="s">
        <v>74</v>
      </c>
      <c r="BB885" t="s">
        <v>74</v>
      </c>
      <c r="BC885" t="s">
        <v>74</v>
      </c>
      <c r="BD885" t="s">
        <v>16742</v>
      </c>
      <c r="BE885" t="s">
        <v>16743</v>
      </c>
      <c r="BF885" t="str">
        <f>HYPERLINK("http://dx.doi.org/10.2196/19071","http://dx.doi.org/10.2196/19071")</f>
        <v>http://dx.doi.org/10.2196/19071</v>
      </c>
      <c r="BG885" t="s">
        <v>74</v>
      </c>
      <c r="BH885" t="s">
        <v>74</v>
      </c>
      <c r="BI885">
        <v>22</v>
      </c>
      <c r="BJ885" t="s">
        <v>16744</v>
      </c>
      <c r="BK885" t="s">
        <v>182</v>
      </c>
      <c r="BL885" t="s">
        <v>16744</v>
      </c>
      <c r="BM885" t="s">
        <v>16745</v>
      </c>
      <c r="BN885">
        <v>33306029</v>
      </c>
      <c r="BO885" t="s">
        <v>355</v>
      </c>
      <c r="BP885" t="s">
        <v>74</v>
      </c>
      <c r="BQ885" t="s">
        <v>74</v>
      </c>
      <c r="BR885" t="s">
        <v>105</v>
      </c>
      <c r="BS885" t="s">
        <v>16746</v>
      </c>
      <c r="BT885" t="str">
        <f>HYPERLINK("https%3A%2F%2Fwww.webofscience.com%2Fwos%2Fwoscc%2Ffull-record%2FWOS:000628230500001","View Full Record in Web of Science")</f>
        <v>View Full Record in Web of Science</v>
      </c>
    </row>
    <row r="886" spans="1:72" x14ac:dyDescent="0.25">
      <c r="A886" t="s">
        <v>72</v>
      </c>
      <c r="B886" t="s">
        <v>16747</v>
      </c>
      <c r="C886" t="s">
        <v>74</v>
      </c>
      <c r="D886" t="s">
        <v>74</v>
      </c>
      <c r="E886" t="s">
        <v>74</v>
      </c>
      <c r="F886" t="s">
        <v>16748</v>
      </c>
      <c r="G886" t="s">
        <v>74</v>
      </c>
      <c r="H886" t="s">
        <v>74</v>
      </c>
      <c r="I886" t="s">
        <v>16749</v>
      </c>
      <c r="J886" t="s">
        <v>16750</v>
      </c>
      <c r="K886" t="s">
        <v>74</v>
      </c>
      <c r="L886" t="s">
        <v>74</v>
      </c>
      <c r="M886" t="s">
        <v>78</v>
      </c>
      <c r="N886" t="s">
        <v>79</v>
      </c>
      <c r="O886" t="s">
        <v>74</v>
      </c>
      <c r="P886" t="s">
        <v>74</v>
      </c>
      <c r="Q886" t="s">
        <v>74</v>
      </c>
      <c r="R886" t="s">
        <v>74</v>
      </c>
      <c r="S886" t="s">
        <v>74</v>
      </c>
      <c r="T886" t="s">
        <v>16751</v>
      </c>
      <c r="U886" t="s">
        <v>16752</v>
      </c>
      <c r="V886" t="s">
        <v>16753</v>
      </c>
      <c r="W886" t="s">
        <v>16754</v>
      </c>
      <c r="X886" t="s">
        <v>16755</v>
      </c>
      <c r="Y886" t="s">
        <v>16756</v>
      </c>
      <c r="Z886" t="s">
        <v>16757</v>
      </c>
      <c r="AA886" t="s">
        <v>16758</v>
      </c>
      <c r="AB886" t="s">
        <v>16759</v>
      </c>
      <c r="AC886" t="s">
        <v>74</v>
      </c>
      <c r="AD886" t="s">
        <v>74</v>
      </c>
      <c r="AE886" t="s">
        <v>74</v>
      </c>
      <c r="AF886" t="s">
        <v>74</v>
      </c>
      <c r="AG886">
        <v>54</v>
      </c>
      <c r="AH886">
        <v>15</v>
      </c>
      <c r="AI886">
        <v>14</v>
      </c>
      <c r="AJ886">
        <v>2</v>
      </c>
      <c r="AK886">
        <v>6</v>
      </c>
      <c r="AL886" t="s">
        <v>202</v>
      </c>
      <c r="AM886" t="s">
        <v>203</v>
      </c>
      <c r="AN886" t="s">
        <v>204</v>
      </c>
      <c r="AO886" t="s">
        <v>16760</v>
      </c>
      <c r="AP886" t="s">
        <v>16761</v>
      </c>
      <c r="AQ886" t="s">
        <v>74</v>
      </c>
      <c r="AR886" t="s">
        <v>16762</v>
      </c>
      <c r="AS886" t="s">
        <v>16763</v>
      </c>
      <c r="AT886" t="s">
        <v>1888</v>
      </c>
      <c r="AU886">
        <v>2020</v>
      </c>
      <c r="AV886">
        <v>72</v>
      </c>
      <c r="AW886">
        <v>5</v>
      </c>
      <c r="AX886" t="s">
        <v>74</v>
      </c>
      <c r="AY886" t="s">
        <v>74</v>
      </c>
      <c r="AZ886" t="s">
        <v>74</v>
      </c>
      <c r="BA886" t="s">
        <v>74</v>
      </c>
      <c r="BB886">
        <v>543</v>
      </c>
      <c r="BC886">
        <v>554</v>
      </c>
      <c r="BD886" t="s">
        <v>74</v>
      </c>
      <c r="BE886" t="s">
        <v>16764</v>
      </c>
      <c r="BF886" t="str">
        <f>HYPERLINK("http://dx.doi.org/10.23736/S0393-2249.20.03780-7","http://dx.doi.org/10.23736/S0393-2249.20.03780-7")</f>
        <v>http://dx.doi.org/10.23736/S0393-2249.20.03780-7</v>
      </c>
      <c r="BG886" t="s">
        <v>74</v>
      </c>
      <c r="BH886" t="s">
        <v>74</v>
      </c>
      <c r="BI886">
        <v>12</v>
      </c>
      <c r="BJ886" t="s">
        <v>2739</v>
      </c>
      <c r="BK886" t="s">
        <v>182</v>
      </c>
      <c r="BL886" t="s">
        <v>2739</v>
      </c>
      <c r="BM886" t="s">
        <v>16765</v>
      </c>
      <c r="BN886">
        <v>32748616</v>
      </c>
      <c r="BO886" t="s">
        <v>74</v>
      </c>
      <c r="BP886" t="s">
        <v>74</v>
      </c>
      <c r="BQ886" t="s">
        <v>74</v>
      </c>
      <c r="BR886" t="s">
        <v>105</v>
      </c>
      <c r="BS886" t="s">
        <v>16766</v>
      </c>
      <c r="BT886" t="str">
        <f>HYPERLINK("https%3A%2F%2Fwww.webofscience.com%2Fwos%2Fwoscc%2Ffull-record%2FWOS:000586570500003","View Full Record in Web of Science")</f>
        <v>View Full Record in Web of Science</v>
      </c>
    </row>
    <row r="887" spans="1:72" x14ac:dyDescent="0.25">
      <c r="A887" t="s">
        <v>72</v>
      </c>
      <c r="B887" t="s">
        <v>16767</v>
      </c>
      <c r="C887" t="s">
        <v>74</v>
      </c>
      <c r="D887" t="s">
        <v>74</v>
      </c>
      <c r="E887" t="s">
        <v>74</v>
      </c>
      <c r="F887" t="s">
        <v>16768</v>
      </c>
      <c r="G887" t="s">
        <v>74</v>
      </c>
      <c r="H887" t="s">
        <v>74</v>
      </c>
      <c r="I887" t="s">
        <v>16769</v>
      </c>
      <c r="J887" t="s">
        <v>2091</v>
      </c>
      <c r="K887" t="s">
        <v>74</v>
      </c>
      <c r="L887" t="s">
        <v>74</v>
      </c>
      <c r="M887" t="s">
        <v>78</v>
      </c>
      <c r="N887" t="s">
        <v>79</v>
      </c>
      <c r="O887" t="s">
        <v>74</v>
      </c>
      <c r="P887" t="s">
        <v>74</v>
      </c>
      <c r="Q887" t="s">
        <v>74</v>
      </c>
      <c r="R887" t="s">
        <v>74</v>
      </c>
      <c r="S887" t="s">
        <v>74</v>
      </c>
      <c r="T887" t="s">
        <v>16770</v>
      </c>
      <c r="U887" t="s">
        <v>16771</v>
      </c>
      <c r="V887" t="s">
        <v>16772</v>
      </c>
      <c r="W887" t="s">
        <v>16773</v>
      </c>
      <c r="X887" t="s">
        <v>16774</v>
      </c>
      <c r="Y887" t="s">
        <v>16775</v>
      </c>
      <c r="Z887" t="s">
        <v>16776</v>
      </c>
      <c r="AA887" t="s">
        <v>16777</v>
      </c>
      <c r="AB887" t="s">
        <v>16778</v>
      </c>
      <c r="AC887" t="s">
        <v>16779</v>
      </c>
      <c r="AD887" t="s">
        <v>16779</v>
      </c>
      <c r="AE887" t="s">
        <v>16780</v>
      </c>
      <c r="AF887" t="s">
        <v>74</v>
      </c>
      <c r="AG887">
        <v>78</v>
      </c>
      <c r="AH887">
        <v>105</v>
      </c>
      <c r="AI887">
        <v>113</v>
      </c>
      <c r="AJ887">
        <v>20</v>
      </c>
      <c r="AK887">
        <v>348</v>
      </c>
      <c r="AL887" t="s">
        <v>120</v>
      </c>
      <c r="AM887" t="s">
        <v>121</v>
      </c>
      <c r="AN887" t="s">
        <v>122</v>
      </c>
      <c r="AO887" t="s">
        <v>74</v>
      </c>
      <c r="AP887" t="s">
        <v>2104</v>
      </c>
      <c r="AQ887" t="s">
        <v>74</v>
      </c>
      <c r="AR887" t="s">
        <v>2105</v>
      </c>
      <c r="AS887" t="s">
        <v>2106</v>
      </c>
      <c r="AT887" t="s">
        <v>1888</v>
      </c>
      <c r="AU887">
        <v>2020</v>
      </c>
      <c r="AV887">
        <v>10</v>
      </c>
      <c r="AW887">
        <v>19</v>
      </c>
      <c r="AX887" t="s">
        <v>74</v>
      </c>
      <c r="AY887" t="s">
        <v>74</v>
      </c>
      <c r="AZ887" t="s">
        <v>74</v>
      </c>
      <c r="BA887" t="s">
        <v>74</v>
      </c>
      <c r="BB887" t="s">
        <v>74</v>
      </c>
      <c r="BC887" t="s">
        <v>74</v>
      </c>
      <c r="BD887">
        <v>6976</v>
      </c>
      <c r="BE887" t="s">
        <v>16781</v>
      </c>
      <c r="BF887" t="str">
        <f>HYPERLINK("http://dx.doi.org/10.3390/app10196976","http://dx.doi.org/10.3390/app10196976")</f>
        <v>http://dx.doi.org/10.3390/app10196976</v>
      </c>
      <c r="BG887" t="s">
        <v>74</v>
      </c>
      <c r="BH887" t="s">
        <v>74</v>
      </c>
      <c r="BI887">
        <v>18</v>
      </c>
      <c r="BJ887" t="s">
        <v>2109</v>
      </c>
      <c r="BK887" t="s">
        <v>182</v>
      </c>
      <c r="BL887" t="s">
        <v>2110</v>
      </c>
      <c r="BM887" t="s">
        <v>16782</v>
      </c>
      <c r="BN887" t="s">
        <v>74</v>
      </c>
      <c r="BO887" t="s">
        <v>16783</v>
      </c>
      <c r="BP887" t="s">
        <v>74</v>
      </c>
      <c r="BQ887" t="s">
        <v>74</v>
      </c>
      <c r="BR887" t="s">
        <v>105</v>
      </c>
      <c r="BS887" t="s">
        <v>16784</v>
      </c>
      <c r="BT887" t="str">
        <f>HYPERLINK("https%3A%2F%2Fwww.webofscience.com%2Fwos%2Fwoscc%2Ffull-record%2FWOS:000586442200001","View Full Record in Web of Science")</f>
        <v>View Full Record in Web of Science</v>
      </c>
    </row>
    <row r="888" spans="1:72" x14ac:dyDescent="0.25">
      <c r="A888" t="s">
        <v>72</v>
      </c>
      <c r="B888" t="s">
        <v>16785</v>
      </c>
      <c r="C888" t="s">
        <v>74</v>
      </c>
      <c r="D888" t="s">
        <v>74</v>
      </c>
      <c r="E888" t="s">
        <v>74</v>
      </c>
      <c r="F888" t="s">
        <v>16786</v>
      </c>
      <c r="G888" t="s">
        <v>74</v>
      </c>
      <c r="H888" t="s">
        <v>74</v>
      </c>
      <c r="I888" t="s">
        <v>16787</v>
      </c>
      <c r="J888" t="s">
        <v>77</v>
      </c>
      <c r="K888" t="s">
        <v>74</v>
      </c>
      <c r="L888" t="s">
        <v>74</v>
      </c>
      <c r="M888" t="s">
        <v>78</v>
      </c>
      <c r="N888" t="s">
        <v>79</v>
      </c>
      <c r="O888" t="s">
        <v>74</v>
      </c>
      <c r="P888" t="s">
        <v>74</v>
      </c>
      <c r="Q888" t="s">
        <v>74</v>
      </c>
      <c r="R888" t="s">
        <v>74</v>
      </c>
      <c r="S888" t="s">
        <v>74</v>
      </c>
      <c r="T888" t="s">
        <v>16788</v>
      </c>
      <c r="U888" t="s">
        <v>16789</v>
      </c>
      <c r="V888" t="s">
        <v>16790</v>
      </c>
      <c r="W888" t="s">
        <v>16791</v>
      </c>
      <c r="X888" t="s">
        <v>672</v>
      </c>
      <c r="Y888" t="s">
        <v>16792</v>
      </c>
      <c r="Z888" t="s">
        <v>16793</v>
      </c>
      <c r="AA888" t="s">
        <v>16794</v>
      </c>
      <c r="AB888" t="s">
        <v>16795</v>
      </c>
      <c r="AC888" t="s">
        <v>16796</v>
      </c>
      <c r="AD888" t="s">
        <v>16796</v>
      </c>
      <c r="AE888" t="s">
        <v>16797</v>
      </c>
      <c r="AF888" t="s">
        <v>74</v>
      </c>
      <c r="AG888">
        <v>120</v>
      </c>
      <c r="AH888">
        <v>20</v>
      </c>
      <c r="AI888">
        <v>21</v>
      </c>
      <c r="AJ888">
        <v>2</v>
      </c>
      <c r="AK888">
        <v>56</v>
      </c>
      <c r="AL888" t="s">
        <v>92</v>
      </c>
      <c r="AM888" t="s">
        <v>93</v>
      </c>
      <c r="AN888" t="s">
        <v>94</v>
      </c>
      <c r="AO888" t="s">
        <v>95</v>
      </c>
      <c r="AP888" t="s">
        <v>96</v>
      </c>
      <c r="AQ888" t="s">
        <v>74</v>
      </c>
      <c r="AR888" t="s">
        <v>97</v>
      </c>
      <c r="AS888" t="s">
        <v>98</v>
      </c>
      <c r="AT888" t="s">
        <v>16798</v>
      </c>
      <c r="AU888">
        <v>2022</v>
      </c>
      <c r="AV888">
        <v>44</v>
      </c>
      <c r="AW888">
        <v>11</v>
      </c>
      <c r="AX888" t="s">
        <v>74</v>
      </c>
      <c r="AY888" t="s">
        <v>74</v>
      </c>
      <c r="AZ888" t="s">
        <v>74</v>
      </c>
      <c r="BA888" t="s">
        <v>74</v>
      </c>
      <c r="BB888">
        <v>2158</v>
      </c>
      <c r="BC888">
        <v>2185</v>
      </c>
      <c r="BD888" t="s">
        <v>74</v>
      </c>
      <c r="BE888" t="s">
        <v>16799</v>
      </c>
      <c r="BF888" t="str">
        <f>HYPERLINK("http://dx.doi.org/10.1080/09638288.2020.1824026","http://dx.doi.org/10.1080/09638288.2020.1824026")</f>
        <v>http://dx.doi.org/10.1080/09638288.2020.1824026</v>
      </c>
      <c r="BG888" t="s">
        <v>74</v>
      </c>
      <c r="BH888" t="s">
        <v>16800</v>
      </c>
      <c r="BI888">
        <v>28</v>
      </c>
      <c r="BJ888" t="s">
        <v>101</v>
      </c>
      <c r="BK888" t="s">
        <v>102</v>
      </c>
      <c r="BL888" t="s">
        <v>101</v>
      </c>
      <c r="BM888" t="s">
        <v>16801</v>
      </c>
      <c r="BN888">
        <v>32976719</v>
      </c>
      <c r="BO888" t="s">
        <v>74</v>
      </c>
      <c r="BP888" t="s">
        <v>74</v>
      </c>
      <c r="BQ888" t="s">
        <v>74</v>
      </c>
      <c r="BR888" t="s">
        <v>105</v>
      </c>
      <c r="BS888" t="s">
        <v>16802</v>
      </c>
      <c r="BT888" t="str">
        <f>HYPERLINK("https%3A%2F%2Fwww.webofscience.com%2Fwos%2Fwoscc%2Ffull-record%2FWOS:000573112800001","View Full Record in Web of Science")</f>
        <v>View Full Record in Web of Science</v>
      </c>
    </row>
    <row r="889" spans="1:72" x14ac:dyDescent="0.25">
      <c r="A889" t="s">
        <v>72</v>
      </c>
      <c r="B889" t="s">
        <v>16803</v>
      </c>
      <c r="C889" t="s">
        <v>74</v>
      </c>
      <c r="D889" t="s">
        <v>74</v>
      </c>
      <c r="E889" t="s">
        <v>74</v>
      </c>
      <c r="F889" t="s">
        <v>16804</v>
      </c>
      <c r="G889" t="s">
        <v>74</v>
      </c>
      <c r="H889" t="s">
        <v>74</v>
      </c>
      <c r="I889" t="s">
        <v>16805</v>
      </c>
      <c r="J889" t="s">
        <v>11359</v>
      </c>
      <c r="K889" t="s">
        <v>74</v>
      </c>
      <c r="L889" t="s">
        <v>74</v>
      </c>
      <c r="M889" t="s">
        <v>78</v>
      </c>
      <c r="N889" t="s">
        <v>79</v>
      </c>
      <c r="O889" t="s">
        <v>74</v>
      </c>
      <c r="P889" t="s">
        <v>74</v>
      </c>
      <c r="Q889" t="s">
        <v>74</v>
      </c>
      <c r="R889" t="s">
        <v>74</v>
      </c>
      <c r="S889" t="s">
        <v>74</v>
      </c>
      <c r="T889" t="s">
        <v>16806</v>
      </c>
      <c r="U889" t="s">
        <v>16807</v>
      </c>
      <c r="V889" t="s">
        <v>16808</v>
      </c>
      <c r="W889" t="s">
        <v>16809</v>
      </c>
      <c r="X889" t="s">
        <v>16810</v>
      </c>
      <c r="Y889" t="s">
        <v>16811</v>
      </c>
      <c r="Z889" t="s">
        <v>1238</v>
      </c>
      <c r="AA889" t="s">
        <v>1239</v>
      </c>
      <c r="AB889" t="s">
        <v>1240</v>
      </c>
      <c r="AC889" t="s">
        <v>16812</v>
      </c>
      <c r="AD889" t="s">
        <v>16813</v>
      </c>
      <c r="AE889" t="s">
        <v>16814</v>
      </c>
      <c r="AF889" t="s">
        <v>74</v>
      </c>
      <c r="AG889">
        <v>175</v>
      </c>
      <c r="AH889">
        <v>90</v>
      </c>
      <c r="AI889">
        <v>97</v>
      </c>
      <c r="AJ889">
        <v>14</v>
      </c>
      <c r="AK889">
        <v>36</v>
      </c>
      <c r="AL889" t="s">
        <v>6443</v>
      </c>
      <c r="AM889" t="s">
        <v>4114</v>
      </c>
      <c r="AN889" t="s">
        <v>6444</v>
      </c>
      <c r="AO889" t="s">
        <v>74</v>
      </c>
      <c r="AP889" t="s">
        <v>11369</v>
      </c>
      <c r="AQ889" t="s">
        <v>74</v>
      </c>
      <c r="AR889" t="s">
        <v>11370</v>
      </c>
      <c r="AS889" t="s">
        <v>11371</v>
      </c>
      <c r="AT889" t="s">
        <v>16815</v>
      </c>
      <c r="AU889">
        <v>2020</v>
      </c>
      <c r="AV889">
        <v>1</v>
      </c>
      <c r="AW889" t="s">
        <v>74</v>
      </c>
      <c r="AX889" t="s">
        <v>74</v>
      </c>
      <c r="AY889" t="s">
        <v>74</v>
      </c>
      <c r="AZ889" t="s">
        <v>74</v>
      </c>
      <c r="BA889" t="s">
        <v>74</v>
      </c>
      <c r="BB889" t="s">
        <v>74</v>
      </c>
      <c r="BC889" t="s">
        <v>74</v>
      </c>
      <c r="BD889" t="s">
        <v>16816</v>
      </c>
      <c r="BE889" t="s">
        <v>16817</v>
      </c>
      <c r="BF889" t="str">
        <f>HYPERLINK("http://dx.doi.org/10.1017/wtc.2020.4","http://dx.doi.org/10.1017/wtc.2020.4")</f>
        <v>http://dx.doi.org/10.1017/wtc.2020.4</v>
      </c>
      <c r="BG889" t="s">
        <v>74</v>
      </c>
      <c r="BH889" t="s">
        <v>74</v>
      </c>
      <c r="BI889">
        <v>27</v>
      </c>
      <c r="BJ889" t="s">
        <v>11375</v>
      </c>
      <c r="BK889" t="s">
        <v>155</v>
      </c>
      <c r="BL889" t="s">
        <v>11376</v>
      </c>
      <c r="BM889" t="s">
        <v>16818</v>
      </c>
      <c r="BN889">
        <v>39050264</v>
      </c>
      <c r="BO889" t="s">
        <v>355</v>
      </c>
      <c r="BP889" t="s">
        <v>74</v>
      </c>
      <c r="BQ889" t="s">
        <v>74</v>
      </c>
      <c r="BR889" t="s">
        <v>105</v>
      </c>
      <c r="BS889" t="s">
        <v>16819</v>
      </c>
      <c r="BT889" t="str">
        <f>HYPERLINK("https%3A%2F%2Fwww.webofscience.com%2Fwos%2Fwoscc%2Ffull-record%2FWOS:001152922600001","View Full Record in Web of Science")</f>
        <v>View Full Record in Web of Science</v>
      </c>
    </row>
    <row r="890" spans="1:72" x14ac:dyDescent="0.25">
      <c r="A890" t="s">
        <v>72</v>
      </c>
      <c r="B890" t="s">
        <v>16820</v>
      </c>
      <c r="C890" t="s">
        <v>74</v>
      </c>
      <c r="D890" t="s">
        <v>74</v>
      </c>
      <c r="E890" t="s">
        <v>74</v>
      </c>
      <c r="F890" t="s">
        <v>16821</v>
      </c>
      <c r="G890" t="s">
        <v>74</v>
      </c>
      <c r="H890" t="s">
        <v>74</v>
      </c>
      <c r="I890" t="s">
        <v>16822</v>
      </c>
      <c r="J890" t="s">
        <v>16823</v>
      </c>
      <c r="K890" t="s">
        <v>74</v>
      </c>
      <c r="L890" t="s">
        <v>74</v>
      </c>
      <c r="M890" t="s">
        <v>78</v>
      </c>
      <c r="N890" t="s">
        <v>79</v>
      </c>
      <c r="O890" t="s">
        <v>74</v>
      </c>
      <c r="P890" t="s">
        <v>74</v>
      </c>
      <c r="Q890" t="s">
        <v>74</v>
      </c>
      <c r="R890" t="s">
        <v>74</v>
      </c>
      <c r="S890" t="s">
        <v>74</v>
      </c>
      <c r="T890" t="s">
        <v>16824</v>
      </c>
      <c r="U890" t="s">
        <v>16825</v>
      </c>
      <c r="V890" t="s">
        <v>16826</v>
      </c>
      <c r="W890" t="s">
        <v>16827</v>
      </c>
      <c r="X890" t="s">
        <v>16828</v>
      </c>
      <c r="Y890" t="s">
        <v>16829</v>
      </c>
      <c r="Z890" t="s">
        <v>16830</v>
      </c>
      <c r="AA890" t="s">
        <v>74</v>
      </c>
      <c r="AB890" t="s">
        <v>16831</v>
      </c>
      <c r="AC890" t="s">
        <v>16832</v>
      </c>
      <c r="AD890" t="s">
        <v>16832</v>
      </c>
      <c r="AE890" t="s">
        <v>16833</v>
      </c>
      <c r="AF890" t="s">
        <v>74</v>
      </c>
      <c r="AG890">
        <v>97</v>
      </c>
      <c r="AH890">
        <v>18</v>
      </c>
      <c r="AI890">
        <v>20</v>
      </c>
      <c r="AJ890">
        <v>2</v>
      </c>
      <c r="AK890">
        <v>43</v>
      </c>
      <c r="AL890" t="s">
        <v>16834</v>
      </c>
      <c r="AM890" t="s">
        <v>16310</v>
      </c>
      <c r="AN890" t="s">
        <v>16835</v>
      </c>
      <c r="AO890" t="s">
        <v>16836</v>
      </c>
      <c r="AP890" t="s">
        <v>16837</v>
      </c>
      <c r="AQ890" t="s">
        <v>74</v>
      </c>
      <c r="AR890" t="s">
        <v>16838</v>
      </c>
      <c r="AS890" t="s">
        <v>16839</v>
      </c>
      <c r="AT890" t="s">
        <v>1888</v>
      </c>
      <c r="AU890">
        <v>2020</v>
      </c>
      <c r="AV890">
        <v>137</v>
      </c>
      <c r="AW890">
        <v>6</v>
      </c>
      <c r="AX890" t="s">
        <v>74</v>
      </c>
      <c r="AY890" t="s">
        <v>74</v>
      </c>
      <c r="AZ890" t="s">
        <v>74</v>
      </c>
      <c r="BA890" t="s">
        <v>74</v>
      </c>
      <c r="BB890">
        <v>297</v>
      </c>
      <c r="BC890">
        <v>308</v>
      </c>
      <c r="BD890" t="s">
        <v>74</v>
      </c>
      <c r="BE890" t="s">
        <v>16840</v>
      </c>
      <c r="BF890" t="str">
        <f>HYPERLINK("http://dx.doi.org/10.1007/s00502-020-00823-8","http://dx.doi.org/10.1007/s00502-020-00823-8")</f>
        <v>http://dx.doi.org/10.1007/s00502-020-00823-8</v>
      </c>
      <c r="BG890" t="s">
        <v>74</v>
      </c>
      <c r="BH890" t="s">
        <v>16800</v>
      </c>
      <c r="BI890">
        <v>12</v>
      </c>
      <c r="BJ890" t="s">
        <v>11678</v>
      </c>
      <c r="BK890" t="s">
        <v>155</v>
      </c>
      <c r="BL890" t="s">
        <v>183</v>
      </c>
      <c r="BM890" t="s">
        <v>16841</v>
      </c>
      <c r="BN890" t="s">
        <v>74</v>
      </c>
      <c r="BO890" t="s">
        <v>309</v>
      </c>
      <c r="BP890" t="s">
        <v>74</v>
      </c>
      <c r="BQ890" t="s">
        <v>74</v>
      </c>
      <c r="BR890" t="s">
        <v>105</v>
      </c>
      <c r="BS890" t="s">
        <v>16842</v>
      </c>
      <c r="BT890" t="str">
        <f>HYPERLINK("https%3A%2F%2Fwww.webofscience.com%2Fwos%2Fwoscc%2Ffull-record%2FWOS:000566699200001","View Full Record in Web of Science")</f>
        <v>View Full Record in Web of Science</v>
      </c>
    </row>
    <row r="891" spans="1:72" x14ac:dyDescent="0.25">
      <c r="A891" t="s">
        <v>72</v>
      </c>
      <c r="B891" t="s">
        <v>16843</v>
      </c>
      <c r="C891" t="s">
        <v>74</v>
      </c>
      <c r="D891" t="s">
        <v>74</v>
      </c>
      <c r="E891" t="s">
        <v>74</v>
      </c>
      <c r="F891" t="s">
        <v>16844</v>
      </c>
      <c r="G891" t="s">
        <v>74</v>
      </c>
      <c r="H891" t="s">
        <v>74</v>
      </c>
      <c r="I891" t="s">
        <v>16845</v>
      </c>
      <c r="J891" t="s">
        <v>2040</v>
      </c>
      <c r="K891" t="s">
        <v>74</v>
      </c>
      <c r="L891" t="s">
        <v>74</v>
      </c>
      <c r="M891" t="s">
        <v>78</v>
      </c>
      <c r="N891" t="s">
        <v>79</v>
      </c>
      <c r="O891" t="s">
        <v>74</v>
      </c>
      <c r="P891" t="s">
        <v>74</v>
      </c>
      <c r="Q891" t="s">
        <v>74</v>
      </c>
      <c r="R891" t="s">
        <v>74</v>
      </c>
      <c r="S891" t="s">
        <v>74</v>
      </c>
      <c r="T891" t="s">
        <v>16846</v>
      </c>
      <c r="U891" t="s">
        <v>16847</v>
      </c>
      <c r="V891" t="s">
        <v>16848</v>
      </c>
      <c r="W891" t="s">
        <v>16849</v>
      </c>
      <c r="X891" t="s">
        <v>16850</v>
      </c>
      <c r="Y891" t="s">
        <v>16851</v>
      </c>
      <c r="Z891" t="s">
        <v>16852</v>
      </c>
      <c r="AA891" t="s">
        <v>16853</v>
      </c>
      <c r="AB891" t="s">
        <v>16854</v>
      </c>
      <c r="AC891" t="s">
        <v>16855</v>
      </c>
      <c r="AD891" t="s">
        <v>16856</v>
      </c>
      <c r="AE891" t="s">
        <v>16857</v>
      </c>
      <c r="AF891" t="s">
        <v>74</v>
      </c>
      <c r="AG891">
        <v>107</v>
      </c>
      <c r="AH891">
        <v>19</v>
      </c>
      <c r="AI891">
        <v>20</v>
      </c>
      <c r="AJ891">
        <v>1</v>
      </c>
      <c r="AK891">
        <v>33</v>
      </c>
      <c r="AL891" t="s">
        <v>120</v>
      </c>
      <c r="AM891" t="s">
        <v>121</v>
      </c>
      <c r="AN891" t="s">
        <v>122</v>
      </c>
      <c r="AO891" t="s">
        <v>74</v>
      </c>
      <c r="AP891" t="s">
        <v>2050</v>
      </c>
      <c r="AQ891" t="s">
        <v>74</v>
      </c>
      <c r="AR891" t="s">
        <v>2051</v>
      </c>
      <c r="AS891" t="s">
        <v>2052</v>
      </c>
      <c r="AT891" t="s">
        <v>420</v>
      </c>
      <c r="AU891">
        <v>2020</v>
      </c>
      <c r="AV891">
        <v>20</v>
      </c>
      <c r="AW891">
        <v>18</v>
      </c>
      <c r="AX891" t="s">
        <v>74</v>
      </c>
      <c r="AY891" t="s">
        <v>74</v>
      </c>
      <c r="AZ891" t="s">
        <v>74</v>
      </c>
      <c r="BA891" t="s">
        <v>74</v>
      </c>
      <c r="BB891" t="s">
        <v>74</v>
      </c>
      <c r="BC891" t="s">
        <v>74</v>
      </c>
      <c r="BD891">
        <v>5046</v>
      </c>
      <c r="BE891" t="s">
        <v>16858</v>
      </c>
      <c r="BF891" t="str">
        <f>HYPERLINK("http://dx.doi.org/10.3390/s20185046","http://dx.doi.org/10.3390/s20185046")</f>
        <v>http://dx.doi.org/10.3390/s20185046</v>
      </c>
      <c r="BG891" t="s">
        <v>74</v>
      </c>
      <c r="BH891" t="s">
        <v>74</v>
      </c>
      <c r="BI891">
        <v>22</v>
      </c>
      <c r="BJ891" t="s">
        <v>2054</v>
      </c>
      <c r="BK891" t="s">
        <v>102</v>
      </c>
      <c r="BL891" t="s">
        <v>2055</v>
      </c>
      <c r="BM891" t="s">
        <v>16859</v>
      </c>
      <c r="BN891">
        <v>32899490</v>
      </c>
      <c r="BO891" t="s">
        <v>355</v>
      </c>
      <c r="BP891" t="s">
        <v>74</v>
      </c>
      <c r="BQ891" t="s">
        <v>74</v>
      </c>
      <c r="BR891" t="s">
        <v>105</v>
      </c>
      <c r="BS891" t="s">
        <v>16860</v>
      </c>
      <c r="BT891" t="str">
        <f>HYPERLINK("https%3A%2F%2Fwww.webofscience.com%2Fwos%2Fwoscc%2Ffull-record%2FWOS:000580871200001","View Full Record in Web of Science")</f>
        <v>View Full Record in Web of Science</v>
      </c>
    </row>
    <row r="892" spans="1:72" x14ac:dyDescent="0.25">
      <c r="A892" t="s">
        <v>72</v>
      </c>
      <c r="B892" t="s">
        <v>16861</v>
      </c>
      <c r="C892" t="s">
        <v>74</v>
      </c>
      <c r="D892" t="s">
        <v>74</v>
      </c>
      <c r="E892" t="s">
        <v>74</v>
      </c>
      <c r="F892" t="s">
        <v>16862</v>
      </c>
      <c r="G892" t="s">
        <v>74</v>
      </c>
      <c r="H892" t="s">
        <v>74</v>
      </c>
      <c r="I892" t="s">
        <v>16863</v>
      </c>
      <c r="J892" t="s">
        <v>1078</v>
      </c>
      <c r="K892" t="s">
        <v>74</v>
      </c>
      <c r="L892" t="s">
        <v>74</v>
      </c>
      <c r="M892" t="s">
        <v>78</v>
      </c>
      <c r="N892" t="s">
        <v>79</v>
      </c>
      <c r="O892" t="s">
        <v>74</v>
      </c>
      <c r="P892" t="s">
        <v>74</v>
      </c>
      <c r="Q892" t="s">
        <v>74</v>
      </c>
      <c r="R892" t="s">
        <v>74</v>
      </c>
      <c r="S892" t="s">
        <v>74</v>
      </c>
      <c r="T892" t="s">
        <v>16864</v>
      </c>
      <c r="U892" t="s">
        <v>16865</v>
      </c>
      <c r="V892" t="s">
        <v>16866</v>
      </c>
      <c r="W892" t="s">
        <v>16867</v>
      </c>
      <c r="X892" t="s">
        <v>16868</v>
      </c>
      <c r="Y892" t="s">
        <v>16869</v>
      </c>
      <c r="Z892" t="s">
        <v>16870</v>
      </c>
      <c r="AA892" t="s">
        <v>16871</v>
      </c>
      <c r="AB892" t="s">
        <v>16872</v>
      </c>
      <c r="AC892" t="s">
        <v>74</v>
      </c>
      <c r="AD892" t="s">
        <v>74</v>
      </c>
      <c r="AE892" t="s">
        <v>74</v>
      </c>
      <c r="AF892" t="s">
        <v>74</v>
      </c>
      <c r="AG892">
        <v>18</v>
      </c>
      <c r="AH892">
        <v>1</v>
      </c>
      <c r="AI892">
        <v>1</v>
      </c>
      <c r="AJ892">
        <v>0</v>
      </c>
      <c r="AK892">
        <v>8</v>
      </c>
      <c r="AL892" t="s">
        <v>1088</v>
      </c>
      <c r="AM892" t="s">
        <v>1089</v>
      </c>
      <c r="AN892" t="s">
        <v>1090</v>
      </c>
      <c r="AO892" t="s">
        <v>1091</v>
      </c>
      <c r="AP892" t="s">
        <v>1092</v>
      </c>
      <c r="AQ892" t="s">
        <v>74</v>
      </c>
      <c r="AR892" t="s">
        <v>1093</v>
      </c>
      <c r="AS892" t="s">
        <v>1094</v>
      </c>
      <c r="AT892" t="s">
        <v>420</v>
      </c>
      <c r="AU892">
        <v>2020</v>
      </c>
      <c r="AV892">
        <v>14</v>
      </c>
      <c r="AW892">
        <v>9</v>
      </c>
      <c r="AX892" t="s">
        <v>74</v>
      </c>
      <c r="AY892" t="s">
        <v>74</v>
      </c>
      <c r="AZ892" t="s">
        <v>74</v>
      </c>
      <c r="BA892" t="s">
        <v>74</v>
      </c>
      <c r="BB892" t="s">
        <v>74</v>
      </c>
      <c r="BC892" t="s">
        <v>74</v>
      </c>
      <c r="BD892" t="s">
        <v>74</v>
      </c>
      <c r="BE892" t="s">
        <v>16873</v>
      </c>
      <c r="BF892" t="str">
        <f>HYPERLINK("http://dx.doi.org/10.7860/JCDR/2020/45110.14052","http://dx.doi.org/10.7860/JCDR/2020/45110.14052")</f>
        <v>http://dx.doi.org/10.7860/JCDR/2020/45110.14052</v>
      </c>
      <c r="BG892" t="s">
        <v>74</v>
      </c>
      <c r="BH892" t="s">
        <v>74</v>
      </c>
      <c r="BI892">
        <v>5</v>
      </c>
      <c r="BJ892" t="s">
        <v>128</v>
      </c>
      <c r="BK892" t="s">
        <v>155</v>
      </c>
      <c r="BL892" t="s">
        <v>129</v>
      </c>
      <c r="BM892" t="s">
        <v>16874</v>
      </c>
      <c r="BN892" t="s">
        <v>74</v>
      </c>
      <c r="BO892" t="s">
        <v>185</v>
      </c>
      <c r="BP892" t="s">
        <v>74</v>
      </c>
      <c r="BQ892" t="s">
        <v>74</v>
      </c>
      <c r="BR892" t="s">
        <v>105</v>
      </c>
      <c r="BS892" t="s">
        <v>16875</v>
      </c>
      <c r="BT892" t="str">
        <f>HYPERLINK("https%3A%2F%2Fwww.webofscience.com%2Fwos%2Fwoscc%2Ffull-record%2FWOS:000570792300069","View Full Record in Web of Science")</f>
        <v>View Full Record in Web of Science</v>
      </c>
    </row>
    <row r="893" spans="1:72" x14ac:dyDescent="0.25">
      <c r="A893" t="s">
        <v>72</v>
      </c>
      <c r="B893" t="s">
        <v>16876</v>
      </c>
      <c r="C893" t="s">
        <v>74</v>
      </c>
      <c r="D893" t="s">
        <v>74</v>
      </c>
      <c r="E893" t="s">
        <v>74</v>
      </c>
      <c r="F893" t="s">
        <v>16877</v>
      </c>
      <c r="G893" t="s">
        <v>74</v>
      </c>
      <c r="H893" t="s">
        <v>74</v>
      </c>
      <c r="I893" t="s">
        <v>16878</v>
      </c>
      <c r="J893" t="s">
        <v>2040</v>
      </c>
      <c r="K893" t="s">
        <v>74</v>
      </c>
      <c r="L893" t="s">
        <v>74</v>
      </c>
      <c r="M893" t="s">
        <v>78</v>
      </c>
      <c r="N893" t="s">
        <v>79</v>
      </c>
      <c r="O893" t="s">
        <v>74</v>
      </c>
      <c r="P893" t="s">
        <v>74</v>
      </c>
      <c r="Q893" t="s">
        <v>74</v>
      </c>
      <c r="R893" t="s">
        <v>74</v>
      </c>
      <c r="S893" t="s">
        <v>74</v>
      </c>
      <c r="T893" t="s">
        <v>16879</v>
      </c>
      <c r="U893" t="s">
        <v>16880</v>
      </c>
      <c r="V893" t="s">
        <v>16881</v>
      </c>
      <c r="W893" t="s">
        <v>16882</v>
      </c>
      <c r="X893" t="s">
        <v>2096</v>
      </c>
      <c r="Y893" t="s">
        <v>16883</v>
      </c>
      <c r="Z893" t="s">
        <v>16884</v>
      </c>
      <c r="AA893" t="s">
        <v>16885</v>
      </c>
      <c r="AB893" t="s">
        <v>16886</v>
      </c>
      <c r="AC893" t="s">
        <v>16887</v>
      </c>
      <c r="AD893" t="s">
        <v>16888</v>
      </c>
      <c r="AE893" t="s">
        <v>16889</v>
      </c>
      <c r="AF893" t="s">
        <v>74</v>
      </c>
      <c r="AG893">
        <v>88</v>
      </c>
      <c r="AH893">
        <v>22</v>
      </c>
      <c r="AI893">
        <v>24</v>
      </c>
      <c r="AJ893">
        <v>1</v>
      </c>
      <c r="AK893">
        <v>42</v>
      </c>
      <c r="AL893" t="s">
        <v>120</v>
      </c>
      <c r="AM893" t="s">
        <v>121</v>
      </c>
      <c r="AN893" t="s">
        <v>122</v>
      </c>
      <c r="AO893" t="s">
        <v>74</v>
      </c>
      <c r="AP893" t="s">
        <v>2050</v>
      </c>
      <c r="AQ893" t="s">
        <v>74</v>
      </c>
      <c r="AR893" t="s">
        <v>2051</v>
      </c>
      <c r="AS893" t="s">
        <v>2052</v>
      </c>
      <c r="AT893" t="s">
        <v>420</v>
      </c>
      <c r="AU893">
        <v>2020</v>
      </c>
      <c r="AV893">
        <v>20</v>
      </c>
      <c r="AW893">
        <v>18</v>
      </c>
      <c r="AX893" t="s">
        <v>74</v>
      </c>
      <c r="AY893" t="s">
        <v>74</v>
      </c>
      <c r="AZ893" t="s">
        <v>74</v>
      </c>
      <c r="BA893" t="s">
        <v>74</v>
      </c>
      <c r="BB893" t="s">
        <v>74</v>
      </c>
      <c r="BC893" t="s">
        <v>74</v>
      </c>
      <c r="BD893">
        <v>5251</v>
      </c>
      <c r="BE893" t="s">
        <v>16890</v>
      </c>
      <c r="BF893" t="str">
        <f>HYPERLINK("http://dx.doi.org/10.3390/s20185251","http://dx.doi.org/10.3390/s20185251")</f>
        <v>http://dx.doi.org/10.3390/s20185251</v>
      </c>
      <c r="BG893" t="s">
        <v>74</v>
      </c>
      <c r="BH893" t="s">
        <v>74</v>
      </c>
      <c r="BI893">
        <v>23</v>
      </c>
      <c r="BJ893" t="s">
        <v>2054</v>
      </c>
      <c r="BK893" t="s">
        <v>102</v>
      </c>
      <c r="BL893" t="s">
        <v>2055</v>
      </c>
      <c r="BM893" t="s">
        <v>16891</v>
      </c>
      <c r="BN893">
        <v>32937973</v>
      </c>
      <c r="BO893" t="s">
        <v>355</v>
      </c>
      <c r="BP893" t="s">
        <v>74</v>
      </c>
      <c r="BQ893" t="s">
        <v>74</v>
      </c>
      <c r="BR893" t="s">
        <v>105</v>
      </c>
      <c r="BS893" t="s">
        <v>16892</v>
      </c>
      <c r="BT893" t="str">
        <f>HYPERLINK("https%3A%2F%2Fwww.webofscience.com%2Fwos%2Fwoscc%2Ffull-record%2FWOS:000580060400001","View Full Record in Web of Science")</f>
        <v>View Full Record in Web of Science</v>
      </c>
    </row>
    <row r="894" spans="1:72" x14ac:dyDescent="0.25">
      <c r="A894" t="s">
        <v>72</v>
      </c>
      <c r="B894" t="s">
        <v>16893</v>
      </c>
      <c r="C894" t="s">
        <v>74</v>
      </c>
      <c r="D894" t="s">
        <v>74</v>
      </c>
      <c r="E894" t="s">
        <v>74</v>
      </c>
      <c r="F894" t="s">
        <v>16894</v>
      </c>
      <c r="G894" t="s">
        <v>74</v>
      </c>
      <c r="H894" t="s">
        <v>74</v>
      </c>
      <c r="I894" t="s">
        <v>16895</v>
      </c>
      <c r="J894" t="s">
        <v>16896</v>
      </c>
      <c r="K894" t="s">
        <v>74</v>
      </c>
      <c r="L894" t="s">
        <v>74</v>
      </c>
      <c r="M894" t="s">
        <v>78</v>
      </c>
      <c r="N894" t="s">
        <v>79</v>
      </c>
      <c r="O894" t="s">
        <v>74</v>
      </c>
      <c r="P894" t="s">
        <v>74</v>
      </c>
      <c r="Q894" t="s">
        <v>74</v>
      </c>
      <c r="R894" t="s">
        <v>74</v>
      </c>
      <c r="S894" t="s">
        <v>74</v>
      </c>
      <c r="T894" t="s">
        <v>16897</v>
      </c>
      <c r="U894" t="s">
        <v>16898</v>
      </c>
      <c r="V894" t="s">
        <v>16899</v>
      </c>
      <c r="W894" t="s">
        <v>16900</v>
      </c>
      <c r="X894" t="s">
        <v>16901</v>
      </c>
      <c r="Y894" t="s">
        <v>16902</v>
      </c>
      <c r="Z894" t="s">
        <v>12947</v>
      </c>
      <c r="AA894" t="s">
        <v>16903</v>
      </c>
      <c r="AB894" t="s">
        <v>16904</v>
      </c>
      <c r="AC894" t="s">
        <v>16905</v>
      </c>
      <c r="AD894" t="s">
        <v>16906</v>
      </c>
      <c r="AE894" t="s">
        <v>16907</v>
      </c>
      <c r="AF894" t="s">
        <v>74</v>
      </c>
      <c r="AG894">
        <v>25</v>
      </c>
      <c r="AH894">
        <v>10</v>
      </c>
      <c r="AI894">
        <v>12</v>
      </c>
      <c r="AJ894">
        <v>0</v>
      </c>
      <c r="AK894">
        <v>14</v>
      </c>
      <c r="AL894" t="s">
        <v>346</v>
      </c>
      <c r="AM894" t="s">
        <v>227</v>
      </c>
      <c r="AN894" t="s">
        <v>347</v>
      </c>
      <c r="AO894" t="s">
        <v>16908</v>
      </c>
      <c r="AP894" t="s">
        <v>16909</v>
      </c>
      <c r="AQ894" t="s">
        <v>74</v>
      </c>
      <c r="AR894" t="s">
        <v>16910</v>
      </c>
      <c r="AS894" t="s">
        <v>16911</v>
      </c>
      <c r="AT894" t="s">
        <v>420</v>
      </c>
      <c r="AU894">
        <v>2020</v>
      </c>
      <c r="AV894">
        <v>43</v>
      </c>
      <c r="AW894">
        <v>3</v>
      </c>
      <c r="AX894" t="s">
        <v>74</v>
      </c>
      <c r="AY894" t="s">
        <v>74</v>
      </c>
      <c r="AZ894" t="s">
        <v>74</v>
      </c>
      <c r="BA894" t="s">
        <v>74</v>
      </c>
      <c r="BB894">
        <v>195</v>
      </c>
      <c r="BC894">
        <v>198</v>
      </c>
      <c r="BD894" t="s">
        <v>74</v>
      </c>
      <c r="BE894" t="s">
        <v>16912</v>
      </c>
      <c r="BF894" t="str">
        <f>HYPERLINK("http://dx.doi.org/10.1097/MRR.0000000000000420","http://dx.doi.org/10.1097/MRR.0000000000000420")</f>
        <v>http://dx.doi.org/10.1097/MRR.0000000000000420</v>
      </c>
      <c r="BG894" t="s">
        <v>74</v>
      </c>
      <c r="BH894" t="s">
        <v>74</v>
      </c>
      <c r="BI894">
        <v>4</v>
      </c>
      <c r="BJ894" t="s">
        <v>101</v>
      </c>
      <c r="BK894" t="s">
        <v>102</v>
      </c>
      <c r="BL894" t="s">
        <v>101</v>
      </c>
      <c r="BM894" t="s">
        <v>16913</v>
      </c>
      <c r="BN894">
        <v>32769583</v>
      </c>
      <c r="BO894" t="s">
        <v>74</v>
      </c>
      <c r="BP894" t="s">
        <v>74</v>
      </c>
      <c r="BQ894" t="s">
        <v>74</v>
      </c>
      <c r="BR894" t="s">
        <v>105</v>
      </c>
      <c r="BS894" t="s">
        <v>16914</v>
      </c>
      <c r="BT894" t="str">
        <f>HYPERLINK("https%3A%2F%2Fwww.webofscience.com%2Fwos%2Fwoscc%2Ffull-record%2FWOS:000561343600002","View Full Record in Web of Science")</f>
        <v>View Full Record in Web of Science</v>
      </c>
    </row>
    <row r="895" spans="1:72" x14ac:dyDescent="0.25">
      <c r="A895" t="s">
        <v>72</v>
      </c>
      <c r="B895" t="s">
        <v>16915</v>
      </c>
      <c r="C895" t="s">
        <v>74</v>
      </c>
      <c r="D895" t="s">
        <v>74</v>
      </c>
      <c r="E895" t="s">
        <v>74</v>
      </c>
      <c r="F895" t="s">
        <v>16916</v>
      </c>
      <c r="G895" t="s">
        <v>74</v>
      </c>
      <c r="H895" t="s">
        <v>74</v>
      </c>
      <c r="I895" t="s">
        <v>16917</v>
      </c>
      <c r="J895" t="s">
        <v>8517</v>
      </c>
      <c r="K895" t="s">
        <v>74</v>
      </c>
      <c r="L895" t="s">
        <v>74</v>
      </c>
      <c r="M895" t="s">
        <v>78</v>
      </c>
      <c r="N895" t="s">
        <v>79</v>
      </c>
      <c r="O895" t="s">
        <v>74</v>
      </c>
      <c r="P895" t="s">
        <v>74</v>
      </c>
      <c r="Q895" t="s">
        <v>74</v>
      </c>
      <c r="R895" t="s">
        <v>74</v>
      </c>
      <c r="S895" t="s">
        <v>74</v>
      </c>
      <c r="T895" t="s">
        <v>16918</v>
      </c>
      <c r="U895" t="s">
        <v>16919</v>
      </c>
      <c r="V895" t="s">
        <v>16920</v>
      </c>
      <c r="W895" t="s">
        <v>16921</v>
      </c>
      <c r="X895" t="s">
        <v>16922</v>
      </c>
      <c r="Y895" t="s">
        <v>16923</v>
      </c>
      <c r="Z895" t="s">
        <v>16924</v>
      </c>
      <c r="AA895" t="s">
        <v>16925</v>
      </c>
      <c r="AB895" t="s">
        <v>16926</v>
      </c>
      <c r="AC895" t="s">
        <v>74</v>
      </c>
      <c r="AD895" t="s">
        <v>74</v>
      </c>
      <c r="AE895" t="s">
        <v>74</v>
      </c>
      <c r="AF895" t="s">
        <v>74</v>
      </c>
      <c r="AG895">
        <v>50</v>
      </c>
      <c r="AH895">
        <v>8</v>
      </c>
      <c r="AI895">
        <v>10</v>
      </c>
      <c r="AJ895">
        <v>0</v>
      </c>
      <c r="AK895">
        <v>7</v>
      </c>
      <c r="AL895" t="s">
        <v>4725</v>
      </c>
      <c r="AM895" t="s">
        <v>2597</v>
      </c>
      <c r="AN895" t="s">
        <v>4726</v>
      </c>
      <c r="AO895" t="s">
        <v>8529</v>
      </c>
      <c r="AP895" t="s">
        <v>8530</v>
      </c>
      <c r="AQ895" t="s">
        <v>74</v>
      </c>
      <c r="AR895" t="s">
        <v>8531</v>
      </c>
      <c r="AS895" t="s">
        <v>8532</v>
      </c>
      <c r="AT895" t="s">
        <v>420</v>
      </c>
      <c r="AU895">
        <v>2020</v>
      </c>
      <c r="AV895">
        <v>43</v>
      </c>
      <c r="AW895">
        <v>9</v>
      </c>
      <c r="AX895" t="s">
        <v>74</v>
      </c>
      <c r="AY895" t="s">
        <v>74</v>
      </c>
      <c r="AZ895" t="s">
        <v>74</v>
      </c>
      <c r="BA895" t="s">
        <v>74</v>
      </c>
      <c r="BB895">
        <v>873</v>
      </c>
      <c r="BC895">
        <v>879</v>
      </c>
      <c r="BD895" t="s">
        <v>74</v>
      </c>
      <c r="BE895" t="s">
        <v>16927</v>
      </c>
      <c r="BF895" t="str">
        <f>HYPERLINK("http://dx.doi.org/10.1016/j.asjsur.2019.11.012","http://dx.doi.org/10.1016/j.asjsur.2019.11.012")</f>
        <v>http://dx.doi.org/10.1016/j.asjsur.2019.11.012</v>
      </c>
      <c r="BG895" t="s">
        <v>74</v>
      </c>
      <c r="BH895" t="s">
        <v>74</v>
      </c>
      <c r="BI895">
        <v>7</v>
      </c>
      <c r="BJ895" t="s">
        <v>4896</v>
      </c>
      <c r="BK895" t="s">
        <v>182</v>
      </c>
      <c r="BL895" t="s">
        <v>4896</v>
      </c>
      <c r="BM895" t="s">
        <v>16928</v>
      </c>
      <c r="BN895">
        <v>31964583</v>
      </c>
      <c r="BO895" t="s">
        <v>185</v>
      </c>
      <c r="BP895" t="s">
        <v>74</v>
      </c>
      <c r="BQ895" t="s">
        <v>74</v>
      </c>
      <c r="BR895" t="s">
        <v>105</v>
      </c>
      <c r="BS895" t="s">
        <v>16929</v>
      </c>
      <c r="BT895" t="str">
        <f>HYPERLINK("https%3A%2F%2Fwww.webofscience.com%2Fwos%2Fwoscc%2Ffull-record%2FWOS:000563964800001","View Full Record in Web of Science")</f>
        <v>View Full Record in Web of Science</v>
      </c>
    </row>
    <row r="896" spans="1:72" x14ac:dyDescent="0.25">
      <c r="A896" t="s">
        <v>72</v>
      </c>
      <c r="B896" t="s">
        <v>16930</v>
      </c>
      <c r="C896" t="s">
        <v>74</v>
      </c>
      <c r="D896" t="s">
        <v>74</v>
      </c>
      <c r="E896" t="s">
        <v>74</v>
      </c>
      <c r="F896" t="s">
        <v>16931</v>
      </c>
      <c r="G896" t="s">
        <v>74</v>
      </c>
      <c r="H896" t="s">
        <v>74</v>
      </c>
      <c r="I896" t="s">
        <v>16932</v>
      </c>
      <c r="J896" t="s">
        <v>7442</v>
      </c>
      <c r="K896" t="s">
        <v>74</v>
      </c>
      <c r="L896" t="s">
        <v>74</v>
      </c>
      <c r="M896" t="s">
        <v>78</v>
      </c>
      <c r="N896" t="s">
        <v>79</v>
      </c>
      <c r="O896" t="s">
        <v>74</v>
      </c>
      <c r="P896" t="s">
        <v>74</v>
      </c>
      <c r="Q896" t="s">
        <v>74</v>
      </c>
      <c r="R896" t="s">
        <v>74</v>
      </c>
      <c r="S896" t="s">
        <v>74</v>
      </c>
      <c r="T896" t="s">
        <v>16933</v>
      </c>
      <c r="U896" t="s">
        <v>16934</v>
      </c>
      <c r="V896" t="s">
        <v>16935</v>
      </c>
      <c r="W896" t="s">
        <v>16936</v>
      </c>
      <c r="X896" t="s">
        <v>16937</v>
      </c>
      <c r="Y896" t="s">
        <v>16938</v>
      </c>
      <c r="Z896" t="s">
        <v>16939</v>
      </c>
      <c r="AA896" t="s">
        <v>16940</v>
      </c>
      <c r="AB896" t="s">
        <v>16941</v>
      </c>
      <c r="AC896" t="s">
        <v>74</v>
      </c>
      <c r="AD896" t="s">
        <v>74</v>
      </c>
      <c r="AE896" t="s">
        <v>74</v>
      </c>
      <c r="AF896" t="s">
        <v>74</v>
      </c>
      <c r="AG896">
        <v>32</v>
      </c>
      <c r="AH896">
        <v>91</v>
      </c>
      <c r="AI896">
        <v>94</v>
      </c>
      <c r="AJ896">
        <v>3</v>
      </c>
      <c r="AK896">
        <v>36</v>
      </c>
      <c r="AL896" t="s">
        <v>297</v>
      </c>
      <c r="AM896" t="s">
        <v>298</v>
      </c>
      <c r="AN896" t="s">
        <v>2285</v>
      </c>
      <c r="AO896" t="s">
        <v>7451</v>
      </c>
      <c r="AP896" t="s">
        <v>74</v>
      </c>
      <c r="AQ896" t="s">
        <v>74</v>
      </c>
      <c r="AR896" t="s">
        <v>7452</v>
      </c>
      <c r="AS896" t="s">
        <v>7453</v>
      </c>
      <c r="AT896" t="s">
        <v>634</v>
      </c>
      <c r="AU896">
        <v>2020</v>
      </c>
      <c r="AV896">
        <v>10</v>
      </c>
      <c r="AW896">
        <v>8</v>
      </c>
      <c r="AX896" t="s">
        <v>74</v>
      </c>
      <c r="AY896" t="s">
        <v>74</v>
      </c>
      <c r="AZ896" t="s">
        <v>74</v>
      </c>
      <c r="BA896" t="s">
        <v>74</v>
      </c>
      <c r="BB896" t="s">
        <v>74</v>
      </c>
      <c r="BC896" t="s">
        <v>74</v>
      </c>
      <c r="BD896" t="s">
        <v>16942</v>
      </c>
      <c r="BE896" t="s">
        <v>16943</v>
      </c>
      <c r="BF896" t="str">
        <f>HYPERLINK("http://dx.doi.org/10.1002/brb3.1742","http://dx.doi.org/10.1002/brb3.1742")</f>
        <v>http://dx.doi.org/10.1002/brb3.1742</v>
      </c>
      <c r="BG896" t="s">
        <v>74</v>
      </c>
      <c r="BH896" t="s">
        <v>74</v>
      </c>
      <c r="BI896">
        <v>16</v>
      </c>
      <c r="BJ896" t="s">
        <v>7456</v>
      </c>
      <c r="BK896" t="s">
        <v>182</v>
      </c>
      <c r="BL896" t="s">
        <v>7457</v>
      </c>
      <c r="BM896" t="s">
        <v>16944</v>
      </c>
      <c r="BN896">
        <v>32592282</v>
      </c>
      <c r="BO896" t="s">
        <v>355</v>
      </c>
      <c r="BP896" t="s">
        <v>74</v>
      </c>
      <c r="BQ896" t="s">
        <v>74</v>
      </c>
      <c r="BR896" t="s">
        <v>105</v>
      </c>
      <c r="BS896" t="s">
        <v>16945</v>
      </c>
      <c r="BT896" t="str">
        <f>HYPERLINK("https%3A%2F%2Fwww.webofscience.com%2Fwos%2Fwoscc%2Ffull-record%2FWOS:000567475300026","View Full Record in Web of Science")</f>
        <v>View Full Record in Web of Science</v>
      </c>
    </row>
    <row r="897" spans="1:72" x14ac:dyDescent="0.25">
      <c r="A897" t="s">
        <v>72</v>
      </c>
      <c r="B897" t="s">
        <v>16946</v>
      </c>
      <c r="C897" t="s">
        <v>74</v>
      </c>
      <c r="D897" t="s">
        <v>74</v>
      </c>
      <c r="E897" t="s">
        <v>74</v>
      </c>
      <c r="F897" t="s">
        <v>16947</v>
      </c>
      <c r="G897" t="s">
        <v>74</v>
      </c>
      <c r="H897" t="s">
        <v>74</v>
      </c>
      <c r="I897" t="s">
        <v>16948</v>
      </c>
      <c r="J897" t="s">
        <v>13641</v>
      </c>
      <c r="K897" t="s">
        <v>74</v>
      </c>
      <c r="L897" t="s">
        <v>74</v>
      </c>
      <c r="M897" t="s">
        <v>78</v>
      </c>
      <c r="N897" t="s">
        <v>79</v>
      </c>
      <c r="O897" t="s">
        <v>74</v>
      </c>
      <c r="P897" t="s">
        <v>74</v>
      </c>
      <c r="Q897" t="s">
        <v>74</v>
      </c>
      <c r="R897" t="s">
        <v>74</v>
      </c>
      <c r="S897" t="s">
        <v>74</v>
      </c>
      <c r="T897" t="s">
        <v>74</v>
      </c>
      <c r="U897" t="s">
        <v>16949</v>
      </c>
      <c r="V897" t="s">
        <v>16950</v>
      </c>
      <c r="W897" t="s">
        <v>16951</v>
      </c>
      <c r="X897" t="s">
        <v>16952</v>
      </c>
      <c r="Y897" t="s">
        <v>16953</v>
      </c>
      <c r="Z897" t="s">
        <v>16954</v>
      </c>
      <c r="AA897" t="s">
        <v>16955</v>
      </c>
      <c r="AB897" t="s">
        <v>16956</v>
      </c>
      <c r="AC897" t="s">
        <v>16957</v>
      </c>
      <c r="AD897" t="s">
        <v>16958</v>
      </c>
      <c r="AE897" t="s">
        <v>16959</v>
      </c>
      <c r="AF897" t="s">
        <v>74</v>
      </c>
      <c r="AG897">
        <v>127</v>
      </c>
      <c r="AH897">
        <v>15</v>
      </c>
      <c r="AI897">
        <v>15</v>
      </c>
      <c r="AJ897">
        <v>2</v>
      </c>
      <c r="AK897">
        <v>61</v>
      </c>
      <c r="AL897" t="s">
        <v>367</v>
      </c>
      <c r="AM897" t="s">
        <v>275</v>
      </c>
      <c r="AN897" t="s">
        <v>368</v>
      </c>
      <c r="AO897" t="s">
        <v>13652</v>
      </c>
      <c r="AP897" t="s">
        <v>13653</v>
      </c>
      <c r="AQ897" t="s">
        <v>74</v>
      </c>
      <c r="AR897" t="s">
        <v>13654</v>
      </c>
      <c r="AS897" t="s">
        <v>13655</v>
      </c>
      <c r="AT897" t="s">
        <v>16960</v>
      </c>
      <c r="AU897">
        <v>2020</v>
      </c>
      <c r="AV897">
        <v>2020</v>
      </c>
      <c r="AW897" t="s">
        <v>74</v>
      </c>
      <c r="AX897" t="s">
        <v>74</v>
      </c>
      <c r="AY897" t="s">
        <v>74</v>
      </c>
      <c r="AZ897" t="s">
        <v>74</v>
      </c>
      <c r="BA897" t="s">
        <v>74</v>
      </c>
      <c r="BB897" t="s">
        <v>74</v>
      </c>
      <c r="BC897" t="s">
        <v>74</v>
      </c>
      <c r="BD897">
        <v>2724783</v>
      </c>
      <c r="BE897" t="s">
        <v>16961</v>
      </c>
      <c r="BF897" t="str">
        <f>HYPERLINK("http://dx.doi.org/10.1155/2020/2724783","http://dx.doi.org/10.1155/2020/2724783")</f>
        <v>http://dx.doi.org/10.1155/2020/2724783</v>
      </c>
      <c r="BG897" t="s">
        <v>74</v>
      </c>
      <c r="BH897" t="s">
        <v>74</v>
      </c>
      <c r="BI897">
        <v>19</v>
      </c>
      <c r="BJ897" t="s">
        <v>1937</v>
      </c>
      <c r="BK897" t="s">
        <v>182</v>
      </c>
      <c r="BL897" t="s">
        <v>1938</v>
      </c>
      <c r="BM897" t="s">
        <v>16962</v>
      </c>
      <c r="BN897">
        <v>32802156</v>
      </c>
      <c r="BO897" t="s">
        <v>355</v>
      </c>
      <c r="BP897" t="s">
        <v>74</v>
      </c>
      <c r="BQ897" t="s">
        <v>74</v>
      </c>
      <c r="BR897" t="s">
        <v>105</v>
      </c>
      <c r="BS897" t="s">
        <v>16963</v>
      </c>
      <c r="BT897" t="str">
        <f>HYPERLINK("https%3A%2F%2Fwww.webofscience.com%2Fwos%2Fwoscc%2Ffull-record%2FWOS:000561325600002","View Full Record in Web of Science")</f>
        <v>View Full Record in Web of Science</v>
      </c>
    </row>
    <row r="898" spans="1:72" x14ac:dyDescent="0.25">
      <c r="A898" t="s">
        <v>72</v>
      </c>
      <c r="B898" t="s">
        <v>16964</v>
      </c>
      <c r="C898" t="s">
        <v>74</v>
      </c>
      <c r="D898" t="s">
        <v>74</v>
      </c>
      <c r="E898" t="s">
        <v>74</v>
      </c>
      <c r="F898" t="s">
        <v>16965</v>
      </c>
      <c r="G898" t="s">
        <v>74</v>
      </c>
      <c r="H898" t="s">
        <v>74</v>
      </c>
      <c r="I898" t="s">
        <v>16966</v>
      </c>
      <c r="J898" t="s">
        <v>11573</v>
      </c>
      <c r="K898" t="s">
        <v>74</v>
      </c>
      <c r="L898" t="s">
        <v>74</v>
      </c>
      <c r="M898" t="s">
        <v>78</v>
      </c>
      <c r="N898" t="s">
        <v>79</v>
      </c>
      <c r="O898" t="s">
        <v>74</v>
      </c>
      <c r="P898" t="s">
        <v>74</v>
      </c>
      <c r="Q898" t="s">
        <v>74</v>
      </c>
      <c r="R898" t="s">
        <v>74</v>
      </c>
      <c r="S898" t="s">
        <v>74</v>
      </c>
      <c r="T898" t="s">
        <v>16967</v>
      </c>
      <c r="U898" t="s">
        <v>16968</v>
      </c>
      <c r="V898" t="s">
        <v>16969</v>
      </c>
      <c r="W898" t="s">
        <v>16970</v>
      </c>
      <c r="X898" t="s">
        <v>16971</v>
      </c>
      <c r="Y898" t="s">
        <v>14303</v>
      </c>
      <c r="Z898" t="s">
        <v>14304</v>
      </c>
      <c r="AA898" t="s">
        <v>16972</v>
      </c>
      <c r="AB898" t="s">
        <v>16973</v>
      </c>
      <c r="AC898" t="s">
        <v>16974</v>
      </c>
      <c r="AD898" t="s">
        <v>16975</v>
      </c>
      <c r="AE898" t="s">
        <v>16976</v>
      </c>
      <c r="AF898" t="s">
        <v>74</v>
      </c>
      <c r="AG898">
        <v>180</v>
      </c>
      <c r="AH898">
        <v>157</v>
      </c>
      <c r="AI898">
        <v>162</v>
      </c>
      <c r="AJ898">
        <v>17</v>
      </c>
      <c r="AK898">
        <v>212</v>
      </c>
      <c r="AL898" t="s">
        <v>836</v>
      </c>
      <c r="AM898" t="s">
        <v>532</v>
      </c>
      <c r="AN898" t="s">
        <v>837</v>
      </c>
      <c r="AO898" t="s">
        <v>11585</v>
      </c>
      <c r="AP898" t="s">
        <v>11586</v>
      </c>
      <c r="AQ898" t="s">
        <v>74</v>
      </c>
      <c r="AR898" t="s">
        <v>11587</v>
      </c>
      <c r="AS898" t="s">
        <v>11588</v>
      </c>
      <c r="AT898" t="s">
        <v>634</v>
      </c>
      <c r="AU898">
        <v>2020</v>
      </c>
      <c r="AV898">
        <v>123</v>
      </c>
      <c r="AW898" t="s">
        <v>74</v>
      </c>
      <c r="AX898" t="s">
        <v>74</v>
      </c>
      <c r="AY898" t="s">
        <v>74</v>
      </c>
      <c r="AZ898" t="s">
        <v>74</v>
      </c>
      <c r="BA898" t="s">
        <v>74</v>
      </c>
      <c r="BB898" t="s">
        <v>74</v>
      </c>
      <c r="BC898" t="s">
        <v>74</v>
      </c>
      <c r="BD898">
        <v>103843</v>
      </c>
      <c r="BE898" t="s">
        <v>16977</v>
      </c>
      <c r="BF898" t="str">
        <f>HYPERLINK("http://dx.doi.org/10.1016/j.compbiomed.2020.103843","http://dx.doi.org/10.1016/j.compbiomed.2020.103843")</f>
        <v>http://dx.doi.org/10.1016/j.compbiomed.2020.103843</v>
      </c>
      <c r="BG898" t="s">
        <v>74</v>
      </c>
      <c r="BH898" t="s">
        <v>74</v>
      </c>
      <c r="BI898">
        <v>17</v>
      </c>
      <c r="BJ898" t="s">
        <v>11590</v>
      </c>
      <c r="BK898" t="s">
        <v>102</v>
      </c>
      <c r="BL898" t="s">
        <v>11591</v>
      </c>
      <c r="BM898" t="s">
        <v>16978</v>
      </c>
      <c r="BN898">
        <v>32768038</v>
      </c>
      <c r="BO898" t="s">
        <v>662</v>
      </c>
      <c r="BP898" t="s">
        <v>74</v>
      </c>
      <c r="BQ898" t="s">
        <v>74</v>
      </c>
      <c r="BR898" t="s">
        <v>105</v>
      </c>
      <c r="BS898" t="s">
        <v>16979</v>
      </c>
      <c r="BT898" t="str">
        <f>HYPERLINK("https%3A%2F%2Fwww.webofscience.com%2Fwos%2Fwoscc%2Ffull-record%2FWOS:000558010800010","View Full Record in Web of Science")</f>
        <v>View Full Record in Web of Science</v>
      </c>
    </row>
    <row r="899" spans="1:72" x14ac:dyDescent="0.25">
      <c r="A899" t="s">
        <v>72</v>
      </c>
      <c r="B899" t="s">
        <v>16980</v>
      </c>
      <c r="C899" t="s">
        <v>74</v>
      </c>
      <c r="D899" t="s">
        <v>74</v>
      </c>
      <c r="E899" t="s">
        <v>74</v>
      </c>
      <c r="F899" t="s">
        <v>16981</v>
      </c>
      <c r="G899" t="s">
        <v>74</v>
      </c>
      <c r="H899" t="s">
        <v>74</v>
      </c>
      <c r="I899" t="s">
        <v>16982</v>
      </c>
      <c r="J899" t="s">
        <v>5175</v>
      </c>
      <c r="K899" t="s">
        <v>74</v>
      </c>
      <c r="L899" t="s">
        <v>74</v>
      </c>
      <c r="M899" t="s">
        <v>78</v>
      </c>
      <c r="N899" t="s">
        <v>79</v>
      </c>
      <c r="O899" t="s">
        <v>74</v>
      </c>
      <c r="P899" t="s">
        <v>74</v>
      </c>
      <c r="Q899" t="s">
        <v>74</v>
      </c>
      <c r="R899" t="s">
        <v>74</v>
      </c>
      <c r="S899" t="s">
        <v>74</v>
      </c>
      <c r="T899" t="s">
        <v>16983</v>
      </c>
      <c r="U899" t="s">
        <v>16984</v>
      </c>
      <c r="V899" t="s">
        <v>16985</v>
      </c>
      <c r="W899" t="s">
        <v>16986</v>
      </c>
      <c r="X899" t="s">
        <v>16987</v>
      </c>
      <c r="Y899" t="s">
        <v>16988</v>
      </c>
      <c r="Z899" t="s">
        <v>16989</v>
      </c>
      <c r="AA899" t="s">
        <v>16990</v>
      </c>
      <c r="AB899" t="s">
        <v>16991</v>
      </c>
      <c r="AC899" t="s">
        <v>74</v>
      </c>
      <c r="AD899" t="s">
        <v>74</v>
      </c>
      <c r="AE899" t="s">
        <v>74</v>
      </c>
      <c r="AF899" t="s">
        <v>74</v>
      </c>
      <c r="AG899">
        <v>45</v>
      </c>
      <c r="AH899">
        <v>32</v>
      </c>
      <c r="AI899">
        <v>35</v>
      </c>
      <c r="AJ899">
        <v>3</v>
      </c>
      <c r="AK899">
        <v>27</v>
      </c>
      <c r="AL899" t="s">
        <v>3675</v>
      </c>
      <c r="AM899" t="s">
        <v>173</v>
      </c>
      <c r="AN899" t="s">
        <v>3676</v>
      </c>
      <c r="AO899" t="s">
        <v>5184</v>
      </c>
      <c r="AP899" t="s">
        <v>5185</v>
      </c>
      <c r="AQ899" t="s">
        <v>74</v>
      </c>
      <c r="AR899" t="s">
        <v>5186</v>
      </c>
      <c r="AS899" t="s">
        <v>5187</v>
      </c>
      <c r="AT899" t="s">
        <v>634</v>
      </c>
      <c r="AU899">
        <v>2020</v>
      </c>
      <c r="AV899">
        <v>21</v>
      </c>
      <c r="AW899">
        <v>8</v>
      </c>
      <c r="AX899" t="s">
        <v>74</v>
      </c>
      <c r="AY899" t="s">
        <v>74</v>
      </c>
      <c r="AZ899" t="s">
        <v>74</v>
      </c>
      <c r="BA899" t="s">
        <v>74</v>
      </c>
      <c r="BB899">
        <v>1036</v>
      </c>
      <c r="BC899">
        <v>1044</v>
      </c>
      <c r="BD899" t="s">
        <v>74</v>
      </c>
      <c r="BE899" t="s">
        <v>16992</v>
      </c>
      <c r="BF899" t="str">
        <f>HYPERLINK("http://dx.doi.org/10.1016/j.jamda.2019.10.010","http://dx.doi.org/10.1016/j.jamda.2019.10.010")</f>
        <v>http://dx.doi.org/10.1016/j.jamda.2019.10.010</v>
      </c>
      <c r="BG899" t="s">
        <v>74</v>
      </c>
      <c r="BH899" t="s">
        <v>74</v>
      </c>
      <c r="BI899">
        <v>9</v>
      </c>
      <c r="BJ899" t="s">
        <v>4257</v>
      </c>
      <c r="BK899" t="s">
        <v>102</v>
      </c>
      <c r="BL899" t="s">
        <v>4257</v>
      </c>
      <c r="BM899" t="s">
        <v>16993</v>
      </c>
      <c r="BN899">
        <v>31787581</v>
      </c>
      <c r="BO899" t="s">
        <v>74</v>
      </c>
      <c r="BP899" t="s">
        <v>74</v>
      </c>
      <c r="BQ899" t="s">
        <v>74</v>
      </c>
      <c r="BR899" t="s">
        <v>105</v>
      </c>
      <c r="BS899" t="s">
        <v>16994</v>
      </c>
      <c r="BT899" t="str">
        <f>HYPERLINK("https%3A%2F%2Fwww.webofscience.com%2Fwos%2Fwoscc%2Ffull-record%2FWOS:000555761900007","View Full Record in Web of Science")</f>
        <v>View Full Record in Web of Science</v>
      </c>
    </row>
    <row r="900" spans="1:72" x14ac:dyDescent="0.25">
      <c r="A900" t="s">
        <v>72</v>
      </c>
      <c r="B900" t="s">
        <v>16995</v>
      </c>
      <c r="C900" t="s">
        <v>74</v>
      </c>
      <c r="D900" t="s">
        <v>74</v>
      </c>
      <c r="E900" t="s">
        <v>74</v>
      </c>
      <c r="F900" t="s">
        <v>16996</v>
      </c>
      <c r="G900" t="s">
        <v>74</v>
      </c>
      <c r="H900" t="s">
        <v>74</v>
      </c>
      <c r="I900" t="s">
        <v>16997</v>
      </c>
      <c r="J900" t="s">
        <v>2091</v>
      </c>
      <c r="K900" t="s">
        <v>74</v>
      </c>
      <c r="L900" t="s">
        <v>74</v>
      </c>
      <c r="M900" t="s">
        <v>78</v>
      </c>
      <c r="N900" t="s">
        <v>79</v>
      </c>
      <c r="O900" t="s">
        <v>74</v>
      </c>
      <c r="P900" t="s">
        <v>74</v>
      </c>
      <c r="Q900" t="s">
        <v>74</v>
      </c>
      <c r="R900" t="s">
        <v>74</v>
      </c>
      <c r="S900" t="s">
        <v>74</v>
      </c>
      <c r="T900" t="s">
        <v>16998</v>
      </c>
      <c r="U900" t="s">
        <v>16999</v>
      </c>
      <c r="V900" t="s">
        <v>17000</v>
      </c>
      <c r="W900" t="s">
        <v>17001</v>
      </c>
      <c r="X900" t="s">
        <v>17002</v>
      </c>
      <c r="Y900" t="s">
        <v>17003</v>
      </c>
      <c r="Z900" t="s">
        <v>17004</v>
      </c>
      <c r="AA900" t="s">
        <v>17005</v>
      </c>
      <c r="AB900" t="s">
        <v>17006</v>
      </c>
      <c r="AC900" t="s">
        <v>74</v>
      </c>
      <c r="AD900" t="s">
        <v>74</v>
      </c>
      <c r="AE900" t="s">
        <v>74</v>
      </c>
      <c r="AF900" t="s">
        <v>74</v>
      </c>
      <c r="AG900">
        <v>160</v>
      </c>
      <c r="AH900">
        <v>6</v>
      </c>
      <c r="AI900">
        <v>7</v>
      </c>
      <c r="AJ900">
        <v>5</v>
      </c>
      <c r="AK900">
        <v>68</v>
      </c>
      <c r="AL900" t="s">
        <v>120</v>
      </c>
      <c r="AM900" t="s">
        <v>121</v>
      </c>
      <c r="AN900" t="s">
        <v>122</v>
      </c>
      <c r="AO900" t="s">
        <v>74</v>
      </c>
      <c r="AP900" t="s">
        <v>2104</v>
      </c>
      <c r="AQ900" t="s">
        <v>74</v>
      </c>
      <c r="AR900" t="s">
        <v>2105</v>
      </c>
      <c r="AS900" t="s">
        <v>2106</v>
      </c>
      <c r="AT900" t="s">
        <v>634</v>
      </c>
      <c r="AU900">
        <v>2020</v>
      </c>
      <c r="AV900">
        <v>10</v>
      </c>
      <c r="AW900">
        <v>15</v>
      </c>
      <c r="AX900" t="s">
        <v>74</v>
      </c>
      <c r="AY900" t="s">
        <v>74</v>
      </c>
      <c r="AZ900" t="s">
        <v>74</v>
      </c>
      <c r="BA900" t="s">
        <v>74</v>
      </c>
      <c r="BB900" t="s">
        <v>74</v>
      </c>
      <c r="BC900" t="s">
        <v>74</v>
      </c>
      <c r="BD900">
        <v>5323</v>
      </c>
      <c r="BE900" t="s">
        <v>17007</v>
      </c>
      <c r="BF900" t="str">
        <f>HYPERLINK("http://dx.doi.org/10.3390/app10155323","http://dx.doi.org/10.3390/app10155323")</f>
        <v>http://dx.doi.org/10.3390/app10155323</v>
      </c>
      <c r="BG900" t="s">
        <v>74</v>
      </c>
      <c r="BH900" t="s">
        <v>74</v>
      </c>
      <c r="BI900">
        <v>22</v>
      </c>
      <c r="BJ900" t="s">
        <v>2109</v>
      </c>
      <c r="BK900" t="s">
        <v>182</v>
      </c>
      <c r="BL900" t="s">
        <v>2110</v>
      </c>
      <c r="BM900" t="s">
        <v>17008</v>
      </c>
      <c r="BN900" t="s">
        <v>74</v>
      </c>
      <c r="BO900" t="s">
        <v>185</v>
      </c>
      <c r="BP900" t="s">
        <v>74</v>
      </c>
      <c r="BQ900" t="s">
        <v>74</v>
      </c>
      <c r="BR900" t="s">
        <v>105</v>
      </c>
      <c r="BS900" t="s">
        <v>17009</v>
      </c>
      <c r="BT900" t="str">
        <f>HYPERLINK("https%3A%2F%2Fwww.webofscience.com%2Fwos%2Fwoscc%2Ffull-record%2FWOS:000559112500001","View Full Record in Web of Science")</f>
        <v>View Full Record in Web of Science</v>
      </c>
    </row>
    <row r="901" spans="1:72" x14ac:dyDescent="0.25">
      <c r="A901" t="s">
        <v>72</v>
      </c>
      <c r="B901" t="s">
        <v>17010</v>
      </c>
      <c r="C901" t="s">
        <v>74</v>
      </c>
      <c r="D901" t="s">
        <v>74</v>
      </c>
      <c r="E901" t="s">
        <v>74</v>
      </c>
      <c r="F901" t="s">
        <v>17011</v>
      </c>
      <c r="G901" t="s">
        <v>74</v>
      </c>
      <c r="H901" t="s">
        <v>74</v>
      </c>
      <c r="I901" t="s">
        <v>17012</v>
      </c>
      <c r="J901" t="s">
        <v>12940</v>
      </c>
      <c r="K901" t="s">
        <v>74</v>
      </c>
      <c r="L901" t="s">
        <v>74</v>
      </c>
      <c r="M901" t="s">
        <v>78</v>
      </c>
      <c r="N901" t="s">
        <v>79</v>
      </c>
      <c r="O901" t="s">
        <v>74</v>
      </c>
      <c r="P901" t="s">
        <v>74</v>
      </c>
      <c r="Q901" t="s">
        <v>74</v>
      </c>
      <c r="R901" t="s">
        <v>74</v>
      </c>
      <c r="S901" t="s">
        <v>74</v>
      </c>
      <c r="T901" t="s">
        <v>17013</v>
      </c>
      <c r="U901" t="s">
        <v>17014</v>
      </c>
      <c r="V901" t="s">
        <v>17015</v>
      </c>
      <c r="W901" t="s">
        <v>17016</v>
      </c>
      <c r="X901" t="s">
        <v>17017</v>
      </c>
      <c r="Y901" t="s">
        <v>17018</v>
      </c>
      <c r="Z901" t="s">
        <v>17019</v>
      </c>
      <c r="AA901" t="s">
        <v>74</v>
      </c>
      <c r="AB901" t="s">
        <v>17020</v>
      </c>
      <c r="AC901" t="s">
        <v>74</v>
      </c>
      <c r="AD901" t="s">
        <v>74</v>
      </c>
      <c r="AE901" t="s">
        <v>74</v>
      </c>
      <c r="AF901" t="s">
        <v>74</v>
      </c>
      <c r="AG901">
        <v>39</v>
      </c>
      <c r="AH901">
        <v>85</v>
      </c>
      <c r="AI901">
        <v>96</v>
      </c>
      <c r="AJ901">
        <v>2</v>
      </c>
      <c r="AK901">
        <v>34</v>
      </c>
      <c r="AL901" t="s">
        <v>2529</v>
      </c>
      <c r="AM901" t="s">
        <v>2530</v>
      </c>
      <c r="AN901" t="s">
        <v>2531</v>
      </c>
      <c r="AO901" t="s">
        <v>12952</v>
      </c>
      <c r="AP901" t="s">
        <v>12953</v>
      </c>
      <c r="AQ901" t="s">
        <v>74</v>
      </c>
      <c r="AR901" t="s">
        <v>12954</v>
      </c>
      <c r="AS901" t="s">
        <v>12955</v>
      </c>
      <c r="AT901" t="s">
        <v>634</v>
      </c>
      <c r="AU901">
        <v>2020</v>
      </c>
      <c r="AV901">
        <v>120</v>
      </c>
      <c r="AW901">
        <v>4</v>
      </c>
      <c r="AX901" t="s">
        <v>74</v>
      </c>
      <c r="AY901" t="s">
        <v>74</v>
      </c>
      <c r="AZ901" t="s">
        <v>74</v>
      </c>
      <c r="BA901" t="s">
        <v>74</v>
      </c>
      <c r="BB901">
        <v>783</v>
      </c>
      <c r="BC901">
        <v>790</v>
      </c>
      <c r="BD901" t="s">
        <v>74</v>
      </c>
      <c r="BE901" t="s">
        <v>17021</v>
      </c>
      <c r="BF901" t="str">
        <f>HYPERLINK("http://dx.doi.org/10.1007/s13760-020-01320-7","http://dx.doi.org/10.1007/s13760-020-01320-7")</f>
        <v>http://dx.doi.org/10.1007/s13760-020-01320-7</v>
      </c>
      <c r="BG901" t="s">
        <v>74</v>
      </c>
      <c r="BH901" t="s">
        <v>74</v>
      </c>
      <c r="BI901">
        <v>8</v>
      </c>
      <c r="BJ901" t="s">
        <v>400</v>
      </c>
      <c r="BK901" t="s">
        <v>182</v>
      </c>
      <c r="BL901" t="s">
        <v>375</v>
      </c>
      <c r="BM901" t="s">
        <v>17022</v>
      </c>
      <c r="BN901">
        <v>32166723</v>
      </c>
      <c r="BO901" t="s">
        <v>74</v>
      </c>
      <c r="BP901" t="s">
        <v>74</v>
      </c>
      <c r="BQ901" t="s">
        <v>74</v>
      </c>
      <c r="BR901" t="s">
        <v>105</v>
      </c>
      <c r="BS901" t="s">
        <v>17023</v>
      </c>
      <c r="BT901" t="str">
        <f>HYPERLINK("https%3A%2F%2Fwww.webofscience.com%2Fwos%2Fwoscc%2Ffull-record%2FWOS:000552295200001","View Full Record in Web of Science")</f>
        <v>View Full Record in Web of Science</v>
      </c>
    </row>
    <row r="902" spans="1:72" x14ac:dyDescent="0.25">
      <c r="A902" t="s">
        <v>72</v>
      </c>
      <c r="B902" t="s">
        <v>17024</v>
      </c>
      <c r="C902" t="s">
        <v>74</v>
      </c>
      <c r="D902" t="s">
        <v>74</v>
      </c>
      <c r="E902" t="s">
        <v>74</v>
      </c>
      <c r="F902" t="s">
        <v>17025</v>
      </c>
      <c r="G902" t="s">
        <v>74</v>
      </c>
      <c r="H902" t="s">
        <v>74</v>
      </c>
      <c r="I902" t="s">
        <v>17026</v>
      </c>
      <c r="J902" t="s">
        <v>17027</v>
      </c>
      <c r="K902" t="s">
        <v>74</v>
      </c>
      <c r="L902" t="s">
        <v>74</v>
      </c>
      <c r="M902" t="s">
        <v>78</v>
      </c>
      <c r="N902" t="s">
        <v>79</v>
      </c>
      <c r="O902" t="s">
        <v>74</v>
      </c>
      <c r="P902" t="s">
        <v>74</v>
      </c>
      <c r="Q902" t="s">
        <v>74</v>
      </c>
      <c r="R902" t="s">
        <v>74</v>
      </c>
      <c r="S902" t="s">
        <v>74</v>
      </c>
      <c r="T902" t="s">
        <v>17028</v>
      </c>
      <c r="U902" t="s">
        <v>17029</v>
      </c>
      <c r="V902" t="s">
        <v>17030</v>
      </c>
      <c r="W902" t="s">
        <v>17031</v>
      </c>
      <c r="X902" t="s">
        <v>17032</v>
      </c>
      <c r="Y902" t="s">
        <v>17033</v>
      </c>
      <c r="Z902" t="s">
        <v>17034</v>
      </c>
      <c r="AA902" t="s">
        <v>17035</v>
      </c>
      <c r="AB902" t="s">
        <v>17036</v>
      </c>
      <c r="AC902" t="s">
        <v>17037</v>
      </c>
      <c r="AD902" t="s">
        <v>17038</v>
      </c>
      <c r="AE902" t="s">
        <v>17039</v>
      </c>
      <c r="AF902" t="s">
        <v>74</v>
      </c>
      <c r="AG902">
        <v>112</v>
      </c>
      <c r="AH902">
        <v>9</v>
      </c>
      <c r="AI902">
        <v>10</v>
      </c>
      <c r="AJ902">
        <v>0</v>
      </c>
      <c r="AK902">
        <v>7</v>
      </c>
      <c r="AL902" t="s">
        <v>5238</v>
      </c>
      <c r="AM902" t="s">
        <v>5239</v>
      </c>
      <c r="AN902" t="s">
        <v>5240</v>
      </c>
      <c r="AO902" t="s">
        <v>17040</v>
      </c>
      <c r="AP902" t="s">
        <v>17041</v>
      </c>
      <c r="AQ902" t="s">
        <v>74</v>
      </c>
      <c r="AR902" t="s">
        <v>17042</v>
      </c>
      <c r="AS902" t="s">
        <v>17043</v>
      </c>
      <c r="AT902" t="s">
        <v>634</v>
      </c>
      <c r="AU902">
        <v>2020</v>
      </c>
      <c r="AV902">
        <v>11</v>
      </c>
      <c r="AW902">
        <v>4</v>
      </c>
      <c r="AX902" t="s">
        <v>74</v>
      </c>
      <c r="AY902" t="s">
        <v>74</v>
      </c>
      <c r="AZ902" t="s">
        <v>74</v>
      </c>
      <c r="BA902" t="s">
        <v>74</v>
      </c>
      <c r="BB902">
        <v>790</v>
      </c>
      <c r="BC902">
        <v>802</v>
      </c>
      <c r="BD902" t="s">
        <v>74</v>
      </c>
      <c r="BE902" t="s">
        <v>17044</v>
      </c>
      <c r="BF902" t="str">
        <f>HYPERLINK("http://dx.doi.org/10.21037/jgo-20-184","http://dx.doi.org/10.21037/jgo-20-184")</f>
        <v>http://dx.doi.org/10.21037/jgo-20-184</v>
      </c>
      <c r="BG902" t="s">
        <v>74</v>
      </c>
      <c r="BH902" t="s">
        <v>74</v>
      </c>
      <c r="BI902">
        <v>13</v>
      </c>
      <c r="BJ902" t="s">
        <v>17045</v>
      </c>
      <c r="BK902" t="s">
        <v>182</v>
      </c>
      <c r="BL902" t="s">
        <v>17045</v>
      </c>
      <c r="BM902" t="s">
        <v>17046</v>
      </c>
      <c r="BN902">
        <v>32953161</v>
      </c>
      <c r="BO902" t="s">
        <v>131</v>
      </c>
      <c r="BP902" t="s">
        <v>74</v>
      </c>
      <c r="BQ902" t="s">
        <v>74</v>
      </c>
      <c r="BR902" t="s">
        <v>105</v>
      </c>
      <c r="BS902" t="s">
        <v>17047</v>
      </c>
      <c r="BT902" t="str">
        <f>HYPERLINK("https%3A%2F%2Fwww.webofscience.com%2Fwos%2Fwoscc%2Ffull-record%2FWOS:000562642800018","View Full Record in Web of Science")</f>
        <v>View Full Record in Web of Science</v>
      </c>
    </row>
    <row r="903" spans="1:72" x14ac:dyDescent="0.25">
      <c r="A903" t="s">
        <v>72</v>
      </c>
      <c r="B903" t="s">
        <v>17048</v>
      </c>
      <c r="C903" t="s">
        <v>74</v>
      </c>
      <c r="D903" t="s">
        <v>74</v>
      </c>
      <c r="E903" t="s">
        <v>74</v>
      </c>
      <c r="F903" t="s">
        <v>17049</v>
      </c>
      <c r="G903" t="s">
        <v>74</v>
      </c>
      <c r="H903" t="s">
        <v>74</v>
      </c>
      <c r="I903" t="s">
        <v>17050</v>
      </c>
      <c r="J903" t="s">
        <v>15201</v>
      </c>
      <c r="K903" t="s">
        <v>74</v>
      </c>
      <c r="L903" t="s">
        <v>74</v>
      </c>
      <c r="M903" t="s">
        <v>78</v>
      </c>
      <c r="N903" t="s">
        <v>79</v>
      </c>
      <c r="O903" t="s">
        <v>74</v>
      </c>
      <c r="P903" t="s">
        <v>74</v>
      </c>
      <c r="Q903" t="s">
        <v>74</v>
      </c>
      <c r="R903" t="s">
        <v>74</v>
      </c>
      <c r="S903" t="s">
        <v>74</v>
      </c>
      <c r="T903" t="s">
        <v>17051</v>
      </c>
      <c r="U903" t="s">
        <v>17052</v>
      </c>
      <c r="V903" t="s">
        <v>17053</v>
      </c>
      <c r="W903" t="s">
        <v>17054</v>
      </c>
      <c r="X903" t="s">
        <v>17055</v>
      </c>
      <c r="Y903" t="s">
        <v>17056</v>
      </c>
      <c r="Z903" t="s">
        <v>17057</v>
      </c>
      <c r="AA903" t="s">
        <v>17058</v>
      </c>
      <c r="AB903" t="s">
        <v>17059</v>
      </c>
      <c r="AC903" t="s">
        <v>17060</v>
      </c>
      <c r="AD903" t="s">
        <v>17061</v>
      </c>
      <c r="AE903" t="s">
        <v>17062</v>
      </c>
      <c r="AF903" t="s">
        <v>74</v>
      </c>
      <c r="AG903">
        <v>165</v>
      </c>
      <c r="AH903">
        <v>88</v>
      </c>
      <c r="AI903">
        <v>105</v>
      </c>
      <c r="AJ903">
        <v>11</v>
      </c>
      <c r="AK903">
        <v>225</v>
      </c>
      <c r="AL903" t="s">
        <v>504</v>
      </c>
      <c r="AM903" t="s">
        <v>505</v>
      </c>
      <c r="AN903" t="s">
        <v>506</v>
      </c>
      <c r="AO903" t="s">
        <v>15214</v>
      </c>
      <c r="AP903" t="s">
        <v>15215</v>
      </c>
      <c r="AQ903" t="s">
        <v>74</v>
      </c>
      <c r="AR903" t="s">
        <v>15216</v>
      </c>
      <c r="AS903" t="s">
        <v>15217</v>
      </c>
      <c r="AT903" t="s">
        <v>634</v>
      </c>
      <c r="AU903">
        <v>2020</v>
      </c>
      <c r="AV903">
        <v>15</v>
      </c>
      <c r="AW903">
        <v>8</v>
      </c>
      <c r="AX903" t="s">
        <v>74</v>
      </c>
      <c r="AY903" t="s">
        <v>74</v>
      </c>
      <c r="AZ903" t="s">
        <v>74</v>
      </c>
      <c r="BA903" t="s">
        <v>74</v>
      </c>
      <c r="BB903">
        <v>1437</v>
      </c>
      <c r="BC903">
        <v>1450</v>
      </c>
      <c r="BD903" t="s">
        <v>74</v>
      </c>
      <c r="BE903" t="s">
        <v>17063</v>
      </c>
      <c r="BF903" t="str">
        <f>HYPERLINK("http://dx.doi.org/10.4103/1673-5374.274332","http://dx.doi.org/10.4103/1673-5374.274332")</f>
        <v>http://dx.doi.org/10.4103/1673-5374.274332</v>
      </c>
      <c r="BG903" t="s">
        <v>74</v>
      </c>
      <c r="BH903" t="s">
        <v>74</v>
      </c>
      <c r="BI903">
        <v>14</v>
      </c>
      <c r="BJ903" t="s">
        <v>15219</v>
      </c>
      <c r="BK903" t="s">
        <v>182</v>
      </c>
      <c r="BL903" t="s">
        <v>15220</v>
      </c>
      <c r="BM903" t="s">
        <v>17064</v>
      </c>
      <c r="BN903">
        <v>31997803</v>
      </c>
      <c r="BO903" t="s">
        <v>355</v>
      </c>
      <c r="BP903" t="s">
        <v>74</v>
      </c>
      <c r="BQ903" t="s">
        <v>74</v>
      </c>
      <c r="BR903" t="s">
        <v>105</v>
      </c>
      <c r="BS903" t="s">
        <v>17065</v>
      </c>
      <c r="BT903" t="str">
        <f>HYPERLINK("https%3A%2F%2Fwww.webofscience.com%2Fwos%2Fwoscc%2Ffull-record%2FWOS:000511895300009","View Full Record in Web of Science")</f>
        <v>View Full Record in Web of Science</v>
      </c>
    </row>
    <row r="904" spans="1:72" x14ac:dyDescent="0.25">
      <c r="A904" t="s">
        <v>72</v>
      </c>
      <c r="B904" t="s">
        <v>17066</v>
      </c>
      <c r="C904" t="s">
        <v>74</v>
      </c>
      <c r="D904" t="s">
        <v>74</v>
      </c>
      <c r="E904" t="s">
        <v>74</v>
      </c>
      <c r="F904" t="s">
        <v>17067</v>
      </c>
      <c r="G904" t="s">
        <v>74</v>
      </c>
      <c r="H904" t="s">
        <v>74</v>
      </c>
      <c r="I904" t="s">
        <v>17068</v>
      </c>
      <c r="J904" t="s">
        <v>17069</v>
      </c>
      <c r="K904" t="s">
        <v>74</v>
      </c>
      <c r="L904" t="s">
        <v>74</v>
      </c>
      <c r="M904" t="s">
        <v>78</v>
      </c>
      <c r="N904" t="s">
        <v>79</v>
      </c>
      <c r="O904" t="s">
        <v>74</v>
      </c>
      <c r="P904" t="s">
        <v>74</v>
      </c>
      <c r="Q904" t="s">
        <v>74</v>
      </c>
      <c r="R904" t="s">
        <v>74</v>
      </c>
      <c r="S904" t="s">
        <v>74</v>
      </c>
      <c r="T904" t="s">
        <v>17070</v>
      </c>
      <c r="U904" t="s">
        <v>17071</v>
      </c>
      <c r="V904" t="s">
        <v>17072</v>
      </c>
      <c r="W904" t="s">
        <v>17073</v>
      </c>
      <c r="X904" t="s">
        <v>17074</v>
      </c>
      <c r="Y904" t="s">
        <v>17075</v>
      </c>
      <c r="Z904" t="s">
        <v>17076</v>
      </c>
      <c r="AA904" t="s">
        <v>17077</v>
      </c>
      <c r="AB904" t="s">
        <v>17078</v>
      </c>
      <c r="AC904" t="s">
        <v>17079</v>
      </c>
      <c r="AD904" t="s">
        <v>1649</v>
      </c>
      <c r="AE904" t="s">
        <v>17080</v>
      </c>
      <c r="AF904" t="s">
        <v>74</v>
      </c>
      <c r="AG904">
        <v>170</v>
      </c>
      <c r="AH904">
        <v>96</v>
      </c>
      <c r="AI904">
        <v>102</v>
      </c>
      <c r="AJ904">
        <v>8</v>
      </c>
      <c r="AK904">
        <v>200</v>
      </c>
      <c r="AL904" t="s">
        <v>4622</v>
      </c>
      <c r="AM904" t="s">
        <v>4073</v>
      </c>
      <c r="AN904" t="s">
        <v>4623</v>
      </c>
      <c r="AO904" t="s">
        <v>17081</v>
      </c>
      <c r="AP904" t="s">
        <v>74</v>
      </c>
      <c r="AQ904" t="s">
        <v>74</v>
      </c>
      <c r="AR904" t="s">
        <v>17082</v>
      </c>
      <c r="AS904" t="s">
        <v>17083</v>
      </c>
      <c r="AT904" t="s">
        <v>10483</v>
      </c>
      <c r="AU904">
        <v>2020</v>
      </c>
      <c r="AV904">
        <v>2</v>
      </c>
      <c r="AW904">
        <v>7</v>
      </c>
      <c r="AX904" t="s">
        <v>74</v>
      </c>
      <c r="AY904" t="s">
        <v>74</v>
      </c>
      <c r="AZ904" t="s">
        <v>74</v>
      </c>
      <c r="BA904" t="s">
        <v>74</v>
      </c>
      <c r="BB904">
        <v>1826</v>
      </c>
      <c r="BC904">
        <v>1842</v>
      </c>
      <c r="BD904" t="s">
        <v>74</v>
      </c>
      <c r="BE904" t="s">
        <v>17084</v>
      </c>
      <c r="BF904" t="str">
        <f>HYPERLINK("http://dx.doi.org/10.1021/acsaelm.0c00278","http://dx.doi.org/10.1021/acsaelm.0c00278")</f>
        <v>http://dx.doi.org/10.1021/acsaelm.0c00278</v>
      </c>
      <c r="BG904" t="s">
        <v>74</v>
      </c>
      <c r="BH904" t="s">
        <v>74</v>
      </c>
      <c r="BI904">
        <v>17</v>
      </c>
      <c r="BJ904" t="s">
        <v>4231</v>
      </c>
      <c r="BK904" t="s">
        <v>182</v>
      </c>
      <c r="BL904" t="s">
        <v>4232</v>
      </c>
      <c r="BM904" t="s">
        <v>17085</v>
      </c>
      <c r="BN904" t="s">
        <v>74</v>
      </c>
      <c r="BO904" t="s">
        <v>2246</v>
      </c>
      <c r="BP904" t="s">
        <v>74</v>
      </c>
      <c r="BQ904" t="s">
        <v>74</v>
      </c>
      <c r="BR904" t="s">
        <v>105</v>
      </c>
      <c r="BS904" t="s">
        <v>17086</v>
      </c>
      <c r="BT904" t="str">
        <f>HYPERLINK("https%3A%2F%2Fwww.webofscience.com%2Fwos%2Fwoscc%2Ffull-record%2FWOS:000557756300004","View Full Record in Web of Science")</f>
        <v>View Full Record in Web of Science</v>
      </c>
    </row>
    <row r="905" spans="1:72" x14ac:dyDescent="0.25">
      <c r="A905" t="s">
        <v>72</v>
      </c>
      <c r="B905" t="s">
        <v>17087</v>
      </c>
      <c r="C905" t="s">
        <v>74</v>
      </c>
      <c r="D905" t="s">
        <v>74</v>
      </c>
      <c r="E905" t="s">
        <v>74</v>
      </c>
      <c r="F905" t="s">
        <v>17088</v>
      </c>
      <c r="G905" t="s">
        <v>74</v>
      </c>
      <c r="H905" t="s">
        <v>74</v>
      </c>
      <c r="I905" t="s">
        <v>17089</v>
      </c>
      <c r="J905" t="s">
        <v>243</v>
      </c>
      <c r="K905" t="s">
        <v>74</v>
      </c>
      <c r="L905" t="s">
        <v>74</v>
      </c>
      <c r="M905" t="s">
        <v>78</v>
      </c>
      <c r="N905" t="s">
        <v>79</v>
      </c>
      <c r="O905" t="s">
        <v>74</v>
      </c>
      <c r="P905" t="s">
        <v>74</v>
      </c>
      <c r="Q905" t="s">
        <v>74</v>
      </c>
      <c r="R905" t="s">
        <v>74</v>
      </c>
      <c r="S905" t="s">
        <v>74</v>
      </c>
      <c r="T905" t="s">
        <v>17090</v>
      </c>
      <c r="U905" t="s">
        <v>17091</v>
      </c>
      <c r="V905" t="s">
        <v>17092</v>
      </c>
      <c r="W905" t="s">
        <v>17093</v>
      </c>
      <c r="X905" t="s">
        <v>17094</v>
      </c>
      <c r="Y905" t="s">
        <v>17095</v>
      </c>
      <c r="Z905" t="s">
        <v>17096</v>
      </c>
      <c r="AA905" t="s">
        <v>17097</v>
      </c>
      <c r="AB905" t="s">
        <v>17098</v>
      </c>
      <c r="AC905" t="s">
        <v>17099</v>
      </c>
      <c r="AD905" t="s">
        <v>17100</v>
      </c>
      <c r="AE905" t="s">
        <v>17101</v>
      </c>
      <c r="AF905" t="s">
        <v>74</v>
      </c>
      <c r="AG905">
        <v>177</v>
      </c>
      <c r="AH905">
        <v>54</v>
      </c>
      <c r="AI905">
        <v>56</v>
      </c>
      <c r="AJ905">
        <v>3</v>
      </c>
      <c r="AK905">
        <v>63</v>
      </c>
      <c r="AL905" t="s">
        <v>253</v>
      </c>
      <c r="AM905" t="s">
        <v>227</v>
      </c>
      <c r="AN905" t="s">
        <v>254</v>
      </c>
      <c r="AO905" t="s">
        <v>255</v>
      </c>
      <c r="AP905" t="s">
        <v>256</v>
      </c>
      <c r="AQ905" t="s">
        <v>74</v>
      </c>
      <c r="AR905" t="s">
        <v>257</v>
      </c>
      <c r="AS905" t="s">
        <v>258</v>
      </c>
      <c r="AT905" t="s">
        <v>5796</v>
      </c>
      <c r="AU905">
        <v>2021</v>
      </c>
      <c r="AV905">
        <v>16</v>
      </c>
      <c r="AW905">
        <v>6</v>
      </c>
      <c r="AX905" t="s">
        <v>74</v>
      </c>
      <c r="AY905" t="s">
        <v>74</v>
      </c>
      <c r="AZ905" t="s">
        <v>74</v>
      </c>
      <c r="BA905" t="s">
        <v>74</v>
      </c>
      <c r="BB905">
        <v>580</v>
      </c>
      <c r="BC905">
        <v>602</v>
      </c>
      <c r="BD905" t="s">
        <v>74</v>
      </c>
      <c r="BE905" t="s">
        <v>17102</v>
      </c>
      <c r="BF905" t="str">
        <f>HYPERLINK("http://dx.doi.org/10.1080/17483107.2019.1685016","http://dx.doi.org/10.1080/17483107.2019.1685016")</f>
        <v>http://dx.doi.org/10.1080/17483107.2019.1685016</v>
      </c>
      <c r="BG905" t="s">
        <v>74</v>
      </c>
      <c r="BH905" t="s">
        <v>17103</v>
      </c>
      <c r="BI905">
        <v>23</v>
      </c>
      <c r="BJ905" t="s">
        <v>101</v>
      </c>
      <c r="BK905" t="s">
        <v>462</v>
      </c>
      <c r="BL905" t="s">
        <v>101</v>
      </c>
      <c r="BM905" t="s">
        <v>17104</v>
      </c>
      <c r="BN905">
        <v>32706602</v>
      </c>
      <c r="BO905" t="s">
        <v>74</v>
      </c>
      <c r="BP905" t="s">
        <v>74</v>
      </c>
      <c r="BQ905" t="s">
        <v>74</v>
      </c>
      <c r="BR905" t="s">
        <v>105</v>
      </c>
      <c r="BS905" t="s">
        <v>17105</v>
      </c>
      <c r="BT905" t="str">
        <f>HYPERLINK("https%3A%2F%2Fwww.webofscience.com%2Fwos%2Fwoscc%2Ffull-record%2FWOS:000556101900001","View Full Record in Web of Science")</f>
        <v>View Full Record in Web of Science</v>
      </c>
    </row>
    <row r="906" spans="1:72" x14ac:dyDescent="0.25">
      <c r="A906" t="s">
        <v>72</v>
      </c>
      <c r="B906" t="s">
        <v>17106</v>
      </c>
      <c r="C906" t="s">
        <v>74</v>
      </c>
      <c r="D906" t="s">
        <v>74</v>
      </c>
      <c r="E906" t="s">
        <v>74</v>
      </c>
      <c r="F906" t="s">
        <v>17107</v>
      </c>
      <c r="G906" t="s">
        <v>74</v>
      </c>
      <c r="H906" t="s">
        <v>74</v>
      </c>
      <c r="I906" t="s">
        <v>17108</v>
      </c>
      <c r="J906" t="s">
        <v>17109</v>
      </c>
      <c r="K906" t="s">
        <v>74</v>
      </c>
      <c r="L906" t="s">
        <v>74</v>
      </c>
      <c r="M906" t="s">
        <v>78</v>
      </c>
      <c r="N906" t="s">
        <v>79</v>
      </c>
      <c r="O906" t="s">
        <v>74</v>
      </c>
      <c r="P906" t="s">
        <v>74</v>
      </c>
      <c r="Q906" t="s">
        <v>74</v>
      </c>
      <c r="R906" t="s">
        <v>74</v>
      </c>
      <c r="S906" t="s">
        <v>74</v>
      </c>
      <c r="T906" t="s">
        <v>17110</v>
      </c>
      <c r="U906" t="s">
        <v>17111</v>
      </c>
      <c r="V906" t="s">
        <v>17112</v>
      </c>
      <c r="W906" t="s">
        <v>17113</v>
      </c>
      <c r="X906" t="s">
        <v>17114</v>
      </c>
      <c r="Y906" t="s">
        <v>17115</v>
      </c>
      <c r="Z906" t="s">
        <v>17116</v>
      </c>
      <c r="AA906" t="s">
        <v>74</v>
      </c>
      <c r="AB906" t="s">
        <v>74</v>
      </c>
      <c r="AC906" t="s">
        <v>17117</v>
      </c>
      <c r="AD906" t="s">
        <v>4047</v>
      </c>
      <c r="AE906" t="s">
        <v>17118</v>
      </c>
      <c r="AF906" t="s">
        <v>74</v>
      </c>
      <c r="AG906">
        <v>135</v>
      </c>
      <c r="AH906">
        <v>96</v>
      </c>
      <c r="AI906">
        <v>118</v>
      </c>
      <c r="AJ906">
        <v>8</v>
      </c>
      <c r="AK906">
        <v>65</v>
      </c>
      <c r="AL906" t="s">
        <v>172</v>
      </c>
      <c r="AM906" t="s">
        <v>173</v>
      </c>
      <c r="AN906" t="s">
        <v>174</v>
      </c>
      <c r="AO906" t="s">
        <v>17119</v>
      </c>
      <c r="AP906" t="s">
        <v>17120</v>
      </c>
      <c r="AQ906" t="s">
        <v>74</v>
      </c>
      <c r="AR906" t="s">
        <v>17121</v>
      </c>
      <c r="AS906" t="s">
        <v>17122</v>
      </c>
      <c r="AT906" t="s">
        <v>1888</v>
      </c>
      <c r="AU906">
        <v>2020</v>
      </c>
      <c r="AV906">
        <v>57</v>
      </c>
      <c r="AW906">
        <v>10</v>
      </c>
      <c r="AX906" t="s">
        <v>74</v>
      </c>
      <c r="AY906" t="s">
        <v>74</v>
      </c>
      <c r="AZ906" t="s">
        <v>74</v>
      </c>
      <c r="BA906" t="s">
        <v>74</v>
      </c>
      <c r="BB906">
        <v>4218</v>
      </c>
      <c r="BC906">
        <v>4231</v>
      </c>
      <c r="BD906" t="s">
        <v>74</v>
      </c>
      <c r="BE906" t="s">
        <v>17123</v>
      </c>
      <c r="BF906" t="str">
        <f>HYPERLINK("http://dx.doi.org/10.1007/s12035-020-02021-1","http://dx.doi.org/10.1007/s12035-020-02021-1")</f>
        <v>http://dx.doi.org/10.1007/s12035-020-02021-1</v>
      </c>
      <c r="BG906" t="s">
        <v>74</v>
      </c>
      <c r="BH906" t="s">
        <v>17103</v>
      </c>
      <c r="BI906">
        <v>14</v>
      </c>
      <c r="BJ906" t="s">
        <v>374</v>
      </c>
      <c r="BK906" t="s">
        <v>182</v>
      </c>
      <c r="BL906" t="s">
        <v>375</v>
      </c>
      <c r="BM906" t="s">
        <v>17124</v>
      </c>
      <c r="BN906">
        <v>32691303</v>
      </c>
      <c r="BO906" t="s">
        <v>74</v>
      </c>
      <c r="BP906" t="s">
        <v>74</v>
      </c>
      <c r="BQ906" t="s">
        <v>74</v>
      </c>
      <c r="BR906" t="s">
        <v>105</v>
      </c>
      <c r="BS906" t="s">
        <v>17125</v>
      </c>
      <c r="BT906" t="str">
        <f>HYPERLINK("https%3A%2F%2Fwww.webofscience.com%2Fwos%2Fwoscc%2Ffull-record%2FWOS:000550639600001","View Full Record in Web of Science")</f>
        <v>View Full Record in Web of Science</v>
      </c>
    </row>
    <row r="907" spans="1:72" x14ac:dyDescent="0.25">
      <c r="A907" t="s">
        <v>72</v>
      </c>
      <c r="B907" t="s">
        <v>17126</v>
      </c>
      <c r="C907" t="s">
        <v>74</v>
      </c>
      <c r="D907" t="s">
        <v>74</v>
      </c>
      <c r="E907" t="s">
        <v>74</v>
      </c>
      <c r="F907" t="s">
        <v>17127</v>
      </c>
      <c r="G907" t="s">
        <v>74</v>
      </c>
      <c r="H907" t="s">
        <v>74</v>
      </c>
      <c r="I907" t="s">
        <v>17128</v>
      </c>
      <c r="J907" t="s">
        <v>8594</v>
      </c>
      <c r="K907" t="s">
        <v>74</v>
      </c>
      <c r="L907" t="s">
        <v>74</v>
      </c>
      <c r="M907" t="s">
        <v>78</v>
      </c>
      <c r="N907" t="s">
        <v>79</v>
      </c>
      <c r="O907" t="s">
        <v>74</v>
      </c>
      <c r="P907" t="s">
        <v>74</v>
      </c>
      <c r="Q907" t="s">
        <v>74</v>
      </c>
      <c r="R907" t="s">
        <v>74</v>
      </c>
      <c r="S907" t="s">
        <v>74</v>
      </c>
      <c r="T907" t="s">
        <v>17129</v>
      </c>
      <c r="U907" t="s">
        <v>17130</v>
      </c>
      <c r="V907" t="s">
        <v>17131</v>
      </c>
      <c r="W907" t="s">
        <v>17132</v>
      </c>
      <c r="X907" t="s">
        <v>17133</v>
      </c>
      <c r="Y907" t="s">
        <v>17134</v>
      </c>
      <c r="Z907" t="s">
        <v>17135</v>
      </c>
      <c r="AA907" t="s">
        <v>17136</v>
      </c>
      <c r="AB907" t="s">
        <v>17137</v>
      </c>
      <c r="AC907" t="s">
        <v>8271</v>
      </c>
      <c r="AD907" t="s">
        <v>1565</v>
      </c>
      <c r="AE907" t="s">
        <v>17138</v>
      </c>
      <c r="AF907" t="s">
        <v>74</v>
      </c>
      <c r="AG907">
        <v>106</v>
      </c>
      <c r="AH907">
        <v>30</v>
      </c>
      <c r="AI907">
        <v>30</v>
      </c>
      <c r="AJ907">
        <v>1</v>
      </c>
      <c r="AK907">
        <v>53</v>
      </c>
      <c r="AL907" t="s">
        <v>8607</v>
      </c>
      <c r="AM907" t="s">
        <v>8608</v>
      </c>
      <c r="AN907" t="s">
        <v>8609</v>
      </c>
      <c r="AO907" t="s">
        <v>8610</v>
      </c>
      <c r="AP907" t="s">
        <v>8611</v>
      </c>
      <c r="AQ907" t="s">
        <v>74</v>
      </c>
      <c r="AR907" t="s">
        <v>8612</v>
      </c>
      <c r="AS907" t="s">
        <v>8613</v>
      </c>
      <c r="AT907" t="s">
        <v>9186</v>
      </c>
      <c r="AU907">
        <v>2021</v>
      </c>
      <c r="AV907">
        <v>10</v>
      </c>
      <c r="AW907">
        <v>1</v>
      </c>
      <c r="AX907" t="s">
        <v>74</v>
      </c>
      <c r="AY907" t="s">
        <v>74</v>
      </c>
      <c r="AZ907" t="s">
        <v>74</v>
      </c>
      <c r="BA907" t="s">
        <v>74</v>
      </c>
      <c r="BB907">
        <v>13</v>
      </c>
      <c r="BC907">
        <v>27</v>
      </c>
      <c r="BD907" t="s">
        <v>74</v>
      </c>
      <c r="BE907" t="s">
        <v>17139</v>
      </c>
      <c r="BF907" t="str">
        <f>HYPERLINK("http://dx.doi.org/10.1089/g4h.2020.0024","http://dx.doi.org/10.1089/g4h.2020.0024")</f>
        <v>http://dx.doi.org/10.1089/g4h.2020.0024</v>
      </c>
      <c r="BG907" t="s">
        <v>74</v>
      </c>
      <c r="BH907" t="s">
        <v>17103</v>
      </c>
      <c r="BI907">
        <v>15</v>
      </c>
      <c r="BJ907" t="s">
        <v>8616</v>
      </c>
      <c r="BK907" t="s">
        <v>462</v>
      </c>
      <c r="BL907" t="s">
        <v>8617</v>
      </c>
      <c r="BM907" t="s">
        <v>17140</v>
      </c>
      <c r="BN907">
        <v>32614618</v>
      </c>
      <c r="BO907" t="s">
        <v>74</v>
      </c>
      <c r="BP907" t="s">
        <v>74</v>
      </c>
      <c r="BQ907" t="s">
        <v>74</v>
      </c>
      <c r="BR907" t="s">
        <v>105</v>
      </c>
      <c r="BS907" t="s">
        <v>17141</v>
      </c>
      <c r="BT907" t="str">
        <f>HYPERLINK("https%3A%2F%2Fwww.webofscience.com%2Fwos%2Fwoscc%2Ffull-record%2FWOS:000547642500001","View Full Record in Web of Science")</f>
        <v>View Full Record in Web of Science</v>
      </c>
    </row>
    <row r="908" spans="1:72" x14ac:dyDescent="0.25">
      <c r="A908" t="s">
        <v>72</v>
      </c>
      <c r="B908" t="s">
        <v>17142</v>
      </c>
      <c r="C908" t="s">
        <v>74</v>
      </c>
      <c r="D908" t="s">
        <v>74</v>
      </c>
      <c r="E908" t="s">
        <v>74</v>
      </c>
      <c r="F908" t="s">
        <v>17143</v>
      </c>
      <c r="G908" t="s">
        <v>74</v>
      </c>
      <c r="H908" t="s">
        <v>74</v>
      </c>
      <c r="I908" t="s">
        <v>17144</v>
      </c>
      <c r="J908" t="s">
        <v>2040</v>
      </c>
      <c r="K908" t="s">
        <v>74</v>
      </c>
      <c r="L908" t="s">
        <v>74</v>
      </c>
      <c r="M908" t="s">
        <v>78</v>
      </c>
      <c r="N908" t="s">
        <v>79</v>
      </c>
      <c r="O908" t="s">
        <v>74</v>
      </c>
      <c r="P908" t="s">
        <v>74</v>
      </c>
      <c r="Q908" t="s">
        <v>74</v>
      </c>
      <c r="R908" t="s">
        <v>74</v>
      </c>
      <c r="S908" t="s">
        <v>74</v>
      </c>
      <c r="T908" t="s">
        <v>17145</v>
      </c>
      <c r="U908" t="s">
        <v>17146</v>
      </c>
      <c r="V908" t="s">
        <v>17147</v>
      </c>
      <c r="W908" t="s">
        <v>17148</v>
      </c>
      <c r="X908" t="s">
        <v>17149</v>
      </c>
      <c r="Y908" t="s">
        <v>17150</v>
      </c>
      <c r="Z908" t="s">
        <v>17151</v>
      </c>
      <c r="AA908" t="s">
        <v>17152</v>
      </c>
      <c r="AB908" t="s">
        <v>17153</v>
      </c>
      <c r="AC908" t="s">
        <v>17154</v>
      </c>
      <c r="AD908" t="s">
        <v>17155</v>
      </c>
      <c r="AE908" t="s">
        <v>17156</v>
      </c>
      <c r="AF908" t="s">
        <v>74</v>
      </c>
      <c r="AG908">
        <v>98</v>
      </c>
      <c r="AH908">
        <v>81</v>
      </c>
      <c r="AI908">
        <v>85</v>
      </c>
      <c r="AJ908">
        <v>9</v>
      </c>
      <c r="AK908">
        <v>153</v>
      </c>
      <c r="AL908" t="s">
        <v>120</v>
      </c>
      <c r="AM908" t="s">
        <v>121</v>
      </c>
      <c r="AN908" t="s">
        <v>122</v>
      </c>
      <c r="AO908" t="s">
        <v>74</v>
      </c>
      <c r="AP908" t="s">
        <v>2050</v>
      </c>
      <c r="AQ908" t="s">
        <v>74</v>
      </c>
      <c r="AR908" t="s">
        <v>2051</v>
      </c>
      <c r="AS908" t="s">
        <v>2052</v>
      </c>
      <c r="AT908" t="s">
        <v>1734</v>
      </c>
      <c r="AU908">
        <v>2020</v>
      </c>
      <c r="AV908">
        <v>20</v>
      </c>
      <c r="AW908">
        <v>14</v>
      </c>
      <c r="AX908" t="s">
        <v>74</v>
      </c>
      <c r="AY908" t="s">
        <v>74</v>
      </c>
      <c r="AZ908" t="s">
        <v>74</v>
      </c>
      <c r="BA908" t="s">
        <v>74</v>
      </c>
      <c r="BB908" t="s">
        <v>74</v>
      </c>
      <c r="BC908" t="s">
        <v>74</v>
      </c>
      <c r="BD908">
        <v>3972</v>
      </c>
      <c r="BE908" t="s">
        <v>17157</v>
      </c>
      <c r="BF908" t="str">
        <f>HYPERLINK("http://dx.doi.org/10.3390/s20143972","http://dx.doi.org/10.3390/s20143972")</f>
        <v>http://dx.doi.org/10.3390/s20143972</v>
      </c>
      <c r="BG908" t="s">
        <v>74</v>
      </c>
      <c r="BH908" t="s">
        <v>74</v>
      </c>
      <c r="BI908">
        <v>20</v>
      </c>
      <c r="BJ908" t="s">
        <v>2054</v>
      </c>
      <c r="BK908" t="s">
        <v>182</v>
      </c>
      <c r="BL908" t="s">
        <v>2055</v>
      </c>
      <c r="BM908" t="s">
        <v>17158</v>
      </c>
      <c r="BN908">
        <v>32708924</v>
      </c>
      <c r="BO908" t="s">
        <v>355</v>
      </c>
      <c r="BP908" t="s">
        <v>74</v>
      </c>
      <c r="BQ908" t="s">
        <v>74</v>
      </c>
      <c r="BR908" t="s">
        <v>105</v>
      </c>
      <c r="BS908" t="s">
        <v>17159</v>
      </c>
      <c r="BT908" t="str">
        <f>HYPERLINK("https%3A%2F%2Fwww.webofscience.com%2Fwos%2Fwoscc%2Ffull-record%2FWOS:000557660800001","View Full Record in Web of Science")</f>
        <v>View Full Record in Web of Science</v>
      </c>
    </row>
    <row r="909" spans="1:72" x14ac:dyDescent="0.25">
      <c r="A909" t="s">
        <v>72</v>
      </c>
      <c r="B909" t="s">
        <v>17160</v>
      </c>
      <c r="C909" t="s">
        <v>74</v>
      </c>
      <c r="D909" t="s">
        <v>74</v>
      </c>
      <c r="E909" t="s">
        <v>74</v>
      </c>
      <c r="F909" t="s">
        <v>17161</v>
      </c>
      <c r="G909" t="s">
        <v>74</v>
      </c>
      <c r="H909" t="s">
        <v>74</v>
      </c>
      <c r="I909" t="s">
        <v>17162</v>
      </c>
      <c r="J909" t="s">
        <v>1101</v>
      </c>
      <c r="K909" t="s">
        <v>74</v>
      </c>
      <c r="L909" t="s">
        <v>74</v>
      </c>
      <c r="M909" t="s">
        <v>78</v>
      </c>
      <c r="N909" t="s">
        <v>79</v>
      </c>
      <c r="O909" t="s">
        <v>74</v>
      </c>
      <c r="P909" t="s">
        <v>74</v>
      </c>
      <c r="Q909" t="s">
        <v>74</v>
      </c>
      <c r="R909" t="s">
        <v>74</v>
      </c>
      <c r="S909" t="s">
        <v>74</v>
      </c>
      <c r="T909" t="s">
        <v>17163</v>
      </c>
      <c r="U909" t="s">
        <v>17164</v>
      </c>
      <c r="V909" t="s">
        <v>17165</v>
      </c>
      <c r="W909" t="s">
        <v>17166</v>
      </c>
      <c r="X909" t="s">
        <v>17167</v>
      </c>
      <c r="Y909" t="s">
        <v>17168</v>
      </c>
      <c r="Z909" t="s">
        <v>17169</v>
      </c>
      <c r="AA909" t="s">
        <v>17170</v>
      </c>
      <c r="AB909" t="s">
        <v>17171</v>
      </c>
      <c r="AC909" t="s">
        <v>17172</v>
      </c>
      <c r="AD909" t="s">
        <v>17173</v>
      </c>
      <c r="AE909" t="s">
        <v>17174</v>
      </c>
      <c r="AF909" t="s">
        <v>74</v>
      </c>
      <c r="AG909">
        <v>194</v>
      </c>
      <c r="AH909">
        <v>132</v>
      </c>
      <c r="AI909">
        <v>143</v>
      </c>
      <c r="AJ909">
        <v>13</v>
      </c>
      <c r="AK909">
        <v>225</v>
      </c>
      <c r="AL909" t="s">
        <v>1114</v>
      </c>
      <c r="AM909" t="s">
        <v>1115</v>
      </c>
      <c r="AN909" t="s">
        <v>1116</v>
      </c>
      <c r="AO909" t="s">
        <v>1117</v>
      </c>
      <c r="AP909" t="s">
        <v>1118</v>
      </c>
      <c r="AQ909" t="s">
        <v>74</v>
      </c>
      <c r="AR909" t="s">
        <v>1119</v>
      </c>
      <c r="AS909" t="s">
        <v>1120</v>
      </c>
      <c r="AT909" t="s">
        <v>1734</v>
      </c>
      <c r="AU909">
        <v>2020</v>
      </c>
      <c r="AV909">
        <v>28</v>
      </c>
      <c r="AW909">
        <v>7</v>
      </c>
      <c r="AX909" t="s">
        <v>74</v>
      </c>
      <c r="AY909" t="s">
        <v>74</v>
      </c>
      <c r="AZ909" t="s">
        <v>74</v>
      </c>
      <c r="BA909" t="s">
        <v>74</v>
      </c>
      <c r="BB909">
        <v>1573</v>
      </c>
      <c r="BC909">
        <v>1583</v>
      </c>
      <c r="BD909" t="s">
        <v>74</v>
      </c>
      <c r="BE909" t="s">
        <v>17175</v>
      </c>
      <c r="BF909" t="str">
        <f>HYPERLINK("http://dx.doi.org/10.1109/TNSRE.2020.2989481","http://dx.doi.org/10.1109/TNSRE.2020.2989481")</f>
        <v>http://dx.doi.org/10.1109/TNSRE.2020.2989481</v>
      </c>
      <c r="BG909" t="s">
        <v>74</v>
      </c>
      <c r="BH909" t="s">
        <v>74</v>
      </c>
      <c r="BI909">
        <v>11</v>
      </c>
      <c r="BJ909" t="s">
        <v>1122</v>
      </c>
      <c r="BK909" t="s">
        <v>182</v>
      </c>
      <c r="BL909" t="s">
        <v>1123</v>
      </c>
      <c r="BM909" t="s">
        <v>17176</v>
      </c>
      <c r="BN909">
        <v>32634096</v>
      </c>
      <c r="BO909" t="s">
        <v>662</v>
      </c>
      <c r="BP909" t="s">
        <v>74</v>
      </c>
      <c r="BQ909" t="s">
        <v>74</v>
      </c>
      <c r="BR909" t="s">
        <v>105</v>
      </c>
      <c r="BS909" t="s">
        <v>17177</v>
      </c>
      <c r="BT909" t="str">
        <f>HYPERLINK("https%3A%2F%2Fwww.webofscience.com%2Fwos%2Fwoscc%2Ffull-record%2FWOS:000546879800009","View Full Record in Web of Science")</f>
        <v>View Full Record in Web of Science</v>
      </c>
    </row>
    <row r="910" spans="1:72" x14ac:dyDescent="0.25">
      <c r="A910" t="s">
        <v>72</v>
      </c>
      <c r="B910" t="s">
        <v>17178</v>
      </c>
      <c r="C910" t="s">
        <v>74</v>
      </c>
      <c r="D910" t="s">
        <v>74</v>
      </c>
      <c r="E910" t="s">
        <v>74</v>
      </c>
      <c r="F910" t="s">
        <v>17179</v>
      </c>
      <c r="G910" t="s">
        <v>74</v>
      </c>
      <c r="H910" t="s">
        <v>74</v>
      </c>
      <c r="I910" t="s">
        <v>17180</v>
      </c>
      <c r="J910" t="s">
        <v>9759</v>
      </c>
      <c r="K910" t="s">
        <v>74</v>
      </c>
      <c r="L910" t="s">
        <v>74</v>
      </c>
      <c r="M910" t="s">
        <v>78</v>
      </c>
      <c r="N910" t="s">
        <v>79</v>
      </c>
      <c r="O910" t="s">
        <v>74</v>
      </c>
      <c r="P910" t="s">
        <v>74</v>
      </c>
      <c r="Q910" t="s">
        <v>74</v>
      </c>
      <c r="R910" t="s">
        <v>74</v>
      </c>
      <c r="S910" t="s">
        <v>74</v>
      </c>
      <c r="T910" t="s">
        <v>17181</v>
      </c>
      <c r="U910" t="s">
        <v>17182</v>
      </c>
      <c r="V910" t="s">
        <v>17183</v>
      </c>
      <c r="W910" t="s">
        <v>17184</v>
      </c>
      <c r="X910" t="s">
        <v>17185</v>
      </c>
      <c r="Y910" t="s">
        <v>17186</v>
      </c>
      <c r="Z910" t="s">
        <v>17187</v>
      </c>
      <c r="AA910" t="s">
        <v>17188</v>
      </c>
      <c r="AB910" t="s">
        <v>17189</v>
      </c>
      <c r="AC910" t="s">
        <v>17190</v>
      </c>
      <c r="AD910" t="s">
        <v>17191</v>
      </c>
      <c r="AE910" t="s">
        <v>17192</v>
      </c>
      <c r="AF910" t="s">
        <v>74</v>
      </c>
      <c r="AG910">
        <v>110</v>
      </c>
      <c r="AH910">
        <v>24</v>
      </c>
      <c r="AI910">
        <v>27</v>
      </c>
      <c r="AJ910">
        <v>3</v>
      </c>
      <c r="AK910">
        <v>63</v>
      </c>
      <c r="AL910" t="s">
        <v>392</v>
      </c>
      <c r="AM910" t="s">
        <v>393</v>
      </c>
      <c r="AN910" t="s">
        <v>394</v>
      </c>
      <c r="AO910" t="s">
        <v>74</v>
      </c>
      <c r="AP910" t="s">
        <v>9772</v>
      </c>
      <c r="AQ910" t="s">
        <v>74</v>
      </c>
      <c r="AR910" t="s">
        <v>9773</v>
      </c>
      <c r="AS910" t="s">
        <v>9774</v>
      </c>
      <c r="AT910" t="s">
        <v>5933</v>
      </c>
      <c r="AU910">
        <v>2020</v>
      </c>
      <c r="AV910">
        <v>14</v>
      </c>
      <c r="AW910" t="s">
        <v>74</v>
      </c>
      <c r="AX910" t="s">
        <v>74</v>
      </c>
      <c r="AY910" t="s">
        <v>74</v>
      </c>
      <c r="AZ910" t="s">
        <v>74</v>
      </c>
      <c r="BA910" t="s">
        <v>74</v>
      </c>
      <c r="BB910" t="s">
        <v>74</v>
      </c>
      <c r="BC910" t="s">
        <v>74</v>
      </c>
      <c r="BD910">
        <v>578</v>
      </c>
      <c r="BE910" t="s">
        <v>17193</v>
      </c>
      <c r="BF910" t="str">
        <f>HYPERLINK("http://dx.doi.org/10.3389/fnins.2020.00578","http://dx.doi.org/10.3389/fnins.2020.00578")</f>
        <v>http://dx.doi.org/10.3389/fnins.2020.00578</v>
      </c>
      <c r="BG910" t="s">
        <v>74</v>
      </c>
      <c r="BH910" t="s">
        <v>74</v>
      </c>
      <c r="BI910">
        <v>18</v>
      </c>
      <c r="BJ910" t="s">
        <v>374</v>
      </c>
      <c r="BK910" t="s">
        <v>182</v>
      </c>
      <c r="BL910" t="s">
        <v>375</v>
      </c>
      <c r="BM910" t="s">
        <v>17194</v>
      </c>
      <c r="BN910">
        <v>32714127</v>
      </c>
      <c r="BO910" t="s">
        <v>5437</v>
      </c>
      <c r="BP910" t="s">
        <v>74</v>
      </c>
      <c r="BQ910" t="s">
        <v>74</v>
      </c>
      <c r="BR910" t="s">
        <v>105</v>
      </c>
      <c r="BS910" t="s">
        <v>17195</v>
      </c>
      <c r="BT910" t="str">
        <f>HYPERLINK("https%3A%2F%2Fwww.webofscience.com%2Fwos%2Fwoscc%2Ffull-record%2FWOS:000618772300001","View Full Record in Web of Science")</f>
        <v>View Full Record in Web of Science</v>
      </c>
    </row>
    <row r="911" spans="1:72" x14ac:dyDescent="0.25">
      <c r="A911" t="s">
        <v>72</v>
      </c>
      <c r="B911" t="s">
        <v>17196</v>
      </c>
      <c r="C911" t="s">
        <v>74</v>
      </c>
      <c r="D911" t="s">
        <v>74</v>
      </c>
      <c r="E911" t="s">
        <v>74</v>
      </c>
      <c r="F911" t="s">
        <v>17197</v>
      </c>
      <c r="G911" t="s">
        <v>74</v>
      </c>
      <c r="H911" t="s">
        <v>74</v>
      </c>
      <c r="I911" t="s">
        <v>17198</v>
      </c>
      <c r="J911" t="s">
        <v>594</v>
      </c>
      <c r="K911" t="s">
        <v>74</v>
      </c>
      <c r="L911" t="s">
        <v>74</v>
      </c>
      <c r="M911" t="s">
        <v>78</v>
      </c>
      <c r="N911" t="s">
        <v>79</v>
      </c>
      <c r="O911" t="s">
        <v>74</v>
      </c>
      <c r="P911" t="s">
        <v>74</v>
      </c>
      <c r="Q911" t="s">
        <v>74</v>
      </c>
      <c r="R911" t="s">
        <v>74</v>
      </c>
      <c r="S911" t="s">
        <v>74</v>
      </c>
      <c r="T911" t="s">
        <v>17199</v>
      </c>
      <c r="U911" t="s">
        <v>17200</v>
      </c>
      <c r="V911" t="s">
        <v>17201</v>
      </c>
      <c r="W911" t="s">
        <v>17202</v>
      </c>
      <c r="X911" t="s">
        <v>17203</v>
      </c>
      <c r="Y911" t="s">
        <v>4146</v>
      </c>
      <c r="Z911" t="s">
        <v>4147</v>
      </c>
      <c r="AA911" t="s">
        <v>17204</v>
      </c>
      <c r="AB911" t="s">
        <v>17205</v>
      </c>
      <c r="AC911" t="s">
        <v>17206</v>
      </c>
      <c r="AD911" t="s">
        <v>17206</v>
      </c>
      <c r="AE911" t="s">
        <v>17207</v>
      </c>
      <c r="AF911" t="s">
        <v>74</v>
      </c>
      <c r="AG911">
        <v>23</v>
      </c>
      <c r="AH911">
        <v>71</v>
      </c>
      <c r="AI911">
        <v>75</v>
      </c>
      <c r="AJ911">
        <v>6</v>
      </c>
      <c r="AK911">
        <v>34</v>
      </c>
      <c r="AL911" t="s">
        <v>274</v>
      </c>
      <c r="AM911" t="s">
        <v>275</v>
      </c>
      <c r="AN911" t="s">
        <v>276</v>
      </c>
      <c r="AO911" t="s">
        <v>74</v>
      </c>
      <c r="AP911" t="s">
        <v>606</v>
      </c>
      <c r="AQ911" t="s">
        <v>74</v>
      </c>
      <c r="AR911" t="s">
        <v>607</v>
      </c>
      <c r="AS911" t="s">
        <v>608</v>
      </c>
      <c r="AT911" t="s">
        <v>5933</v>
      </c>
      <c r="AU911">
        <v>2020</v>
      </c>
      <c r="AV911">
        <v>17</v>
      </c>
      <c r="AW911">
        <v>1</v>
      </c>
      <c r="AX911" t="s">
        <v>74</v>
      </c>
      <c r="AY911" t="s">
        <v>74</v>
      </c>
      <c r="AZ911" t="s">
        <v>74</v>
      </c>
      <c r="BA911" t="s">
        <v>74</v>
      </c>
      <c r="BB911" t="s">
        <v>74</v>
      </c>
      <c r="BC911" t="s">
        <v>74</v>
      </c>
      <c r="BD911">
        <v>83</v>
      </c>
      <c r="BE911" t="s">
        <v>17208</v>
      </c>
      <c r="BF911" t="str">
        <f>HYPERLINK("http://dx.doi.org/10.1186/s12984-020-00715-0","http://dx.doi.org/10.1186/s12984-020-00715-0")</f>
        <v>http://dx.doi.org/10.1186/s12984-020-00715-0</v>
      </c>
      <c r="BG911" t="s">
        <v>74</v>
      </c>
      <c r="BH911" t="s">
        <v>74</v>
      </c>
      <c r="BI911">
        <v>14</v>
      </c>
      <c r="BJ911" t="s">
        <v>611</v>
      </c>
      <c r="BK911" t="s">
        <v>182</v>
      </c>
      <c r="BL911" t="s">
        <v>612</v>
      </c>
      <c r="BM911" t="s">
        <v>17209</v>
      </c>
      <c r="BN911">
        <v>32605587</v>
      </c>
      <c r="BO911" t="s">
        <v>355</v>
      </c>
      <c r="BP911" t="s">
        <v>74</v>
      </c>
      <c r="BQ911" t="s">
        <v>74</v>
      </c>
      <c r="BR911" t="s">
        <v>105</v>
      </c>
      <c r="BS911" t="s">
        <v>17210</v>
      </c>
      <c r="BT911" t="str">
        <f>HYPERLINK("https%3A%2F%2Fwww.webofscience.com%2Fwos%2Fwoscc%2Ffull-record%2FWOS:000546759200001","View Full Record in Web of Science")</f>
        <v>View Full Record in Web of Science</v>
      </c>
    </row>
    <row r="912" spans="1:72" x14ac:dyDescent="0.25">
      <c r="A912" t="s">
        <v>72</v>
      </c>
      <c r="B912" t="s">
        <v>17211</v>
      </c>
      <c r="C912" t="s">
        <v>74</v>
      </c>
      <c r="D912" t="s">
        <v>74</v>
      </c>
      <c r="E912" t="s">
        <v>74</v>
      </c>
      <c r="F912" t="s">
        <v>17212</v>
      </c>
      <c r="G912" t="s">
        <v>74</v>
      </c>
      <c r="H912" t="s">
        <v>74</v>
      </c>
      <c r="I912" t="s">
        <v>17213</v>
      </c>
      <c r="J912" t="s">
        <v>17214</v>
      </c>
      <c r="K912" t="s">
        <v>74</v>
      </c>
      <c r="L912" t="s">
        <v>74</v>
      </c>
      <c r="M912" t="s">
        <v>78</v>
      </c>
      <c r="N912" t="s">
        <v>79</v>
      </c>
      <c r="O912" t="s">
        <v>74</v>
      </c>
      <c r="P912" t="s">
        <v>74</v>
      </c>
      <c r="Q912" t="s">
        <v>74</v>
      </c>
      <c r="R912" t="s">
        <v>74</v>
      </c>
      <c r="S912" t="s">
        <v>74</v>
      </c>
      <c r="T912" t="s">
        <v>74</v>
      </c>
      <c r="U912" t="s">
        <v>17215</v>
      </c>
      <c r="V912" t="s">
        <v>17216</v>
      </c>
      <c r="W912" t="s">
        <v>17217</v>
      </c>
      <c r="X912" t="s">
        <v>17218</v>
      </c>
      <c r="Y912" t="s">
        <v>17219</v>
      </c>
      <c r="Z912" t="s">
        <v>17220</v>
      </c>
      <c r="AA912" t="s">
        <v>15640</v>
      </c>
      <c r="AB912" t="s">
        <v>17221</v>
      </c>
      <c r="AC912" t="s">
        <v>17222</v>
      </c>
      <c r="AD912" t="s">
        <v>17223</v>
      </c>
      <c r="AE912" t="s">
        <v>17224</v>
      </c>
      <c r="AF912" t="s">
        <v>74</v>
      </c>
      <c r="AG912">
        <v>99</v>
      </c>
      <c r="AH912">
        <v>8</v>
      </c>
      <c r="AI912">
        <v>8</v>
      </c>
      <c r="AJ912">
        <v>1</v>
      </c>
      <c r="AK912">
        <v>41</v>
      </c>
      <c r="AL912" t="s">
        <v>367</v>
      </c>
      <c r="AM912" t="s">
        <v>275</v>
      </c>
      <c r="AN912" t="s">
        <v>368</v>
      </c>
      <c r="AO912" t="s">
        <v>17225</v>
      </c>
      <c r="AP912" t="s">
        <v>17226</v>
      </c>
      <c r="AQ912" t="s">
        <v>74</v>
      </c>
      <c r="AR912" t="s">
        <v>17227</v>
      </c>
      <c r="AS912" t="s">
        <v>17228</v>
      </c>
      <c r="AT912" t="s">
        <v>17229</v>
      </c>
      <c r="AU912">
        <v>2020</v>
      </c>
      <c r="AV912">
        <v>2020</v>
      </c>
      <c r="AW912" t="s">
        <v>74</v>
      </c>
      <c r="AX912" t="s">
        <v>74</v>
      </c>
      <c r="AY912" t="s">
        <v>74</v>
      </c>
      <c r="AZ912" t="s">
        <v>74</v>
      </c>
      <c r="BA912" t="s">
        <v>74</v>
      </c>
      <c r="BB912" t="s">
        <v>74</v>
      </c>
      <c r="BC912" t="s">
        <v>74</v>
      </c>
      <c r="BD912">
        <v>8472510</v>
      </c>
      <c r="BE912" t="s">
        <v>17230</v>
      </c>
      <c r="BF912" t="str">
        <f>HYPERLINK("http://dx.doi.org/10.1155/2020/8472510","http://dx.doi.org/10.1155/2020/8472510")</f>
        <v>http://dx.doi.org/10.1155/2020/8472510</v>
      </c>
      <c r="BG912" t="s">
        <v>74</v>
      </c>
      <c r="BH912" t="s">
        <v>74</v>
      </c>
      <c r="BI912">
        <v>15</v>
      </c>
      <c r="BJ912" t="s">
        <v>7020</v>
      </c>
      <c r="BK912" t="s">
        <v>155</v>
      </c>
      <c r="BL912" t="s">
        <v>7020</v>
      </c>
      <c r="BM912" t="s">
        <v>17231</v>
      </c>
      <c r="BN912" t="s">
        <v>74</v>
      </c>
      <c r="BO912" t="s">
        <v>185</v>
      </c>
      <c r="BP912" t="s">
        <v>74</v>
      </c>
      <c r="BQ912" t="s">
        <v>74</v>
      </c>
      <c r="BR912" t="s">
        <v>105</v>
      </c>
      <c r="BS912" t="s">
        <v>17232</v>
      </c>
      <c r="BT912" t="str">
        <f>HYPERLINK("https%3A%2F%2Fwww.webofscience.com%2Fwos%2Fwoscc%2Ffull-record%2FWOS:000549126100001","View Full Record in Web of Science")</f>
        <v>View Full Record in Web of Science</v>
      </c>
    </row>
    <row r="913" spans="1:72" x14ac:dyDescent="0.25">
      <c r="A913" t="s">
        <v>72</v>
      </c>
      <c r="B913" t="s">
        <v>17233</v>
      </c>
      <c r="C913" t="s">
        <v>74</v>
      </c>
      <c r="D913" t="s">
        <v>74</v>
      </c>
      <c r="E913" t="s">
        <v>74</v>
      </c>
      <c r="F913" t="s">
        <v>17234</v>
      </c>
      <c r="G913" t="s">
        <v>74</v>
      </c>
      <c r="H913" t="s">
        <v>74</v>
      </c>
      <c r="I913" t="s">
        <v>17235</v>
      </c>
      <c r="J913" t="s">
        <v>382</v>
      </c>
      <c r="K913" t="s">
        <v>74</v>
      </c>
      <c r="L913" t="s">
        <v>74</v>
      </c>
      <c r="M913" t="s">
        <v>78</v>
      </c>
      <c r="N913" t="s">
        <v>79</v>
      </c>
      <c r="O913" t="s">
        <v>74</v>
      </c>
      <c r="P913" t="s">
        <v>74</v>
      </c>
      <c r="Q913" t="s">
        <v>74</v>
      </c>
      <c r="R913" t="s">
        <v>74</v>
      </c>
      <c r="S913" t="s">
        <v>74</v>
      </c>
      <c r="T913" t="s">
        <v>17236</v>
      </c>
      <c r="U913" t="s">
        <v>17237</v>
      </c>
      <c r="V913" t="s">
        <v>17238</v>
      </c>
      <c r="W913" t="s">
        <v>17239</v>
      </c>
      <c r="X913" t="s">
        <v>17240</v>
      </c>
      <c r="Y913" t="s">
        <v>17241</v>
      </c>
      <c r="Z913" t="s">
        <v>17242</v>
      </c>
      <c r="AA913" t="s">
        <v>17243</v>
      </c>
      <c r="AB913" t="s">
        <v>17244</v>
      </c>
      <c r="AC913" t="s">
        <v>17245</v>
      </c>
      <c r="AD913" t="s">
        <v>5285</v>
      </c>
      <c r="AE913" t="s">
        <v>17246</v>
      </c>
      <c r="AF913" t="s">
        <v>74</v>
      </c>
      <c r="AG913">
        <v>393</v>
      </c>
      <c r="AH913">
        <v>15</v>
      </c>
      <c r="AI913">
        <v>15</v>
      </c>
      <c r="AJ913">
        <v>0</v>
      </c>
      <c r="AK913">
        <v>26</v>
      </c>
      <c r="AL913" t="s">
        <v>392</v>
      </c>
      <c r="AM913" t="s">
        <v>393</v>
      </c>
      <c r="AN913" t="s">
        <v>394</v>
      </c>
      <c r="AO913" t="s">
        <v>395</v>
      </c>
      <c r="AP913" t="s">
        <v>74</v>
      </c>
      <c r="AQ913" t="s">
        <v>74</v>
      </c>
      <c r="AR913" t="s">
        <v>396</v>
      </c>
      <c r="AS913" t="s">
        <v>397</v>
      </c>
      <c r="AT913" t="s">
        <v>15095</v>
      </c>
      <c r="AU913">
        <v>2020</v>
      </c>
      <c r="AV913">
        <v>11</v>
      </c>
      <c r="AW913" t="s">
        <v>74</v>
      </c>
      <c r="AX913" t="s">
        <v>74</v>
      </c>
      <c r="AY913" t="s">
        <v>74</v>
      </c>
      <c r="AZ913" t="s">
        <v>74</v>
      </c>
      <c r="BA913" t="s">
        <v>74</v>
      </c>
      <c r="BB913" t="s">
        <v>74</v>
      </c>
      <c r="BC913" t="s">
        <v>74</v>
      </c>
      <c r="BD913">
        <v>337</v>
      </c>
      <c r="BE913" t="s">
        <v>17247</v>
      </c>
      <c r="BF913" t="str">
        <f>HYPERLINK("http://dx.doi.org/10.3389/fneur.2020.00337","http://dx.doi.org/10.3389/fneur.2020.00337")</f>
        <v>http://dx.doi.org/10.3389/fneur.2020.00337</v>
      </c>
      <c r="BG913" t="s">
        <v>74</v>
      </c>
      <c r="BH913" t="s">
        <v>74</v>
      </c>
      <c r="BI913">
        <v>26</v>
      </c>
      <c r="BJ913" t="s">
        <v>400</v>
      </c>
      <c r="BK913" t="s">
        <v>102</v>
      </c>
      <c r="BL913" t="s">
        <v>375</v>
      </c>
      <c r="BM913" t="s">
        <v>17248</v>
      </c>
      <c r="BN913">
        <v>32695058</v>
      </c>
      <c r="BO913" t="s">
        <v>355</v>
      </c>
      <c r="BP913" t="s">
        <v>74</v>
      </c>
      <c r="BQ913" t="s">
        <v>74</v>
      </c>
      <c r="BR913" t="s">
        <v>105</v>
      </c>
      <c r="BS913" t="s">
        <v>17249</v>
      </c>
      <c r="BT913" t="str">
        <f>HYPERLINK("https%3A%2F%2Fwww.webofscience.com%2Fwos%2Fwoscc%2Ffull-record%2FWOS:000553248900001","View Full Record in Web of Science")</f>
        <v>View Full Record in Web of Science</v>
      </c>
    </row>
    <row r="914" spans="1:72" x14ac:dyDescent="0.25">
      <c r="A914" t="s">
        <v>72</v>
      </c>
      <c r="B914" t="s">
        <v>17250</v>
      </c>
      <c r="C914" t="s">
        <v>74</v>
      </c>
      <c r="D914" t="s">
        <v>74</v>
      </c>
      <c r="E914" t="s">
        <v>74</v>
      </c>
      <c r="F914" t="s">
        <v>17251</v>
      </c>
      <c r="G914" t="s">
        <v>74</v>
      </c>
      <c r="H914" t="s">
        <v>74</v>
      </c>
      <c r="I914" t="s">
        <v>17252</v>
      </c>
      <c r="J914" t="s">
        <v>8073</v>
      </c>
      <c r="K914" t="s">
        <v>74</v>
      </c>
      <c r="L914" t="s">
        <v>74</v>
      </c>
      <c r="M914" t="s">
        <v>78</v>
      </c>
      <c r="N914" t="s">
        <v>79</v>
      </c>
      <c r="O914" t="s">
        <v>74</v>
      </c>
      <c r="P914" t="s">
        <v>74</v>
      </c>
      <c r="Q914" t="s">
        <v>74</v>
      </c>
      <c r="R914" t="s">
        <v>74</v>
      </c>
      <c r="S914" t="s">
        <v>74</v>
      </c>
      <c r="T914" t="s">
        <v>17253</v>
      </c>
      <c r="U914" t="s">
        <v>17254</v>
      </c>
      <c r="V914" t="s">
        <v>17255</v>
      </c>
      <c r="W914" t="s">
        <v>17256</v>
      </c>
      <c r="X914" t="s">
        <v>17257</v>
      </c>
      <c r="Y914" t="s">
        <v>17258</v>
      </c>
      <c r="Z914" t="s">
        <v>17259</v>
      </c>
      <c r="AA914" t="s">
        <v>17260</v>
      </c>
      <c r="AB914" t="s">
        <v>17261</v>
      </c>
      <c r="AC914" t="s">
        <v>74</v>
      </c>
      <c r="AD914" t="s">
        <v>74</v>
      </c>
      <c r="AE914" t="s">
        <v>74</v>
      </c>
      <c r="AF914" t="s">
        <v>74</v>
      </c>
      <c r="AG914">
        <v>138</v>
      </c>
      <c r="AH914">
        <v>113</v>
      </c>
      <c r="AI914">
        <v>120</v>
      </c>
      <c r="AJ914">
        <v>12</v>
      </c>
      <c r="AK914">
        <v>200</v>
      </c>
      <c r="AL914" t="s">
        <v>172</v>
      </c>
      <c r="AM914" t="s">
        <v>4844</v>
      </c>
      <c r="AN914" t="s">
        <v>4845</v>
      </c>
      <c r="AO914" t="s">
        <v>8086</v>
      </c>
      <c r="AP914" t="s">
        <v>8087</v>
      </c>
      <c r="AQ914" t="s">
        <v>74</v>
      </c>
      <c r="AR914" t="s">
        <v>8088</v>
      </c>
      <c r="AS914" t="s">
        <v>8089</v>
      </c>
      <c r="AT914" t="s">
        <v>1734</v>
      </c>
      <c r="AU914">
        <v>2021</v>
      </c>
      <c r="AV914">
        <v>13</v>
      </c>
      <c r="AW914">
        <v>4</v>
      </c>
      <c r="AX914" t="s">
        <v>74</v>
      </c>
      <c r="AY914" t="s">
        <v>74</v>
      </c>
      <c r="AZ914" t="s">
        <v>152</v>
      </c>
      <c r="BA914" t="s">
        <v>74</v>
      </c>
      <c r="BB914">
        <v>775</v>
      </c>
      <c r="BC914">
        <v>793</v>
      </c>
      <c r="BD914" t="s">
        <v>74</v>
      </c>
      <c r="BE914" t="s">
        <v>17262</v>
      </c>
      <c r="BF914" t="str">
        <f>HYPERLINK("http://dx.doi.org/10.1007/s12369-020-00662-9","http://dx.doi.org/10.1007/s12369-020-00662-9")</f>
        <v>http://dx.doi.org/10.1007/s12369-020-00662-9</v>
      </c>
      <c r="BG914" t="s">
        <v>74</v>
      </c>
      <c r="BH914" t="s">
        <v>4851</v>
      </c>
      <c r="BI914">
        <v>19</v>
      </c>
      <c r="BJ914" t="s">
        <v>714</v>
      </c>
      <c r="BK914" t="s">
        <v>182</v>
      </c>
      <c r="BL914" t="s">
        <v>714</v>
      </c>
      <c r="BM914" t="s">
        <v>17263</v>
      </c>
      <c r="BN914" t="s">
        <v>74</v>
      </c>
      <c r="BO914" t="s">
        <v>74</v>
      </c>
      <c r="BP914" t="s">
        <v>74</v>
      </c>
      <c r="BQ914" t="s">
        <v>74</v>
      </c>
      <c r="BR914" t="s">
        <v>105</v>
      </c>
      <c r="BS914" t="s">
        <v>17264</v>
      </c>
      <c r="BT914" t="str">
        <f>HYPERLINK("https%3A%2F%2Fwww.webofscience.com%2Fwos%2Fwoscc%2Ffull-record%2FWOS:000542516000001","View Full Record in Web of Science")</f>
        <v>View Full Record in Web of Science</v>
      </c>
    </row>
    <row r="915" spans="1:72" x14ac:dyDescent="0.25">
      <c r="A915" t="s">
        <v>72</v>
      </c>
      <c r="B915" t="s">
        <v>17265</v>
      </c>
      <c r="C915" t="s">
        <v>74</v>
      </c>
      <c r="D915" t="s">
        <v>74</v>
      </c>
      <c r="E915" t="s">
        <v>74</v>
      </c>
      <c r="F915" t="s">
        <v>17266</v>
      </c>
      <c r="G915" t="s">
        <v>74</v>
      </c>
      <c r="H915" t="s">
        <v>74</v>
      </c>
      <c r="I915" t="s">
        <v>17267</v>
      </c>
      <c r="J915" t="s">
        <v>17268</v>
      </c>
      <c r="K915" t="s">
        <v>74</v>
      </c>
      <c r="L915" t="s">
        <v>74</v>
      </c>
      <c r="M915" t="s">
        <v>2023</v>
      </c>
      <c r="N915" t="s">
        <v>79</v>
      </c>
      <c r="O915" t="s">
        <v>74</v>
      </c>
      <c r="P915" t="s">
        <v>74</v>
      </c>
      <c r="Q915" t="s">
        <v>74</v>
      </c>
      <c r="R915" t="s">
        <v>74</v>
      </c>
      <c r="S915" t="s">
        <v>74</v>
      </c>
      <c r="T915" t="s">
        <v>17269</v>
      </c>
      <c r="U915" t="s">
        <v>17270</v>
      </c>
      <c r="V915" t="s">
        <v>17271</v>
      </c>
      <c r="W915" t="s">
        <v>17272</v>
      </c>
      <c r="X915" t="s">
        <v>17273</v>
      </c>
      <c r="Y915" t="s">
        <v>17274</v>
      </c>
      <c r="Z915" t="s">
        <v>17275</v>
      </c>
      <c r="AA915" t="s">
        <v>17276</v>
      </c>
      <c r="AB915" t="s">
        <v>17277</v>
      </c>
      <c r="AC915" t="s">
        <v>74</v>
      </c>
      <c r="AD915" t="s">
        <v>74</v>
      </c>
      <c r="AE915" t="s">
        <v>74</v>
      </c>
      <c r="AF915" t="s">
        <v>74</v>
      </c>
      <c r="AG915">
        <v>49</v>
      </c>
      <c r="AH915">
        <v>0</v>
      </c>
      <c r="AI915">
        <v>0</v>
      </c>
      <c r="AJ915">
        <v>1</v>
      </c>
      <c r="AK915">
        <v>9</v>
      </c>
      <c r="AL915" t="s">
        <v>17268</v>
      </c>
      <c r="AM915" t="s">
        <v>17278</v>
      </c>
      <c r="AN915" t="s">
        <v>17279</v>
      </c>
      <c r="AO915" t="s">
        <v>17280</v>
      </c>
      <c r="AP915" t="s">
        <v>17281</v>
      </c>
      <c r="AQ915" t="s">
        <v>74</v>
      </c>
      <c r="AR915" t="s">
        <v>17282</v>
      </c>
      <c r="AS915" t="s">
        <v>17283</v>
      </c>
      <c r="AT915" t="s">
        <v>8195</v>
      </c>
      <c r="AU915">
        <v>2020</v>
      </c>
      <c r="AV915">
        <v>70</v>
      </c>
      <c r="AW915">
        <v>12</v>
      </c>
      <c r="AX915" t="s">
        <v>74</v>
      </c>
      <c r="AY915" t="s">
        <v>74</v>
      </c>
      <c r="AZ915" t="s">
        <v>74</v>
      </c>
      <c r="BA915" t="s">
        <v>74</v>
      </c>
      <c r="BB915">
        <v>434</v>
      </c>
      <c r="BC915">
        <v>443</v>
      </c>
      <c r="BD915" t="s">
        <v>74</v>
      </c>
      <c r="BE915" t="s">
        <v>17284</v>
      </c>
      <c r="BF915" t="str">
        <f>HYPERLINK("http://dx.doi.org/10.33588/rn.7012.2019491","http://dx.doi.org/10.33588/rn.7012.2019491")</f>
        <v>http://dx.doi.org/10.33588/rn.7012.2019491</v>
      </c>
      <c r="BG915" t="s">
        <v>74</v>
      </c>
      <c r="BH915" t="s">
        <v>74</v>
      </c>
      <c r="BI915">
        <v>10</v>
      </c>
      <c r="BJ915" t="s">
        <v>541</v>
      </c>
      <c r="BK915" t="s">
        <v>102</v>
      </c>
      <c r="BL915" t="s">
        <v>375</v>
      </c>
      <c r="BM915" t="s">
        <v>17285</v>
      </c>
      <c r="BN915">
        <v>32500522</v>
      </c>
      <c r="BO915" t="s">
        <v>74</v>
      </c>
      <c r="BP915" t="s">
        <v>74</v>
      </c>
      <c r="BQ915" t="s">
        <v>74</v>
      </c>
      <c r="BR915" t="s">
        <v>105</v>
      </c>
      <c r="BS915" t="s">
        <v>17286</v>
      </c>
      <c r="BT915" t="str">
        <f>HYPERLINK("https%3A%2F%2Fwww.webofscience.com%2Fwos%2Fwoscc%2Ffull-record%2FWOS:000589900800002","View Full Record in Web of Science")</f>
        <v>View Full Record in Web of Science</v>
      </c>
    </row>
    <row r="916" spans="1:72" x14ac:dyDescent="0.25">
      <c r="A916" t="s">
        <v>72</v>
      </c>
      <c r="B916" t="s">
        <v>17287</v>
      </c>
      <c r="C916" t="s">
        <v>74</v>
      </c>
      <c r="D916" t="s">
        <v>74</v>
      </c>
      <c r="E916" t="s">
        <v>74</v>
      </c>
      <c r="F916" t="s">
        <v>17288</v>
      </c>
      <c r="G916" t="s">
        <v>74</v>
      </c>
      <c r="H916" t="s">
        <v>74</v>
      </c>
      <c r="I916" t="s">
        <v>17289</v>
      </c>
      <c r="J916" t="s">
        <v>3028</v>
      </c>
      <c r="K916" t="s">
        <v>74</v>
      </c>
      <c r="L916" t="s">
        <v>74</v>
      </c>
      <c r="M916" t="s">
        <v>78</v>
      </c>
      <c r="N916" t="s">
        <v>79</v>
      </c>
      <c r="O916" t="s">
        <v>74</v>
      </c>
      <c r="P916" t="s">
        <v>74</v>
      </c>
      <c r="Q916" t="s">
        <v>74</v>
      </c>
      <c r="R916" t="s">
        <v>74</v>
      </c>
      <c r="S916" t="s">
        <v>74</v>
      </c>
      <c r="T916" t="s">
        <v>17290</v>
      </c>
      <c r="U916" t="s">
        <v>17291</v>
      </c>
      <c r="V916" t="s">
        <v>17292</v>
      </c>
      <c r="W916" t="s">
        <v>17293</v>
      </c>
      <c r="X916" t="s">
        <v>17294</v>
      </c>
      <c r="Y916" t="s">
        <v>17295</v>
      </c>
      <c r="Z916" t="s">
        <v>17296</v>
      </c>
      <c r="AA916" t="s">
        <v>74</v>
      </c>
      <c r="AB916" t="s">
        <v>17297</v>
      </c>
      <c r="AC916" t="s">
        <v>74</v>
      </c>
      <c r="AD916" t="s">
        <v>74</v>
      </c>
      <c r="AE916" t="s">
        <v>74</v>
      </c>
      <c r="AF916" t="s">
        <v>74</v>
      </c>
      <c r="AG916">
        <v>92</v>
      </c>
      <c r="AH916">
        <v>42</v>
      </c>
      <c r="AI916">
        <v>46</v>
      </c>
      <c r="AJ916">
        <v>5</v>
      </c>
      <c r="AK916">
        <v>68</v>
      </c>
      <c r="AL916" t="s">
        <v>3038</v>
      </c>
      <c r="AM916" t="s">
        <v>3039</v>
      </c>
      <c r="AN916" t="s">
        <v>3040</v>
      </c>
      <c r="AO916" t="s">
        <v>3041</v>
      </c>
      <c r="AP916" t="s">
        <v>3042</v>
      </c>
      <c r="AQ916" t="s">
        <v>74</v>
      </c>
      <c r="AR916" t="s">
        <v>3043</v>
      </c>
      <c r="AS916" t="s">
        <v>3044</v>
      </c>
      <c r="AT916" t="s">
        <v>1070</v>
      </c>
      <c r="AU916">
        <v>2020</v>
      </c>
      <c r="AV916">
        <v>328</v>
      </c>
      <c r="AW916" t="s">
        <v>74</v>
      </c>
      <c r="AX916" t="s">
        <v>74</v>
      </c>
      <c r="AY916" t="s">
        <v>74</v>
      </c>
      <c r="AZ916" t="s">
        <v>74</v>
      </c>
      <c r="BA916" t="s">
        <v>74</v>
      </c>
      <c r="BB916" t="s">
        <v>74</v>
      </c>
      <c r="BC916" t="s">
        <v>74</v>
      </c>
      <c r="BD916">
        <v>113274</v>
      </c>
      <c r="BE916" t="s">
        <v>17298</v>
      </c>
      <c r="BF916" t="str">
        <f>HYPERLINK("http://dx.doi.org/10.1016/j.expneurol.2020.113274","http://dx.doi.org/10.1016/j.expneurol.2020.113274")</f>
        <v>http://dx.doi.org/10.1016/j.expneurol.2020.113274</v>
      </c>
      <c r="BG916" t="s">
        <v>74</v>
      </c>
      <c r="BH916" t="s">
        <v>74</v>
      </c>
      <c r="BI916">
        <v>15</v>
      </c>
      <c r="BJ916" t="s">
        <v>374</v>
      </c>
      <c r="BK916" t="s">
        <v>102</v>
      </c>
      <c r="BL916" t="s">
        <v>375</v>
      </c>
      <c r="BM916" t="s">
        <v>17299</v>
      </c>
      <c r="BN916">
        <v>32145251</v>
      </c>
      <c r="BO916" t="s">
        <v>74</v>
      </c>
      <c r="BP916" t="s">
        <v>74</v>
      </c>
      <c r="BQ916" t="s">
        <v>74</v>
      </c>
      <c r="BR916" t="s">
        <v>105</v>
      </c>
      <c r="BS916" t="s">
        <v>17300</v>
      </c>
      <c r="BT916" t="str">
        <f>HYPERLINK("https%3A%2F%2Fwww.webofscience.com%2Fwos%2Fwoscc%2Ffull-record%2FWOS:000527888300002","View Full Record in Web of Science")</f>
        <v>View Full Record in Web of Science</v>
      </c>
    </row>
    <row r="917" spans="1:72" x14ac:dyDescent="0.25">
      <c r="A917" t="s">
        <v>72</v>
      </c>
      <c r="B917" t="s">
        <v>17301</v>
      </c>
      <c r="C917" t="s">
        <v>74</v>
      </c>
      <c r="D917" t="s">
        <v>74</v>
      </c>
      <c r="E917" t="s">
        <v>74</v>
      </c>
      <c r="F917" t="s">
        <v>17302</v>
      </c>
      <c r="G917" t="s">
        <v>74</v>
      </c>
      <c r="H917" t="s">
        <v>74</v>
      </c>
      <c r="I917" t="s">
        <v>17303</v>
      </c>
      <c r="J917" t="s">
        <v>17304</v>
      </c>
      <c r="K917" t="s">
        <v>74</v>
      </c>
      <c r="L917" t="s">
        <v>74</v>
      </c>
      <c r="M917" t="s">
        <v>78</v>
      </c>
      <c r="N917" t="s">
        <v>79</v>
      </c>
      <c r="O917" t="s">
        <v>74</v>
      </c>
      <c r="P917" t="s">
        <v>74</v>
      </c>
      <c r="Q917" t="s">
        <v>74</v>
      </c>
      <c r="R917" t="s">
        <v>74</v>
      </c>
      <c r="S917" t="s">
        <v>74</v>
      </c>
      <c r="T917" t="s">
        <v>17305</v>
      </c>
      <c r="U917" t="s">
        <v>17306</v>
      </c>
      <c r="V917" t="s">
        <v>17307</v>
      </c>
      <c r="W917" t="s">
        <v>17308</v>
      </c>
      <c r="X917" t="s">
        <v>17309</v>
      </c>
      <c r="Y917" t="s">
        <v>17310</v>
      </c>
      <c r="Z917" t="s">
        <v>17311</v>
      </c>
      <c r="AA917" t="s">
        <v>17312</v>
      </c>
      <c r="AB917" t="s">
        <v>17313</v>
      </c>
      <c r="AC917" t="s">
        <v>17314</v>
      </c>
      <c r="AD917" t="s">
        <v>17315</v>
      </c>
      <c r="AE917" t="s">
        <v>17316</v>
      </c>
      <c r="AF917" t="s">
        <v>74</v>
      </c>
      <c r="AG917">
        <v>125</v>
      </c>
      <c r="AH917">
        <v>17</v>
      </c>
      <c r="AI917">
        <v>20</v>
      </c>
      <c r="AJ917">
        <v>10</v>
      </c>
      <c r="AK917">
        <v>36</v>
      </c>
      <c r="AL917" t="s">
        <v>297</v>
      </c>
      <c r="AM917" t="s">
        <v>298</v>
      </c>
      <c r="AN917" t="s">
        <v>299</v>
      </c>
      <c r="AO917" t="s">
        <v>74</v>
      </c>
      <c r="AP917" t="s">
        <v>17317</v>
      </c>
      <c r="AQ917" t="s">
        <v>74</v>
      </c>
      <c r="AR917" t="s">
        <v>17318</v>
      </c>
      <c r="AS917" t="s">
        <v>17319</v>
      </c>
      <c r="AT917" t="s">
        <v>1070</v>
      </c>
      <c r="AU917">
        <v>2020</v>
      </c>
      <c r="AV917">
        <v>2</v>
      </c>
      <c r="AW917">
        <v>2</v>
      </c>
      <c r="AX917" t="s">
        <v>74</v>
      </c>
      <c r="AY917" t="s">
        <v>74</v>
      </c>
      <c r="AZ917" t="s">
        <v>74</v>
      </c>
      <c r="BA917" t="s">
        <v>74</v>
      </c>
      <c r="BB917">
        <v>33</v>
      </c>
      <c r="BC917">
        <v>43</v>
      </c>
      <c r="BD917" t="s">
        <v>74</v>
      </c>
      <c r="BE917" t="s">
        <v>17320</v>
      </c>
      <c r="BF917" t="str">
        <f>HYPERLINK("http://dx.doi.org/10.1049/ccs.2020.0005","http://dx.doi.org/10.1049/ccs.2020.0005")</f>
        <v>http://dx.doi.org/10.1049/ccs.2020.0005</v>
      </c>
      <c r="BG917" t="s">
        <v>74</v>
      </c>
      <c r="BH917" t="s">
        <v>74</v>
      </c>
      <c r="BI917">
        <v>11</v>
      </c>
      <c r="BJ917" t="s">
        <v>5059</v>
      </c>
      <c r="BK917" t="s">
        <v>155</v>
      </c>
      <c r="BL917" t="s">
        <v>5060</v>
      </c>
      <c r="BM917" t="s">
        <v>17321</v>
      </c>
      <c r="BN917" t="s">
        <v>74</v>
      </c>
      <c r="BO917" t="s">
        <v>185</v>
      </c>
      <c r="BP917" t="s">
        <v>74</v>
      </c>
      <c r="BQ917" t="s">
        <v>74</v>
      </c>
      <c r="BR917" t="s">
        <v>105</v>
      </c>
      <c r="BS917" t="s">
        <v>17322</v>
      </c>
      <c r="BT917" t="str">
        <f>HYPERLINK("https%3A%2F%2Fwww.webofscience.com%2Fwos%2Fwoscc%2Ffull-record%2FWOS:001062648000001","View Full Record in Web of Science")</f>
        <v>View Full Record in Web of Science</v>
      </c>
    </row>
    <row r="918" spans="1:72" x14ac:dyDescent="0.25">
      <c r="A918" t="s">
        <v>72</v>
      </c>
      <c r="B918" t="s">
        <v>17323</v>
      </c>
      <c r="C918" t="s">
        <v>74</v>
      </c>
      <c r="D918" t="s">
        <v>74</v>
      </c>
      <c r="E918" t="s">
        <v>74</v>
      </c>
      <c r="F918" t="s">
        <v>17324</v>
      </c>
      <c r="G918" t="s">
        <v>74</v>
      </c>
      <c r="H918" t="s">
        <v>74</v>
      </c>
      <c r="I918" t="s">
        <v>17325</v>
      </c>
      <c r="J918" t="s">
        <v>2117</v>
      </c>
      <c r="K918" t="s">
        <v>74</v>
      </c>
      <c r="L918" t="s">
        <v>74</v>
      </c>
      <c r="M918" t="s">
        <v>78</v>
      </c>
      <c r="N918" t="s">
        <v>79</v>
      </c>
      <c r="O918" t="s">
        <v>74</v>
      </c>
      <c r="P918" t="s">
        <v>74</v>
      </c>
      <c r="Q918" t="s">
        <v>74</v>
      </c>
      <c r="R918" t="s">
        <v>74</v>
      </c>
      <c r="S918" t="s">
        <v>74</v>
      </c>
      <c r="T918" t="s">
        <v>17326</v>
      </c>
      <c r="U918" t="s">
        <v>17327</v>
      </c>
      <c r="V918" t="s">
        <v>17328</v>
      </c>
      <c r="W918" t="s">
        <v>17329</v>
      </c>
      <c r="X918" t="s">
        <v>17330</v>
      </c>
      <c r="Y918" t="s">
        <v>17331</v>
      </c>
      <c r="Z918" t="s">
        <v>17332</v>
      </c>
      <c r="AA918" t="s">
        <v>17333</v>
      </c>
      <c r="AB918" t="s">
        <v>17334</v>
      </c>
      <c r="AC918" t="s">
        <v>17335</v>
      </c>
      <c r="AD918" t="s">
        <v>17336</v>
      </c>
      <c r="AE918" t="s">
        <v>17337</v>
      </c>
      <c r="AF918" t="s">
        <v>74</v>
      </c>
      <c r="AG918">
        <v>122</v>
      </c>
      <c r="AH918">
        <v>151</v>
      </c>
      <c r="AI918">
        <v>163</v>
      </c>
      <c r="AJ918">
        <v>12</v>
      </c>
      <c r="AK918">
        <v>138</v>
      </c>
      <c r="AL918" t="s">
        <v>120</v>
      </c>
      <c r="AM918" t="s">
        <v>121</v>
      </c>
      <c r="AN918" t="s">
        <v>122</v>
      </c>
      <c r="AO918" t="s">
        <v>74</v>
      </c>
      <c r="AP918" t="s">
        <v>2129</v>
      </c>
      <c r="AQ918" t="s">
        <v>74</v>
      </c>
      <c r="AR918" t="s">
        <v>2117</v>
      </c>
      <c r="AS918" t="s">
        <v>714</v>
      </c>
      <c r="AT918" t="s">
        <v>1070</v>
      </c>
      <c r="AU918">
        <v>2020</v>
      </c>
      <c r="AV918">
        <v>9</v>
      </c>
      <c r="AW918">
        <v>2</v>
      </c>
      <c r="AX918" t="s">
        <v>74</v>
      </c>
      <c r="AY918" t="s">
        <v>74</v>
      </c>
      <c r="AZ918" t="s">
        <v>74</v>
      </c>
      <c r="BA918" t="s">
        <v>74</v>
      </c>
      <c r="BB918" t="s">
        <v>74</v>
      </c>
      <c r="BC918" t="s">
        <v>74</v>
      </c>
      <c r="BD918">
        <v>21</v>
      </c>
      <c r="BE918" t="s">
        <v>17338</v>
      </c>
      <c r="BF918" t="str">
        <f>HYPERLINK("http://dx.doi.org/10.3390/robotics9020021","http://dx.doi.org/10.3390/robotics9020021")</f>
        <v>http://dx.doi.org/10.3390/robotics9020021</v>
      </c>
      <c r="BG918" t="s">
        <v>74</v>
      </c>
      <c r="BH918" t="s">
        <v>74</v>
      </c>
      <c r="BI918">
        <v>28</v>
      </c>
      <c r="BJ918" t="s">
        <v>714</v>
      </c>
      <c r="BK918" t="s">
        <v>155</v>
      </c>
      <c r="BL918" t="s">
        <v>714</v>
      </c>
      <c r="BM918" t="s">
        <v>17339</v>
      </c>
      <c r="BN918" t="s">
        <v>74</v>
      </c>
      <c r="BO918" t="s">
        <v>185</v>
      </c>
      <c r="BP918" t="s">
        <v>74</v>
      </c>
      <c r="BQ918" t="s">
        <v>74</v>
      </c>
      <c r="BR918" t="s">
        <v>105</v>
      </c>
      <c r="BS918" t="s">
        <v>17340</v>
      </c>
      <c r="BT918" t="str">
        <f>HYPERLINK("https%3A%2F%2Fwww.webofscience.com%2Fwos%2Fwoscc%2Ffull-record%2FWOS:000551231100026","View Full Record in Web of Science")</f>
        <v>View Full Record in Web of Science</v>
      </c>
    </row>
    <row r="919" spans="1:72" x14ac:dyDescent="0.25">
      <c r="A919" t="s">
        <v>72</v>
      </c>
      <c r="B919" t="s">
        <v>17341</v>
      </c>
      <c r="C919" t="s">
        <v>74</v>
      </c>
      <c r="D919" t="s">
        <v>74</v>
      </c>
      <c r="E919" t="s">
        <v>74</v>
      </c>
      <c r="F919" t="s">
        <v>17342</v>
      </c>
      <c r="G919" t="s">
        <v>74</v>
      </c>
      <c r="H919" t="s">
        <v>74</v>
      </c>
      <c r="I919" t="s">
        <v>17343</v>
      </c>
      <c r="J919" t="s">
        <v>243</v>
      </c>
      <c r="K919" t="s">
        <v>74</v>
      </c>
      <c r="L919" t="s">
        <v>74</v>
      </c>
      <c r="M919" t="s">
        <v>78</v>
      </c>
      <c r="N919" t="s">
        <v>79</v>
      </c>
      <c r="O919" t="s">
        <v>74</v>
      </c>
      <c r="P919" t="s">
        <v>74</v>
      </c>
      <c r="Q919" t="s">
        <v>74</v>
      </c>
      <c r="R919" t="s">
        <v>74</v>
      </c>
      <c r="S919" t="s">
        <v>74</v>
      </c>
      <c r="T919" t="s">
        <v>17344</v>
      </c>
      <c r="U919" t="s">
        <v>17345</v>
      </c>
      <c r="V919" t="s">
        <v>17346</v>
      </c>
      <c r="W919" t="s">
        <v>17347</v>
      </c>
      <c r="X919" t="s">
        <v>74</v>
      </c>
      <c r="Y919" t="s">
        <v>17348</v>
      </c>
      <c r="Z919" t="s">
        <v>17349</v>
      </c>
      <c r="AA919" t="s">
        <v>17350</v>
      </c>
      <c r="AB919" t="s">
        <v>17351</v>
      </c>
      <c r="AC919" t="s">
        <v>17352</v>
      </c>
      <c r="AD919" t="s">
        <v>17353</v>
      </c>
      <c r="AE919" t="s">
        <v>17354</v>
      </c>
      <c r="AF919" t="s">
        <v>74</v>
      </c>
      <c r="AG919">
        <v>90</v>
      </c>
      <c r="AH919">
        <v>57</v>
      </c>
      <c r="AI919">
        <v>62</v>
      </c>
      <c r="AJ919">
        <v>7</v>
      </c>
      <c r="AK919">
        <v>99</v>
      </c>
      <c r="AL919" t="s">
        <v>253</v>
      </c>
      <c r="AM919" t="s">
        <v>227</v>
      </c>
      <c r="AN919" t="s">
        <v>254</v>
      </c>
      <c r="AO919" t="s">
        <v>255</v>
      </c>
      <c r="AP919" t="s">
        <v>256</v>
      </c>
      <c r="AQ919" t="s">
        <v>74</v>
      </c>
      <c r="AR919" t="s">
        <v>257</v>
      </c>
      <c r="AS919" t="s">
        <v>258</v>
      </c>
      <c r="AT919" t="s">
        <v>12081</v>
      </c>
      <c r="AU919">
        <v>2020</v>
      </c>
      <c r="AV919">
        <v>15</v>
      </c>
      <c r="AW919">
        <v>4</v>
      </c>
      <c r="AX919" t="s">
        <v>74</v>
      </c>
      <c r="AY919" t="s">
        <v>74</v>
      </c>
      <c r="AZ919" t="s">
        <v>74</v>
      </c>
      <c r="BA919" t="s">
        <v>74</v>
      </c>
      <c r="BB919">
        <v>394</v>
      </c>
      <c r="BC919">
        <v>408</v>
      </c>
      <c r="BD919" t="s">
        <v>74</v>
      </c>
      <c r="BE919" t="s">
        <v>17355</v>
      </c>
      <c r="BF919" t="str">
        <f>HYPERLINK("http://dx.doi.org/10.1080/17483107.2019.1578424","http://dx.doi.org/10.1080/17483107.2019.1578424")</f>
        <v>http://dx.doi.org/10.1080/17483107.2019.1578424</v>
      </c>
      <c r="BG919" t="s">
        <v>74</v>
      </c>
      <c r="BH919" t="s">
        <v>74</v>
      </c>
      <c r="BI919">
        <v>15</v>
      </c>
      <c r="BJ919" t="s">
        <v>101</v>
      </c>
      <c r="BK919" t="s">
        <v>462</v>
      </c>
      <c r="BL919" t="s">
        <v>101</v>
      </c>
      <c r="BM919" t="s">
        <v>17356</v>
      </c>
      <c r="BN919">
        <v>30856032</v>
      </c>
      <c r="BO919" t="s">
        <v>74</v>
      </c>
      <c r="BP919" t="s">
        <v>74</v>
      </c>
      <c r="BQ919" t="s">
        <v>74</v>
      </c>
      <c r="BR919" t="s">
        <v>105</v>
      </c>
      <c r="BS919" t="s">
        <v>17357</v>
      </c>
      <c r="BT919" t="str">
        <f>HYPERLINK("https%3A%2F%2Fwww.webofscience.com%2Fwos%2Fwoscc%2Ffull-record%2FWOS:000536550400004","View Full Record in Web of Science")</f>
        <v>View Full Record in Web of Science</v>
      </c>
    </row>
    <row r="920" spans="1:72" x14ac:dyDescent="0.25">
      <c r="A920" t="s">
        <v>72</v>
      </c>
      <c r="B920" t="s">
        <v>17358</v>
      </c>
      <c r="C920" t="s">
        <v>74</v>
      </c>
      <c r="D920" t="s">
        <v>74</v>
      </c>
      <c r="E920" t="s">
        <v>74</v>
      </c>
      <c r="F920" t="s">
        <v>17359</v>
      </c>
      <c r="G920" t="s">
        <v>74</v>
      </c>
      <c r="H920" t="s">
        <v>74</v>
      </c>
      <c r="I920" t="s">
        <v>17360</v>
      </c>
      <c r="J920" t="s">
        <v>892</v>
      </c>
      <c r="K920" t="s">
        <v>74</v>
      </c>
      <c r="L920" t="s">
        <v>74</v>
      </c>
      <c r="M920" t="s">
        <v>78</v>
      </c>
      <c r="N920" t="s">
        <v>79</v>
      </c>
      <c r="O920" t="s">
        <v>74</v>
      </c>
      <c r="P920" t="s">
        <v>74</v>
      </c>
      <c r="Q920" t="s">
        <v>74</v>
      </c>
      <c r="R920" t="s">
        <v>74</v>
      </c>
      <c r="S920" t="s">
        <v>74</v>
      </c>
      <c r="T920" t="s">
        <v>17361</v>
      </c>
      <c r="U920" t="s">
        <v>17362</v>
      </c>
      <c r="V920" t="s">
        <v>17363</v>
      </c>
      <c r="W920" t="s">
        <v>17364</v>
      </c>
      <c r="X920" t="s">
        <v>17365</v>
      </c>
      <c r="Y920" t="s">
        <v>17366</v>
      </c>
      <c r="Z920" t="s">
        <v>17367</v>
      </c>
      <c r="AA920" t="s">
        <v>17368</v>
      </c>
      <c r="AB920" t="s">
        <v>17369</v>
      </c>
      <c r="AC920" t="s">
        <v>17370</v>
      </c>
      <c r="AD920" t="s">
        <v>17371</v>
      </c>
      <c r="AE920" t="s">
        <v>17372</v>
      </c>
      <c r="AF920" t="s">
        <v>74</v>
      </c>
      <c r="AG920">
        <v>62</v>
      </c>
      <c r="AH920">
        <v>57</v>
      </c>
      <c r="AI920">
        <v>62</v>
      </c>
      <c r="AJ920">
        <v>11</v>
      </c>
      <c r="AK920">
        <v>121</v>
      </c>
      <c r="AL920" t="s">
        <v>120</v>
      </c>
      <c r="AM920" t="s">
        <v>121</v>
      </c>
      <c r="AN920" t="s">
        <v>122</v>
      </c>
      <c r="AO920" t="s">
        <v>74</v>
      </c>
      <c r="AP920" t="s">
        <v>905</v>
      </c>
      <c r="AQ920" t="s">
        <v>74</v>
      </c>
      <c r="AR920" t="s">
        <v>906</v>
      </c>
      <c r="AS920" t="s">
        <v>907</v>
      </c>
      <c r="AT920" t="s">
        <v>326</v>
      </c>
      <c r="AU920">
        <v>2020</v>
      </c>
      <c r="AV920">
        <v>17</v>
      </c>
      <c r="AW920">
        <v>10</v>
      </c>
      <c r="AX920" t="s">
        <v>74</v>
      </c>
      <c r="AY920" t="s">
        <v>74</v>
      </c>
      <c r="AZ920" t="s">
        <v>74</v>
      </c>
      <c r="BA920" t="s">
        <v>74</v>
      </c>
      <c r="BB920" t="s">
        <v>74</v>
      </c>
      <c r="BC920" t="s">
        <v>74</v>
      </c>
      <c r="BD920">
        <v>3554</v>
      </c>
      <c r="BE920" t="s">
        <v>17373</v>
      </c>
      <c r="BF920" t="str">
        <f>HYPERLINK("http://dx.doi.org/10.3390/ijerph17103554","http://dx.doi.org/10.3390/ijerph17103554")</f>
        <v>http://dx.doi.org/10.3390/ijerph17103554</v>
      </c>
      <c r="BG920" t="s">
        <v>74</v>
      </c>
      <c r="BH920" t="s">
        <v>74</v>
      </c>
      <c r="BI920">
        <v>18</v>
      </c>
      <c r="BJ920" t="s">
        <v>909</v>
      </c>
      <c r="BK920" t="s">
        <v>102</v>
      </c>
      <c r="BL920" t="s">
        <v>910</v>
      </c>
      <c r="BM920" t="s">
        <v>17374</v>
      </c>
      <c r="BN920">
        <v>32438649</v>
      </c>
      <c r="BO920" t="s">
        <v>355</v>
      </c>
      <c r="BP920" t="s">
        <v>74</v>
      </c>
      <c r="BQ920" t="s">
        <v>74</v>
      </c>
      <c r="BR920" t="s">
        <v>105</v>
      </c>
      <c r="BS920" t="s">
        <v>17375</v>
      </c>
      <c r="BT920" t="str">
        <f>HYPERLINK("https%3A%2F%2Fwww.webofscience.com%2Fwos%2Fwoscc%2Ffull-record%2FWOS:000539300900211","View Full Record in Web of Science")</f>
        <v>View Full Record in Web of Science</v>
      </c>
    </row>
    <row r="921" spans="1:72" x14ac:dyDescent="0.25">
      <c r="A921" t="s">
        <v>72</v>
      </c>
      <c r="B921" t="s">
        <v>17376</v>
      </c>
      <c r="C921" t="s">
        <v>74</v>
      </c>
      <c r="D921" t="s">
        <v>74</v>
      </c>
      <c r="E921" t="s">
        <v>74</v>
      </c>
      <c r="F921" t="s">
        <v>17377</v>
      </c>
      <c r="G921" t="s">
        <v>74</v>
      </c>
      <c r="H921" t="s">
        <v>74</v>
      </c>
      <c r="I921" t="s">
        <v>17378</v>
      </c>
      <c r="J921" t="s">
        <v>17379</v>
      </c>
      <c r="K921" t="s">
        <v>74</v>
      </c>
      <c r="L921" t="s">
        <v>74</v>
      </c>
      <c r="M921" t="s">
        <v>78</v>
      </c>
      <c r="N921" t="s">
        <v>79</v>
      </c>
      <c r="O921" t="s">
        <v>74</v>
      </c>
      <c r="P921" t="s">
        <v>74</v>
      </c>
      <c r="Q921" t="s">
        <v>74</v>
      </c>
      <c r="R921" t="s">
        <v>74</v>
      </c>
      <c r="S921" t="s">
        <v>74</v>
      </c>
      <c r="T921" t="s">
        <v>17380</v>
      </c>
      <c r="U921" t="s">
        <v>17381</v>
      </c>
      <c r="V921" t="s">
        <v>17382</v>
      </c>
      <c r="W921" t="s">
        <v>17383</v>
      </c>
      <c r="X921" t="s">
        <v>17384</v>
      </c>
      <c r="Y921" t="s">
        <v>17385</v>
      </c>
      <c r="Z921" t="s">
        <v>17386</v>
      </c>
      <c r="AA921" t="s">
        <v>17387</v>
      </c>
      <c r="AB921" t="s">
        <v>17388</v>
      </c>
      <c r="AC921" t="s">
        <v>17389</v>
      </c>
      <c r="AD921" t="s">
        <v>17390</v>
      </c>
      <c r="AE921" t="s">
        <v>17391</v>
      </c>
      <c r="AF921" t="s">
        <v>74</v>
      </c>
      <c r="AG921">
        <v>551</v>
      </c>
      <c r="AH921">
        <v>70</v>
      </c>
      <c r="AI921">
        <v>74</v>
      </c>
      <c r="AJ921">
        <v>3</v>
      </c>
      <c r="AK921">
        <v>90</v>
      </c>
      <c r="AL921" t="s">
        <v>836</v>
      </c>
      <c r="AM921" t="s">
        <v>532</v>
      </c>
      <c r="AN921" t="s">
        <v>837</v>
      </c>
      <c r="AO921" t="s">
        <v>17392</v>
      </c>
      <c r="AP921" t="s">
        <v>17393</v>
      </c>
      <c r="AQ921" t="s">
        <v>74</v>
      </c>
      <c r="AR921" t="s">
        <v>17394</v>
      </c>
      <c r="AS921" t="s">
        <v>17395</v>
      </c>
      <c r="AT921" t="s">
        <v>326</v>
      </c>
      <c r="AU921">
        <v>2020</v>
      </c>
      <c r="AV921">
        <v>112</v>
      </c>
      <c r="AW921" t="s">
        <v>74</v>
      </c>
      <c r="AX921" t="s">
        <v>74</v>
      </c>
      <c r="AY921" t="s">
        <v>74</v>
      </c>
      <c r="AZ921" t="s">
        <v>74</v>
      </c>
      <c r="BA921" t="s">
        <v>74</v>
      </c>
      <c r="BB921">
        <v>553</v>
      </c>
      <c r="BC921">
        <v>584</v>
      </c>
      <c r="BD921" t="s">
        <v>74</v>
      </c>
      <c r="BE921" t="s">
        <v>17396</v>
      </c>
      <c r="BF921" t="str">
        <f>HYPERLINK("http://dx.doi.org/10.1016/j.neubiorev.2019.12.024","http://dx.doi.org/10.1016/j.neubiorev.2019.12.024")</f>
        <v>http://dx.doi.org/10.1016/j.neubiorev.2019.12.024</v>
      </c>
      <c r="BG921" t="s">
        <v>74</v>
      </c>
      <c r="BH921" t="s">
        <v>74</v>
      </c>
      <c r="BI921">
        <v>32</v>
      </c>
      <c r="BJ921" t="s">
        <v>7456</v>
      </c>
      <c r="BK921" t="s">
        <v>102</v>
      </c>
      <c r="BL921" t="s">
        <v>7457</v>
      </c>
      <c r="BM921" t="s">
        <v>17397</v>
      </c>
      <c r="BN921">
        <v>31846652</v>
      </c>
      <c r="BO921" t="s">
        <v>17398</v>
      </c>
      <c r="BP921" t="s">
        <v>74</v>
      </c>
      <c r="BQ921" t="s">
        <v>74</v>
      </c>
      <c r="BR921" t="s">
        <v>105</v>
      </c>
      <c r="BS921" t="s">
        <v>17399</v>
      </c>
      <c r="BT921" t="str">
        <f>HYPERLINK("https%3A%2F%2Fwww.webofscience.com%2Fwos%2Fwoscc%2Ffull-record%2FWOS:000531016100038","View Full Record in Web of Science")</f>
        <v>View Full Record in Web of Science</v>
      </c>
    </row>
    <row r="922" spans="1:72" x14ac:dyDescent="0.25">
      <c r="A922" t="s">
        <v>72</v>
      </c>
      <c r="B922" t="s">
        <v>17400</v>
      </c>
      <c r="C922" t="s">
        <v>74</v>
      </c>
      <c r="D922" t="s">
        <v>74</v>
      </c>
      <c r="E922" t="s">
        <v>74</v>
      </c>
      <c r="F922" t="s">
        <v>17401</v>
      </c>
      <c r="G922" t="s">
        <v>74</v>
      </c>
      <c r="H922" t="s">
        <v>74</v>
      </c>
      <c r="I922" t="s">
        <v>17402</v>
      </c>
      <c r="J922" t="s">
        <v>10672</v>
      </c>
      <c r="K922" t="s">
        <v>74</v>
      </c>
      <c r="L922" t="s">
        <v>74</v>
      </c>
      <c r="M922" t="s">
        <v>78</v>
      </c>
      <c r="N922" t="s">
        <v>79</v>
      </c>
      <c r="O922" t="s">
        <v>74</v>
      </c>
      <c r="P922" t="s">
        <v>74</v>
      </c>
      <c r="Q922" t="s">
        <v>74</v>
      </c>
      <c r="R922" t="s">
        <v>74</v>
      </c>
      <c r="S922" t="s">
        <v>74</v>
      </c>
      <c r="T922" t="s">
        <v>17403</v>
      </c>
      <c r="U922" t="s">
        <v>17404</v>
      </c>
      <c r="V922" t="s">
        <v>17405</v>
      </c>
      <c r="W922" t="s">
        <v>17406</v>
      </c>
      <c r="X922" t="s">
        <v>17407</v>
      </c>
      <c r="Y922" t="s">
        <v>17408</v>
      </c>
      <c r="Z922" t="s">
        <v>17409</v>
      </c>
      <c r="AA922" t="s">
        <v>17410</v>
      </c>
      <c r="AB922" t="s">
        <v>17411</v>
      </c>
      <c r="AC922" t="s">
        <v>17412</v>
      </c>
      <c r="AD922" t="s">
        <v>17413</v>
      </c>
      <c r="AE922" t="s">
        <v>17414</v>
      </c>
      <c r="AF922" t="s">
        <v>74</v>
      </c>
      <c r="AG922">
        <v>92</v>
      </c>
      <c r="AH922">
        <v>34</v>
      </c>
      <c r="AI922">
        <v>40</v>
      </c>
      <c r="AJ922">
        <v>7</v>
      </c>
      <c r="AK922">
        <v>50</v>
      </c>
      <c r="AL922" t="s">
        <v>1040</v>
      </c>
      <c r="AM922" t="s">
        <v>1041</v>
      </c>
      <c r="AN922" t="s">
        <v>1042</v>
      </c>
      <c r="AO922" t="s">
        <v>10684</v>
      </c>
      <c r="AP922" t="s">
        <v>74</v>
      </c>
      <c r="AQ922" t="s">
        <v>74</v>
      </c>
      <c r="AR922" t="s">
        <v>10685</v>
      </c>
      <c r="AS922" t="s">
        <v>10686</v>
      </c>
      <c r="AT922" t="s">
        <v>326</v>
      </c>
      <c r="AU922">
        <v>2020</v>
      </c>
      <c r="AV922">
        <v>7</v>
      </c>
      <c r="AW922" t="s">
        <v>74</v>
      </c>
      <c r="AX922" t="s">
        <v>74</v>
      </c>
      <c r="AY922" t="s">
        <v>74</v>
      </c>
      <c r="AZ922" t="s">
        <v>74</v>
      </c>
      <c r="BA922" t="s">
        <v>74</v>
      </c>
      <c r="BB922" t="s">
        <v>74</v>
      </c>
      <c r="BC922" t="s">
        <v>74</v>
      </c>
      <c r="BD922">
        <v>2055668320917870</v>
      </c>
      <c r="BE922" t="s">
        <v>17415</v>
      </c>
      <c r="BF922" t="str">
        <f>HYPERLINK("http://dx.doi.org/10.1177/2055668320917870","http://dx.doi.org/10.1177/2055668320917870")</f>
        <v>http://dx.doi.org/10.1177/2055668320917870</v>
      </c>
      <c r="BG922" t="s">
        <v>74</v>
      </c>
      <c r="BH922" t="s">
        <v>74</v>
      </c>
      <c r="BI922">
        <v>26</v>
      </c>
      <c r="BJ922" t="s">
        <v>282</v>
      </c>
      <c r="BK922" t="s">
        <v>155</v>
      </c>
      <c r="BL922" t="s">
        <v>183</v>
      </c>
      <c r="BM922" t="s">
        <v>17416</v>
      </c>
      <c r="BN922">
        <v>32435505</v>
      </c>
      <c r="BO922" t="s">
        <v>355</v>
      </c>
      <c r="BP922" t="s">
        <v>74</v>
      </c>
      <c r="BQ922" t="s">
        <v>74</v>
      </c>
      <c r="BR922" t="s">
        <v>105</v>
      </c>
      <c r="BS922" t="s">
        <v>17417</v>
      </c>
      <c r="BT922" t="str">
        <f>HYPERLINK("https%3A%2F%2Fwww.webofscience.com%2Fwos%2Fwoscc%2Ffull-record%2FWOS:000536028300001","View Full Record in Web of Science")</f>
        <v>View Full Record in Web of Science</v>
      </c>
    </row>
    <row r="923" spans="1:72" x14ac:dyDescent="0.25">
      <c r="A923" t="s">
        <v>72</v>
      </c>
      <c r="B923" t="s">
        <v>17418</v>
      </c>
      <c r="C923" t="s">
        <v>74</v>
      </c>
      <c r="D923" t="s">
        <v>74</v>
      </c>
      <c r="E923" t="s">
        <v>74</v>
      </c>
      <c r="F923" t="s">
        <v>17419</v>
      </c>
      <c r="G923" t="s">
        <v>74</v>
      </c>
      <c r="H923" t="s">
        <v>74</v>
      </c>
      <c r="I923" t="s">
        <v>17420</v>
      </c>
      <c r="J923" t="s">
        <v>17421</v>
      </c>
      <c r="K923" t="s">
        <v>74</v>
      </c>
      <c r="L923" t="s">
        <v>74</v>
      </c>
      <c r="M923" t="s">
        <v>78</v>
      </c>
      <c r="N923" t="s">
        <v>79</v>
      </c>
      <c r="O923" t="s">
        <v>74</v>
      </c>
      <c r="P923" t="s">
        <v>74</v>
      </c>
      <c r="Q923" t="s">
        <v>74</v>
      </c>
      <c r="R923" t="s">
        <v>74</v>
      </c>
      <c r="S923" t="s">
        <v>74</v>
      </c>
      <c r="T923" t="s">
        <v>17422</v>
      </c>
      <c r="U923" t="s">
        <v>17423</v>
      </c>
      <c r="V923" t="s">
        <v>17424</v>
      </c>
      <c r="W923" t="s">
        <v>17425</v>
      </c>
      <c r="X923" t="s">
        <v>17426</v>
      </c>
      <c r="Y923" t="s">
        <v>17427</v>
      </c>
      <c r="Z923" t="s">
        <v>17428</v>
      </c>
      <c r="AA923" t="s">
        <v>17429</v>
      </c>
      <c r="AB923" t="s">
        <v>17430</v>
      </c>
      <c r="AC923" t="s">
        <v>17431</v>
      </c>
      <c r="AD923" t="s">
        <v>17432</v>
      </c>
      <c r="AE923" t="s">
        <v>17433</v>
      </c>
      <c r="AF923" t="s">
        <v>74</v>
      </c>
      <c r="AG923">
        <v>100</v>
      </c>
      <c r="AH923">
        <v>9</v>
      </c>
      <c r="AI923">
        <v>9</v>
      </c>
      <c r="AJ923">
        <v>1</v>
      </c>
      <c r="AK923">
        <v>8</v>
      </c>
      <c r="AL923" t="s">
        <v>120</v>
      </c>
      <c r="AM923" t="s">
        <v>121</v>
      </c>
      <c r="AN923" t="s">
        <v>122</v>
      </c>
      <c r="AO923" t="s">
        <v>74</v>
      </c>
      <c r="AP923" t="s">
        <v>17434</v>
      </c>
      <c r="AQ923" t="s">
        <v>74</v>
      </c>
      <c r="AR923" t="s">
        <v>17435</v>
      </c>
      <c r="AS923" t="s">
        <v>17436</v>
      </c>
      <c r="AT923" t="s">
        <v>326</v>
      </c>
      <c r="AU923">
        <v>2020</v>
      </c>
      <c r="AV923">
        <v>21</v>
      </c>
      <c r="AW923">
        <v>9</v>
      </c>
      <c r="AX923" t="s">
        <v>74</v>
      </c>
      <c r="AY923" t="s">
        <v>74</v>
      </c>
      <c r="AZ923" t="s">
        <v>74</v>
      </c>
      <c r="BA923" t="s">
        <v>74</v>
      </c>
      <c r="BB923" t="s">
        <v>74</v>
      </c>
      <c r="BC923" t="s">
        <v>74</v>
      </c>
      <c r="BD923">
        <v>3135</v>
      </c>
      <c r="BE923" t="s">
        <v>17437</v>
      </c>
      <c r="BF923" t="str">
        <f>HYPERLINK("http://dx.doi.org/10.3390/ijms21093135","http://dx.doi.org/10.3390/ijms21093135")</f>
        <v>http://dx.doi.org/10.3390/ijms21093135</v>
      </c>
      <c r="BG923" t="s">
        <v>74</v>
      </c>
      <c r="BH923" t="s">
        <v>74</v>
      </c>
      <c r="BI923">
        <v>21</v>
      </c>
      <c r="BJ923" t="s">
        <v>17438</v>
      </c>
      <c r="BK923" t="s">
        <v>182</v>
      </c>
      <c r="BL923" t="s">
        <v>17439</v>
      </c>
      <c r="BM923" t="s">
        <v>17440</v>
      </c>
      <c r="BN923">
        <v>32365542</v>
      </c>
      <c r="BO923" t="s">
        <v>4568</v>
      </c>
      <c r="BP923" t="s">
        <v>74</v>
      </c>
      <c r="BQ923" t="s">
        <v>74</v>
      </c>
      <c r="BR923" t="s">
        <v>105</v>
      </c>
      <c r="BS923" t="s">
        <v>17441</v>
      </c>
      <c r="BT923" t="str">
        <f>HYPERLINK("https%3A%2F%2Fwww.webofscience.com%2Fwos%2Fwoscc%2Ffull-record%2FWOS:000535581700106","View Full Record in Web of Science")</f>
        <v>View Full Record in Web of Science</v>
      </c>
    </row>
    <row r="924" spans="1:72" x14ac:dyDescent="0.25">
      <c r="A924" t="s">
        <v>72</v>
      </c>
      <c r="B924" t="s">
        <v>17442</v>
      </c>
      <c r="C924" t="s">
        <v>74</v>
      </c>
      <c r="D924" t="s">
        <v>74</v>
      </c>
      <c r="E924" t="s">
        <v>74</v>
      </c>
      <c r="F924" t="s">
        <v>17443</v>
      </c>
      <c r="G924" t="s">
        <v>74</v>
      </c>
      <c r="H924" t="s">
        <v>74</v>
      </c>
      <c r="I924" t="s">
        <v>17444</v>
      </c>
      <c r="J924" t="s">
        <v>10672</v>
      </c>
      <c r="K924" t="s">
        <v>74</v>
      </c>
      <c r="L924" t="s">
        <v>74</v>
      </c>
      <c r="M924" t="s">
        <v>78</v>
      </c>
      <c r="N924" t="s">
        <v>79</v>
      </c>
      <c r="O924" t="s">
        <v>74</v>
      </c>
      <c r="P924" t="s">
        <v>74</v>
      </c>
      <c r="Q924" t="s">
        <v>74</v>
      </c>
      <c r="R924" t="s">
        <v>74</v>
      </c>
      <c r="S924" t="s">
        <v>74</v>
      </c>
      <c r="T924" t="s">
        <v>17445</v>
      </c>
      <c r="U924" t="s">
        <v>17446</v>
      </c>
      <c r="V924" t="s">
        <v>17447</v>
      </c>
      <c r="W924" t="s">
        <v>17448</v>
      </c>
      <c r="X924" t="s">
        <v>17449</v>
      </c>
      <c r="Y924" t="s">
        <v>17450</v>
      </c>
      <c r="Z924" t="s">
        <v>17451</v>
      </c>
      <c r="AA924" t="s">
        <v>17452</v>
      </c>
      <c r="AB924" t="s">
        <v>17453</v>
      </c>
      <c r="AC924" t="s">
        <v>17454</v>
      </c>
      <c r="AD924" t="s">
        <v>17454</v>
      </c>
      <c r="AE924" t="s">
        <v>17455</v>
      </c>
      <c r="AF924" t="s">
        <v>74</v>
      </c>
      <c r="AG924">
        <v>40</v>
      </c>
      <c r="AH924">
        <v>42</v>
      </c>
      <c r="AI924">
        <v>44</v>
      </c>
      <c r="AJ924">
        <v>3</v>
      </c>
      <c r="AK924">
        <v>53</v>
      </c>
      <c r="AL924" t="s">
        <v>1040</v>
      </c>
      <c r="AM924" t="s">
        <v>1041</v>
      </c>
      <c r="AN924" t="s">
        <v>1042</v>
      </c>
      <c r="AO924" t="s">
        <v>10684</v>
      </c>
      <c r="AP924" t="s">
        <v>74</v>
      </c>
      <c r="AQ924" t="s">
        <v>74</v>
      </c>
      <c r="AR924" t="s">
        <v>10685</v>
      </c>
      <c r="AS924" t="s">
        <v>10686</v>
      </c>
      <c r="AT924" t="s">
        <v>326</v>
      </c>
      <c r="AU924">
        <v>2020</v>
      </c>
      <c r="AV924">
        <v>7</v>
      </c>
      <c r="AW924" t="s">
        <v>74</v>
      </c>
      <c r="AX924" t="s">
        <v>74</v>
      </c>
      <c r="AY924" t="s">
        <v>74</v>
      </c>
      <c r="AZ924" t="s">
        <v>74</v>
      </c>
      <c r="BA924" t="s">
        <v>74</v>
      </c>
      <c r="BB924" t="s">
        <v>74</v>
      </c>
      <c r="BC924" t="s">
        <v>74</v>
      </c>
      <c r="BD924">
        <v>2055668320918130</v>
      </c>
      <c r="BE924" t="s">
        <v>17456</v>
      </c>
      <c r="BF924" t="str">
        <f>HYPERLINK("http://dx.doi.org/10.1177/2055668320918130","http://dx.doi.org/10.1177/2055668320918130")</f>
        <v>http://dx.doi.org/10.1177/2055668320918130</v>
      </c>
      <c r="BG924" t="s">
        <v>74</v>
      </c>
      <c r="BH924" t="s">
        <v>74</v>
      </c>
      <c r="BI924">
        <v>18</v>
      </c>
      <c r="BJ924" t="s">
        <v>282</v>
      </c>
      <c r="BK924" t="s">
        <v>155</v>
      </c>
      <c r="BL924" t="s">
        <v>183</v>
      </c>
      <c r="BM924" t="s">
        <v>17457</v>
      </c>
      <c r="BN924">
        <v>32435506</v>
      </c>
      <c r="BO924" t="s">
        <v>355</v>
      </c>
      <c r="BP924" t="s">
        <v>74</v>
      </c>
      <c r="BQ924" t="s">
        <v>74</v>
      </c>
      <c r="BR924" t="s">
        <v>105</v>
      </c>
      <c r="BS924" t="s">
        <v>17458</v>
      </c>
      <c r="BT924" t="str">
        <f>HYPERLINK("https%3A%2F%2Fwww.webofscience.com%2Fwos%2Fwoscc%2Ffull-record%2FWOS:000536027600001","View Full Record in Web of Science")</f>
        <v>View Full Record in Web of Science</v>
      </c>
    </row>
    <row r="925" spans="1:72" x14ac:dyDescent="0.25">
      <c r="A925" t="s">
        <v>72</v>
      </c>
      <c r="B925" t="s">
        <v>17459</v>
      </c>
      <c r="C925" t="s">
        <v>74</v>
      </c>
      <c r="D925" t="s">
        <v>74</v>
      </c>
      <c r="E925" t="s">
        <v>74</v>
      </c>
      <c r="F925" t="s">
        <v>17460</v>
      </c>
      <c r="G925" t="s">
        <v>74</v>
      </c>
      <c r="H925" t="s">
        <v>74</v>
      </c>
      <c r="I925" t="s">
        <v>17461</v>
      </c>
      <c r="J925" t="s">
        <v>17462</v>
      </c>
      <c r="K925" t="s">
        <v>74</v>
      </c>
      <c r="L925" t="s">
        <v>74</v>
      </c>
      <c r="M925" t="s">
        <v>78</v>
      </c>
      <c r="N925" t="s">
        <v>79</v>
      </c>
      <c r="O925" t="s">
        <v>74</v>
      </c>
      <c r="P925" t="s">
        <v>74</v>
      </c>
      <c r="Q925" t="s">
        <v>74</v>
      </c>
      <c r="R925" t="s">
        <v>74</v>
      </c>
      <c r="S925" t="s">
        <v>74</v>
      </c>
      <c r="T925" t="s">
        <v>17463</v>
      </c>
      <c r="U925" t="s">
        <v>17464</v>
      </c>
      <c r="V925" t="s">
        <v>17465</v>
      </c>
      <c r="W925" t="s">
        <v>17466</v>
      </c>
      <c r="X925" t="s">
        <v>17467</v>
      </c>
      <c r="Y925" t="s">
        <v>17468</v>
      </c>
      <c r="Z925" t="s">
        <v>17469</v>
      </c>
      <c r="AA925" t="s">
        <v>17470</v>
      </c>
      <c r="AB925" t="s">
        <v>17471</v>
      </c>
      <c r="AC925" t="s">
        <v>74</v>
      </c>
      <c r="AD925" t="s">
        <v>74</v>
      </c>
      <c r="AE925" t="s">
        <v>74</v>
      </c>
      <c r="AF925" t="s">
        <v>74</v>
      </c>
      <c r="AG925">
        <v>76</v>
      </c>
      <c r="AH925">
        <v>27</v>
      </c>
      <c r="AI925">
        <v>30</v>
      </c>
      <c r="AJ925">
        <v>0</v>
      </c>
      <c r="AK925">
        <v>47</v>
      </c>
      <c r="AL925" t="s">
        <v>17472</v>
      </c>
      <c r="AM925" t="s">
        <v>173</v>
      </c>
      <c r="AN925" t="s">
        <v>1885</v>
      </c>
      <c r="AO925" t="s">
        <v>17473</v>
      </c>
      <c r="AP925" t="s">
        <v>17474</v>
      </c>
      <c r="AQ925" t="s">
        <v>74</v>
      </c>
      <c r="AR925" t="s">
        <v>17475</v>
      </c>
      <c r="AS925" t="s">
        <v>17476</v>
      </c>
      <c r="AT925" t="s">
        <v>420</v>
      </c>
      <c r="AU925">
        <v>2020</v>
      </c>
      <c r="AV925">
        <v>30</v>
      </c>
      <c r="AW925">
        <v>3</v>
      </c>
      <c r="AX925" t="s">
        <v>74</v>
      </c>
      <c r="AY925" t="s">
        <v>74</v>
      </c>
      <c r="AZ925" t="s">
        <v>74</v>
      </c>
      <c r="BA925" t="s">
        <v>74</v>
      </c>
      <c r="BB925">
        <v>362</v>
      </c>
      <c r="BC925">
        <v>370</v>
      </c>
      <c r="BD925" t="s">
        <v>74</v>
      </c>
      <c r="BE925" t="s">
        <v>17477</v>
      </c>
      <c r="BF925" t="str">
        <f>HYPERLINK("http://dx.doi.org/10.1007/s10926-020-09888-w","http://dx.doi.org/10.1007/s10926-020-09888-w")</f>
        <v>http://dx.doi.org/10.1007/s10926-020-09888-w</v>
      </c>
      <c r="BG925" t="s">
        <v>74</v>
      </c>
      <c r="BH925" t="s">
        <v>17478</v>
      </c>
      <c r="BI925">
        <v>9</v>
      </c>
      <c r="BJ925" t="s">
        <v>17479</v>
      </c>
      <c r="BK925" t="s">
        <v>462</v>
      </c>
      <c r="BL925" t="s">
        <v>17479</v>
      </c>
      <c r="BM925" t="s">
        <v>17480</v>
      </c>
      <c r="BN925">
        <v>32253595</v>
      </c>
      <c r="BO925" t="s">
        <v>74</v>
      </c>
      <c r="BP925" t="s">
        <v>74</v>
      </c>
      <c r="BQ925" t="s">
        <v>74</v>
      </c>
      <c r="BR925" t="s">
        <v>105</v>
      </c>
      <c r="BS925" t="s">
        <v>17481</v>
      </c>
      <c r="BT925" t="str">
        <f>HYPERLINK("https%3A%2F%2Fwww.webofscience.com%2Fwos%2Fwoscc%2Ffull-record%2FWOS:000524394900001","View Full Record in Web of Science")</f>
        <v>View Full Record in Web of Science</v>
      </c>
    </row>
    <row r="926" spans="1:72" x14ac:dyDescent="0.25">
      <c r="A926" t="s">
        <v>72</v>
      </c>
      <c r="B926" t="s">
        <v>17482</v>
      </c>
      <c r="C926" t="s">
        <v>74</v>
      </c>
      <c r="D926" t="s">
        <v>74</v>
      </c>
      <c r="E926" t="s">
        <v>74</v>
      </c>
      <c r="F926" t="s">
        <v>17483</v>
      </c>
      <c r="G926" t="s">
        <v>74</v>
      </c>
      <c r="H926" t="s">
        <v>74</v>
      </c>
      <c r="I926" t="s">
        <v>17484</v>
      </c>
      <c r="J926" t="s">
        <v>243</v>
      </c>
      <c r="K926" t="s">
        <v>74</v>
      </c>
      <c r="L926" t="s">
        <v>74</v>
      </c>
      <c r="M926" t="s">
        <v>78</v>
      </c>
      <c r="N926" t="s">
        <v>79</v>
      </c>
      <c r="O926" t="s">
        <v>74</v>
      </c>
      <c r="P926" t="s">
        <v>74</v>
      </c>
      <c r="Q926" t="s">
        <v>74</v>
      </c>
      <c r="R926" t="s">
        <v>74</v>
      </c>
      <c r="S926" t="s">
        <v>74</v>
      </c>
      <c r="T926" t="s">
        <v>17485</v>
      </c>
      <c r="U926" t="s">
        <v>17486</v>
      </c>
      <c r="V926" t="s">
        <v>17487</v>
      </c>
      <c r="W926" t="s">
        <v>17488</v>
      </c>
      <c r="X926" t="s">
        <v>17489</v>
      </c>
      <c r="Y926" t="s">
        <v>17490</v>
      </c>
      <c r="Z926" t="s">
        <v>17491</v>
      </c>
      <c r="AA926" t="s">
        <v>2649</v>
      </c>
      <c r="AB926" t="s">
        <v>17492</v>
      </c>
      <c r="AC926" t="s">
        <v>17493</v>
      </c>
      <c r="AD926" t="s">
        <v>17493</v>
      </c>
      <c r="AE926" t="s">
        <v>17494</v>
      </c>
      <c r="AF926" t="s">
        <v>74</v>
      </c>
      <c r="AG926">
        <v>64</v>
      </c>
      <c r="AH926">
        <v>9</v>
      </c>
      <c r="AI926">
        <v>10</v>
      </c>
      <c r="AJ926">
        <v>0</v>
      </c>
      <c r="AK926">
        <v>60</v>
      </c>
      <c r="AL926" t="s">
        <v>253</v>
      </c>
      <c r="AM926" t="s">
        <v>227</v>
      </c>
      <c r="AN926" t="s">
        <v>254</v>
      </c>
      <c r="AO926" t="s">
        <v>255</v>
      </c>
      <c r="AP926" t="s">
        <v>256</v>
      </c>
      <c r="AQ926" t="s">
        <v>74</v>
      </c>
      <c r="AR926" t="s">
        <v>257</v>
      </c>
      <c r="AS926" t="s">
        <v>258</v>
      </c>
      <c r="AT926" t="s">
        <v>17495</v>
      </c>
      <c r="AU926">
        <v>2020</v>
      </c>
      <c r="AV926">
        <v>15</v>
      </c>
      <c r="AW926">
        <v>3</v>
      </c>
      <c r="AX926" t="s">
        <v>74</v>
      </c>
      <c r="AY926" t="s">
        <v>74</v>
      </c>
      <c r="AZ926" t="s">
        <v>74</v>
      </c>
      <c r="BA926" t="s">
        <v>74</v>
      </c>
      <c r="BB926">
        <v>256</v>
      </c>
      <c r="BC926">
        <v>270</v>
      </c>
      <c r="BD926" t="s">
        <v>74</v>
      </c>
      <c r="BE926" t="s">
        <v>17496</v>
      </c>
      <c r="BF926" t="str">
        <f>HYPERLINK("http://dx.doi.org/10.1080/17483107.2019.1568594","http://dx.doi.org/10.1080/17483107.2019.1568594")</f>
        <v>http://dx.doi.org/10.1080/17483107.2019.1568594</v>
      </c>
      <c r="BG926" t="s">
        <v>74</v>
      </c>
      <c r="BH926" t="s">
        <v>74</v>
      </c>
      <c r="BI926">
        <v>15</v>
      </c>
      <c r="BJ926" t="s">
        <v>101</v>
      </c>
      <c r="BK926" t="s">
        <v>462</v>
      </c>
      <c r="BL926" t="s">
        <v>101</v>
      </c>
      <c r="BM926" t="s">
        <v>17497</v>
      </c>
      <c r="BN926">
        <v>30777472</v>
      </c>
      <c r="BO926" t="s">
        <v>3048</v>
      </c>
      <c r="BP926" t="s">
        <v>74</v>
      </c>
      <c r="BQ926" t="s">
        <v>74</v>
      </c>
      <c r="BR926" t="s">
        <v>105</v>
      </c>
      <c r="BS926" t="s">
        <v>17498</v>
      </c>
      <c r="BT926" t="str">
        <f>HYPERLINK("https%3A%2F%2Fwww.webofscience.com%2Fwos%2Fwoscc%2Ffull-record%2FWOS:000519216900002","View Full Record in Web of Science")</f>
        <v>View Full Record in Web of Science</v>
      </c>
    </row>
    <row r="927" spans="1:72" x14ac:dyDescent="0.25">
      <c r="A927" t="s">
        <v>72</v>
      </c>
      <c r="B927" t="s">
        <v>17499</v>
      </c>
      <c r="C927" t="s">
        <v>74</v>
      </c>
      <c r="D927" t="s">
        <v>74</v>
      </c>
      <c r="E927" t="s">
        <v>74</v>
      </c>
      <c r="F927" t="s">
        <v>17500</v>
      </c>
      <c r="G927" t="s">
        <v>74</v>
      </c>
      <c r="H927" t="s">
        <v>74</v>
      </c>
      <c r="I927" t="s">
        <v>17501</v>
      </c>
      <c r="J927" t="s">
        <v>2641</v>
      </c>
      <c r="K927" t="s">
        <v>74</v>
      </c>
      <c r="L927" t="s">
        <v>74</v>
      </c>
      <c r="M927" t="s">
        <v>78</v>
      </c>
      <c r="N927" t="s">
        <v>79</v>
      </c>
      <c r="O927" t="s">
        <v>74</v>
      </c>
      <c r="P927" t="s">
        <v>74</v>
      </c>
      <c r="Q927" t="s">
        <v>74</v>
      </c>
      <c r="R927" t="s">
        <v>74</v>
      </c>
      <c r="S927" t="s">
        <v>74</v>
      </c>
      <c r="T927" t="s">
        <v>17502</v>
      </c>
      <c r="U927" t="s">
        <v>17503</v>
      </c>
      <c r="V927" t="s">
        <v>17504</v>
      </c>
      <c r="W927" t="s">
        <v>17505</v>
      </c>
      <c r="X927" t="s">
        <v>17506</v>
      </c>
      <c r="Y927" t="s">
        <v>17507</v>
      </c>
      <c r="Z927" t="s">
        <v>17508</v>
      </c>
      <c r="AA927" t="s">
        <v>17509</v>
      </c>
      <c r="AB927" t="s">
        <v>17510</v>
      </c>
      <c r="AC927" t="s">
        <v>74</v>
      </c>
      <c r="AD927" t="s">
        <v>74</v>
      </c>
      <c r="AE927" t="s">
        <v>74</v>
      </c>
      <c r="AF927" t="s">
        <v>74</v>
      </c>
      <c r="AG927">
        <v>152</v>
      </c>
      <c r="AH927">
        <v>75</v>
      </c>
      <c r="AI927">
        <v>81</v>
      </c>
      <c r="AJ927">
        <v>14</v>
      </c>
      <c r="AK927">
        <v>272</v>
      </c>
      <c r="AL927" t="s">
        <v>1605</v>
      </c>
      <c r="AM927" t="s">
        <v>1606</v>
      </c>
      <c r="AN927" t="s">
        <v>1607</v>
      </c>
      <c r="AO927" t="s">
        <v>2651</v>
      </c>
      <c r="AP927" t="s">
        <v>2652</v>
      </c>
      <c r="AQ927" t="s">
        <v>74</v>
      </c>
      <c r="AR927" t="s">
        <v>2653</v>
      </c>
      <c r="AS927" t="s">
        <v>2654</v>
      </c>
      <c r="AT927" t="s">
        <v>487</v>
      </c>
      <c r="AU927">
        <v>2020</v>
      </c>
      <c r="AV927">
        <v>126</v>
      </c>
      <c r="AW927" t="s">
        <v>74</v>
      </c>
      <c r="AX927" t="s">
        <v>74</v>
      </c>
      <c r="AY927" t="s">
        <v>74</v>
      </c>
      <c r="AZ927" t="s">
        <v>74</v>
      </c>
      <c r="BA927" t="s">
        <v>74</v>
      </c>
      <c r="BB927" t="s">
        <v>74</v>
      </c>
      <c r="BC927" t="s">
        <v>74</v>
      </c>
      <c r="BD927">
        <v>103445</v>
      </c>
      <c r="BE927" t="s">
        <v>17511</v>
      </c>
      <c r="BF927" t="str">
        <f>HYPERLINK("http://dx.doi.org/10.1016/j.robot.2020.103445","http://dx.doi.org/10.1016/j.robot.2020.103445")</f>
        <v>http://dx.doi.org/10.1016/j.robot.2020.103445</v>
      </c>
      <c r="BG927" t="s">
        <v>74</v>
      </c>
      <c r="BH927" t="s">
        <v>74</v>
      </c>
      <c r="BI927">
        <v>25</v>
      </c>
      <c r="BJ927" t="s">
        <v>2657</v>
      </c>
      <c r="BK927" t="s">
        <v>182</v>
      </c>
      <c r="BL927" t="s">
        <v>2658</v>
      </c>
      <c r="BM927" t="s">
        <v>17512</v>
      </c>
      <c r="BN927" t="s">
        <v>74</v>
      </c>
      <c r="BO927" t="s">
        <v>74</v>
      </c>
      <c r="BP927" t="s">
        <v>74</v>
      </c>
      <c r="BQ927" t="s">
        <v>74</v>
      </c>
      <c r="BR927" t="s">
        <v>105</v>
      </c>
      <c r="BS927" t="s">
        <v>17513</v>
      </c>
      <c r="BT927" t="str">
        <f>HYPERLINK("https%3A%2F%2Fwww.webofscience.com%2Fwos%2Fwoscc%2Ffull-record%2FWOS:000524382000002","View Full Record in Web of Science")</f>
        <v>View Full Record in Web of Science</v>
      </c>
    </row>
    <row r="928" spans="1:72" x14ac:dyDescent="0.25">
      <c r="A928" t="s">
        <v>72</v>
      </c>
      <c r="B928" t="s">
        <v>17514</v>
      </c>
      <c r="C928" t="s">
        <v>74</v>
      </c>
      <c r="D928" t="s">
        <v>74</v>
      </c>
      <c r="E928" t="s">
        <v>74</v>
      </c>
      <c r="F928" t="s">
        <v>17515</v>
      </c>
      <c r="G928" t="s">
        <v>74</v>
      </c>
      <c r="H928" t="s">
        <v>74</v>
      </c>
      <c r="I928" t="s">
        <v>17516</v>
      </c>
      <c r="J928" t="s">
        <v>288</v>
      </c>
      <c r="K928" t="s">
        <v>74</v>
      </c>
      <c r="L928" t="s">
        <v>74</v>
      </c>
      <c r="M928" t="s">
        <v>78</v>
      </c>
      <c r="N928" t="s">
        <v>79</v>
      </c>
      <c r="O928" t="s">
        <v>74</v>
      </c>
      <c r="P928" t="s">
        <v>74</v>
      </c>
      <c r="Q928" t="s">
        <v>74</v>
      </c>
      <c r="R928" t="s">
        <v>74</v>
      </c>
      <c r="S928" t="s">
        <v>74</v>
      </c>
      <c r="T928" t="s">
        <v>74</v>
      </c>
      <c r="U928" t="s">
        <v>17517</v>
      </c>
      <c r="V928" t="s">
        <v>17518</v>
      </c>
      <c r="W928" t="s">
        <v>17519</v>
      </c>
      <c r="X928" t="s">
        <v>17520</v>
      </c>
      <c r="Y928" t="s">
        <v>17521</v>
      </c>
      <c r="Z928" t="s">
        <v>17522</v>
      </c>
      <c r="AA928" t="s">
        <v>17523</v>
      </c>
      <c r="AB928" t="s">
        <v>17524</v>
      </c>
      <c r="AC928" t="s">
        <v>17525</v>
      </c>
      <c r="AD928" t="s">
        <v>17526</v>
      </c>
      <c r="AE928" t="s">
        <v>17527</v>
      </c>
      <c r="AF928" t="s">
        <v>74</v>
      </c>
      <c r="AG928">
        <v>68</v>
      </c>
      <c r="AH928">
        <v>60</v>
      </c>
      <c r="AI928">
        <v>62</v>
      </c>
      <c r="AJ928">
        <v>2</v>
      </c>
      <c r="AK928">
        <v>9</v>
      </c>
      <c r="AL928" t="s">
        <v>367</v>
      </c>
      <c r="AM928" t="s">
        <v>275</v>
      </c>
      <c r="AN928" t="s">
        <v>368</v>
      </c>
      <c r="AO928" t="s">
        <v>300</v>
      </c>
      <c r="AP928" t="s">
        <v>301</v>
      </c>
      <c r="AQ928" t="s">
        <v>74</v>
      </c>
      <c r="AR928" t="s">
        <v>1868</v>
      </c>
      <c r="AS928" t="s">
        <v>303</v>
      </c>
      <c r="AT928" t="s">
        <v>17528</v>
      </c>
      <c r="AU928">
        <v>2020</v>
      </c>
      <c r="AV928">
        <v>2020</v>
      </c>
      <c r="AW928" t="s">
        <v>74</v>
      </c>
      <c r="AX928" t="s">
        <v>74</v>
      </c>
      <c r="AY928" t="s">
        <v>74</v>
      </c>
      <c r="AZ928" t="s">
        <v>74</v>
      </c>
      <c r="BA928" t="s">
        <v>74</v>
      </c>
      <c r="BB928" t="s">
        <v>74</v>
      </c>
      <c r="BC928" t="s">
        <v>74</v>
      </c>
      <c r="BD928">
        <v>2102785</v>
      </c>
      <c r="BE928" t="s">
        <v>17529</v>
      </c>
      <c r="BF928" t="str">
        <f>HYPERLINK("http://dx.doi.org/10.1155/2020/2102785","http://dx.doi.org/10.1155/2020/2102785")</f>
        <v>http://dx.doi.org/10.1155/2020/2102785</v>
      </c>
      <c r="BG928" t="s">
        <v>74</v>
      </c>
      <c r="BH928" t="s">
        <v>74</v>
      </c>
      <c r="BI928">
        <v>13</v>
      </c>
      <c r="BJ928" t="s">
        <v>306</v>
      </c>
      <c r="BK928" t="s">
        <v>102</v>
      </c>
      <c r="BL928" t="s">
        <v>307</v>
      </c>
      <c r="BM928" t="s">
        <v>17530</v>
      </c>
      <c r="BN928">
        <v>32280681</v>
      </c>
      <c r="BO928" t="s">
        <v>662</v>
      </c>
      <c r="BP928" t="s">
        <v>74</v>
      </c>
      <c r="BQ928" t="s">
        <v>74</v>
      </c>
      <c r="BR928" t="s">
        <v>105</v>
      </c>
      <c r="BS928" t="s">
        <v>17531</v>
      </c>
      <c r="BT928" t="str">
        <f>HYPERLINK("https%3A%2F%2Fwww.webofscience.com%2Fwos%2Fwoscc%2Ffull-record%2FWOS:000523497700008","View Full Record in Web of Science")</f>
        <v>View Full Record in Web of Science</v>
      </c>
    </row>
    <row r="929" spans="1:72" x14ac:dyDescent="0.25">
      <c r="A929" t="s">
        <v>72</v>
      </c>
      <c r="B929" t="s">
        <v>17532</v>
      </c>
      <c r="C929" t="s">
        <v>74</v>
      </c>
      <c r="D929" t="s">
        <v>74</v>
      </c>
      <c r="E929" t="s">
        <v>74</v>
      </c>
      <c r="F929" t="s">
        <v>17533</v>
      </c>
      <c r="G929" t="s">
        <v>74</v>
      </c>
      <c r="H929" t="s">
        <v>74</v>
      </c>
      <c r="I929" t="s">
        <v>17534</v>
      </c>
      <c r="J929" t="s">
        <v>10244</v>
      </c>
      <c r="K929" t="s">
        <v>74</v>
      </c>
      <c r="L929" t="s">
        <v>74</v>
      </c>
      <c r="M929" t="s">
        <v>78</v>
      </c>
      <c r="N929" t="s">
        <v>79</v>
      </c>
      <c r="O929" t="s">
        <v>74</v>
      </c>
      <c r="P929" t="s">
        <v>74</v>
      </c>
      <c r="Q929" t="s">
        <v>74</v>
      </c>
      <c r="R929" t="s">
        <v>74</v>
      </c>
      <c r="S929" t="s">
        <v>74</v>
      </c>
      <c r="T929" t="s">
        <v>17535</v>
      </c>
      <c r="U929" t="s">
        <v>17536</v>
      </c>
      <c r="V929" t="s">
        <v>17537</v>
      </c>
      <c r="W929" t="s">
        <v>17538</v>
      </c>
      <c r="X929" t="s">
        <v>17539</v>
      </c>
      <c r="Y929" t="s">
        <v>17540</v>
      </c>
      <c r="Z929" t="s">
        <v>17541</v>
      </c>
      <c r="AA929" t="s">
        <v>74</v>
      </c>
      <c r="AB929" t="s">
        <v>74</v>
      </c>
      <c r="AC929" t="s">
        <v>17542</v>
      </c>
      <c r="AD929" t="s">
        <v>17543</v>
      </c>
      <c r="AE929" t="s">
        <v>17544</v>
      </c>
      <c r="AF929" t="s">
        <v>74</v>
      </c>
      <c r="AG929">
        <v>51</v>
      </c>
      <c r="AH929">
        <v>6</v>
      </c>
      <c r="AI929">
        <v>6</v>
      </c>
      <c r="AJ929">
        <v>3</v>
      </c>
      <c r="AK929">
        <v>16</v>
      </c>
      <c r="AL929" t="s">
        <v>10254</v>
      </c>
      <c r="AM929" t="s">
        <v>8745</v>
      </c>
      <c r="AN929" t="s">
        <v>10255</v>
      </c>
      <c r="AO929" t="s">
        <v>10256</v>
      </c>
      <c r="AP929" t="s">
        <v>74</v>
      </c>
      <c r="AQ929" t="s">
        <v>74</v>
      </c>
      <c r="AR929" t="s">
        <v>10257</v>
      </c>
      <c r="AS929" t="s">
        <v>10258</v>
      </c>
      <c r="AT929" t="s">
        <v>2209</v>
      </c>
      <c r="AU929">
        <v>2020</v>
      </c>
      <c r="AV929">
        <v>8</v>
      </c>
      <c r="AW929">
        <v>1</v>
      </c>
      <c r="AX929" t="s">
        <v>74</v>
      </c>
      <c r="AY929" t="s">
        <v>74</v>
      </c>
      <c r="AZ929" t="s">
        <v>74</v>
      </c>
      <c r="BA929" t="s">
        <v>74</v>
      </c>
      <c r="BB929">
        <v>32</v>
      </c>
      <c r="BC929">
        <v>39</v>
      </c>
      <c r="BD929" t="s">
        <v>74</v>
      </c>
      <c r="BE929" t="s">
        <v>17545</v>
      </c>
      <c r="BF929" t="str">
        <f>HYPERLINK("http://dx.doi.org/10.26599/JNR.2020.9040006","http://dx.doi.org/10.26599/JNR.2020.9040006")</f>
        <v>http://dx.doi.org/10.26599/JNR.2020.9040006</v>
      </c>
      <c r="BG929" t="s">
        <v>74</v>
      </c>
      <c r="BH929" t="s">
        <v>74</v>
      </c>
      <c r="BI929">
        <v>8</v>
      </c>
      <c r="BJ929" t="s">
        <v>541</v>
      </c>
      <c r="BK929" t="s">
        <v>155</v>
      </c>
      <c r="BL929" t="s">
        <v>375</v>
      </c>
      <c r="BM929" t="s">
        <v>17546</v>
      </c>
      <c r="BN929" t="s">
        <v>74</v>
      </c>
      <c r="BO929" t="s">
        <v>185</v>
      </c>
      <c r="BP929" t="s">
        <v>74</v>
      </c>
      <c r="BQ929" t="s">
        <v>74</v>
      </c>
      <c r="BR929" t="s">
        <v>105</v>
      </c>
      <c r="BS929" t="s">
        <v>17547</v>
      </c>
      <c r="BT929" t="str">
        <f>HYPERLINK("https%3A%2F%2Fwww.webofscience.com%2Fwos%2Fwoscc%2Ffull-record%2FWOS:000543813700004","View Full Record in Web of Science")</f>
        <v>View Full Record in Web of Science</v>
      </c>
    </row>
    <row r="930" spans="1:72" x14ac:dyDescent="0.25">
      <c r="A930" t="s">
        <v>72</v>
      </c>
      <c r="B930" t="s">
        <v>17548</v>
      </c>
      <c r="C930" t="s">
        <v>74</v>
      </c>
      <c r="D930" t="s">
        <v>74</v>
      </c>
      <c r="E930" t="s">
        <v>74</v>
      </c>
      <c r="F930" t="s">
        <v>17549</v>
      </c>
      <c r="G930" t="s">
        <v>74</v>
      </c>
      <c r="H930" t="s">
        <v>74</v>
      </c>
      <c r="I930" t="s">
        <v>17550</v>
      </c>
      <c r="J930" t="s">
        <v>2117</v>
      </c>
      <c r="K930" t="s">
        <v>74</v>
      </c>
      <c r="L930" t="s">
        <v>74</v>
      </c>
      <c r="M930" t="s">
        <v>78</v>
      </c>
      <c r="N930" t="s">
        <v>79</v>
      </c>
      <c r="O930" t="s">
        <v>74</v>
      </c>
      <c r="P930" t="s">
        <v>74</v>
      </c>
      <c r="Q930" t="s">
        <v>74</v>
      </c>
      <c r="R930" t="s">
        <v>74</v>
      </c>
      <c r="S930" t="s">
        <v>74</v>
      </c>
      <c r="T930" t="s">
        <v>17551</v>
      </c>
      <c r="U930" t="s">
        <v>17552</v>
      </c>
      <c r="V930" t="s">
        <v>17553</v>
      </c>
      <c r="W930" t="s">
        <v>17554</v>
      </c>
      <c r="X930" t="s">
        <v>17555</v>
      </c>
      <c r="Y930" t="s">
        <v>17556</v>
      </c>
      <c r="Z930" t="s">
        <v>17557</v>
      </c>
      <c r="AA930" t="s">
        <v>17558</v>
      </c>
      <c r="AB930" t="s">
        <v>17559</v>
      </c>
      <c r="AC930" t="s">
        <v>17560</v>
      </c>
      <c r="AD930" t="s">
        <v>17560</v>
      </c>
      <c r="AE930" t="s">
        <v>17561</v>
      </c>
      <c r="AF930" t="s">
        <v>74</v>
      </c>
      <c r="AG930">
        <v>167</v>
      </c>
      <c r="AH930">
        <v>264</v>
      </c>
      <c r="AI930">
        <v>281</v>
      </c>
      <c r="AJ930">
        <v>23</v>
      </c>
      <c r="AK930">
        <v>390</v>
      </c>
      <c r="AL930" t="s">
        <v>120</v>
      </c>
      <c r="AM930" t="s">
        <v>121</v>
      </c>
      <c r="AN930" t="s">
        <v>1221</v>
      </c>
      <c r="AO930" t="s">
        <v>74</v>
      </c>
      <c r="AP930" t="s">
        <v>2129</v>
      </c>
      <c r="AQ930" t="s">
        <v>74</v>
      </c>
      <c r="AR930" t="s">
        <v>2117</v>
      </c>
      <c r="AS930" t="s">
        <v>714</v>
      </c>
      <c r="AT930" t="s">
        <v>1471</v>
      </c>
      <c r="AU930">
        <v>2020</v>
      </c>
      <c r="AV930">
        <v>9</v>
      </c>
      <c r="AW930">
        <v>1</v>
      </c>
      <c r="AX930" t="s">
        <v>74</v>
      </c>
      <c r="AY930" t="s">
        <v>74</v>
      </c>
      <c r="AZ930" t="s">
        <v>74</v>
      </c>
      <c r="BA930" t="s">
        <v>74</v>
      </c>
      <c r="BB930" t="s">
        <v>74</v>
      </c>
      <c r="BC930" t="s">
        <v>74</v>
      </c>
      <c r="BD930">
        <v>16</v>
      </c>
      <c r="BE930" t="s">
        <v>17562</v>
      </c>
      <c r="BF930" t="str">
        <f>HYPERLINK("http://dx.doi.org/10.3390/robotics9010016","http://dx.doi.org/10.3390/robotics9010016")</f>
        <v>http://dx.doi.org/10.3390/robotics9010016</v>
      </c>
      <c r="BG930" t="s">
        <v>74</v>
      </c>
      <c r="BH930" t="s">
        <v>74</v>
      </c>
      <c r="BI930">
        <v>35</v>
      </c>
      <c r="BJ930" t="s">
        <v>714</v>
      </c>
      <c r="BK930" t="s">
        <v>155</v>
      </c>
      <c r="BL930" t="s">
        <v>714</v>
      </c>
      <c r="BM930" t="s">
        <v>17563</v>
      </c>
      <c r="BN930" t="s">
        <v>74</v>
      </c>
      <c r="BO930" t="s">
        <v>1374</v>
      </c>
      <c r="BP930" t="s">
        <v>74</v>
      </c>
      <c r="BQ930" t="s">
        <v>74</v>
      </c>
      <c r="BR930" t="s">
        <v>105</v>
      </c>
      <c r="BS930" t="s">
        <v>17564</v>
      </c>
      <c r="BT930" t="str">
        <f>HYPERLINK("https%3A%2F%2Fwww.webofscience.com%2Fwos%2Fwoscc%2Ffull-record%2FWOS:000525118900008","View Full Record in Web of Science")</f>
        <v>View Full Record in Web of Science</v>
      </c>
    </row>
    <row r="931" spans="1:72" x14ac:dyDescent="0.25">
      <c r="A931" t="s">
        <v>72</v>
      </c>
      <c r="B931" t="s">
        <v>17565</v>
      </c>
      <c r="C931" t="s">
        <v>74</v>
      </c>
      <c r="D931" t="s">
        <v>74</v>
      </c>
      <c r="E931" t="s">
        <v>74</v>
      </c>
      <c r="F931" t="s">
        <v>17566</v>
      </c>
      <c r="G931" t="s">
        <v>74</v>
      </c>
      <c r="H931" t="s">
        <v>74</v>
      </c>
      <c r="I931" t="s">
        <v>17567</v>
      </c>
      <c r="J931" t="s">
        <v>2641</v>
      </c>
      <c r="K931" t="s">
        <v>74</v>
      </c>
      <c r="L931" t="s">
        <v>74</v>
      </c>
      <c r="M931" t="s">
        <v>78</v>
      </c>
      <c r="N931" t="s">
        <v>79</v>
      </c>
      <c r="O931" t="s">
        <v>74</v>
      </c>
      <c r="P931" t="s">
        <v>74</v>
      </c>
      <c r="Q931" t="s">
        <v>74</v>
      </c>
      <c r="R931" t="s">
        <v>74</v>
      </c>
      <c r="S931" t="s">
        <v>74</v>
      </c>
      <c r="T931" t="s">
        <v>17568</v>
      </c>
      <c r="U931" t="s">
        <v>17569</v>
      </c>
      <c r="V931" t="s">
        <v>17570</v>
      </c>
      <c r="W931" t="s">
        <v>17571</v>
      </c>
      <c r="X931" t="s">
        <v>17572</v>
      </c>
      <c r="Y931" t="s">
        <v>17573</v>
      </c>
      <c r="Z931" t="s">
        <v>17574</v>
      </c>
      <c r="AA931" t="s">
        <v>17575</v>
      </c>
      <c r="AB931" t="s">
        <v>17576</v>
      </c>
      <c r="AC931" t="s">
        <v>17577</v>
      </c>
      <c r="AD931" t="s">
        <v>17578</v>
      </c>
      <c r="AE931" t="s">
        <v>17579</v>
      </c>
      <c r="AF931" t="s">
        <v>74</v>
      </c>
      <c r="AG931">
        <v>97</v>
      </c>
      <c r="AH931">
        <v>28</v>
      </c>
      <c r="AI931">
        <v>29</v>
      </c>
      <c r="AJ931">
        <v>5</v>
      </c>
      <c r="AK931">
        <v>130</v>
      </c>
      <c r="AL931" t="s">
        <v>1605</v>
      </c>
      <c r="AM931" t="s">
        <v>1606</v>
      </c>
      <c r="AN931" t="s">
        <v>1607</v>
      </c>
      <c r="AO931" t="s">
        <v>2651</v>
      </c>
      <c r="AP931" t="s">
        <v>2652</v>
      </c>
      <c r="AQ931" t="s">
        <v>74</v>
      </c>
      <c r="AR931" t="s">
        <v>2653</v>
      </c>
      <c r="AS931" t="s">
        <v>2654</v>
      </c>
      <c r="AT931" t="s">
        <v>1471</v>
      </c>
      <c r="AU931">
        <v>2020</v>
      </c>
      <c r="AV931">
        <v>125</v>
      </c>
      <c r="AW931" t="s">
        <v>74</v>
      </c>
      <c r="AX931" t="s">
        <v>74</v>
      </c>
      <c r="AY931" t="s">
        <v>74</v>
      </c>
      <c r="AZ931" t="s">
        <v>74</v>
      </c>
      <c r="BA931" t="s">
        <v>74</v>
      </c>
      <c r="BB931" t="s">
        <v>74</v>
      </c>
      <c r="BC931" t="s">
        <v>74</v>
      </c>
      <c r="BD931">
        <v>103394</v>
      </c>
      <c r="BE931" t="s">
        <v>17580</v>
      </c>
      <c r="BF931" t="str">
        <f>HYPERLINK("http://dx.doi.org/10.1016/j.robot.2019.103394","http://dx.doi.org/10.1016/j.robot.2019.103394")</f>
        <v>http://dx.doi.org/10.1016/j.robot.2019.103394</v>
      </c>
      <c r="BG931" t="s">
        <v>74</v>
      </c>
      <c r="BH931" t="s">
        <v>74</v>
      </c>
      <c r="BI931">
        <v>15</v>
      </c>
      <c r="BJ931" t="s">
        <v>2657</v>
      </c>
      <c r="BK931" t="s">
        <v>182</v>
      </c>
      <c r="BL931" t="s">
        <v>2658</v>
      </c>
      <c r="BM931" t="s">
        <v>17581</v>
      </c>
      <c r="BN931" t="s">
        <v>74</v>
      </c>
      <c r="BO931" t="s">
        <v>74</v>
      </c>
      <c r="BP931" t="s">
        <v>74</v>
      </c>
      <c r="BQ931" t="s">
        <v>74</v>
      </c>
      <c r="BR931" t="s">
        <v>105</v>
      </c>
      <c r="BS931" t="s">
        <v>17582</v>
      </c>
      <c r="BT931" t="str">
        <f>HYPERLINK("https%3A%2F%2Fwww.webofscience.com%2Fwos%2Fwoscc%2Ffull-record%2FWOS:000515203900001","View Full Record in Web of Science")</f>
        <v>View Full Record in Web of Science</v>
      </c>
    </row>
    <row r="932" spans="1:72" x14ac:dyDescent="0.25">
      <c r="A932" t="s">
        <v>72</v>
      </c>
      <c r="B932" t="s">
        <v>17583</v>
      </c>
      <c r="C932" t="s">
        <v>74</v>
      </c>
      <c r="D932" t="s">
        <v>74</v>
      </c>
      <c r="E932" t="s">
        <v>74</v>
      </c>
      <c r="F932" t="s">
        <v>17584</v>
      </c>
      <c r="G932" t="s">
        <v>74</v>
      </c>
      <c r="H932" t="s">
        <v>74</v>
      </c>
      <c r="I932" t="s">
        <v>17585</v>
      </c>
      <c r="J932" t="s">
        <v>2157</v>
      </c>
      <c r="K932" t="s">
        <v>74</v>
      </c>
      <c r="L932" t="s">
        <v>74</v>
      </c>
      <c r="M932" t="s">
        <v>78</v>
      </c>
      <c r="N932" t="s">
        <v>79</v>
      </c>
      <c r="O932" t="s">
        <v>74</v>
      </c>
      <c r="P932" t="s">
        <v>74</v>
      </c>
      <c r="Q932" t="s">
        <v>74</v>
      </c>
      <c r="R932" t="s">
        <v>74</v>
      </c>
      <c r="S932" t="s">
        <v>74</v>
      </c>
      <c r="T932" t="s">
        <v>17586</v>
      </c>
      <c r="U932" t="s">
        <v>17587</v>
      </c>
      <c r="V932" t="s">
        <v>17588</v>
      </c>
      <c r="W932" t="s">
        <v>17589</v>
      </c>
      <c r="X932" t="s">
        <v>17590</v>
      </c>
      <c r="Y932" t="s">
        <v>17591</v>
      </c>
      <c r="Z932" t="s">
        <v>2188</v>
      </c>
      <c r="AA932" t="s">
        <v>17592</v>
      </c>
      <c r="AB932" t="s">
        <v>6976</v>
      </c>
      <c r="AC932" t="s">
        <v>17593</v>
      </c>
      <c r="AD932" t="s">
        <v>1565</v>
      </c>
      <c r="AE932" t="s">
        <v>17594</v>
      </c>
      <c r="AF932" t="s">
        <v>74</v>
      </c>
      <c r="AG932">
        <v>60</v>
      </c>
      <c r="AH932">
        <v>62</v>
      </c>
      <c r="AI932">
        <v>66</v>
      </c>
      <c r="AJ932">
        <v>0</v>
      </c>
      <c r="AK932">
        <v>35</v>
      </c>
      <c r="AL932" t="s">
        <v>92</v>
      </c>
      <c r="AM932" t="s">
        <v>93</v>
      </c>
      <c r="AN932" t="s">
        <v>94</v>
      </c>
      <c r="AO932" t="s">
        <v>2170</v>
      </c>
      <c r="AP932" t="s">
        <v>2171</v>
      </c>
      <c r="AQ932" t="s">
        <v>74</v>
      </c>
      <c r="AR932" t="s">
        <v>2172</v>
      </c>
      <c r="AS932" t="s">
        <v>2173</v>
      </c>
      <c r="AT932" t="s">
        <v>6666</v>
      </c>
      <c r="AU932">
        <v>2020</v>
      </c>
      <c r="AV932">
        <v>17</v>
      </c>
      <c r="AW932">
        <v>3</v>
      </c>
      <c r="AX932" t="s">
        <v>74</v>
      </c>
      <c r="AY932" t="s">
        <v>74</v>
      </c>
      <c r="AZ932" t="s">
        <v>74</v>
      </c>
      <c r="BA932" t="s">
        <v>74</v>
      </c>
      <c r="BB932">
        <v>223</v>
      </c>
      <c r="BC932">
        <v>233</v>
      </c>
      <c r="BD932" t="s">
        <v>74</v>
      </c>
      <c r="BE932" t="s">
        <v>17595</v>
      </c>
      <c r="BF932" t="str">
        <f>HYPERLINK("http://dx.doi.org/10.1080/17434440.2020.1733408","http://dx.doi.org/10.1080/17434440.2020.1733408")</f>
        <v>http://dx.doi.org/10.1080/17434440.2020.1733408</v>
      </c>
      <c r="BG932" t="s">
        <v>74</v>
      </c>
      <c r="BH932" t="s">
        <v>17596</v>
      </c>
      <c r="BI932">
        <v>11</v>
      </c>
      <c r="BJ932" t="s">
        <v>282</v>
      </c>
      <c r="BK932" t="s">
        <v>182</v>
      </c>
      <c r="BL932" t="s">
        <v>183</v>
      </c>
      <c r="BM932" t="s">
        <v>17597</v>
      </c>
      <c r="BN932">
        <v>32107946</v>
      </c>
      <c r="BO932" t="s">
        <v>74</v>
      </c>
      <c r="BP932" t="s">
        <v>74</v>
      </c>
      <c r="BQ932" t="s">
        <v>74</v>
      </c>
      <c r="BR932" t="s">
        <v>105</v>
      </c>
      <c r="BS932" t="s">
        <v>17598</v>
      </c>
      <c r="BT932" t="str">
        <f>HYPERLINK("https%3A%2F%2Fwww.webofscience.com%2Fwos%2Fwoscc%2Ffull-record%2FWOS:000517382200001","View Full Record in Web of Science")</f>
        <v>View Full Record in Web of Science</v>
      </c>
    </row>
    <row r="933" spans="1:72" x14ac:dyDescent="0.25">
      <c r="A933" t="s">
        <v>72</v>
      </c>
      <c r="B933" t="s">
        <v>17599</v>
      </c>
      <c r="C933" t="s">
        <v>74</v>
      </c>
      <c r="D933" t="s">
        <v>74</v>
      </c>
      <c r="E933" t="s">
        <v>74</v>
      </c>
      <c r="F933" t="s">
        <v>17600</v>
      </c>
      <c r="G933" t="s">
        <v>74</v>
      </c>
      <c r="H933" t="s">
        <v>74</v>
      </c>
      <c r="I933" t="s">
        <v>17601</v>
      </c>
      <c r="J933" t="s">
        <v>17602</v>
      </c>
      <c r="K933" t="s">
        <v>74</v>
      </c>
      <c r="L933" t="s">
        <v>74</v>
      </c>
      <c r="M933" t="s">
        <v>78</v>
      </c>
      <c r="N933" t="s">
        <v>79</v>
      </c>
      <c r="O933" t="s">
        <v>74</v>
      </c>
      <c r="P933" t="s">
        <v>74</v>
      </c>
      <c r="Q933" t="s">
        <v>74</v>
      </c>
      <c r="R933" t="s">
        <v>74</v>
      </c>
      <c r="S933" t="s">
        <v>74</v>
      </c>
      <c r="T933" t="s">
        <v>74</v>
      </c>
      <c r="U933" t="s">
        <v>17603</v>
      </c>
      <c r="V933" t="s">
        <v>17604</v>
      </c>
      <c r="W933" t="s">
        <v>17605</v>
      </c>
      <c r="X933" t="s">
        <v>17606</v>
      </c>
      <c r="Y933" t="s">
        <v>17607</v>
      </c>
      <c r="Z933" t="s">
        <v>17608</v>
      </c>
      <c r="AA933" t="s">
        <v>17609</v>
      </c>
      <c r="AB933" t="s">
        <v>17610</v>
      </c>
      <c r="AC933" t="s">
        <v>17611</v>
      </c>
      <c r="AD933" t="s">
        <v>17612</v>
      </c>
      <c r="AE933" t="s">
        <v>17613</v>
      </c>
      <c r="AF933" t="s">
        <v>74</v>
      </c>
      <c r="AG933">
        <v>142</v>
      </c>
      <c r="AH933">
        <v>82</v>
      </c>
      <c r="AI933">
        <v>89</v>
      </c>
      <c r="AJ933">
        <v>6</v>
      </c>
      <c r="AK933">
        <v>73</v>
      </c>
      <c r="AL933" t="s">
        <v>4113</v>
      </c>
      <c r="AM933" t="s">
        <v>4114</v>
      </c>
      <c r="AN933" t="s">
        <v>4115</v>
      </c>
      <c r="AO933" t="s">
        <v>17614</v>
      </c>
      <c r="AP933" t="s">
        <v>17615</v>
      </c>
      <c r="AQ933" t="s">
        <v>74</v>
      </c>
      <c r="AR933" t="s">
        <v>17602</v>
      </c>
      <c r="AS933" t="s">
        <v>17616</v>
      </c>
      <c r="AT933" t="s">
        <v>11410</v>
      </c>
      <c r="AU933">
        <v>2020</v>
      </c>
      <c r="AV933">
        <v>105</v>
      </c>
      <c r="AW933">
        <v>4</v>
      </c>
      <c r="AX933" t="s">
        <v>74</v>
      </c>
      <c r="AY933" t="s">
        <v>74</v>
      </c>
      <c r="AZ933" t="s">
        <v>74</v>
      </c>
      <c r="BA933" t="s">
        <v>74</v>
      </c>
      <c r="BB933">
        <v>604</v>
      </c>
      <c r="BC933">
        <v>620</v>
      </c>
      <c r="BD933" t="s">
        <v>74</v>
      </c>
      <c r="BE933" t="s">
        <v>17617</v>
      </c>
      <c r="BF933" t="str">
        <f>HYPERLINK("http://dx.doi.org/10.1016/j.neuron.2020.01.039","http://dx.doi.org/10.1016/j.neuron.2020.01.039")</f>
        <v>http://dx.doi.org/10.1016/j.neuron.2020.01.039</v>
      </c>
      <c r="BG933" t="s">
        <v>74</v>
      </c>
      <c r="BH933" t="s">
        <v>74</v>
      </c>
      <c r="BI933">
        <v>17</v>
      </c>
      <c r="BJ933" t="s">
        <v>374</v>
      </c>
      <c r="BK933" t="s">
        <v>102</v>
      </c>
      <c r="BL933" t="s">
        <v>375</v>
      </c>
      <c r="BM933" t="s">
        <v>17618</v>
      </c>
      <c r="BN933">
        <v>32078796</v>
      </c>
      <c r="BO933" t="s">
        <v>17398</v>
      </c>
      <c r="BP933" t="s">
        <v>74</v>
      </c>
      <c r="BQ933" t="s">
        <v>74</v>
      </c>
      <c r="BR933" t="s">
        <v>105</v>
      </c>
      <c r="BS933" t="s">
        <v>17619</v>
      </c>
      <c r="BT933" t="str">
        <f>HYPERLINK("https%3A%2F%2Fwww.webofscience.com%2Fwos%2Fwoscc%2Ffull-record%2FWOS:000514829900007","View Full Record in Web of Science")</f>
        <v>View Full Record in Web of Science</v>
      </c>
    </row>
    <row r="934" spans="1:72" x14ac:dyDescent="0.25">
      <c r="A934" t="s">
        <v>72</v>
      </c>
      <c r="B934" t="s">
        <v>17620</v>
      </c>
      <c r="C934" t="s">
        <v>74</v>
      </c>
      <c r="D934" t="s">
        <v>74</v>
      </c>
      <c r="E934" t="s">
        <v>74</v>
      </c>
      <c r="F934" t="s">
        <v>17621</v>
      </c>
      <c r="G934" t="s">
        <v>74</v>
      </c>
      <c r="H934" t="s">
        <v>74</v>
      </c>
      <c r="I934" t="s">
        <v>17622</v>
      </c>
      <c r="J934" t="s">
        <v>17623</v>
      </c>
      <c r="K934" t="s">
        <v>74</v>
      </c>
      <c r="L934" t="s">
        <v>74</v>
      </c>
      <c r="M934" t="s">
        <v>78</v>
      </c>
      <c r="N934" t="s">
        <v>79</v>
      </c>
      <c r="O934" t="s">
        <v>74</v>
      </c>
      <c r="P934" t="s">
        <v>74</v>
      </c>
      <c r="Q934" t="s">
        <v>74</v>
      </c>
      <c r="R934" t="s">
        <v>74</v>
      </c>
      <c r="S934" t="s">
        <v>74</v>
      </c>
      <c r="T934" t="s">
        <v>17624</v>
      </c>
      <c r="U934" t="s">
        <v>17625</v>
      </c>
      <c r="V934" t="s">
        <v>17626</v>
      </c>
      <c r="W934" t="s">
        <v>17627</v>
      </c>
      <c r="X934" t="s">
        <v>17628</v>
      </c>
      <c r="Y934" t="s">
        <v>17629</v>
      </c>
      <c r="Z934" t="s">
        <v>17630</v>
      </c>
      <c r="AA934" t="s">
        <v>17631</v>
      </c>
      <c r="AB934" t="s">
        <v>17632</v>
      </c>
      <c r="AC934" t="s">
        <v>17633</v>
      </c>
      <c r="AD934" t="s">
        <v>17634</v>
      </c>
      <c r="AE934" t="s">
        <v>17635</v>
      </c>
      <c r="AF934" t="s">
        <v>74</v>
      </c>
      <c r="AG934">
        <v>144</v>
      </c>
      <c r="AH934">
        <v>72</v>
      </c>
      <c r="AI934">
        <v>73</v>
      </c>
      <c r="AJ934">
        <v>8</v>
      </c>
      <c r="AK934">
        <v>165</v>
      </c>
      <c r="AL934" t="s">
        <v>172</v>
      </c>
      <c r="AM934" t="s">
        <v>4844</v>
      </c>
      <c r="AN934" t="s">
        <v>4845</v>
      </c>
      <c r="AO934" t="s">
        <v>17636</v>
      </c>
      <c r="AP934" t="s">
        <v>17637</v>
      </c>
      <c r="AQ934" t="s">
        <v>74</v>
      </c>
      <c r="AR934" t="s">
        <v>17638</v>
      </c>
      <c r="AS934" t="s">
        <v>17639</v>
      </c>
      <c r="AT934" t="s">
        <v>1888</v>
      </c>
      <c r="AU934">
        <v>2020</v>
      </c>
      <c r="AV934">
        <v>53</v>
      </c>
      <c r="AW934">
        <v>7</v>
      </c>
      <c r="AX934" t="s">
        <v>74</v>
      </c>
      <c r="AY934" t="s">
        <v>74</v>
      </c>
      <c r="AZ934" t="s">
        <v>74</v>
      </c>
      <c r="BA934" t="s">
        <v>74</v>
      </c>
      <c r="BB934">
        <v>4863</v>
      </c>
      <c r="BC934">
        <v>4901</v>
      </c>
      <c r="BD934" t="s">
        <v>74</v>
      </c>
      <c r="BE934" t="s">
        <v>17640</v>
      </c>
      <c r="BF934" t="str">
        <f>HYPERLINK("http://dx.doi.org/10.1007/s10462-020-09809-6","http://dx.doi.org/10.1007/s10462-020-09809-6")</f>
        <v>http://dx.doi.org/10.1007/s10462-020-09809-6</v>
      </c>
      <c r="BG934" t="s">
        <v>74</v>
      </c>
      <c r="BH934" t="s">
        <v>17596</v>
      </c>
      <c r="BI934">
        <v>39</v>
      </c>
      <c r="BJ934" t="s">
        <v>14754</v>
      </c>
      <c r="BK934" t="s">
        <v>102</v>
      </c>
      <c r="BL934" t="s">
        <v>6189</v>
      </c>
      <c r="BM934" t="s">
        <v>17641</v>
      </c>
      <c r="BN934" t="s">
        <v>74</v>
      </c>
      <c r="BO934" t="s">
        <v>74</v>
      </c>
      <c r="BP934" t="s">
        <v>74</v>
      </c>
      <c r="BQ934" t="s">
        <v>74</v>
      </c>
      <c r="BR934" t="s">
        <v>105</v>
      </c>
      <c r="BS934" t="s">
        <v>17642</v>
      </c>
      <c r="BT934" t="str">
        <f>HYPERLINK("https%3A%2F%2Fwww.webofscience.com%2Fwos%2Fwoscc%2Ffull-record%2FWOS:000515788900001","View Full Record in Web of Science")</f>
        <v>View Full Record in Web of Science</v>
      </c>
    </row>
    <row r="935" spans="1:72" x14ac:dyDescent="0.25">
      <c r="A935" t="s">
        <v>72</v>
      </c>
      <c r="B935" t="s">
        <v>17643</v>
      </c>
      <c r="C935" t="s">
        <v>74</v>
      </c>
      <c r="D935" t="s">
        <v>74</v>
      </c>
      <c r="E935" t="s">
        <v>74</v>
      </c>
      <c r="F935" t="s">
        <v>17644</v>
      </c>
      <c r="G935" t="s">
        <v>74</v>
      </c>
      <c r="H935" t="s">
        <v>74</v>
      </c>
      <c r="I935" t="s">
        <v>17645</v>
      </c>
      <c r="J935" t="s">
        <v>13376</v>
      </c>
      <c r="K935" t="s">
        <v>74</v>
      </c>
      <c r="L935" t="s">
        <v>74</v>
      </c>
      <c r="M935" t="s">
        <v>78</v>
      </c>
      <c r="N935" t="s">
        <v>79</v>
      </c>
      <c r="O935" t="s">
        <v>74</v>
      </c>
      <c r="P935" t="s">
        <v>74</v>
      </c>
      <c r="Q935" t="s">
        <v>74</v>
      </c>
      <c r="R935" t="s">
        <v>74</v>
      </c>
      <c r="S935" t="s">
        <v>74</v>
      </c>
      <c r="T935" t="s">
        <v>17646</v>
      </c>
      <c r="U935" t="s">
        <v>17647</v>
      </c>
      <c r="V935" t="s">
        <v>17648</v>
      </c>
      <c r="W935" t="s">
        <v>17649</v>
      </c>
      <c r="X935" t="s">
        <v>17650</v>
      </c>
      <c r="Y935" t="s">
        <v>17651</v>
      </c>
      <c r="Z935" t="s">
        <v>17652</v>
      </c>
      <c r="AA935" t="s">
        <v>17653</v>
      </c>
      <c r="AB935" t="s">
        <v>17654</v>
      </c>
      <c r="AC935" t="s">
        <v>17655</v>
      </c>
      <c r="AD935" t="s">
        <v>17656</v>
      </c>
      <c r="AE935" t="s">
        <v>17657</v>
      </c>
      <c r="AF935" t="s">
        <v>74</v>
      </c>
      <c r="AG935">
        <v>121</v>
      </c>
      <c r="AH935">
        <v>53</v>
      </c>
      <c r="AI935">
        <v>56</v>
      </c>
      <c r="AJ935">
        <v>4</v>
      </c>
      <c r="AK935">
        <v>53</v>
      </c>
      <c r="AL935" t="s">
        <v>120</v>
      </c>
      <c r="AM935" t="s">
        <v>121</v>
      </c>
      <c r="AN935" t="s">
        <v>122</v>
      </c>
      <c r="AO935" t="s">
        <v>74</v>
      </c>
      <c r="AP935" t="s">
        <v>13389</v>
      </c>
      <c r="AQ935" t="s">
        <v>74</v>
      </c>
      <c r="AR935" t="s">
        <v>13390</v>
      </c>
      <c r="AS935" t="s">
        <v>13391</v>
      </c>
      <c r="AT935" t="s">
        <v>351</v>
      </c>
      <c r="AU935">
        <v>2020</v>
      </c>
      <c r="AV935">
        <v>9</v>
      </c>
      <c r="AW935">
        <v>2</v>
      </c>
      <c r="AX935" t="s">
        <v>74</v>
      </c>
      <c r="AY935" t="s">
        <v>74</v>
      </c>
      <c r="AZ935" t="s">
        <v>74</v>
      </c>
      <c r="BA935" t="s">
        <v>74</v>
      </c>
      <c r="BB935" t="s">
        <v>74</v>
      </c>
      <c r="BC935" t="s">
        <v>74</v>
      </c>
      <c r="BD935">
        <v>367</v>
      </c>
      <c r="BE935" t="s">
        <v>17658</v>
      </c>
      <c r="BF935" t="str">
        <f>HYPERLINK("http://dx.doi.org/10.3390/electronics9020367","http://dx.doi.org/10.3390/electronics9020367")</f>
        <v>http://dx.doi.org/10.3390/electronics9020367</v>
      </c>
      <c r="BG935" t="s">
        <v>74</v>
      </c>
      <c r="BH935" t="s">
        <v>74</v>
      </c>
      <c r="BI935">
        <v>16</v>
      </c>
      <c r="BJ935" t="s">
        <v>13393</v>
      </c>
      <c r="BK935" t="s">
        <v>102</v>
      </c>
      <c r="BL935" t="s">
        <v>13394</v>
      </c>
      <c r="BM935" t="s">
        <v>17659</v>
      </c>
      <c r="BN935" t="s">
        <v>74</v>
      </c>
      <c r="BO935" t="s">
        <v>1374</v>
      </c>
      <c r="BP935" t="s">
        <v>74</v>
      </c>
      <c r="BQ935" t="s">
        <v>74</v>
      </c>
      <c r="BR935" t="s">
        <v>105</v>
      </c>
      <c r="BS935" t="s">
        <v>17660</v>
      </c>
      <c r="BT935" t="str">
        <f>HYPERLINK("https%3A%2F%2Fwww.webofscience.com%2Fwos%2Fwoscc%2Ffull-record%2FWOS:000518412200167","View Full Record in Web of Science")</f>
        <v>View Full Record in Web of Science</v>
      </c>
    </row>
    <row r="936" spans="1:72" x14ac:dyDescent="0.25">
      <c r="A936" t="s">
        <v>72</v>
      </c>
      <c r="B936" t="s">
        <v>17661</v>
      </c>
      <c r="C936" t="s">
        <v>74</v>
      </c>
      <c r="D936" t="s">
        <v>74</v>
      </c>
      <c r="E936" t="s">
        <v>74</v>
      </c>
      <c r="F936" t="s">
        <v>17662</v>
      </c>
      <c r="G936" t="s">
        <v>74</v>
      </c>
      <c r="H936" t="s">
        <v>74</v>
      </c>
      <c r="I936" t="s">
        <v>17663</v>
      </c>
      <c r="J936" t="s">
        <v>684</v>
      </c>
      <c r="K936" t="s">
        <v>74</v>
      </c>
      <c r="L936" t="s">
        <v>74</v>
      </c>
      <c r="M936" t="s">
        <v>78</v>
      </c>
      <c r="N936" t="s">
        <v>79</v>
      </c>
      <c r="O936" t="s">
        <v>74</v>
      </c>
      <c r="P936" t="s">
        <v>74</v>
      </c>
      <c r="Q936" t="s">
        <v>74</v>
      </c>
      <c r="R936" t="s">
        <v>74</v>
      </c>
      <c r="S936" t="s">
        <v>74</v>
      </c>
      <c r="T936" t="s">
        <v>17664</v>
      </c>
      <c r="U936" t="s">
        <v>17665</v>
      </c>
      <c r="V936" t="s">
        <v>17666</v>
      </c>
      <c r="W936" t="s">
        <v>17667</v>
      </c>
      <c r="X936" t="s">
        <v>17668</v>
      </c>
      <c r="Y936" t="s">
        <v>17669</v>
      </c>
      <c r="Z936" t="s">
        <v>17670</v>
      </c>
      <c r="AA936" t="s">
        <v>17671</v>
      </c>
      <c r="AB936" t="s">
        <v>477</v>
      </c>
      <c r="AC936" t="s">
        <v>17672</v>
      </c>
      <c r="AD936" t="s">
        <v>17672</v>
      </c>
      <c r="AE936" t="s">
        <v>17673</v>
      </c>
      <c r="AF936" t="s">
        <v>74</v>
      </c>
      <c r="AG936">
        <v>86</v>
      </c>
      <c r="AH936">
        <v>22</v>
      </c>
      <c r="AI936">
        <v>24</v>
      </c>
      <c r="AJ936">
        <v>1</v>
      </c>
      <c r="AK936">
        <v>93</v>
      </c>
      <c r="AL936" t="s">
        <v>557</v>
      </c>
      <c r="AM936" t="s">
        <v>275</v>
      </c>
      <c r="AN936" t="s">
        <v>558</v>
      </c>
      <c r="AO936" t="s">
        <v>691</v>
      </c>
      <c r="AP936" t="s">
        <v>692</v>
      </c>
      <c r="AQ936" t="s">
        <v>74</v>
      </c>
      <c r="AR936" t="s">
        <v>693</v>
      </c>
      <c r="AS936" t="s">
        <v>694</v>
      </c>
      <c r="AT936" t="s">
        <v>326</v>
      </c>
      <c r="AU936">
        <v>2020</v>
      </c>
      <c r="AV936">
        <v>234</v>
      </c>
      <c r="AW936">
        <v>5</v>
      </c>
      <c r="AX936" t="s">
        <v>74</v>
      </c>
      <c r="AY936" t="s">
        <v>74</v>
      </c>
      <c r="AZ936" t="s">
        <v>74</v>
      </c>
      <c r="BA936" t="s">
        <v>74</v>
      </c>
      <c r="BB936">
        <v>444</v>
      </c>
      <c r="BC936">
        <v>457</v>
      </c>
      <c r="BD936">
        <v>954411919898293</v>
      </c>
      <c r="BE936" t="s">
        <v>17674</v>
      </c>
      <c r="BF936" t="str">
        <f>HYPERLINK("http://dx.doi.org/10.1177/0954411919898293","http://dx.doi.org/10.1177/0954411919898293")</f>
        <v>http://dx.doi.org/10.1177/0954411919898293</v>
      </c>
      <c r="BG936" t="s">
        <v>74</v>
      </c>
      <c r="BH936" t="s">
        <v>17675</v>
      </c>
      <c r="BI936">
        <v>14</v>
      </c>
      <c r="BJ936" t="s">
        <v>282</v>
      </c>
      <c r="BK936" t="s">
        <v>102</v>
      </c>
      <c r="BL936" t="s">
        <v>183</v>
      </c>
      <c r="BM936" t="s">
        <v>17676</v>
      </c>
      <c r="BN936">
        <v>31916511</v>
      </c>
      <c r="BO936" t="s">
        <v>74</v>
      </c>
      <c r="BP936" t="s">
        <v>74</v>
      </c>
      <c r="BQ936" t="s">
        <v>74</v>
      </c>
      <c r="BR936" t="s">
        <v>105</v>
      </c>
      <c r="BS936" t="s">
        <v>17677</v>
      </c>
      <c r="BT936" t="str">
        <f>HYPERLINK("https%3A%2F%2Fwww.webofscience.com%2Fwos%2Fwoscc%2Ffull-record%2FWOS:000507203300001","View Full Record in Web of Science")</f>
        <v>View Full Record in Web of Science</v>
      </c>
    </row>
    <row r="937" spans="1:72" x14ac:dyDescent="0.25">
      <c r="A937" t="s">
        <v>72</v>
      </c>
      <c r="B937" t="s">
        <v>17678</v>
      </c>
      <c r="C937" t="s">
        <v>74</v>
      </c>
      <c r="D937" t="s">
        <v>74</v>
      </c>
      <c r="E937" t="s">
        <v>74</v>
      </c>
      <c r="F937" t="s">
        <v>17679</v>
      </c>
      <c r="G937" t="s">
        <v>74</v>
      </c>
      <c r="H937" t="s">
        <v>74</v>
      </c>
      <c r="I937" t="s">
        <v>17680</v>
      </c>
      <c r="J937" t="s">
        <v>1379</v>
      </c>
      <c r="K937" t="s">
        <v>74</v>
      </c>
      <c r="L937" t="s">
        <v>74</v>
      </c>
      <c r="M937" t="s">
        <v>78</v>
      </c>
      <c r="N937" t="s">
        <v>79</v>
      </c>
      <c r="O937" t="s">
        <v>74</v>
      </c>
      <c r="P937" t="s">
        <v>74</v>
      </c>
      <c r="Q937" t="s">
        <v>74</v>
      </c>
      <c r="R937" t="s">
        <v>74</v>
      </c>
      <c r="S937" t="s">
        <v>74</v>
      </c>
      <c r="T937" t="s">
        <v>17681</v>
      </c>
      <c r="U937" t="s">
        <v>17682</v>
      </c>
      <c r="V937" t="s">
        <v>17683</v>
      </c>
      <c r="W937" t="s">
        <v>17684</v>
      </c>
      <c r="X937" t="s">
        <v>17685</v>
      </c>
      <c r="Y937" t="s">
        <v>17686</v>
      </c>
      <c r="Z937" t="s">
        <v>17687</v>
      </c>
      <c r="AA937" t="s">
        <v>74</v>
      </c>
      <c r="AB937" t="s">
        <v>17688</v>
      </c>
      <c r="AC937" t="s">
        <v>17689</v>
      </c>
      <c r="AD937" t="s">
        <v>17689</v>
      </c>
      <c r="AE937" t="s">
        <v>17690</v>
      </c>
      <c r="AF937" t="s">
        <v>74</v>
      </c>
      <c r="AG937">
        <v>160</v>
      </c>
      <c r="AH937">
        <v>32</v>
      </c>
      <c r="AI937">
        <v>32</v>
      </c>
      <c r="AJ937">
        <v>1</v>
      </c>
      <c r="AK937">
        <v>42</v>
      </c>
      <c r="AL937" t="s">
        <v>1391</v>
      </c>
      <c r="AM937" t="s">
        <v>1392</v>
      </c>
      <c r="AN937" t="s">
        <v>1393</v>
      </c>
      <c r="AO937" t="s">
        <v>1394</v>
      </c>
      <c r="AP937" t="s">
        <v>74</v>
      </c>
      <c r="AQ937" t="s">
        <v>74</v>
      </c>
      <c r="AR937" t="s">
        <v>1395</v>
      </c>
      <c r="AS937" t="s">
        <v>1396</v>
      </c>
      <c r="AT937" t="s">
        <v>17691</v>
      </c>
      <c r="AU937">
        <v>2020</v>
      </c>
      <c r="AV937">
        <v>22</v>
      </c>
      <c r="AW937">
        <v>1</v>
      </c>
      <c r="AX937" t="s">
        <v>74</v>
      </c>
      <c r="AY937" t="s">
        <v>74</v>
      </c>
      <c r="AZ937" t="s">
        <v>74</v>
      </c>
      <c r="BA937" t="s">
        <v>74</v>
      </c>
      <c r="BB937" t="s">
        <v>74</v>
      </c>
      <c r="BC937" t="s">
        <v>74</v>
      </c>
      <c r="BD937" t="s">
        <v>17692</v>
      </c>
      <c r="BE937" t="s">
        <v>17693</v>
      </c>
      <c r="BF937" t="str">
        <f>HYPERLINK("http://dx.doi.org/10.2196/15981","http://dx.doi.org/10.2196/15981")</f>
        <v>http://dx.doi.org/10.2196/15981</v>
      </c>
      <c r="BG937" t="s">
        <v>74</v>
      </c>
      <c r="BH937" t="s">
        <v>74</v>
      </c>
      <c r="BI937">
        <v>18</v>
      </c>
      <c r="BJ937" t="s">
        <v>1400</v>
      </c>
      <c r="BK937" t="s">
        <v>102</v>
      </c>
      <c r="BL937" t="s">
        <v>1400</v>
      </c>
      <c r="BM937" t="s">
        <v>17694</v>
      </c>
      <c r="BN937">
        <v>31913131</v>
      </c>
      <c r="BO937" t="s">
        <v>3772</v>
      </c>
      <c r="BP937" t="s">
        <v>74</v>
      </c>
      <c r="BQ937" t="s">
        <v>74</v>
      </c>
      <c r="BR937" t="s">
        <v>105</v>
      </c>
      <c r="BS937" t="s">
        <v>17695</v>
      </c>
      <c r="BT937" t="str">
        <f>HYPERLINK("https%3A%2F%2Fwww.webofscience.com%2Fwos%2Fwoscc%2Ffull-record%2FWOS:000506572900001","View Full Record in Web of Science")</f>
        <v>View Full Record in Web of Science</v>
      </c>
    </row>
    <row r="938" spans="1:72" x14ac:dyDescent="0.25">
      <c r="A938" t="s">
        <v>72</v>
      </c>
      <c r="B938" t="s">
        <v>17696</v>
      </c>
      <c r="C938" t="s">
        <v>74</v>
      </c>
      <c r="D938" t="s">
        <v>74</v>
      </c>
      <c r="E938" t="s">
        <v>74</v>
      </c>
      <c r="F938" t="s">
        <v>17697</v>
      </c>
      <c r="G938" t="s">
        <v>74</v>
      </c>
      <c r="H938" t="s">
        <v>74</v>
      </c>
      <c r="I938" t="s">
        <v>17698</v>
      </c>
      <c r="J938" t="s">
        <v>1837</v>
      </c>
      <c r="K938" t="s">
        <v>74</v>
      </c>
      <c r="L938" t="s">
        <v>74</v>
      </c>
      <c r="M938" t="s">
        <v>78</v>
      </c>
      <c r="N938" t="s">
        <v>79</v>
      </c>
      <c r="O938" t="s">
        <v>74</v>
      </c>
      <c r="P938" t="s">
        <v>74</v>
      </c>
      <c r="Q938" t="s">
        <v>74</v>
      </c>
      <c r="R938" t="s">
        <v>74</v>
      </c>
      <c r="S938" t="s">
        <v>74</v>
      </c>
      <c r="T938" t="s">
        <v>17699</v>
      </c>
      <c r="U938" t="s">
        <v>17700</v>
      </c>
      <c r="V938" t="s">
        <v>17701</v>
      </c>
      <c r="W938" t="s">
        <v>17702</v>
      </c>
      <c r="X938" t="s">
        <v>17703</v>
      </c>
      <c r="Y938" t="s">
        <v>17704</v>
      </c>
      <c r="Z938" t="s">
        <v>17705</v>
      </c>
      <c r="AA938" t="s">
        <v>17706</v>
      </c>
      <c r="AB938" t="s">
        <v>17707</v>
      </c>
      <c r="AC938" t="s">
        <v>17708</v>
      </c>
      <c r="AD938" t="s">
        <v>17709</v>
      </c>
      <c r="AE938" t="s">
        <v>17710</v>
      </c>
      <c r="AF938" t="s">
        <v>74</v>
      </c>
      <c r="AG938">
        <v>122</v>
      </c>
      <c r="AH938">
        <v>18</v>
      </c>
      <c r="AI938">
        <v>19</v>
      </c>
      <c r="AJ938">
        <v>8</v>
      </c>
      <c r="AK938">
        <v>136</v>
      </c>
      <c r="AL938" t="s">
        <v>1114</v>
      </c>
      <c r="AM938" t="s">
        <v>1115</v>
      </c>
      <c r="AN938" t="s">
        <v>1116</v>
      </c>
      <c r="AO938" t="s">
        <v>1850</v>
      </c>
      <c r="AP938" t="s">
        <v>74</v>
      </c>
      <c r="AQ938" t="s">
        <v>74</v>
      </c>
      <c r="AR938" t="s">
        <v>1837</v>
      </c>
      <c r="AS938" t="s">
        <v>1851</v>
      </c>
      <c r="AT938" t="s">
        <v>74</v>
      </c>
      <c r="AU938">
        <v>2020</v>
      </c>
      <c r="AV938">
        <v>8</v>
      </c>
      <c r="AW938" t="s">
        <v>74</v>
      </c>
      <c r="AX938" t="s">
        <v>74</v>
      </c>
      <c r="AY938" t="s">
        <v>74</v>
      </c>
      <c r="AZ938" t="s">
        <v>74</v>
      </c>
      <c r="BA938" t="s">
        <v>74</v>
      </c>
      <c r="BB938">
        <v>203382</v>
      </c>
      <c r="BC938">
        <v>203397</v>
      </c>
      <c r="BD938" t="s">
        <v>74</v>
      </c>
      <c r="BE938" t="s">
        <v>17711</v>
      </c>
      <c r="BF938" t="str">
        <f>HYPERLINK("http://dx.doi.org/10.1109/ACCESS.2020.3036596","http://dx.doi.org/10.1109/ACCESS.2020.3036596")</f>
        <v>http://dx.doi.org/10.1109/ACCESS.2020.3036596</v>
      </c>
      <c r="BG938" t="s">
        <v>74</v>
      </c>
      <c r="BH938" t="s">
        <v>74</v>
      </c>
      <c r="BI938">
        <v>16</v>
      </c>
      <c r="BJ938" t="s">
        <v>1853</v>
      </c>
      <c r="BK938" t="s">
        <v>182</v>
      </c>
      <c r="BL938" t="s">
        <v>1854</v>
      </c>
      <c r="BM938" t="s">
        <v>17712</v>
      </c>
      <c r="BN938" t="s">
        <v>74</v>
      </c>
      <c r="BO938" t="s">
        <v>185</v>
      </c>
      <c r="BP938" t="s">
        <v>74</v>
      </c>
      <c r="BQ938" t="s">
        <v>74</v>
      </c>
      <c r="BR938" t="s">
        <v>105</v>
      </c>
      <c r="BS938" t="s">
        <v>17713</v>
      </c>
      <c r="BT938" t="str">
        <f>HYPERLINK("https%3A%2F%2Fwww.webofscience.com%2Fwos%2Fwoscc%2Ffull-record%2FWOS:000590433400001","View Full Record in Web of Science")</f>
        <v>View Full Record in Web of Science</v>
      </c>
    </row>
    <row r="939" spans="1:72" x14ac:dyDescent="0.25">
      <c r="A939" t="s">
        <v>72</v>
      </c>
      <c r="B939" t="s">
        <v>17714</v>
      </c>
      <c r="C939" t="s">
        <v>74</v>
      </c>
      <c r="D939" t="s">
        <v>74</v>
      </c>
      <c r="E939" t="s">
        <v>74</v>
      </c>
      <c r="F939" t="s">
        <v>17715</v>
      </c>
      <c r="G939" t="s">
        <v>74</v>
      </c>
      <c r="H939" t="s">
        <v>74</v>
      </c>
      <c r="I939" t="s">
        <v>17716</v>
      </c>
      <c r="J939" t="s">
        <v>17717</v>
      </c>
      <c r="K939" t="s">
        <v>74</v>
      </c>
      <c r="L939" t="s">
        <v>74</v>
      </c>
      <c r="M939" t="s">
        <v>78</v>
      </c>
      <c r="N939" t="s">
        <v>79</v>
      </c>
      <c r="O939" t="s">
        <v>74</v>
      </c>
      <c r="P939" t="s">
        <v>74</v>
      </c>
      <c r="Q939" t="s">
        <v>74</v>
      </c>
      <c r="R939" t="s">
        <v>74</v>
      </c>
      <c r="S939" t="s">
        <v>74</v>
      </c>
      <c r="T939" t="s">
        <v>17718</v>
      </c>
      <c r="U939" t="s">
        <v>17719</v>
      </c>
      <c r="V939" t="s">
        <v>17720</v>
      </c>
      <c r="W939" t="s">
        <v>17721</v>
      </c>
      <c r="X939" t="s">
        <v>17722</v>
      </c>
      <c r="Y939" t="s">
        <v>17723</v>
      </c>
      <c r="Z939" t="s">
        <v>17724</v>
      </c>
      <c r="AA939" t="s">
        <v>17725</v>
      </c>
      <c r="AB939" t="s">
        <v>17726</v>
      </c>
      <c r="AC939" t="s">
        <v>74</v>
      </c>
      <c r="AD939" t="s">
        <v>74</v>
      </c>
      <c r="AE939" t="s">
        <v>74</v>
      </c>
      <c r="AF939" t="s">
        <v>74</v>
      </c>
      <c r="AG939">
        <v>54</v>
      </c>
      <c r="AH939">
        <v>4</v>
      </c>
      <c r="AI939">
        <v>4</v>
      </c>
      <c r="AJ939">
        <v>2</v>
      </c>
      <c r="AK939">
        <v>33</v>
      </c>
      <c r="AL939" t="s">
        <v>17727</v>
      </c>
      <c r="AM939" t="s">
        <v>17728</v>
      </c>
      <c r="AN939" t="s">
        <v>17729</v>
      </c>
      <c r="AO939" t="s">
        <v>17730</v>
      </c>
      <c r="AP939" t="s">
        <v>74</v>
      </c>
      <c r="AQ939" t="s">
        <v>74</v>
      </c>
      <c r="AR939" t="s">
        <v>17731</v>
      </c>
      <c r="AS939" t="s">
        <v>17732</v>
      </c>
      <c r="AT939" t="s">
        <v>1807</v>
      </c>
      <c r="AU939">
        <v>2020</v>
      </c>
      <c r="AV939">
        <v>54</v>
      </c>
      <c r="AW939">
        <v>1</v>
      </c>
      <c r="AX939" t="s">
        <v>74</v>
      </c>
      <c r="AY939" t="s">
        <v>74</v>
      </c>
      <c r="AZ939" t="s">
        <v>74</v>
      </c>
      <c r="BA939" t="s">
        <v>74</v>
      </c>
      <c r="BB939">
        <v>1</v>
      </c>
      <c r="BC939">
        <v>7</v>
      </c>
      <c r="BD939" t="s">
        <v>74</v>
      </c>
      <c r="BE939" t="s">
        <v>17733</v>
      </c>
      <c r="BF939" t="str">
        <f>HYPERLINK("http://dx.doi.org/10.5530/ijper.54.1.1","http://dx.doi.org/10.5530/ijper.54.1.1")</f>
        <v>http://dx.doi.org/10.5530/ijper.54.1.1</v>
      </c>
      <c r="BG939" t="s">
        <v>74</v>
      </c>
      <c r="BH939" t="s">
        <v>74</v>
      </c>
      <c r="BI939">
        <v>7</v>
      </c>
      <c r="BJ939" t="s">
        <v>17734</v>
      </c>
      <c r="BK939" t="s">
        <v>182</v>
      </c>
      <c r="BL939" t="s">
        <v>17735</v>
      </c>
      <c r="BM939" t="s">
        <v>17736</v>
      </c>
      <c r="BN939" t="s">
        <v>74</v>
      </c>
      <c r="BO939" t="s">
        <v>309</v>
      </c>
      <c r="BP939" t="s">
        <v>74</v>
      </c>
      <c r="BQ939" t="s">
        <v>74</v>
      </c>
      <c r="BR939" t="s">
        <v>105</v>
      </c>
      <c r="BS939" t="s">
        <v>17737</v>
      </c>
      <c r="BT939" t="str">
        <f>HYPERLINK("https%3A%2F%2Fwww.webofscience.com%2Fwos%2Fwoscc%2Ffull-record%2FWOS:000505600300001","View Full Record in Web of Science")</f>
        <v>View Full Record in Web of Science</v>
      </c>
    </row>
    <row r="940" spans="1:72" x14ac:dyDescent="0.25">
      <c r="A940" t="s">
        <v>72</v>
      </c>
      <c r="B940" t="s">
        <v>17738</v>
      </c>
      <c r="C940" t="s">
        <v>74</v>
      </c>
      <c r="D940" t="s">
        <v>74</v>
      </c>
      <c r="E940" t="s">
        <v>74</v>
      </c>
      <c r="F940" t="s">
        <v>17739</v>
      </c>
      <c r="G940" t="s">
        <v>74</v>
      </c>
      <c r="H940" t="s">
        <v>74</v>
      </c>
      <c r="I940" t="s">
        <v>17740</v>
      </c>
      <c r="J940" t="s">
        <v>2452</v>
      </c>
      <c r="K940" t="s">
        <v>74</v>
      </c>
      <c r="L940" t="s">
        <v>74</v>
      </c>
      <c r="M940" t="s">
        <v>78</v>
      </c>
      <c r="N940" t="s">
        <v>79</v>
      </c>
      <c r="O940" t="s">
        <v>74</v>
      </c>
      <c r="P940" t="s">
        <v>74</v>
      </c>
      <c r="Q940" t="s">
        <v>74</v>
      </c>
      <c r="R940" t="s">
        <v>74</v>
      </c>
      <c r="S940" t="s">
        <v>74</v>
      </c>
      <c r="T940" t="s">
        <v>17741</v>
      </c>
      <c r="U940" t="s">
        <v>17742</v>
      </c>
      <c r="V940" t="s">
        <v>17743</v>
      </c>
      <c r="W940" t="s">
        <v>17744</v>
      </c>
      <c r="X940" t="s">
        <v>17745</v>
      </c>
      <c r="Y940" t="s">
        <v>17746</v>
      </c>
      <c r="Z940" t="s">
        <v>830</v>
      </c>
      <c r="AA940" t="s">
        <v>17747</v>
      </c>
      <c r="AB940" t="s">
        <v>17748</v>
      </c>
      <c r="AC940" t="s">
        <v>17749</v>
      </c>
      <c r="AD940" t="s">
        <v>17750</v>
      </c>
      <c r="AE940" t="s">
        <v>17751</v>
      </c>
      <c r="AF940" t="s">
        <v>74</v>
      </c>
      <c r="AG940">
        <v>76</v>
      </c>
      <c r="AH940">
        <v>54</v>
      </c>
      <c r="AI940">
        <v>59</v>
      </c>
      <c r="AJ940">
        <v>11</v>
      </c>
      <c r="AK940">
        <v>150</v>
      </c>
      <c r="AL940" t="s">
        <v>1605</v>
      </c>
      <c r="AM940" t="s">
        <v>1606</v>
      </c>
      <c r="AN940" t="s">
        <v>1607</v>
      </c>
      <c r="AO940" t="s">
        <v>2465</v>
      </c>
      <c r="AP940" t="s">
        <v>74</v>
      </c>
      <c r="AQ940" t="s">
        <v>74</v>
      </c>
      <c r="AR940" t="s">
        <v>2466</v>
      </c>
      <c r="AS940" t="s">
        <v>2467</v>
      </c>
      <c r="AT940" t="s">
        <v>538</v>
      </c>
      <c r="AU940">
        <v>2020</v>
      </c>
      <c r="AV940">
        <v>20</v>
      </c>
      <c r="AW940" t="s">
        <v>74</v>
      </c>
      <c r="AX940" t="s">
        <v>74</v>
      </c>
      <c r="AY940" t="s">
        <v>74</v>
      </c>
      <c r="AZ940" t="s">
        <v>152</v>
      </c>
      <c r="BA940" t="s">
        <v>74</v>
      </c>
      <c r="BB940">
        <v>4</v>
      </c>
      <c r="BC940">
        <v>13</v>
      </c>
      <c r="BD940" t="s">
        <v>74</v>
      </c>
      <c r="BE940" t="s">
        <v>17752</v>
      </c>
      <c r="BF940" t="str">
        <f>HYPERLINK("http://dx.doi.org/10.1016/j.jot.2019.09.006","http://dx.doi.org/10.1016/j.jot.2019.09.006")</f>
        <v>http://dx.doi.org/10.1016/j.jot.2019.09.006</v>
      </c>
      <c r="BG940" t="s">
        <v>74</v>
      </c>
      <c r="BH940" t="s">
        <v>74</v>
      </c>
      <c r="BI940">
        <v>10</v>
      </c>
      <c r="BJ940" t="s">
        <v>443</v>
      </c>
      <c r="BK940" t="s">
        <v>102</v>
      </c>
      <c r="BL940" t="s">
        <v>443</v>
      </c>
      <c r="BM940" t="s">
        <v>17753</v>
      </c>
      <c r="BN940">
        <v>31908928</v>
      </c>
      <c r="BO940" t="s">
        <v>355</v>
      </c>
      <c r="BP940" t="s">
        <v>74</v>
      </c>
      <c r="BQ940" t="s">
        <v>74</v>
      </c>
      <c r="BR940" t="s">
        <v>105</v>
      </c>
      <c r="BS940" t="s">
        <v>17754</v>
      </c>
      <c r="BT940" t="str">
        <f>HYPERLINK("https%3A%2F%2Fwww.webofscience.com%2Fwos%2Fwoscc%2Ffull-record%2FWOS:000511146000003","View Full Record in Web of Science")</f>
        <v>View Full Record in Web of Science</v>
      </c>
    </row>
    <row r="941" spans="1:72" x14ac:dyDescent="0.25">
      <c r="A941" t="s">
        <v>1531</v>
      </c>
      <c r="B941" t="s">
        <v>17755</v>
      </c>
      <c r="C941" t="s">
        <v>74</v>
      </c>
      <c r="D941" t="s">
        <v>17756</v>
      </c>
      <c r="E941" t="s">
        <v>74</v>
      </c>
      <c r="F941" t="s">
        <v>17757</v>
      </c>
      <c r="G941" t="s">
        <v>74</v>
      </c>
      <c r="H941" t="s">
        <v>74</v>
      </c>
      <c r="I941" t="s">
        <v>17758</v>
      </c>
      <c r="J941" t="s">
        <v>17759</v>
      </c>
      <c r="K941" t="s">
        <v>17760</v>
      </c>
      <c r="L941" t="s">
        <v>74</v>
      </c>
      <c r="M941" t="s">
        <v>78</v>
      </c>
      <c r="N941" t="s">
        <v>1537</v>
      </c>
      <c r="O941" t="s">
        <v>74</v>
      </c>
      <c r="P941" t="s">
        <v>74</v>
      </c>
      <c r="Q941" t="s">
        <v>74</v>
      </c>
      <c r="R941" t="s">
        <v>74</v>
      </c>
      <c r="S941" t="s">
        <v>74</v>
      </c>
      <c r="T941" t="s">
        <v>74</v>
      </c>
      <c r="U941" t="s">
        <v>17761</v>
      </c>
      <c r="V941" t="s">
        <v>74</v>
      </c>
      <c r="W941" t="s">
        <v>17762</v>
      </c>
      <c r="X941" t="s">
        <v>17763</v>
      </c>
      <c r="Y941" t="s">
        <v>17764</v>
      </c>
      <c r="Z941" t="s">
        <v>74</v>
      </c>
      <c r="AA941" t="s">
        <v>17765</v>
      </c>
      <c r="AB941" t="s">
        <v>17766</v>
      </c>
      <c r="AC941" t="s">
        <v>17767</v>
      </c>
      <c r="AD941" t="s">
        <v>17768</v>
      </c>
      <c r="AE941" t="s">
        <v>17769</v>
      </c>
      <c r="AF941" t="s">
        <v>74</v>
      </c>
      <c r="AG941">
        <v>89</v>
      </c>
      <c r="AH941">
        <v>1</v>
      </c>
      <c r="AI941">
        <v>1</v>
      </c>
      <c r="AJ941">
        <v>0</v>
      </c>
      <c r="AK941">
        <v>2</v>
      </c>
      <c r="AL941" t="s">
        <v>17770</v>
      </c>
      <c r="AM941" t="s">
        <v>17771</v>
      </c>
      <c r="AN941" t="s">
        <v>17772</v>
      </c>
      <c r="AO941" t="s">
        <v>74</v>
      </c>
      <c r="AP941" t="s">
        <v>74</v>
      </c>
      <c r="AQ941" t="s">
        <v>17773</v>
      </c>
      <c r="AR941" t="s">
        <v>17774</v>
      </c>
      <c r="AS941" t="s">
        <v>74</v>
      </c>
      <c r="AT941" t="s">
        <v>74</v>
      </c>
      <c r="AU941">
        <v>2020</v>
      </c>
      <c r="AV941">
        <v>19</v>
      </c>
      <c r="AW941" t="s">
        <v>74</v>
      </c>
      <c r="AX941" t="s">
        <v>74</v>
      </c>
      <c r="AY941" t="s">
        <v>74</v>
      </c>
      <c r="AZ941" t="s">
        <v>74</v>
      </c>
      <c r="BA941" t="s">
        <v>74</v>
      </c>
      <c r="BB941">
        <v>181</v>
      </c>
      <c r="BC941">
        <v>213</v>
      </c>
      <c r="BD941" t="s">
        <v>74</v>
      </c>
      <c r="BE941" t="s">
        <v>74</v>
      </c>
      <c r="BF941" t="s">
        <v>74</v>
      </c>
      <c r="BG941" t="s">
        <v>17775</v>
      </c>
      <c r="BH941" t="s">
        <v>74</v>
      </c>
      <c r="BI941">
        <v>33</v>
      </c>
      <c r="BJ941" t="s">
        <v>17776</v>
      </c>
      <c r="BK941" t="s">
        <v>1549</v>
      </c>
      <c r="BL941" t="s">
        <v>17777</v>
      </c>
      <c r="BM941" t="s">
        <v>17778</v>
      </c>
      <c r="BN941" t="s">
        <v>74</v>
      </c>
      <c r="BO941" t="s">
        <v>74</v>
      </c>
      <c r="BP941" t="s">
        <v>74</v>
      </c>
      <c r="BQ941" t="s">
        <v>74</v>
      </c>
      <c r="BR941" t="s">
        <v>105</v>
      </c>
      <c r="BS941" t="s">
        <v>17779</v>
      </c>
      <c r="BT941" t="str">
        <f>HYPERLINK("https%3A%2F%2Fwww.webofscience.com%2Fwos%2Fwoscc%2Ffull-record%2FWOS:000780041200008","View Full Record in Web of Science")</f>
        <v>View Full Record in Web of Science</v>
      </c>
    </row>
    <row r="942" spans="1:72" x14ac:dyDescent="0.25">
      <c r="A942" t="s">
        <v>72</v>
      </c>
      <c r="B942" t="s">
        <v>17780</v>
      </c>
      <c r="C942" t="s">
        <v>74</v>
      </c>
      <c r="D942" t="s">
        <v>74</v>
      </c>
      <c r="E942" t="s">
        <v>74</v>
      </c>
      <c r="F942" t="s">
        <v>17781</v>
      </c>
      <c r="G942" t="s">
        <v>74</v>
      </c>
      <c r="H942" t="s">
        <v>74</v>
      </c>
      <c r="I942" t="s">
        <v>17782</v>
      </c>
      <c r="J942" t="s">
        <v>17783</v>
      </c>
      <c r="K942" t="s">
        <v>74</v>
      </c>
      <c r="L942" t="s">
        <v>74</v>
      </c>
      <c r="M942" t="s">
        <v>78</v>
      </c>
      <c r="N942" t="s">
        <v>79</v>
      </c>
      <c r="O942" t="s">
        <v>74</v>
      </c>
      <c r="P942" t="s">
        <v>74</v>
      </c>
      <c r="Q942" t="s">
        <v>74</v>
      </c>
      <c r="R942" t="s">
        <v>74</v>
      </c>
      <c r="S942" t="s">
        <v>74</v>
      </c>
      <c r="T942" t="s">
        <v>17784</v>
      </c>
      <c r="U942" t="s">
        <v>17785</v>
      </c>
      <c r="V942" t="s">
        <v>17786</v>
      </c>
      <c r="W942" t="s">
        <v>17787</v>
      </c>
      <c r="X942" t="s">
        <v>17788</v>
      </c>
      <c r="Y942" t="s">
        <v>17789</v>
      </c>
      <c r="Z942" t="s">
        <v>17790</v>
      </c>
      <c r="AA942" t="s">
        <v>17791</v>
      </c>
      <c r="AB942" t="s">
        <v>17792</v>
      </c>
      <c r="AC942" t="s">
        <v>74</v>
      </c>
      <c r="AD942" t="s">
        <v>74</v>
      </c>
      <c r="AE942" t="s">
        <v>74</v>
      </c>
      <c r="AF942" t="s">
        <v>74</v>
      </c>
      <c r="AG942">
        <v>117</v>
      </c>
      <c r="AH942">
        <v>20</v>
      </c>
      <c r="AI942">
        <v>21</v>
      </c>
      <c r="AJ942">
        <v>5</v>
      </c>
      <c r="AK942">
        <v>19</v>
      </c>
      <c r="AL942" t="s">
        <v>346</v>
      </c>
      <c r="AM942" t="s">
        <v>227</v>
      </c>
      <c r="AN942" t="s">
        <v>347</v>
      </c>
      <c r="AO942" t="s">
        <v>17793</v>
      </c>
      <c r="AP942" t="s">
        <v>17794</v>
      </c>
      <c r="AQ942" t="s">
        <v>74</v>
      </c>
      <c r="AR942" t="s">
        <v>17795</v>
      </c>
      <c r="AS942" t="s">
        <v>17796</v>
      </c>
      <c r="AT942" t="s">
        <v>538</v>
      </c>
      <c r="AU942">
        <v>2020</v>
      </c>
      <c r="AV942">
        <v>32</v>
      </c>
      <c r="AW942">
        <v>1</v>
      </c>
      <c r="AX942" t="s">
        <v>74</v>
      </c>
      <c r="AY942" t="s">
        <v>74</v>
      </c>
      <c r="AZ942" t="s">
        <v>74</v>
      </c>
      <c r="BA942" t="s">
        <v>74</v>
      </c>
      <c r="BB942">
        <v>3</v>
      </c>
      <c r="BC942">
        <v>13</v>
      </c>
      <c r="BD942" t="s">
        <v>74</v>
      </c>
      <c r="BE942" t="s">
        <v>74</v>
      </c>
      <c r="BF942" t="s">
        <v>74</v>
      </c>
      <c r="BG942" t="s">
        <v>74</v>
      </c>
      <c r="BH942" t="s">
        <v>74</v>
      </c>
      <c r="BI942">
        <v>11</v>
      </c>
      <c r="BJ942" t="s">
        <v>3977</v>
      </c>
      <c r="BK942" t="s">
        <v>155</v>
      </c>
      <c r="BL942" t="s">
        <v>3977</v>
      </c>
      <c r="BM942" t="s">
        <v>17797</v>
      </c>
      <c r="BN942" t="s">
        <v>74</v>
      </c>
      <c r="BO942" t="s">
        <v>74</v>
      </c>
      <c r="BP942" t="s">
        <v>74</v>
      </c>
      <c r="BQ942" t="s">
        <v>74</v>
      </c>
      <c r="BR942" t="s">
        <v>105</v>
      </c>
      <c r="BS942" t="s">
        <v>17798</v>
      </c>
      <c r="BT942" t="str">
        <f>HYPERLINK("https%3A%2F%2Fwww.webofscience.com%2Fwos%2Fwoscc%2Ffull-record%2FWOS:000937707000002","View Full Record in Web of Science")</f>
        <v>View Full Record in Web of Science</v>
      </c>
    </row>
    <row r="943" spans="1:72" x14ac:dyDescent="0.25">
      <c r="A943" t="s">
        <v>72</v>
      </c>
      <c r="B943" t="s">
        <v>17799</v>
      </c>
      <c r="C943" t="s">
        <v>74</v>
      </c>
      <c r="D943" t="s">
        <v>74</v>
      </c>
      <c r="E943" t="s">
        <v>74</v>
      </c>
      <c r="F943" t="s">
        <v>17800</v>
      </c>
      <c r="G943" t="s">
        <v>74</v>
      </c>
      <c r="H943" t="s">
        <v>74</v>
      </c>
      <c r="I943" t="s">
        <v>17801</v>
      </c>
      <c r="J943" t="s">
        <v>17802</v>
      </c>
      <c r="K943" t="s">
        <v>74</v>
      </c>
      <c r="L943" t="s">
        <v>74</v>
      </c>
      <c r="M943" t="s">
        <v>78</v>
      </c>
      <c r="N943" t="s">
        <v>79</v>
      </c>
      <c r="O943" t="s">
        <v>74</v>
      </c>
      <c r="P943" t="s">
        <v>74</v>
      </c>
      <c r="Q943" t="s">
        <v>74</v>
      </c>
      <c r="R943" t="s">
        <v>74</v>
      </c>
      <c r="S943" t="s">
        <v>74</v>
      </c>
      <c r="T943" t="s">
        <v>17803</v>
      </c>
      <c r="U943" t="s">
        <v>17804</v>
      </c>
      <c r="V943" t="s">
        <v>17805</v>
      </c>
      <c r="W943" t="s">
        <v>17806</v>
      </c>
      <c r="X943" t="s">
        <v>17807</v>
      </c>
      <c r="Y943" t="s">
        <v>17808</v>
      </c>
      <c r="Z943" t="s">
        <v>17809</v>
      </c>
      <c r="AA943" t="s">
        <v>17810</v>
      </c>
      <c r="AB943" t="s">
        <v>17811</v>
      </c>
      <c r="AC943" t="s">
        <v>17812</v>
      </c>
      <c r="AD943" t="s">
        <v>17813</v>
      </c>
      <c r="AE943" t="s">
        <v>17814</v>
      </c>
      <c r="AF943" t="s">
        <v>74</v>
      </c>
      <c r="AG943">
        <v>50</v>
      </c>
      <c r="AH943">
        <v>0</v>
      </c>
      <c r="AI943">
        <v>0</v>
      </c>
      <c r="AJ943">
        <v>0</v>
      </c>
      <c r="AK943">
        <v>10</v>
      </c>
      <c r="AL943" t="s">
        <v>17815</v>
      </c>
      <c r="AM943" t="s">
        <v>17816</v>
      </c>
      <c r="AN943" t="s">
        <v>17817</v>
      </c>
      <c r="AO943" t="s">
        <v>17818</v>
      </c>
      <c r="AP943" t="s">
        <v>17819</v>
      </c>
      <c r="AQ943" t="s">
        <v>74</v>
      </c>
      <c r="AR943" t="s">
        <v>17820</v>
      </c>
      <c r="AS943" t="s">
        <v>17821</v>
      </c>
      <c r="AT943" t="s">
        <v>74</v>
      </c>
      <c r="AU943">
        <v>2020</v>
      </c>
      <c r="AV943">
        <v>19</v>
      </c>
      <c r="AW943">
        <v>3</v>
      </c>
      <c r="AX943" t="s">
        <v>74</v>
      </c>
      <c r="AY943" t="s">
        <v>74</v>
      </c>
      <c r="AZ943" t="s">
        <v>74</v>
      </c>
      <c r="BA943" t="s">
        <v>74</v>
      </c>
      <c r="BB943">
        <v>156</v>
      </c>
      <c r="BC943">
        <v>165</v>
      </c>
      <c r="BD943" t="s">
        <v>74</v>
      </c>
      <c r="BE943" t="s">
        <v>17822</v>
      </c>
      <c r="BF943" t="str">
        <f>HYPERLINK("http://dx.doi.org/10.20538/1682-0363-2020-3-156-165","http://dx.doi.org/10.20538/1682-0363-2020-3-156-165")</f>
        <v>http://dx.doi.org/10.20538/1682-0363-2020-3-156-165</v>
      </c>
      <c r="BG943" t="s">
        <v>74</v>
      </c>
      <c r="BH943" t="s">
        <v>74</v>
      </c>
      <c r="BI943">
        <v>10</v>
      </c>
      <c r="BJ943" t="s">
        <v>128</v>
      </c>
      <c r="BK943" t="s">
        <v>155</v>
      </c>
      <c r="BL943" t="s">
        <v>129</v>
      </c>
      <c r="BM943" t="s">
        <v>17823</v>
      </c>
      <c r="BN943" t="s">
        <v>74</v>
      </c>
      <c r="BO943" t="s">
        <v>185</v>
      </c>
      <c r="BP943" t="s">
        <v>74</v>
      </c>
      <c r="BQ943" t="s">
        <v>74</v>
      </c>
      <c r="BR943" t="s">
        <v>105</v>
      </c>
      <c r="BS943" t="s">
        <v>17824</v>
      </c>
      <c r="BT943" t="str">
        <f>HYPERLINK("https%3A%2F%2Fwww.webofscience.com%2Fwos%2Fwoscc%2Ffull-record%2FWOS:000580486500020","View Full Record in Web of Science")</f>
        <v>View Full Record in Web of Science</v>
      </c>
    </row>
    <row r="944" spans="1:72" x14ac:dyDescent="0.25">
      <c r="A944" t="s">
        <v>72</v>
      </c>
      <c r="B944" t="s">
        <v>17825</v>
      </c>
      <c r="C944" t="s">
        <v>74</v>
      </c>
      <c r="D944" t="s">
        <v>74</v>
      </c>
      <c r="E944" t="s">
        <v>74</v>
      </c>
      <c r="F944" t="s">
        <v>17826</v>
      </c>
      <c r="G944" t="s">
        <v>74</v>
      </c>
      <c r="H944" t="s">
        <v>74</v>
      </c>
      <c r="I944" t="s">
        <v>3905</v>
      </c>
      <c r="J944" t="s">
        <v>3906</v>
      </c>
      <c r="K944" t="s">
        <v>74</v>
      </c>
      <c r="L944" t="s">
        <v>74</v>
      </c>
      <c r="M944" t="s">
        <v>78</v>
      </c>
      <c r="N944" t="s">
        <v>79</v>
      </c>
      <c r="O944" t="s">
        <v>74</v>
      </c>
      <c r="P944" t="s">
        <v>74</v>
      </c>
      <c r="Q944" t="s">
        <v>74</v>
      </c>
      <c r="R944" t="s">
        <v>74</v>
      </c>
      <c r="S944" t="s">
        <v>74</v>
      </c>
      <c r="T944" t="s">
        <v>74</v>
      </c>
      <c r="U944" t="s">
        <v>17827</v>
      </c>
      <c r="V944" t="s">
        <v>17828</v>
      </c>
      <c r="W944" t="s">
        <v>17829</v>
      </c>
      <c r="X944" t="s">
        <v>4089</v>
      </c>
      <c r="Y944" t="s">
        <v>4146</v>
      </c>
      <c r="Z944" t="s">
        <v>4147</v>
      </c>
      <c r="AA944" t="s">
        <v>17204</v>
      </c>
      <c r="AB944" t="s">
        <v>74</v>
      </c>
      <c r="AC944" t="s">
        <v>17830</v>
      </c>
      <c r="AD944" t="s">
        <v>17830</v>
      </c>
      <c r="AE944" t="s">
        <v>17831</v>
      </c>
      <c r="AF944" t="s">
        <v>74</v>
      </c>
      <c r="AG944">
        <v>141</v>
      </c>
      <c r="AH944">
        <v>162</v>
      </c>
      <c r="AI944">
        <v>166</v>
      </c>
      <c r="AJ944">
        <v>5</v>
      </c>
      <c r="AK944">
        <v>37</v>
      </c>
      <c r="AL944" t="s">
        <v>297</v>
      </c>
      <c r="AM944" t="s">
        <v>298</v>
      </c>
      <c r="AN944" t="s">
        <v>299</v>
      </c>
      <c r="AO944" t="s">
        <v>3917</v>
      </c>
      <c r="AP944" t="s">
        <v>3918</v>
      </c>
      <c r="AQ944" t="s">
        <v>74</v>
      </c>
      <c r="AR944" t="s">
        <v>3919</v>
      </c>
      <c r="AS944" t="s">
        <v>3920</v>
      </c>
      <c r="AT944" t="s">
        <v>74</v>
      </c>
      <c r="AU944">
        <v>2020</v>
      </c>
      <c r="AV944" t="s">
        <v>74</v>
      </c>
      <c r="AW944">
        <v>10</v>
      </c>
      <c r="AX944" t="s">
        <v>74</v>
      </c>
      <c r="AY944" t="s">
        <v>74</v>
      </c>
      <c r="AZ944" t="s">
        <v>74</v>
      </c>
      <c r="BA944" t="s">
        <v>74</v>
      </c>
      <c r="BB944" t="s">
        <v>74</v>
      </c>
      <c r="BC944" t="s">
        <v>74</v>
      </c>
      <c r="BD944" t="s">
        <v>3921</v>
      </c>
      <c r="BE944" t="s">
        <v>17832</v>
      </c>
      <c r="BF944" t="str">
        <f>HYPERLINK("http://dx.doi.org/10.1002/14651858.CD006185.pub5","http://dx.doi.org/10.1002/14651858.CD006185.pub5")</f>
        <v>http://dx.doi.org/10.1002/14651858.CD006185.pub5</v>
      </c>
      <c r="BG944" t="s">
        <v>74</v>
      </c>
      <c r="BH944" t="s">
        <v>74</v>
      </c>
      <c r="BI944">
        <v>204</v>
      </c>
      <c r="BJ944" t="s">
        <v>128</v>
      </c>
      <c r="BK944" t="s">
        <v>102</v>
      </c>
      <c r="BL944" t="s">
        <v>129</v>
      </c>
      <c r="BM944" t="s">
        <v>5875</v>
      </c>
      <c r="BN944">
        <v>33091160</v>
      </c>
      <c r="BO944" t="s">
        <v>2246</v>
      </c>
      <c r="BP944" t="s">
        <v>74</v>
      </c>
      <c r="BQ944" t="s">
        <v>74</v>
      </c>
      <c r="BR944" t="s">
        <v>105</v>
      </c>
      <c r="BS944" t="s">
        <v>17833</v>
      </c>
      <c r="BT944" t="str">
        <f>HYPERLINK("https%3A%2F%2Fwww.webofscience.com%2Fwos%2Fwoscc%2Ffull-record%2FWOS:000583109400045","View Full Record in Web of Science")</f>
        <v>View Full Record in Web of Science</v>
      </c>
    </row>
    <row r="945" spans="1:72" x14ac:dyDescent="0.25">
      <c r="A945" t="s">
        <v>72</v>
      </c>
      <c r="B945" t="s">
        <v>17834</v>
      </c>
      <c r="C945" t="s">
        <v>74</v>
      </c>
      <c r="D945" t="s">
        <v>74</v>
      </c>
      <c r="E945" t="s">
        <v>74</v>
      </c>
      <c r="F945" t="s">
        <v>17835</v>
      </c>
      <c r="G945" t="s">
        <v>74</v>
      </c>
      <c r="H945" t="s">
        <v>74</v>
      </c>
      <c r="I945" t="s">
        <v>17836</v>
      </c>
      <c r="J945" t="s">
        <v>16164</v>
      </c>
      <c r="K945" t="s">
        <v>74</v>
      </c>
      <c r="L945" t="s">
        <v>74</v>
      </c>
      <c r="M945" t="s">
        <v>78</v>
      </c>
      <c r="N945" t="s">
        <v>79</v>
      </c>
      <c r="O945" t="s">
        <v>74</v>
      </c>
      <c r="P945" t="s">
        <v>74</v>
      </c>
      <c r="Q945" t="s">
        <v>74</v>
      </c>
      <c r="R945" t="s">
        <v>74</v>
      </c>
      <c r="S945" t="s">
        <v>74</v>
      </c>
      <c r="T945" t="s">
        <v>17837</v>
      </c>
      <c r="U945" t="s">
        <v>17838</v>
      </c>
      <c r="V945" t="s">
        <v>17839</v>
      </c>
      <c r="W945" t="s">
        <v>17840</v>
      </c>
      <c r="X945" t="s">
        <v>17841</v>
      </c>
      <c r="Y945" t="s">
        <v>17842</v>
      </c>
      <c r="Z945" t="s">
        <v>17843</v>
      </c>
      <c r="AA945" t="s">
        <v>15209</v>
      </c>
      <c r="AB945" t="s">
        <v>15210</v>
      </c>
      <c r="AC945" t="s">
        <v>17844</v>
      </c>
      <c r="AD945" t="s">
        <v>17845</v>
      </c>
      <c r="AE945" t="s">
        <v>17846</v>
      </c>
      <c r="AF945" t="s">
        <v>74</v>
      </c>
      <c r="AG945">
        <v>302</v>
      </c>
      <c r="AH945">
        <v>62</v>
      </c>
      <c r="AI945">
        <v>63</v>
      </c>
      <c r="AJ945">
        <v>1</v>
      </c>
      <c r="AK945">
        <v>24</v>
      </c>
      <c r="AL945" t="s">
        <v>9434</v>
      </c>
      <c r="AM945" t="s">
        <v>1606</v>
      </c>
      <c r="AN945" t="s">
        <v>9435</v>
      </c>
      <c r="AO945" t="s">
        <v>16173</v>
      </c>
      <c r="AP945" t="s">
        <v>16174</v>
      </c>
      <c r="AQ945" t="s">
        <v>74</v>
      </c>
      <c r="AR945" t="s">
        <v>16175</v>
      </c>
      <c r="AS945" t="s">
        <v>16176</v>
      </c>
      <c r="AT945" t="s">
        <v>74</v>
      </c>
      <c r="AU945">
        <v>2020</v>
      </c>
      <c r="AV945">
        <v>38</v>
      </c>
      <c r="AW945">
        <v>1</v>
      </c>
      <c r="AX945" t="s">
        <v>74</v>
      </c>
      <c r="AY945" t="s">
        <v>74</v>
      </c>
      <c r="AZ945" t="s">
        <v>74</v>
      </c>
      <c r="BA945" t="s">
        <v>74</v>
      </c>
      <c r="BB945">
        <v>67</v>
      </c>
      <c r="BC945">
        <v>92</v>
      </c>
      <c r="BD945" t="s">
        <v>74</v>
      </c>
      <c r="BE945" t="s">
        <v>17847</v>
      </c>
      <c r="BF945" t="str">
        <f>HYPERLINK("http://dx.doi.org/10.3233/RNN-190978","http://dx.doi.org/10.3233/RNN-190978")</f>
        <v>http://dx.doi.org/10.3233/RNN-190978</v>
      </c>
      <c r="BG945" t="s">
        <v>74</v>
      </c>
      <c r="BH945" t="s">
        <v>74</v>
      </c>
      <c r="BI945">
        <v>26</v>
      </c>
      <c r="BJ945" t="s">
        <v>374</v>
      </c>
      <c r="BK945" t="s">
        <v>102</v>
      </c>
      <c r="BL945" t="s">
        <v>375</v>
      </c>
      <c r="BM945" t="s">
        <v>17848</v>
      </c>
      <c r="BN945">
        <v>31929129</v>
      </c>
      <c r="BO945" t="s">
        <v>3048</v>
      </c>
      <c r="BP945" t="s">
        <v>74</v>
      </c>
      <c r="BQ945" t="s">
        <v>74</v>
      </c>
      <c r="BR945" t="s">
        <v>105</v>
      </c>
      <c r="BS945" t="s">
        <v>17849</v>
      </c>
      <c r="BT945" t="str">
        <f>HYPERLINK("https%3A%2F%2Fwww.webofscience.com%2Fwos%2Fwoscc%2Ffull-record%2FWOS:000514112900006","View Full Record in Web of Science")</f>
        <v>View Full Record in Web of Science</v>
      </c>
    </row>
    <row r="946" spans="1:72" x14ac:dyDescent="0.25">
      <c r="A946" t="s">
        <v>72</v>
      </c>
      <c r="B946" t="s">
        <v>17850</v>
      </c>
      <c r="C946" t="s">
        <v>74</v>
      </c>
      <c r="D946" t="s">
        <v>74</v>
      </c>
      <c r="E946" t="s">
        <v>74</v>
      </c>
      <c r="F946" t="s">
        <v>17851</v>
      </c>
      <c r="G946" t="s">
        <v>74</v>
      </c>
      <c r="H946" t="s">
        <v>74</v>
      </c>
      <c r="I946" t="s">
        <v>17852</v>
      </c>
      <c r="J946" t="s">
        <v>17853</v>
      </c>
      <c r="K946" t="s">
        <v>74</v>
      </c>
      <c r="L946" t="s">
        <v>74</v>
      </c>
      <c r="M946" t="s">
        <v>78</v>
      </c>
      <c r="N946" t="s">
        <v>79</v>
      </c>
      <c r="O946" t="s">
        <v>74</v>
      </c>
      <c r="P946" t="s">
        <v>74</v>
      </c>
      <c r="Q946" t="s">
        <v>74</v>
      </c>
      <c r="R946" t="s">
        <v>74</v>
      </c>
      <c r="S946" t="s">
        <v>74</v>
      </c>
      <c r="T946" t="s">
        <v>17854</v>
      </c>
      <c r="U946" t="s">
        <v>17855</v>
      </c>
      <c r="V946" t="s">
        <v>17856</v>
      </c>
      <c r="W946" t="s">
        <v>17857</v>
      </c>
      <c r="X946" t="s">
        <v>7049</v>
      </c>
      <c r="Y946" t="s">
        <v>17858</v>
      </c>
      <c r="Z946" t="s">
        <v>17859</v>
      </c>
      <c r="AA946" t="s">
        <v>17860</v>
      </c>
      <c r="AB946" t="s">
        <v>74</v>
      </c>
      <c r="AC946" t="s">
        <v>17861</v>
      </c>
      <c r="AD946" t="s">
        <v>17862</v>
      </c>
      <c r="AE946" t="s">
        <v>17863</v>
      </c>
      <c r="AF946" t="s">
        <v>74</v>
      </c>
      <c r="AG946">
        <v>61</v>
      </c>
      <c r="AH946">
        <v>4</v>
      </c>
      <c r="AI946">
        <v>4</v>
      </c>
      <c r="AJ946">
        <v>3</v>
      </c>
      <c r="AK946">
        <v>34</v>
      </c>
      <c r="AL946" t="s">
        <v>17864</v>
      </c>
      <c r="AM946" t="s">
        <v>17865</v>
      </c>
      <c r="AN946" t="s">
        <v>17866</v>
      </c>
      <c r="AO946" t="s">
        <v>17867</v>
      </c>
      <c r="AP946" t="s">
        <v>17868</v>
      </c>
      <c r="AQ946" t="s">
        <v>74</v>
      </c>
      <c r="AR946" t="s">
        <v>17869</v>
      </c>
      <c r="AS946" t="s">
        <v>17870</v>
      </c>
      <c r="AT946" t="s">
        <v>74</v>
      </c>
      <c r="AU946">
        <v>2020</v>
      </c>
      <c r="AV946">
        <v>33</v>
      </c>
      <c r="AW946">
        <v>2</v>
      </c>
      <c r="AX946" t="s">
        <v>74</v>
      </c>
      <c r="AY946" t="s">
        <v>74</v>
      </c>
      <c r="AZ946" t="s">
        <v>74</v>
      </c>
      <c r="BA946" t="s">
        <v>74</v>
      </c>
      <c r="BB946">
        <v>159</v>
      </c>
      <c r="BC946">
        <v>173</v>
      </c>
      <c r="BD946" t="s">
        <v>74</v>
      </c>
      <c r="BE946" t="s">
        <v>17871</v>
      </c>
      <c r="BF946" t="str">
        <f>HYPERLINK("http://dx.doi.org/10.1504/IJBET.2020.107711","http://dx.doi.org/10.1504/IJBET.2020.107711")</f>
        <v>http://dx.doi.org/10.1504/IJBET.2020.107711</v>
      </c>
      <c r="BG946" t="s">
        <v>74</v>
      </c>
      <c r="BH946" t="s">
        <v>74</v>
      </c>
      <c r="BI946">
        <v>15</v>
      </c>
      <c r="BJ946" t="s">
        <v>282</v>
      </c>
      <c r="BK946" t="s">
        <v>155</v>
      </c>
      <c r="BL946" t="s">
        <v>183</v>
      </c>
      <c r="BM946" t="s">
        <v>17872</v>
      </c>
      <c r="BN946" t="s">
        <v>74</v>
      </c>
      <c r="BO946" t="s">
        <v>74</v>
      </c>
      <c r="BP946" t="s">
        <v>74</v>
      </c>
      <c r="BQ946" t="s">
        <v>74</v>
      </c>
      <c r="BR946" t="s">
        <v>105</v>
      </c>
      <c r="BS946" t="s">
        <v>17873</v>
      </c>
      <c r="BT946" t="str">
        <f>HYPERLINK("https%3A%2F%2Fwww.webofscience.com%2Fwos%2Fwoscc%2Ffull-record%2FWOS:000551924600005","View Full Record in Web of Science")</f>
        <v>View Full Record in Web of Science</v>
      </c>
    </row>
    <row r="947" spans="1:72" x14ac:dyDescent="0.25">
      <c r="A947" t="s">
        <v>72</v>
      </c>
      <c r="B947" t="s">
        <v>17874</v>
      </c>
      <c r="C947" t="s">
        <v>74</v>
      </c>
      <c r="D947" t="s">
        <v>74</v>
      </c>
      <c r="E947" t="s">
        <v>74</v>
      </c>
      <c r="F947" t="s">
        <v>17875</v>
      </c>
      <c r="G947" t="s">
        <v>74</v>
      </c>
      <c r="H947" t="s">
        <v>74</v>
      </c>
      <c r="I947" t="s">
        <v>17876</v>
      </c>
      <c r="J947" t="s">
        <v>11233</v>
      </c>
      <c r="K947" t="s">
        <v>74</v>
      </c>
      <c r="L947" t="s">
        <v>74</v>
      </c>
      <c r="M947" t="s">
        <v>78</v>
      </c>
      <c r="N947" t="s">
        <v>79</v>
      </c>
      <c r="O947" t="s">
        <v>74</v>
      </c>
      <c r="P947" t="s">
        <v>74</v>
      </c>
      <c r="Q947" t="s">
        <v>74</v>
      </c>
      <c r="R947" t="s">
        <v>74</v>
      </c>
      <c r="S947" t="s">
        <v>74</v>
      </c>
      <c r="T947" t="s">
        <v>17877</v>
      </c>
      <c r="U947" t="s">
        <v>17878</v>
      </c>
      <c r="V947" t="s">
        <v>17879</v>
      </c>
      <c r="W947" t="s">
        <v>17880</v>
      </c>
      <c r="X947" t="s">
        <v>17881</v>
      </c>
      <c r="Y947" t="s">
        <v>17882</v>
      </c>
      <c r="Z947" t="s">
        <v>17883</v>
      </c>
      <c r="AA947" t="s">
        <v>17884</v>
      </c>
      <c r="AB947" t="s">
        <v>17885</v>
      </c>
      <c r="AC947" t="s">
        <v>17886</v>
      </c>
      <c r="AD947" t="s">
        <v>17887</v>
      </c>
      <c r="AE947" t="s">
        <v>17888</v>
      </c>
      <c r="AF947" t="s">
        <v>74</v>
      </c>
      <c r="AG947">
        <v>237</v>
      </c>
      <c r="AH947">
        <v>115</v>
      </c>
      <c r="AI947">
        <v>121</v>
      </c>
      <c r="AJ947">
        <v>36</v>
      </c>
      <c r="AK947">
        <v>451</v>
      </c>
      <c r="AL947" t="s">
        <v>297</v>
      </c>
      <c r="AM947" t="s">
        <v>298</v>
      </c>
      <c r="AN947" t="s">
        <v>299</v>
      </c>
      <c r="AO947" t="s">
        <v>74</v>
      </c>
      <c r="AP947" t="s">
        <v>11242</v>
      </c>
      <c r="AQ947" t="s">
        <v>74</v>
      </c>
      <c r="AR947" t="s">
        <v>11243</v>
      </c>
      <c r="AS947" t="s">
        <v>11244</v>
      </c>
      <c r="AT947" t="s">
        <v>538</v>
      </c>
      <c r="AU947">
        <v>2020</v>
      </c>
      <c r="AV947">
        <v>2</v>
      </c>
      <c r="AW947">
        <v>1</v>
      </c>
      <c r="AX947" t="s">
        <v>74</v>
      </c>
      <c r="AY947" t="s">
        <v>74</v>
      </c>
      <c r="AZ947" t="s">
        <v>74</v>
      </c>
      <c r="BA947" t="s">
        <v>74</v>
      </c>
      <c r="BB947" t="s">
        <v>74</v>
      </c>
      <c r="BC947" t="s">
        <v>74</v>
      </c>
      <c r="BD947">
        <v>1900077</v>
      </c>
      <c r="BE947" t="s">
        <v>17889</v>
      </c>
      <c r="BF947" t="str">
        <f>HYPERLINK("http://dx.doi.org/10.1002/aisy.201900077","http://dx.doi.org/10.1002/aisy.201900077")</f>
        <v>http://dx.doi.org/10.1002/aisy.201900077</v>
      </c>
      <c r="BG947" t="s">
        <v>74</v>
      </c>
      <c r="BH947" t="s">
        <v>74</v>
      </c>
      <c r="BI947">
        <v>20</v>
      </c>
      <c r="BJ947" t="s">
        <v>2657</v>
      </c>
      <c r="BK947" t="s">
        <v>182</v>
      </c>
      <c r="BL947" t="s">
        <v>2658</v>
      </c>
      <c r="BM947" t="s">
        <v>17890</v>
      </c>
      <c r="BN947" t="s">
        <v>74</v>
      </c>
      <c r="BO947" t="s">
        <v>131</v>
      </c>
      <c r="BP947" t="s">
        <v>74</v>
      </c>
      <c r="BQ947" t="s">
        <v>74</v>
      </c>
      <c r="BR947" t="s">
        <v>105</v>
      </c>
      <c r="BS947" t="s">
        <v>17891</v>
      </c>
      <c r="BT947" t="str">
        <f>HYPERLINK("https%3A%2F%2Fwww.webofscience.com%2Fwos%2Fwoscc%2Ffull-record%2FWOS:000669747100001","View Full Record in Web of Science")</f>
        <v>View Full Record in Web of Science</v>
      </c>
    </row>
    <row r="948" spans="1:72" x14ac:dyDescent="0.25">
      <c r="A948" t="s">
        <v>72</v>
      </c>
      <c r="B948" t="s">
        <v>17892</v>
      </c>
      <c r="C948" t="s">
        <v>74</v>
      </c>
      <c r="D948" t="s">
        <v>74</v>
      </c>
      <c r="E948" t="s">
        <v>74</v>
      </c>
      <c r="F948" t="s">
        <v>17893</v>
      </c>
      <c r="G948" t="s">
        <v>74</v>
      </c>
      <c r="H948" t="s">
        <v>74</v>
      </c>
      <c r="I948" t="s">
        <v>17894</v>
      </c>
      <c r="J948" t="s">
        <v>571</v>
      </c>
      <c r="K948" t="s">
        <v>74</v>
      </c>
      <c r="L948" t="s">
        <v>74</v>
      </c>
      <c r="M948" t="s">
        <v>78</v>
      </c>
      <c r="N948" t="s">
        <v>79</v>
      </c>
      <c r="O948" t="s">
        <v>74</v>
      </c>
      <c r="P948" t="s">
        <v>74</v>
      </c>
      <c r="Q948" t="s">
        <v>74</v>
      </c>
      <c r="R948" t="s">
        <v>74</v>
      </c>
      <c r="S948" t="s">
        <v>74</v>
      </c>
      <c r="T948" t="s">
        <v>17895</v>
      </c>
      <c r="U948" t="s">
        <v>17896</v>
      </c>
      <c r="V948" t="s">
        <v>17897</v>
      </c>
      <c r="W948" t="s">
        <v>17898</v>
      </c>
      <c r="X948" t="s">
        <v>17899</v>
      </c>
      <c r="Y948" t="s">
        <v>17900</v>
      </c>
      <c r="Z948" t="s">
        <v>17901</v>
      </c>
      <c r="AA948" t="s">
        <v>74</v>
      </c>
      <c r="AB948" t="s">
        <v>74</v>
      </c>
      <c r="AC948" t="s">
        <v>17902</v>
      </c>
      <c r="AD948" t="s">
        <v>17903</v>
      </c>
      <c r="AE948" t="s">
        <v>17904</v>
      </c>
      <c r="AF948" t="s">
        <v>74</v>
      </c>
      <c r="AG948">
        <v>30</v>
      </c>
      <c r="AH948">
        <v>3</v>
      </c>
      <c r="AI948">
        <v>3</v>
      </c>
      <c r="AJ948">
        <v>1</v>
      </c>
      <c r="AK948">
        <v>15</v>
      </c>
      <c r="AL948" t="s">
        <v>583</v>
      </c>
      <c r="AM948" t="s">
        <v>275</v>
      </c>
      <c r="AN948" t="s">
        <v>584</v>
      </c>
      <c r="AO948" t="s">
        <v>585</v>
      </c>
      <c r="AP948" t="s">
        <v>74</v>
      </c>
      <c r="AQ948" t="s">
        <v>74</v>
      </c>
      <c r="AR948" t="s">
        <v>571</v>
      </c>
      <c r="AS948" t="s">
        <v>586</v>
      </c>
      <c r="AT948" t="s">
        <v>74</v>
      </c>
      <c r="AU948">
        <v>2020</v>
      </c>
      <c r="AV948">
        <v>10</v>
      </c>
      <c r="AW948">
        <v>12</v>
      </c>
      <c r="AX948" t="s">
        <v>74</v>
      </c>
      <c r="AY948" t="s">
        <v>74</v>
      </c>
      <c r="AZ948" t="s">
        <v>74</v>
      </c>
      <c r="BA948" t="s">
        <v>74</v>
      </c>
      <c r="BB948" t="s">
        <v>74</v>
      </c>
      <c r="BC948" t="s">
        <v>74</v>
      </c>
      <c r="BD948" t="s">
        <v>17905</v>
      </c>
      <c r="BE948" t="s">
        <v>17906</v>
      </c>
      <c r="BF948" t="str">
        <f>HYPERLINK("http://dx.doi.org/10.1136/bmjopen-2020-038705","http://dx.doi.org/10.1136/bmjopen-2020-038705")</f>
        <v>http://dx.doi.org/10.1136/bmjopen-2020-038705</v>
      </c>
      <c r="BG948" t="s">
        <v>74</v>
      </c>
      <c r="BH948" t="s">
        <v>74</v>
      </c>
      <c r="BI948">
        <v>5</v>
      </c>
      <c r="BJ948" t="s">
        <v>128</v>
      </c>
      <c r="BK948" t="s">
        <v>182</v>
      </c>
      <c r="BL948" t="s">
        <v>129</v>
      </c>
      <c r="BM948" t="s">
        <v>17907</v>
      </c>
      <c r="BN948">
        <v>33303441</v>
      </c>
      <c r="BO948" t="s">
        <v>355</v>
      </c>
      <c r="BP948" t="s">
        <v>74</v>
      </c>
      <c r="BQ948" t="s">
        <v>74</v>
      </c>
      <c r="BR948" t="s">
        <v>105</v>
      </c>
      <c r="BS948" t="s">
        <v>17908</v>
      </c>
      <c r="BT948" t="str">
        <f>HYPERLINK("https%3A%2F%2Fwww.webofscience.com%2Fwos%2Fwoscc%2Ffull-record%2FWOS:000600203600010","View Full Record in Web of Science")</f>
        <v>View Full Record in Web of Science</v>
      </c>
    </row>
    <row r="949" spans="1:72" x14ac:dyDescent="0.25">
      <c r="A949" t="s">
        <v>72</v>
      </c>
      <c r="B949" t="s">
        <v>17909</v>
      </c>
      <c r="C949" t="s">
        <v>74</v>
      </c>
      <c r="D949" t="s">
        <v>74</v>
      </c>
      <c r="E949" t="s">
        <v>74</v>
      </c>
      <c r="F949" t="s">
        <v>17910</v>
      </c>
      <c r="G949" t="s">
        <v>74</v>
      </c>
      <c r="H949" t="s">
        <v>74</v>
      </c>
      <c r="I949" t="s">
        <v>17911</v>
      </c>
      <c r="J949" t="s">
        <v>17912</v>
      </c>
      <c r="K949" t="s">
        <v>74</v>
      </c>
      <c r="L949" t="s">
        <v>74</v>
      </c>
      <c r="M949" t="s">
        <v>78</v>
      </c>
      <c r="N949" t="s">
        <v>79</v>
      </c>
      <c r="O949" t="s">
        <v>74</v>
      </c>
      <c r="P949" t="s">
        <v>74</v>
      </c>
      <c r="Q949" t="s">
        <v>74</v>
      </c>
      <c r="R949" t="s">
        <v>74</v>
      </c>
      <c r="S949" t="s">
        <v>74</v>
      </c>
      <c r="T949" t="s">
        <v>74</v>
      </c>
      <c r="U949" t="s">
        <v>17913</v>
      </c>
      <c r="V949" t="s">
        <v>17914</v>
      </c>
      <c r="W949" t="s">
        <v>17915</v>
      </c>
      <c r="X949" t="s">
        <v>74</v>
      </c>
      <c r="Y949" t="s">
        <v>17916</v>
      </c>
      <c r="Z949" t="s">
        <v>17917</v>
      </c>
      <c r="AA949" t="s">
        <v>74</v>
      </c>
      <c r="AB949" t="s">
        <v>17918</v>
      </c>
      <c r="AC949" t="s">
        <v>17919</v>
      </c>
      <c r="AD949" t="s">
        <v>17920</v>
      </c>
      <c r="AE949" t="s">
        <v>17921</v>
      </c>
      <c r="AF949" t="s">
        <v>74</v>
      </c>
      <c r="AG949">
        <v>73</v>
      </c>
      <c r="AH949">
        <v>19</v>
      </c>
      <c r="AI949">
        <v>23</v>
      </c>
      <c r="AJ949">
        <v>3</v>
      </c>
      <c r="AK949">
        <v>34</v>
      </c>
      <c r="AL949" t="s">
        <v>17922</v>
      </c>
      <c r="AM949" t="s">
        <v>227</v>
      </c>
      <c r="AN949" t="s">
        <v>17923</v>
      </c>
      <c r="AO949" t="s">
        <v>17924</v>
      </c>
      <c r="AP949" t="s">
        <v>17925</v>
      </c>
      <c r="AQ949" t="s">
        <v>74</v>
      </c>
      <c r="AR949" t="s">
        <v>17926</v>
      </c>
      <c r="AS949" t="s">
        <v>17927</v>
      </c>
      <c r="AT949" t="s">
        <v>304</v>
      </c>
      <c r="AU949">
        <v>2019</v>
      </c>
      <c r="AV949">
        <v>171</v>
      </c>
      <c r="AW949">
        <v>12</v>
      </c>
      <c r="AX949" t="s">
        <v>74</v>
      </c>
      <c r="AY949" t="s">
        <v>74</v>
      </c>
      <c r="AZ949" t="s">
        <v>74</v>
      </c>
      <c r="BA949" t="s">
        <v>74</v>
      </c>
      <c r="BB949">
        <v>906</v>
      </c>
      <c r="BC949" t="s">
        <v>233</v>
      </c>
      <c r="BD949" t="s">
        <v>74</v>
      </c>
      <c r="BE949" t="s">
        <v>17928</v>
      </c>
      <c r="BF949" t="str">
        <f>HYPERLINK("http://dx.doi.org/10.7326/M19-2414","http://dx.doi.org/10.7326/M19-2414")</f>
        <v>http://dx.doi.org/10.7326/M19-2414</v>
      </c>
      <c r="BG949" t="s">
        <v>74</v>
      </c>
      <c r="BH949" t="s">
        <v>74</v>
      </c>
      <c r="BI949">
        <v>15</v>
      </c>
      <c r="BJ949" t="s">
        <v>128</v>
      </c>
      <c r="BK949" t="s">
        <v>102</v>
      </c>
      <c r="BL949" t="s">
        <v>129</v>
      </c>
      <c r="BM949" t="s">
        <v>17929</v>
      </c>
      <c r="BN949">
        <v>31739315</v>
      </c>
      <c r="BO949" t="s">
        <v>74</v>
      </c>
      <c r="BP949" t="s">
        <v>74</v>
      </c>
      <c r="BQ949" t="s">
        <v>74</v>
      </c>
      <c r="BR949" t="s">
        <v>105</v>
      </c>
      <c r="BS949" t="s">
        <v>17930</v>
      </c>
      <c r="BT949" t="str">
        <f>HYPERLINK("https%3A%2F%2Fwww.webofscience.com%2Fwos%2Fwoscc%2Ffull-record%2FWOS:000506428800017","View Full Record in Web of Science")</f>
        <v>View Full Record in Web of Science</v>
      </c>
    </row>
    <row r="950" spans="1:72" x14ac:dyDescent="0.25">
      <c r="A950" t="s">
        <v>72</v>
      </c>
      <c r="B950" t="s">
        <v>17931</v>
      </c>
      <c r="C950" t="s">
        <v>74</v>
      </c>
      <c r="D950" t="s">
        <v>74</v>
      </c>
      <c r="E950" t="s">
        <v>74</v>
      </c>
      <c r="F950" t="s">
        <v>17932</v>
      </c>
      <c r="G950" t="s">
        <v>74</v>
      </c>
      <c r="H950" t="s">
        <v>74</v>
      </c>
      <c r="I950" t="s">
        <v>17933</v>
      </c>
      <c r="J950" t="s">
        <v>17934</v>
      </c>
      <c r="K950" t="s">
        <v>74</v>
      </c>
      <c r="L950" t="s">
        <v>74</v>
      </c>
      <c r="M950" t="s">
        <v>78</v>
      </c>
      <c r="N950" t="s">
        <v>79</v>
      </c>
      <c r="O950" t="s">
        <v>74</v>
      </c>
      <c r="P950" t="s">
        <v>74</v>
      </c>
      <c r="Q950" t="s">
        <v>74</v>
      </c>
      <c r="R950" t="s">
        <v>74</v>
      </c>
      <c r="S950" t="s">
        <v>74</v>
      </c>
      <c r="T950" t="s">
        <v>17935</v>
      </c>
      <c r="U950" t="s">
        <v>17936</v>
      </c>
      <c r="V950" t="s">
        <v>17937</v>
      </c>
      <c r="W950" t="s">
        <v>17938</v>
      </c>
      <c r="X950" t="s">
        <v>17939</v>
      </c>
      <c r="Y950" t="s">
        <v>17940</v>
      </c>
      <c r="Z950" t="s">
        <v>17941</v>
      </c>
      <c r="AA950" t="s">
        <v>17942</v>
      </c>
      <c r="AB950" t="s">
        <v>17943</v>
      </c>
      <c r="AC950" t="s">
        <v>74</v>
      </c>
      <c r="AD950" t="s">
        <v>74</v>
      </c>
      <c r="AE950" t="s">
        <v>74</v>
      </c>
      <c r="AF950" t="s">
        <v>74</v>
      </c>
      <c r="AG950">
        <v>34</v>
      </c>
      <c r="AH950">
        <v>16</v>
      </c>
      <c r="AI950">
        <v>19</v>
      </c>
      <c r="AJ950">
        <v>1</v>
      </c>
      <c r="AK950">
        <v>34</v>
      </c>
      <c r="AL950" t="s">
        <v>13804</v>
      </c>
      <c r="AM950" t="s">
        <v>93</v>
      </c>
      <c r="AN950" t="s">
        <v>13805</v>
      </c>
      <c r="AO950" t="s">
        <v>17944</v>
      </c>
      <c r="AP950" t="s">
        <v>17945</v>
      </c>
      <c r="AQ950" t="s">
        <v>74</v>
      </c>
      <c r="AR950" t="s">
        <v>17946</v>
      </c>
      <c r="AS950" t="s">
        <v>17947</v>
      </c>
      <c r="AT950" t="s">
        <v>17948</v>
      </c>
      <c r="AU950">
        <v>2021</v>
      </c>
      <c r="AV950">
        <v>31</v>
      </c>
      <c r="AW950">
        <v>3</v>
      </c>
      <c r="AX950" t="s">
        <v>74</v>
      </c>
      <c r="AY950" t="s">
        <v>74</v>
      </c>
      <c r="AZ950" t="s">
        <v>74</v>
      </c>
      <c r="BA950" t="s">
        <v>74</v>
      </c>
      <c r="BB950">
        <v>432</v>
      </c>
      <c r="BC950">
        <v>452</v>
      </c>
      <c r="BD950" t="s">
        <v>74</v>
      </c>
      <c r="BE950" t="s">
        <v>17949</v>
      </c>
      <c r="BF950" t="str">
        <f>HYPERLINK("http://dx.doi.org/10.1080/09602011.2019.1701501","http://dx.doi.org/10.1080/09602011.2019.1701501")</f>
        <v>http://dx.doi.org/10.1080/09602011.2019.1701501</v>
      </c>
      <c r="BG950" t="s">
        <v>74</v>
      </c>
      <c r="BH950" t="s">
        <v>4053</v>
      </c>
      <c r="BI950">
        <v>21</v>
      </c>
      <c r="BJ950" t="s">
        <v>2211</v>
      </c>
      <c r="BK950" t="s">
        <v>102</v>
      </c>
      <c r="BL950" t="s">
        <v>2212</v>
      </c>
      <c r="BM950" t="s">
        <v>17950</v>
      </c>
      <c r="BN950">
        <v>31833819</v>
      </c>
      <c r="BO950" t="s">
        <v>74</v>
      </c>
      <c r="BP950" t="s">
        <v>74</v>
      </c>
      <c r="BQ950" t="s">
        <v>74</v>
      </c>
      <c r="BR950" t="s">
        <v>105</v>
      </c>
      <c r="BS950" t="s">
        <v>17951</v>
      </c>
      <c r="BT950" t="str">
        <f>HYPERLINK("https%3A%2F%2Fwww.webofscience.com%2Fwos%2Fwoscc%2Ffull-record%2FWOS:000502447000001","View Full Record in Web of Science")</f>
        <v>View Full Record in Web of Science</v>
      </c>
    </row>
    <row r="951" spans="1:72" x14ac:dyDescent="0.25">
      <c r="A951" t="s">
        <v>72</v>
      </c>
      <c r="B951" t="s">
        <v>17952</v>
      </c>
      <c r="C951" t="s">
        <v>74</v>
      </c>
      <c r="D951" t="s">
        <v>74</v>
      </c>
      <c r="E951" t="s">
        <v>74</v>
      </c>
      <c r="F951" t="s">
        <v>17953</v>
      </c>
      <c r="G951" t="s">
        <v>74</v>
      </c>
      <c r="H951" t="s">
        <v>74</v>
      </c>
      <c r="I951" t="s">
        <v>17954</v>
      </c>
      <c r="J951" t="s">
        <v>243</v>
      </c>
      <c r="K951" t="s">
        <v>74</v>
      </c>
      <c r="L951" t="s">
        <v>74</v>
      </c>
      <c r="M951" t="s">
        <v>78</v>
      </c>
      <c r="N951" t="s">
        <v>79</v>
      </c>
      <c r="O951" t="s">
        <v>74</v>
      </c>
      <c r="P951" t="s">
        <v>74</v>
      </c>
      <c r="Q951" t="s">
        <v>74</v>
      </c>
      <c r="R951" t="s">
        <v>74</v>
      </c>
      <c r="S951" t="s">
        <v>74</v>
      </c>
      <c r="T951" t="s">
        <v>17955</v>
      </c>
      <c r="U951" t="s">
        <v>17956</v>
      </c>
      <c r="V951" t="s">
        <v>17957</v>
      </c>
      <c r="W951" t="s">
        <v>17958</v>
      </c>
      <c r="X951" t="s">
        <v>17959</v>
      </c>
      <c r="Y951" t="s">
        <v>17960</v>
      </c>
      <c r="Z951" t="s">
        <v>17961</v>
      </c>
      <c r="AA951" t="s">
        <v>74</v>
      </c>
      <c r="AB951" t="s">
        <v>74</v>
      </c>
      <c r="AC951" t="s">
        <v>74</v>
      </c>
      <c r="AD951" t="s">
        <v>74</v>
      </c>
      <c r="AE951" t="s">
        <v>74</v>
      </c>
      <c r="AF951" t="s">
        <v>74</v>
      </c>
      <c r="AG951">
        <v>7</v>
      </c>
      <c r="AH951">
        <v>12</v>
      </c>
      <c r="AI951">
        <v>15</v>
      </c>
      <c r="AJ951">
        <v>3</v>
      </c>
      <c r="AK951">
        <v>75</v>
      </c>
      <c r="AL951" t="s">
        <v>253</v>
      </c>
      <c r="AM951" t="s">
        <v>227</v>
      </c>
      <c r="AN951" t="s">
        <v>254</v>
      </c>
      <c r="AO951" t="s">
        <v>255</v>
      </c>
      <c r="AP951" t="s">
        <v>256</v>
      </c>
      <c r="AQ951" t="s">
        <v>74</v>
      </c>
      <c r="AR951" t="s">
        <v>257</v>
      </c>
      <c r="AS951" t="s">
        <v>258</v>
      </c>
      <c r="AT951" t="s">
        <v>4603</v>
      </c>
      <c r="AU951">
        <v>2021</v>
      </c>
      <c r="AV951">
        <v>16</v>
      </c>
      <c r="AW951">
        <v>7</v>
      </c>
      <c r="AX951" t="s">
        <v>74</v>
      </c>
      <c r="AY951" t="s">
        <v>74</v>
      </c>
      <c r="AZ951" t="s">
        <v>74</v>
      </c>
      <c r="BA951" t="s">
        <v>74</v>
      </c>
      <c r="BB951">
        <v>684</v>
      </c>
      <c r="BC951">
        <v>686</v>
      </c>
      <c r="BD951" t="s">
        <v>74</v>
      </c>
      <c r="BE951" t="s">
        <v>17962</v>
      </c>
      <c r="BF951" t="str">
        <f>HYPERLINK("http://dx.doi.org/10.1080/17483107.2019.1695963","http://dx.doi.org/10.1080/17483107.2019.1695963")</f>
        <v>http://dx.doi.org/10.1080/17483107.2019.1695963</v>
      </c>
      <c r="BG951" t="s">
        <v>74</v>
      </c>
      <c r="BH951" t="s">
        <v>4053</v>
      </c>
      <c r="BI951">
        <v>3</v>
      </c>
      <c r="BJ951" t="s">
        <v>101</v>
      </c>
      <c r="BK951" t="s">
        <v>462</v>
      </c>
      <c r="BL951" t="s">
        <v>101</v>
      </c>
      <c r="BM951" t="s">
        <v>17963</v>
      </c>
      <c r="BN951">
        <v>31814471</v>
      </c>
      <c r="BO951" t="s">
        <v>74</v>
      </c>
      <c r="BP951" t="s">
        <v>74</v>
      </c>
      <c r="BQ951" t="s">
        <v>74</v>
      </c>
      <c r="BR951" t="s">
        <v>105</v>
      </c>
      <c r="BS951" t="s">
        <v>17964</v>
      </c>
      <c r="BT951" t="str">
        <f>HYPERLINK("https%3A%2F%2Fwww.webofscience.com%2Fwos%2Fwoscc%2Ffull-record%2FWOS:000501537600001","View Full Record in Web of Science")</f>
        <v>View Full Record in Web of Science</v>
      </c>
    </row>
    <row r="952" spans="1:72" x14ac:dyDescent="0.25">
      <c r="A952" t="s">
        <v>72</v>
      </c>
      <c r="B952" t="s">
        <v>17965</v>
      </c>
      <c r="C952" t="s">
        <v>74</v>
      </c>
      <c r="D952" t="s">
        <v>74</v>
      </c>
      <c r="E952" t="s">
        <v>74</v>
      </c>
      <c r="F952" t="s">
        <v>17966</v>
      </c>
      <c r="G952" t="s">
        <v>74</v>
      </c>
      <c r="H952" t="s">
        <v>74</v>
      </c>
      <c r="I952" t="s">
        <v>17967</v>
      </c>
      <c r="J952" t="s">
        <v>1231</v>
      </c>
      <c r="K952" t="s">
        <v>74</v>
      </c>
      <c r="L952" t="s">
        <v>74</v>
      </c>
      <c r="M952" t="s">
        <v>78</v>
      </c>
      <c r="N952" t="s">
        <v>79</v>
      </c>
      <c r="O952" t="s">
        <v>74</v>
      </c>
      <c r="P952" t="s">
        <v>74</v>
      </c>
      <c r="Q952" t="s">
        <v>74</v>
      </c>
      <c r="R952" t="s">
        <v>74</v>
      </c>
      <c r="S952" t="s">
        <v>74</v>
      </c>
      <c r="T952" t="s">
        <v>17968</v>
      </c>
      <c r="U952" t="s">
        <v>17969</v>
      </c>
      <c r="V952" t="s">
        <v>17970</v>
      </c>
      <c r="W952" t="s">
        <v>17971</v>
      </c>
      <c r="X952" t="s">
        <v>17972</v>
      </c>
      <c r="Y952" t="s">
        <v>17973</v>
      </c>
      <c r="Z952" t="s">
        <v>17974</v>
      </c>
      <c r="AA952" t="s">
        <v>17975</v>
      </c>
      <c r="AB952" t="s">
        <v>17976</v>
      </c>
      <c r="AC952" t="s">
        <v>17977</v>
      </c>
      <c r="AD952" t="s">
        <v>17977</v>
      </c>
      <c r="AE952" t="s">
        <v>17978</v>
      </c>
      <c r="AF952" t="s">
        <v>74</v>
      </c>
      <c r="AG952">
        <v>97</v>
      </c>
      <c r="AH952">
        <v>38</v>
      </c>
      <c r="AI952">
        <v>39</v>
      </c>
      <c r="AJ952">
        <v>1</v>
      </c>
      <c r="AK952">
        <v>33</v>
      </c>
      <c r="AL952" t="s">
        <v>392</v>
      </c>
      <c r="AM952" t="s">
        <v>393</v>
      </c>
      <c r="AN952" t="s">
        <v>394</v>
      </c>
      <c r="AO952" t="s">
        <v>1244</v>
      </c>
      <c r="AP952" t="s">
        <v>74</v>
      </c>
      <c r="AQ952" t="s">
        <v>74</v>
      </c>
      <c r="AR952" t="s">
        <v>1245</v>
      </c>
      <c r="AS952" t="s">
        <v>1246</v>
      </c>
      <c r="AT952" t="s">
        <v>17979</v>
      </c>
      <c r="AU952">
        <v>2019</v>
      </c>
      <c r="AV952">
        <v>13</v>
      </c>
      <c r="AW952" t="s">
        <v>74</v>
      </c>
      <c r="AX952" t="s">
        <v>74</v>
      </c>
      <c r="AY952" t="s">
        <v>74</v>
      </c>
      <c r="AZ952" t="s">
        <v>74</v>
      </c>
      <c r="BA952" t="s">
        <v>74</v>
      </c>
      <c r="BB952" t="s">
        <v>74</v>
      </c>
      <c r="BC952" t="s">
        <v>74</v>
      </c>
      <c r="BD952">
        <v>97</v>
      </c>
      <c r="BE952" t="s">
        <v>17980</v>
      </c>
      <c r="BF952" t="str">
        <f>HYPERLINK("http://dx.doi.org/10.3389/fnbot.2019.00097","http://dx.doi.org/10.3389/fnbot.2019.00097")</f>
        <v>http://dx.doi.org/10.3389/fnbot.2019.00097</v>
      </c>
      <c r="BG952" t="s">
        <v>74</v>
      </c>
      <c r="BH952" t="s">
        <v>74</v>
      </c>
      <c r="BI952">
        <v>10</v>
      </c>
      <c r="BJ952" t="s">
        <v>1249</v>
      </c>
      <c r="BK952" t="s">
        <v>182</v>
      </c>
      <c r="BL952" t="s">
        <v>1250</v>
      </c>
      <c r="BM952" t="s">
        <v>17981</v>
      </c>
      <c r="BN952">
        <v>31849634</v>
      </c>
      <c r="BO952" t="s">
        <v>355</v>
      </c>
      <c r="BP952" t="s">
        <v>74</v>
      </c>
      <c r="BQ952" t="s">
        <v>74</v>
      </c>
      <c r="BR952" t="s">
        <v>105</v>
      </c>
      <c r="BS952" t="s">
        <v>17982</v>
      </c>
      <c r="BT952" t="str">
        <f>HYPERLINK("https%3A%2F%2Fwww.webofscience.com%2Fwos%2Fwoscc%2Ffull-record%2FWOS:000502743300001","View Full Record in Web of Science")</f>
        <v>View Full Record in Web of Science</v>
      </c>
    </row>
    <row r="953" spans="1:72" x14ac:dyDescent="0.25">
      <c r="A953" t="s">
        <v>72</v>
      </c>
      <c r="B953" t="s">
        <v>17983</v>
      </c>
      <c r="C953" t="s">
        <v>74</v>
      </c>
      <c r="D953" t="s">
        <v>74</v>
      </c>
      <c r="E953" t="s">
        <v>74</v>
      </c>
      <c r="F953" t="s">
        <v>17984</v>
      </c>
      <c r="G953" t="s">
        <v>74</v>
      </c>
      <c r="H953" t="s">
        <v>74</v>
      </c>
      <c r="I953" t="s">
        <v>17985</v>
      </c>
      <c r="J953" t="s">
        <v>2040</v>
      </c>
      <c r="K953" t="s">
        <v>74</v>
      </c>
      <c r="L953" t="s">
        <v>74</v>
      </c>
      <c r="M953" t="s">
        <v>78</v>
      </c>
      <c r="N953" t="s">
        <v>79</v>
      </c>
      <c r="O953" t="s">
        <v>74</v>
      </c>
      <c r="P953" t="s">
        <v>74</v>
      </c>
      <c r="Q953" t="s">
        <v>74</v>
      </c>
      <c r="R953" t="s">
        <v>74</v>
      </c>
      <c r="S953" t="s">
        <v>74</v>
      </c>
      <c r="T953" t="s">
        <v>17986</v>
      </c>
      <c r="U953" t="s">
        <v>17987</v>
      </c>
      <c r="V953" t="s">
        <v>17988</v>
      </c>
      <c r="W953" t="s">
        <v>17989</v>
      </c>
      <c r="X953" t="s">
        <v>17990</v>
      </c>
      <c r="Y953" t="s">
        <v>17991</v>
      </c>
      <c r="Z953" t="s">
        <v>17992</v>
      </c>
      <c r="AA953" t="s">
        <v>17993</v>
      </c>
      <c r="AB953" t="s">
        <v>17994</v>
      </c>
      <c r="AC953" t="s">
        <v>17995</v>
      </c>
      <c r="AD953" t="s">
        <v>17996</v>
      </c>
      <c r="AE953" t="s">
        <v>17997</v>
      </c>
      <c r="AF953" t="s">
        <v>74</v>
      </c>
      <c r="AG953">
        <v>108</v>
      </c>
      <c r="AH953">
        <v>17</v>
      </c>
      <c r="AI953">
        <v>18</v>
      </c>
      <c r="AJ953">
        <v>2</v>
      </c>
      <c r="AK953">
        <v>55</v>
      </c>
      <c r="AL953" t="s">
        <v>120</v>
      </c>
      <c r="AM953" t="s">
        <v>121</v>
      </c>
      <c r="AN953" t="s">
        <v>122</v>
      </c>
      <c r="AO953" t="s">
        <v>74</v>
      </c>
      <c r="AP953" t="s">
        <v>2050</v>
      </c>
      <c r="AQ953" t="s">
        <v>74</v>
      </c>
      <c r="AR953" t="s">
        <v>2051</v>
      </c>
      <c r="AS953" t="s">
        <v>2052</v>
      </c>
      <c r="AT953" t="s">
        <v>151</v>
      </c>
      <c r="AU953">
        <v>2019</v>
      </c>
      <c r="AV953">
        <v>19</v>
      </c>
      <c r="AW953">
        <v>23</v>
      </c>
      <c r="AX953" t="s">
        <v>74</v>
      </c>
      <c r="AY953" t="s">
        <v>74</v>
      </c>
      <c r="AZ953" t="s">
        <v>74</v>
      </c>
      <c r="BA953" t="s">
        <v>74</v>
      </c>
      <c r="BB953" t="s">
        <v>74</v>
      </c>
      <c r="BC953" t="s">
        <v>74</v>
      </c>
      <c r="BD953">
        <v>5238</v>
      </c>
      <c r="BE953" t="s">
        <v>17998</v>
      </c>
      <c r="BF953" t="str">
        <f>HYPERLINK("http://dx.doi.org/10.3390/s19235238","http://dx.doi.org/10.3390/s19235238")</f>
        <v>http://dx.doi.org/10.3390/s19235238</v>
      </c>
      <c r="BG953" t="s">
        <v>74</v>
      </c>
      <c r="BH953" t="s">
        <v>74</v>
      </c>
      <c r="BI953">
        <v>27</v>
      </c>
      <c r="BJ953" t="s">
        <v>2054</v>
      </c>
      <c r="BK953" t="s">
        <v>182</v>
      </c>
      <c r="BL953" t="s">
        <v>2055</v>
      </c>
      <c r="BM953" t="s">
        <v>17999</v>
      </c>
      <c r="BN953">
        <v>31795240</v>
      </c>
      <c r="BO953" t="s">
        <v>355</v>
      </c>
      <c r="BP953" t="s">
        <v>74</v>
      </c>
      <c r="BQ953" t="s">
        <v>74</v>
      </c>
      <c r="BR953" t="s">
        <v>105</v>
      </c>
      <c r="BS953" t="s">
        <v>18000</v>
      </c>
      <c r="BT953" t="str">
        <f>HYPERLINK("https%3A%2F%2Fwww.webofscience.com%2Fwos%2Fwoscc%2Ffull-record%2FWOS:000507606200181","View Full Record in Web of Science")</f>
        <v>View Full Record in Web of Science</v>
      </c>
    </row>
    <row r="954" spans="1:72" x14ac:dyDescent="0.25">
      <c r="A954" t="s">
        <v>72</v>
      </c>
      <c r="B954" t="s">
        <v>18001</v>
      </c>
      <c r="C954" t="s">
        <v>74</v>
      </c>
      <c r="D954" t="s">
        <v>74</v>
      </c>
      <c r="E954" t="s">
        <v>74</v>
      </c>
      <c r="F954" t="s">
        <v>18002</v>
      </c>
      <c r="G954" t="s">
        <v>74</v>
      </c>
      <c r="H954" t="s">
        <v>74</v>
      </c>
      <c r="I954" t="s">
        <v>18003</v>
      </c>
      <c r="J954" t="s">
        <v>1101</v>
      </c>
      <c r="K954" t="s">
        <v>74</v>
      </c>
      <c r="L954" t="s">
        <v>74</v>
      </c>
      <c r="M954" t="s">
        <v>78</v>
      </c>
      <c r="N954" t="s">
        <v>79</v>
      </c>
      <c r="O954" t="s">
        <v>74</v>
      </c>
      <c r="P954" t="s">
        <v>74</v>
      </c>
      <c r="Q954" t="s">
        <v>74</v>
      </c>
      <c r="R954" t="s">
        <v>74</v>
      </c>
      <c r="S954" t="s">
        <v>74</v>
      </c>
      <c r="T954" t="s">
        <v>18004</v>
      </c>
      <c r="U954" t="s">
        <v>18005</v>
      </c>
      <c r="V954" t="s">
        <v>18006</v>
      </c>
      <c r="W954" t="s">
        <v>18007</v>
      </c>
      <c r="X954" t="s">
        <v>18008</v>
      </c>
      <c r="Y954" t="s">
        <v>18009</v>
      </c>
      <c r="Z954" t="s">
        <v>18010</v>
      </c>
      <c r="AA954" t="s">
        <v>18011</v>
      </c>
      <c r="AB954" t="s">
        <v>18012</v>
      </c>
      <c r="AC954" t="s">
        <v>18013</v>
      </c>
      <c r="AD954" t="s">
        <v>18014</v>
      </c>
      <c r="AE954" t="s">
        <v>18015</v>
      </c>
      <c r="AF954" t="s">
        <v>74</v>
      </c>
      <c r="AG954">
        <v>97</v>
      </c>
      <c r="AH954">
        <v>92</v>
      </c>
      <c r="AI954">
        <v>100</v>
      </c>
      <c r="AJ954">
        <v>11</v>
      </c>
      <c r="AK954">
        <v>304</v>
      </c>
      <c r="AL954" t="s">
        <v>1114</v>
      </c>
      <c r="AM954" t="s">
        <v>1115</v>
      </c>
      <c r="AN954" t="s">
        <v>1116</v>
      </c>
      <c r="AO954" t="s">
        <v>1117</v>
      </c>
      <c r="AP954" t="s">
        <v>1118</v>
      </c>
      <c r="AQ954" t="s">
        <v>74</v>
      </c>
      <c r="AR954" t="s">
        <v>1119</v>
      </c>
      <c r="AS954" t="s">
        <v>1120</v>
      </c>
      <c r="AT954" t="s">
        <v>126</v>
      </c>
      <c r="AU954">
        <v>2019</v>
      </c>
      <c r="AV954">
        <v>27</v>
      </c>
      <c r="AW954">
        <v>11</v>
      </c>
      <c r="AX954" t="s">
        <v>74</v>
      </c>
      <c r="AY954" t="s">
        <v>74</v>
      </c>
      <c r="AZ954" t="s">
        <v>74</v>
      </c>
      <c r="BA954" t="s">
        <v>74</v>
      </c>
      <c r="BB954">
        <v>2294</v>
      </c>
      <c r="BC954">
        <v>2304</v>
      </c>
      <c r="BD954" t="s">
        <v>74</v>
      </c>
      <c r="BE954" t="s">
        <v>18016</v>
      </c>
      <c r="BF954" t="str">
        <f>HYPERLINK("http://dx.doi.org/10.1109/TNSRE.2019.2944655","http://dx.doi.org/10.1109/TNSRE.2019.2944655")</f>
        <v>http://dx.doi.org/10.1109/TNSRE.2019.2944655</v>
      </c>
      <c r="BG954" t="s">
        <v>74</v>
      </c>
      <c r="BH954" t="s">
        <v>74</v>
      </c>
      <c r="BI954">
        <v>11</v>
      </c>
      <c r="BJ954" t="s">
        <v>1122</v>
      </c>
      <c r="BK954" t="s">
        <v>102</v>
      </c>
      <c r="BL954" t="s">
        <v>1123</v>
      </c>
      <c r="BM954" t="s">
        <v>18017</v>
      </c>
      <c r="BN954">
        <v>31567097</v>
      </c>
      <c r="BO954" t="s">
        <v>74</v>
      </c>
      <c r="BP954" t="s">
        <v>74</v>
      </c>
      <c r="BQ954" t="s">
        <v>74</v>
      </c>
      <c r="BR954" t="s">
        <v>105</v>
      </c>
      <c r="BS954" t="s">
        <v>18018</v>
      </c>
      <c r="BT954" t="str">
        <f>HYPERLINK("https%3A%2F%2Fwww.webofscience.com%2Fwos%2Fwoscc%2Ffull-record%2FWOS:000497685300006","View Full Record in Web of Science")</f>
        <v>View Full Record in Web of Science</v>
      </c>
    </row>
    <row r="955" spans="1:72" x14ac:dyDescent="0.25">
      <c r="A955" t="s">
        <v>72</v>
      </c>
      <c r="B955" t="s">
        <v>18019</v>
      </c>
      <c r="C955" t="s">
        <v>74</v>
      </c>
      <c r="D955" t="s">
        <v>74</v>
      </c>
      <c r="E955" t="s">
        <v>74</v>
      </c>
      <c r="F955" t="s">
        <v>18020</v>
      </c>
      <c r="G955" t="s">
        <v>74</v>
      </c>
      <c r="H955" t="s">
        <v>74</v>
      </c>
      <c r="I955" t="s">
        <v>18021</v>
      </c>
      <c r="J955" t="s">
        <v>13376</v>
      </c>
      <c r="K955" t="s">
        <v>74</v>
      </c>
      <c r="L955" t="s">
        <v>74</v>
      </c>
      <c r="M955" t="s">
        <v>78</v>
      </c>
      <c r="N955" t="s">
        <v>79</v>
      </c>
      <c r="O955" t="s">
        <v>74</v>
      </c>
      <c r="P955" t="s">
        <v>74</v>
      </c>
      <c r="Q955" t="s">
        <v>74</v>
      </c>
      <c r="R955" t="s">
        <v>74</v>
      </c>
      <c r="S955" t="s">
        <v>74</v>
      </c>
      <c r="T955" t="s">
        <v>18022</v>
      </c>
      <c r="U955" t="s">
        <v>18023</v>
      </c>
      <c r="V955" t="s">
        <v>18024</v>
      </c>
      <c r="W955" t="s">
        <v>18025</v>
      </c>
      <c r="X955" t="s">
        <v>18026</v>
      </c>
      <c r="Y955" t="s">
        <v>18027</v>
      </c>
      <c r="Z955" t="s">
        <v>18028</v>
      </c>
      <c r="AA955" t="s">
        <v>18029</v>
      </c>
      <c r="AB955" t="s">
        <v>18030</v>
      </c>
      <c r="AC955" t="s">
        <v>18031</v>
      </c>
      <c r="AD955" t="s">
        <v>18031</v>
      </c>
      <c r="AE955" t="s">
        <v>18032</v>
      </c>
      <c r="AF955" t="s">
        <v>74</v>
      </c>
      <c r="AG955">
        <v>35</v>
      </c>
      <c r="AH955">
        <v>49</v>
      </c>
      <c r="AI955">
        <v>53</v>
      </c>
      <c r="AJ955">
        <v>24</v>
      </c>
      <c r="AK955">
        <v>296</v>
      </c>
      <c r="AL955" t="s">
        <v>120</v>
      </c>
      <c r="AM955" t="s">
        <v>121</v>
      </c>
      <c r="AN955" t="s">
        <v>122</v>
      </c>
      <c r="AO955" t="s">
        <v>74</v>
      </c>
      <c r="AP955" t="s">
        <v>13389</v>
      </c>
      <c r="AQ955" t="s">
        <v>74</v>
      </c>
      <c r="AR955" t="s">
        <v>13390</v>
      </c>
      <c r="AS955" t="s">
        <v>13391</v>
      </c>
      <c r="AT955" t="s">
        <v>126</v>
      </c>
      <c r="AU955">
        <v>2019</v>
      </c>
      <c r="AV955">
        <v>8</v>
      </c>
      <c r="AW955">
        <v>11</v>
      </c>
      <c r="AX955" t="s">
        <v>74</v>
      </c>
      <c r="AY955" t="s">
        <v>74</v>
      </c>
      <c r="AZ955" t="s">
        <v>74</v>
      </c>
      <c r="BA955" t="s">
        <v>74</v>
      </c>
      <c r="BB955" t="s">
        <v>74</v>
      </c>
      <c r="BC955" t="s">
        <v>74</v>
      </c>
      <c r="BD955">
        <v>1283</v>
      </c>
      <c r="BE955" t="s">
        <v>18033</v>
      </c>
      <c r="BF955" t="str">
        <f>HYPERLINK("http://dx.doi.org/10.3390/electronics8111283","http://dx.doi.org/10.3390/electronics8111283")</f>
        <v>http://dx.doi.org/10.3390/electronics8111283</v>
      </c>
      <c r="BG955" t="s">
        <v>74</v>
      </c>
      <c r="BH955" t="s">
        <v>74</v>
      </c>
      <c r="BI955">
        <v>12</v>
      </c>
      <c r="BJ955" t="s">
        <v>13393</v>
      </c>
      <c r="BK955" t="s">
        <v>182</v>
      </c>
      <c r="BL955" t="s">
        <v>13394</v>
      </c>
      <c r="BM955" t="s">
        <v>18034</v>
      </c>
      <c r="BN955" t="s">
        <v>74</v>
      </c>
      <c r="BO955" t="s">
        <v>185</v>
      </c>
      <c r="BP955" t="s">
        <v>74</v>
      </c>
      <c r="BQ955" t="s">
        <v>74</v>
      </c>
      <c r="BR955" t="s">
        <v>105</v>
      </c>
      <c r="BS955" t="s">
        <v>18035</v>
      </c>
      <c r="BT955" t="str">
        <f>HYPERLINK("https%3A%2F%2Fwww.webofscience.com%2Fwos%2Fwoscc%2Ffull-record%2FWOS:000502269500079","View Full Record in Web of Science")</f>
        <v>View Full Record in Web of Science</v>
      </c>
    </row>
    <row r="956" spans="1:72" x14ac:dyDescent="0.25">
      <c r="A956" t="s">
        <v>72</v>
      </c>
      <c r="B956" t="s">
        <v>18036</v>
      </c>
      <c r="C956" t="s">
        <v>74</v>
      </c>
      <c r="D956" t="s">
        <v>74</v>
      </c>
      <c r="E956" t="s">
        <v>74</v>
      </c>
      <c r="F956" t="s">
        <v>18037</v>
      </c>
      <c r="G956" t="s">
        <v>74</v>
      </c>
      <c r="H956" t="s">
        <v>74</v>
      </c>
      <c r="I956" t="s">
        <v>18038</v>
      </c>
      <c r="J956" t="s">
        <v>468</v>
      </c>
      <c r="K956" t="s">
        <v>74</v>
      </c>
      <c r="L956" t="s">
        <v>74</v>
      </c>
      <c r="M956" t="s">
        <v>78</v>
      </c>
      <c r="N956" t="s">
        <v>79</v>
      </c>
      <c r="O956" t="s">
        <v>74</v>
      </c>
      <c r="P956" t="s">
        <v>74</v>
      </c>
      <c r="Q956" t="s">
        <v>74</v>
      </c>
      <c r="R956" t="s">
        <v>74</v>
      </c>
      <c r="S956" t="s">
        <v>74</v>
      </c>
      <c r="T956" t="s">
        <v>18039</v>
      </c>
      <c r="U956" t="s">
        <v>18040</v>
      </c>
      <c r="V956" t="s">
        <v>18041</v>
      </c>
      <c r="W956" t="s">
        <v>18042</v>
      </c>
      <c r="X956" t="s">
        <v>18043</v>
      </c>
      <c r="Y956" t="s">
        <v>18044</v>
      </c>
      <c r="Z956" t="s">
        <v>18045</v>
      </c>
      <c r="AA956" t="s">
        <v>18046</v>
      </c>
      <c r="AB956" t="s">
        <v>18047</v>
      </c>
      <c r="AC956" t="s">
        <v>18048</v>
      </c>
      <c r="AD956" t="s">
        <v>18049</v>
      </c>
      <c r="AE956" t="s">
        <v>18050</v>
      </c>
      <c r="AF956" t="s">
        <v>74</v>
      </c>
      <c r="AG956">
        <v>40</v>
      </c>
      <c r="AH956">
        <v>25</v>
      </c>
      <c r="AI956">
        <v>26</v>
      </c>
      <c r="AJ956">
        <v>1</v>
      </c>
      <c r="AK956">
        <v>7</v>
      </c>
      <c r="AL956" t="s">
        <v>480</v>
      </c>
      <c r="AM956" t="s">
        <v>481</v>
      </c>
      <c r="AN956" t="s">
        <v>482</v>
      </c>
      <c r="AO956" t="s">
        <v>483</v>
      </c>
      <c r="AP956" t="s">
        <v>484</v>
      </c>
      <c r="AQ956" t="s">
        <v>74</v>
      </c>
      <c r="AR956" t="s">
        <v>485</v>
      </c>
      <c r="AS956" t="s">
        <v>486</v>
      </c>
      <c r="AT956" t="s">
        <v>126</v>
      </c>
      <c r="AU956">
        <v>2019</v>
      </c>
      <c r="AV956">
        <v>51</v>
      </c>
      <c r="AW956">
        <v>10</v>
      </c>
      <c r="AX956" t="s">
        <v>74</v>
      </c>
      <c r="AY956" t="s">
        <v>74</v>
      </c>
      <c r="AZ956" t="s">
        <v>74</v>
      </c>
      <c r="BA956" t="s">
        <v>74</v>
      </c>
      <c r="BB956">
        <v>723</v>
      </c>
      <c r="BC956">
        <v>733</v>
      </c>
      <c r="BD956" t="s">
        <v>74</v>
      </c>
      <c r="BE956" t="s">
        <v>18051</v>
      </c>
      <c r="BF956" t="str">
        <f>HYPERLINK("http://dx.doi.org/10.2340/16501977-2601","http://dx.doi.org/10.2340/16501977-2601")</f>
        <v>http://dx.doi.org/10.2340/16501977-2601</v>
      </c>
      <c r="BG956" t="s">
        <v>74</v>
      </c>
      <c r="BH956" t="s">
        <v>74</v>
      </c>
      <c r="BI956">
        <v>11</v>
      </c>
      <c r="BJ956" t="s">
        <v>236</v>
      </c>
      <c r="BK956" t="s">
        <v>182</v>
      </c>
      <c r="BL956" t="s">
        <v>236</v>
      </c>
      <c r="BM956" t="s">
        <v>18052</v>
      </c>
      <c r="BN956">
        <v>31511902</v>
      </c>
      <c r="BO956" t="s">
        <v>185</v>
      </c>
      <c r="BP956" t="s">
        <v>74</v>
      </c>
      <c r="BQ956" t="s">
        <v>74</v>
      </c>
      <c r="BR956" t="s">
        <v>105</v>
      </c>
      <c r="BS956" t="s">
        <v>18053</v>
      </c>
      <c r="BT956" t="str">
        <f>HYPERLINK("https%3A%2F%2Fwww.webofscience.com%2Fwos%2Fwoscc%2Ffull-record%2FWOS:000492730500001","View Full Record in Web of Science")</f>
        <v>View Full Record in Web of Science</v>
      </c>
    </row>
    <row r="957" spans="1:72" x14ac:dyDescent="0.25">
      <c r="A957" t="s">
        <v>72</v>
      </c>
      <c r="B957" t="s">
        <v>18054</v>
      </c>
      <c r="C957" t="s">
        <v>74</v>
      </c>
      <c r="D957" t="s">
        <v>74</v>
      </c>
      <c r="E957" t="s">
        <v>74</v>
      </c>
      <c r="F957" t="s">
        <v>18055</v>
      </c>
      <c r="G957" t="s">
        <v>74</v>
      </c>
      <c r="H957" t="s">
        <v>74</v>
      </c>
      <c r="I957" t="s">
        <v>18056</v>
      </c>
      <c r="J957" t="s">
        <v>1514</v>
      </c>
      <c r="K957" t="s">
        <v>74</v>
      </c>
      <c r="L957" t="s">
        <v>74</v>
      </c>
      <c r="M957" t="s">
        <v>78</v>
      </c>
      <c r="N957" t="s">
        <v>79</v>
      </c>
      <c r="O957" t="s">
        <v>74</v>
      </c>
      <c r="P957" t="s">
        <v>74</v>
      </c>
      <c r="Q957" t="s">
        <v>74</v>
      </c>
      <c r="R957" t="s">
        <v>74</v>
      </c>
      <c r="S957" t="s">
        <v>74</v>
      </c>
      <c r="T957" t="s">
        <v>18057</v>
      </c>
      <c r="U957" t="s">
        <v>18058</v>
      </c>
      <c r="V957" t="s">
        <v>18059</v>
      </c>
      <c r="W957" t="s">
        <v>18060</v>
      </c>
      <c r="X957" t="s">
        <v>18061</v>
      </c>
      <c r="Y957" t="s">
        <v>18062</v>
      </c>
      <c r="Z957" t="s">
        <v>18063</v>
      </c>
      <c r="AA957" t="s">
        <v>74</v>
      </c>
      <c r="AB957" t="s">
        <v>18064</v>
      </c>
      <c r="AC957" t="s">
        <v>18065</v>
      </c>
      <c r="AD957" t="s">
        <v>18066</v>
      </c>
      <c r="AE957" t="s">
        <v>18067</v>
      </c>
      <c r="AF957" t="s">
        <v>74</v>
      </c>
      <c r="AG957">
        <v>35</v>
      </c>
      <c r="AH957">
        <v>4</v>
      </c>
      <c r="AI957">
        <v>5</v>
      </c>
      <c r="AJ957">
        <v>1</v>
      </c>
      <c r="AK957">
        <v>10</v>
      </c>
      <c r="AL957" t="s">
        <v>1521</v>
      </c>
      <c r="AM957" t="s">
        <v>1522</v>
      </c>
      <c r="AN957" t="s">
        <v>1523</v>
      </c>
      <c r="AO957" t="s">
        <v>1524</v>
      </c>
      <c r="AP957" t="s">
        <v>74</v>
      </c>
      <c r="AQ957" t="s">
        <v>74</v>
      </c>
      <c r="AR957" t="s">
        <v>1525</v>
      </c>
      <c r="AS957" t="s">
        <v>1526</v>
      </c>
      <c r="AT957" t="s">
        <v>979</v>
      </c>
      <c r="AU957">
        <v>2019</v>
      </c>
      <c r="AV957">
        <v>7</v>
      </c>
      <c r="AW957">
        <v>19</v>
      </c>
      <c r="AX957" t="s">
        <v>74</v>
      </c>
      <c r="AY957" t="s">
        <v>74</v>
      </c>
      <c r="AZ957" t="s">
        <v>74</v>
      </c>
      <c r="BA957" t="s">
        <v>74</v>
      </c>
      <c r="BB957">
        <v>2976</v>
      </c>
      <c r="BC957">
        <v>2985</v>
      </c>
      <c r="BD957" t="s">
        <v>74</v>
      </c>
      <c r="BE957" t="s">
        <v>18068</v>
      </c>
      <c r="BF957" t="str">
        <f>HYPERLINK("http://dx.doi.org/10.12998/wjcc.v7.i19.2976","http://dx.doi.org/10.12998/wjcc.v7.i19.2976")</f>
        <v>http://dx.doi.org/10.12998/wjcc.v7.i19.2976</v>
      </c>
      <c r="BG957" t="s">
        <v>74</v>
      </c>
      <c r="BH957" t="s">
        <v>74</v>
      </c>
      <c r="BI957">
        <v>10</v>
      </c>
      <c r="BJ957" t="s">
        <v>128</v>
      </c>
      <c r="BK957" t="s">
        <v>182</v>
      </c>
      <c r="BL957" t="s">
        <v>129</v>
      </c>
      <c r="BM957" t="s">
        <v>18069</v>
      </c>
      <c r="BN957">
        <v>31624745</v>
      </c>
      <c r="BO957" t="s">
        <v>131</v>
      </c>
      <c r="BP957" t="s">
        <v>74</v>
      </c>
      <c r="BQ957" t="s">
        <v>74</v>
      </c>
      <c r="BR957" t="s">
        <v>105</v>
      </c>
      <c r="BS957" t="s">
        <v>18070</v>
      </c>
      <c r="BT957" t="str">
        <f>HYPERLINK("https%3A%2F%2Fwww.webofscience.com%2Fwos%2Fwoscc%2Ffull-record%2FWOS:000488264700006","View Full Record in Web of Science")</f>
        <v>View Full Record in Web of Science</v>
      </c>
    </row>
    <row r="958" spans="1:72" x14ac:dyDescent="0.25">
      <c r="A958" t="s">
        <v>72</v>
      </c>
      <c r="B958" t="s">
        <v>18071</v>
      </c>
      <c r="C958" t="s">
        <v>74</v>
      </c>
      <c r="D958" t="s">
        <v>74</v>
      </c>
      <c r="E958" t="s">
        <v>74</v>
      </c>
      <c r="F958" t="s">
        <v>18072</v>
      </c>
      <c r="G958" t="s">
        <v>74</v>
      </c>
      <c r="H958" t="s">
        <v>74</v>
      </c>
      <c r="I958" t="s">
        <v>18073</v>
      </c>
      <c r="J958" t="s">
        <v>8073</v>
      </c>
      <c r="K958" t="s">
        <v>74</v>
      </c>
      <c r="L958" t="s">
        <v>74</v>
      </c>
      <c r="M958" t="s">
        <v>78</v>
      </c>
      <c r="N958" t="s">
        <v>79</v>
      </c>
      <c r="O958" t="s">
        <v>74</v>
      </c>
      <c r="P958" t="s">
        <v>74</v>
      </c>
      <c r="Q958" t="s">
        <v>74</v>
      </c>
      <c r="R958" t="s">
        <v>74</v>
      </c>
      <c r="S958" t="s">
        <v>74</v>
      </c>
      <c r="T958" t="s">
        <v>18074</v>
      </c>
      <c r="U958" t="s">
        <v>18075</v>
      </c>
      <c r="V958" t="s">
        <v>18076</v>
      </c>
      <c r="W958" t="s">
        <v>18077</v>
      </c>
      <c r="X958" t="s">
        <v>18078</v>
      </c>
      <c r="Y958" t="s">
        <v>18079</v>
      </c>
      <c r="Z958" t="s">
        <v>18080</v>
      </c>
      <c r="AA958" t="s">
        <v>18081</v>
      </c>
      <c r="AB958" t="s">
        <v>18082</v>
      </c>
      <c r="AC958" t="s">
        <v>74</v>
      </c>
      <c r="AD958" t="s">
        <v>74</v>
      </c>
      <c r="AE958" t="s">
        <v>74</v>
      </c>
      <c r="AF958" t="s">
        <v>74</v>
      </c>
      <c r="AG958">
        <v>118</v>
      </c>
      <c r="AH958">
        <v>20</v>
      </c>
      <c r="AI958">
        <v>20</v>
      </c>
      <c r="AJ958">
        <v>3</v>
      </c>
      <c r="AK958">
        <v>85</v>
      </c>
      <c r="AL958" t="s">
        <v>172</v>
      </c>
      <c r="AM958" t="s">
        <v>4844</v>
      </c>
      <c r="AN958" t="s">
        <v>4845</v>
      </c>
      <c r="AO958" t="s">
        <v>8086</v>
      </c>
      <c r="AP958" t="s">
        <v>8087</v>
      </c>
      <c r="AQ958" t="s">
        <v>74</v>
      </c>
      <c r="AR958" t="s">
        <v>8088</v>
      </c>
      <c r="AS958" t="s">
        <v>8089</v>
      </c>
      <c r="AT958" t="s">
        <v>151</v>
      </c>
      <c r="AU958">
        <v>2019</v>
      </c>
      <c r="AV958">
        <v>11</v>
      </c>
      <c r="AW958">
        <v>5</v>
      </c>
      <c r="AX958" t="s">
        <v>74</v>
      </c>
      <c r="AY958" t="s">
        <v>74</v>
      </c>
      <c r="AZ958" t="s">
        <v>74</v>
      </c>
      <c r="BA958" t="s">
        <v>74</v>
      </c>
      <c r="BB958">
        <v>753</v>
      </c>
      <c r="BC958">
        <v>764</v>
      </c>
      <c r="BD958" t="s">
        <v>74</v>
      </c>
      <c r="BE958" t="s">
        <v>18083</v>
      </c>
      <c r="BF958" t="str">
        <f>HYPERLINK("http://dx.doi.org/10.1007/s12369-019-00598-9","http://dx.doi.org/10.1007/s12369-019-00598-9")</f>
        <v>http://dx.doi.org/10.1007/s12369-019-00598-9</v>
      </c>
      <c r="BG958" t="s">
        <v>74</v>
      </c>
      <c r="BH958" t="s">
        <v>18084</v>
      </c>
      <c r="BI958">
        <v>12</v>
      </c>
      <c r="BJ958" t="s">
        <v>714</v>
      </c>
      <c r="BK958" t="s">
        <v>102</v>
      </c>
      <c r="BL958" t="s">
        <v>714</v>
      </c>
      <c r="BM958" t="s">
        <v>18085</v>
      </c>
      <c r="BN958" t="s">
        <v>74</v>
      </c>
      <c r="BO958" t="s">
        <v>104</v>
      </c>
      <c r="BP958" t="s">
        <v>74</v>
      </c>
      <c r="BQ958" t="s">
        <v>74</v>
      </c>
      <c r="BR958" t="s">
        <v>105</v>
      </c>
      <c r="BS958" t="s">
        <v>18086</v>
      </c>
      <c r="BT958" t="str">
        <f>HYPERLINK("https%3A%2F%2Fwww.webofscience.com%2Fwos%2Fwoscc%2Ffull-record%2FWOS:000488990200001","View Full Record in Web of Science")</f>
        <v>View Full Record in Web of Science</v>
      </c>
    </row>
    <row r="959" spans="1:72" x14ac:dyDescent="0.25">
      <c r="A959" t="s">
        <v>72</v>
      </c>
      <c r="B959" t="s">
        <v>18087</v>
      </c>
      <c r="C959" t="s">
        <v>74</v>
      </c>
      <c r="D959" t="s">
        <v>74</v>
      </c>
      <c r="E959" t="s">
        <v>74</v>
      </c>
      <c r="F959" t="s">
        <v>18088</v>
      </c>
      <c r="G959" t="s">
        <v>74</v>
      </c>
      <c r="H959" t="s">
        <v>74</v>
      </c>
      <c r="I959" t="s">
        <v>18089</v>
      </c>
      <c r="J959" t="s">
        <v>18090</v>
      </c>
      <c r="K959" t="s">
        <v>74</v>
      </c>
      <c r="L959" t="s">
        <v>74</v>
      </c>
      <c r="M959" t="s">
        <v>78</v>
      </c>
      <c r="N959" t="s">
        <v>79</v>
      </c>
      <c r="O959" t="s">
        <v>74</v>
      </c>
      <c r="P959" t="s">
        <v>74</v>
      </c>
      <c r="Q959" t="s">
        <v>74</v>
      </c>
      <c r="R959" t="s">
        <v>74</v>
      </c>
      <c r="S959" t="s">
        <v>74</v>
      </c>
      <c r="T959" t="s">
        <v>18091</v>
      </c>
      <c r="U959" t="s">
        <v>18092</v>
      </c>
      <c r="V959" t="s">
        <v>18093</v>
      </c>
      <c r="W959" t="s">
        <v>18094</v>
      </c>
      <c r="X959" t="s">
        <v>18095</v>
      </c>
      <c r="Y959" t="s">
        <v>18096</v>
      </c>
      <c r="Z959" t="s">
        <v>18097</v>
      </c>
      <c r="AA959" t="s">
        <v>18098</v>
      </c>
      <c r="AB959" t="s">
        <v>74</v>
      </c>
      <c r="AC959" t="s">
        <v>74</v>
      </c>
      <c r="AD959" t="s">
        <v>74</v>
      </c>
      <c r="AE959" t="s">
        <v>74</v>
      </c>
      <c r="AF959" t="s">
        <v>74</v>
      </c>
      <c r="AG959">
        <v>53</v>
      </c>
      <c r="AH959">
        <v>157</v>
      </c>
      <c r="AI959">
        <v>165</v>
      </c>
      <c r="AJ959">
        <v>1</v>
      </c>
      <c r="AK959">
        <v>32</v>
      </c>
      <c r="AL959" t="s">
        <v>18099</v>
      </c>
      <c r="AM959" t="s">
        <v>275</v>
      </c>
      <c r="AN959" t="s">
        <v>18100</v>
      </c>
      <c r="AO959" t="s">
        <v>18101</v>
      </c>
      <c r="AP959" t="s">
        <v>74</v>
      </c>
      <c r="AQ959" t="s">
        <v>74</v>
      </c>
      <c r="AR959" t="s">
        <v>18102</v>
      </c>
      <c r="AS959" t="s">
        <v>18103</v>
      </c>
      <c r="AT959" t="s">
        <v>1888</v>
      </c>
      <c r="AU959">
        <v>2019</v>
      </c>
      <c r="AV959">
        <v>4</v>
      </c>
      <c r="AW959">
        <v>10</v>
      </c>
      <c r="AX959" t="s">
        <v>74</v>
      </c>
      <c r="AY959" t="s">
        <v>74</v>
      </c>
      <c r="AZ959" t="s">
        <v>74</v>
      </c>
      <c r="BA959" t="s">
        <v>74</v>
      </c>
      <c r="BB959">
        <v>611</v>
      </c>
      <c r="BC959">
        <v>617</v>
      </c>
      <c r="BD959" t="s">
        <v>74</v>
      </c>
      <c r="BE959" t="s">
        <v>18104</v>
      </c>
      <c r="BF959" t="str">
        <f>HYPERLINK("http://dx.doi.org/10.1302/2058-5241.4.190022","http://dx.doi.org/10.1302/2058-5241.4.190022")</f>
        <v>http://dx.doi.org/10.1302/2058-5241.4.190022</v>
      </c>
      <c r="BG959" t="s">
        <v>74</v>
      </c>
      <c r="BH959" t="s">
        <v>74</v>
      </c>
      <c r="BI959">
        <v>7</v>
      </c>
      <c r="BJ959" t="s">
        <v>443</v>
      </c>
      <c r="BK959" t="s">
        <v>182</v>
      </c>
      <c r="BL959" t="s">
        <v>443</v>
      </c>
      <c r="BM959" t="s">
        <v>18105</v>
      </c>
      <c r="BN959">
        <v>31754467</v>
      </c>
      <c r="BO959" t="s">
        <v>131</v>
      </c>
      <c r="BP959" t="s">
        <v>74</v>
      </c>
      <c r="BQ959" t="s">
        <v>74</v>
      </c>
      <c r="BR959" t="s">
        <v>105</v>
      </c>
      <c r="BS959" t="s">
        <v>18106</v>
      </c>
      <c r="BT959" t="str">
        <f>HYPERLINK("https%3A%2F%2Fwww.webofscience.com%2Fwos%2Fwoscc%2Ffull-record%2FWOS:000499172200005","View Full Record in Web of Science")</f>
        <v>View Full Record in Web of Science</v>
      </c>
    </row>
    <row r="960" spans="1:72" x14ac:dyDescent="0.25">
      <c r="A960" t="s">
        <v>72</v>
      </c>
      <c r="B960" t="s">
        <v>18107</v>
      </c>
      <c r="C960" t="s">
        <v>74</v>
      </c>
      <c r="D960" t="s">
        <v>74</v>
      </c>
      <c r="E960" t="s">
        <v>74</v>
      </c>
      <c r="F960" t="s">
        <v>18108</v>
      </c>
      <c r="G960" t="s">
        <v>74</v>
      </c>
      <c r="H960" t="s">
        <v>74</v>
      </c>
      <c r="I960" t="s">
        <v>18109</v>
      </c>
      <c r="J960" t="s">
        <v>18110</v>
      </c>
      <c r="K960" t="s">
        <v>74</v>
      </c>
      <c r="L960" t="s">
        <v>74</v>
      </c>
      <c r="M960" t="s">
        <v>78</v>
      </c>
      <c r="N960" t="s">
        <v>79</v>
      </c>
      <c r="O960" t="s">
        <v>74</v>
      </c>
      <c r="P960" t="s">
        <v>74</v>
      </c>
      <c r="Q960" t="s">
        <v>74</v>
      </c>
      <c r="R960" t="s">
        <v>74</v>
      </c>
      <c r="S960" t="s">
        <v>74</v>
      </c>
      <c r="T960" t="s">
        <v>18111</v>
      </c>
      <c r="U960" t="s">
        <v>18112</v>
      </c>
      <c r="V960" t="s">
        <v>18113</v>
      </c>
      <c r="W960" t="s">
        <v>18114</v>
      </c>
      <c r="X960" t="s">
        <v>18115</v>
      </c>
      <c r="Y960" t="s">
        <v>18116</v>
      </c>
      <c r="Z960" t="s">
        <v>18117</v>
      </c>
      <c r="AA960" t="s">
        <v>18118</v>
      </c>
      <c r="AB960" t="s">
        <v>18119</v>
      </c>
      <c r="AC960" t="s">
        <v>18120</v>
      </c>
      <c r="AD960" t="s">
        <v>18121</v>
      </c>
      <c r="AE960" t="s">
        <v>18122</v>
      </c>
      <c r="AF960" t="s">
        <v>74</v>
      </c>
      <c r="AG960">
        <v>112</v>
      </c>
      <c r="AH960">
        <v>19</v>
      </c>
      <c r="AI960">
        <v>20</v>
      </c>
      <c r="AJ960">
        <v>1</v>
      </c>
      <c r="AK960">
        <v>28</v>
      </c>
      <c r="AL960" t="s">
        <v>1605</v>
      </c>
      <c r="AM960" t="s">
        <v>1606</v>
      </c>
      <c r="AN960" t="s">
        <v>1607</v>
      </c>
      <c r="AO960" t="s">
        <v>18123</v>
      </c>
      <c r="AP960" t="s">
        <v>18124</v>
      </c>
      <c r="AQ960" t="s">
        <v>74</v>
      </c>
      <c r="AR960" t="s">
        <v>18125</v>
      </c>
      <c r="AS960" t="s">
        <v>18126</v>
      </c>
      <c r="AT960" t="s">
        <v>1888</v>
      </c>
      <c r="AU960">
        <v>2019</v>
      </c>
      <c r="AV960">
        <v>30</v>
      </c>
      <c r="AW960" t="s">
        <v>74</v>
      </c>
      <c r="AX960" t="s">
        <v>74</v>
      </c>
      <c r="AY960" t="s">
        <v>74</v>
      </c>
      <c r="AZ960" t="s">
        <v>74</v>
      </c>
      <c r="BA960" t="s">
        <v>74</v>
      </c>
      <c r="BB960">
        <v>89</v>
      </c>
      <c r="BC960">
        <v>111</v>
      </c>
      <c r="BD960" t="s">
        <v>74</v>
      </c>
      <c r="BE960" t="s">
        <v>18127</v>
      </c>
      <c r="BF960" t="str">
        <f>HYPERLINK("http://dx.doi.org/10.1016/j.plrev.2018.04.005","http://dx.doi.org/10.1016/j.plrev.2018.04.005")</f>
        <v>http://dx.doi.org/10.1016/j.plrev.2018.04.005</v>
      </c>
      <c r="BG960" t="s">
        <v>74</v>
      </c>
      <c r="BH960" t="s">
        <v>74</v>
      </c>
      <c r="BI960">
        <v>23</v>
      </c>
      <c r="BJ960" t="s">
        <v>18128</v>
      </c>
      <c r="BK960" t="s">
        <v>102</v>
      </c>
      <c r="BL960" t="s">
        <v>18129</v>
      </c>
      <c r="BM960" t="s">
        <v>18130</v>
      </c>
      <c r="BN960">
        <v>29903532</v>
      </c>
      <c r="BO960" t="s">
        <v>3048</v>
      </c>
      <c r="BP960" t="s">
        <v>74</v>
      </c>
      <c r="BQ960" t="s">
        <v>74</v>
      </c>
      <c r="BR960" t="s">
        <v>105</v>
      </c>
      <c r="BS960" t="s">
        <v>18131</v>
      </c>
      <c r="BT960" t="str">
        <f>HYPERLINK("https%3A%2F%2Fwww.webofscience.com%2Fwos%2Fwoscc%2Ffull-record%2FWOS:000504781800017","View Full Record in Web of Science")</f>
        <v>View Full Record in Web of Science</v>
      </c>
    </row>
    <row r="961" spans="1:72" x14ac:dyDescent="0.25">
      <c r="A961" t="s">
        <v>72</v>
      </c>
      <c r="B961" t="s">
        <v>18132</v>
      </c>
      <c r="C961" t="s">
        <v>74</v>
      </c>
      <c r="D961" t="s">
        <v>74</v>
      </c>
      <c r="E961" t="s">
        <v>74</v>
      </c>
      <c r="F961" t="s">
        <v>18133</v>
      </c>
      <c r="G961" t="s">
        <v>74</v>
      </c>
      <c r="H961" t="s">
        <v>74</v>
      </c>
      <c r="I961" t="s">
        <v>18134</v>
      </c>
      <c r="J961" t="s">
        <v>17379</v>
      </c>
      <c r="K961" t="s">
        <v>74</v>
      </c>
      <c r="L961" t="s">
        <v>74</v>
      </c>
      <c r="M961" t="s">
        <v>78</v>
      </c>
      <c r="N961" t="s">
        <v>79</v>
      </c>
      <c r="O961" t="s">
        <v>74</v>
      </c>
      <c r="P961" t="s">
        <v>74</v>
      </c>
      <c r="Q961" t="s">
        <v>74</v>
      </c>
      <c r="R961" t="s">
        <v>74</v>
      </c>
      <c r="S961" t="s">
        <v>74</v>
      </c>
      <c r="T961" t="s">
        <v>18135</v>
      </c>
      <c r="U961" t="s">
        <v>18136</v>
      </c>
      <c r="V961" t="s">
        <v>18137</v>
      </c>
      <c r="W961" t="s">
        <v>18138</v>
      </c>
      <c r="X961" t="s">
        <v>18139</v>
      </c>
      <c r="Y961" t="s">
        <v>18140</v>
      </c>
      <c r="Z961" t="s">
        <v>18141</v>
      </c>
      <c r="AA961" t="s">
        <v>18142</v>
      </c>
      <c r="AB961" t="s">
        <v>18143</v>
      </c>
      <c r="AC961" t="s">
        <v>18144</v>
      </c>
      <c r="AD961" t="s">
        <v>18145</v>
      </c>
      <c r="AE961" t="s">
        <v>18146</v>
      </c>
      <c r="AF961" t="s">
        <v>74</v>
      </c>
      <c r="AG961">
        <v>109</v>
      </c>
      <c r="AH961">
        <v>87</v>
      </c>
      <c r="AI961">
        <v>93</v>
      </c>
      <c r="AJ961">
        <v>7</v>
      </c>
      <c r="AK961">
        <v>97</v>
      </c>
      <c r="AL961" t="s">
        <v>836</v>
      </c>
      <c r="AM961" t="s">
        <v>532</v>
      </c>
      <c r="AN961" t="s">
        <v>837</v>
      </c>
      <c r="AO961" t="s">
        <v>17392</v>
      </c>
      <c r="AP961" t="s">
        <v>17393</v>
      </c>
      <c r="AQ961" t="s">
        <v>74</v>
      </c>
      <c r="AR961" t="s">
        <v>17394</v>
      </c>
      <c r="AS961" t="s">
        <v>17395</v>
      </c>
      <c r="AT961" t="s">
        <v>420</v>
      </c>
      <c r="AU961">
        <v>2019</v>
      </c>
      <c r="AV961">
        <v>104</v>
      </c>
      <c r="AW961" t="s">
        <v>74</v>
      </c>
      <c r="AX961" t="s">
        <v>74</v>
      </c>
      <c r="AY961" t="s">
        <v>74</v>
      </c>
      <c r="AZ961" t="s">
        <v>74</v>
      </c>
      <c r="BA961" t="s">
        <v>74</v>
      </c>
      <c r="BB961">
        <v>231</v>
      </c>
      <c r="BC961">
        <v>239</v>
      </c>
      <c r="BD961" t="s">
        <v>74</v>
      </c>
      <c r="BE961" t="s">
        <v>18147</v>
      </c>
      <c r="BF961" t="str">
        <f>HYPERLINK("http://dx.doi.org/10.1016/j.neubiorev.2019.07.014","http://dx.doi.org/10.1016/j.neubiorev.2019.07.014")</f>
        <v>http://dx.doi.org/10.1016/j.neubiorev.2019.07.014</v>
      </c>
      <c r="BG961" t="s">
        <v>74</v>
      </c>
      <c r="BH961" t="s">
        <v>74</v>
      </c>
      <c r="BI961">
        <v>9</v>
      </c>
      <c r="BJ961" t="s">
        <v>7456</v>
      </c>
      <c r="BK961" t="s">
        <v>102</v>
      </c>
      <c r="BL961" t="s">
        <v>7457</v>
      </c>
      <c r="BM961" t="s">
        <v>18148</v>
      </c>
      <c r="BN961">
        <v>31348963</v>
      </c>
      <c r="BO961" t="s">
        <v>309</v>
      </c>
      <c r="BP961" t="s">
        <v>74</v>
      </c>
      <c r="BQ961" t="s">
        <v>74</v>
      </c>
      <c r="BR961" t="s">
        <v>105</v>
      </c>
      <c r="BS961" t="s">
        <v>18149</v>
      </c>
      <c r="BT961" t="str">
        <f>HYPERLINK("https%3A%2F%2Fwww.webofscience.com%2Fwos%2Fwoscc%2Ffull-record%2FWOS:000483640500024","View Full Record in Web of Science")</f>
        <v>View Full Record in Web of Science</v>
      </c>
    </row>
    <row r="962" spans="1:72" x14ac:dyDescent="0.25">
      <c r="A962" t="s">
        <v>72</v>
      </c>
      <c r="B962" t="s">
        <v>18150</v>
      </c>
      <c r="C962" t="s">
        <v>74</v>
      </c>
      <c r="D962" t="s">
        <v>74</v>
      </c>
      <c r="E962" t="s">
        <v>74</v>
      </c>
      <c r="F962" t="s">
        <v>18151</v>
      </c>
      <c r="G962" t="s">
        <v>74</v>
      </c>
      <c r="H962" t="s">
        <v>74</v>
      </c>
      <c r="I962" t="s">
        <v>18152</v>
      </c>
      <c r="J962" t="s">
        <v>18153</v>
      </c>
      <c r="K962" t="s">
        <v>74</v>
      </c>
      <c r="L962" t="s">
        <v>74</v>
      </c>
      <c r="M962" t="s">
        <v>78</v>
      </c>
      <c r="N962" t="s">
        <v>79</v>
      </c>
      <c r="O962" t="s">
        <v>74</v>
      </c>
      <c r="P962" t="s">
        <v>74</v>
      </c>
      <c r="Q962" t="s">
        <v>74</v>
      </c>
      <c r="R962" t="s">
        <v>74</v>
      </c>
      <c r="S962" t="s">
        <v>74</v>
      </c>
      <c r="T962" t="s">
        <v>18154</v>
      </c>
      <c r="U962" t="s">
        <v>18155</v>
      </c>
      <c r="V962" t="s">
        <v>18156</v>
      </c>
      <c r="W962" t="s">
        <v>18157</v>
      </c>
      <c r="X962" t="s">
        <v>18158</v>
      </c>
      <c r="Y962" t="s">
        <v>18159</v>
      </c>
      <c r="Z962" t="s">
        <v>18160</v>
      </c>
      <c r="AA962" t="s">
        <v>18161</v>
      </c>
      <c r="AB962" t="s">
        <v>18162</v>
      </c>
      <c r="AC962" t="s">
        <v>18163</v>
      </c>
      <c r="AD962" t="s">
        <v>18164</v>
      </c>
      <c r="AE962" t="s">
        <v>18165</v>
      </c>
      <c r="AF962" t="s">
        <v>74</v>
      </c>
      <c r="AG962">
        <v>110</v>
      </c>
      <c r="AH962">
        <v>7</v>
      </c>
      <c r="AI962">
        <v>7</v>
      </c>
      <c r="AJ962">
        <v>2</v>
      </c>
      <c r="AK962">
        <v>18</v>
      </c>
      <c r="AL962" t="s">
        <v>120</v>
      </c>
      <c r="AM962" t="s">
        <v>121</v>
      </c>
      <c r="AN962" t="s">
        <v>122</v>
      </c>
      <c r="AO962" t="s">
        <v>74</v>
      </c>
      <c r="AP962" t="s">
        <v>18166</v>
      </c>
      <c r="AQ962" t="s">
        <v>74</v>
      </c>
      <c r="AR962" t="s">
        <v>18167</v>
      </c>
      <c r="AS962" t="s">
        <v>18168</v>
      </c>
      <c r="AT962" t="s">
        <v>420</v>
      </c>
      <c r="AU962">
        <v>2019</v>
      </c>
      <c r="AV962">
        <v>3</v>
      </c>
      <c r="AW962">
        <v>3</v>
      </c>
      <c r="AX962" t="s">
        <v>74</v>
      </c>
      <c r="AY962" t="s">
        <v>74</v>
      </c>
      <c r="AZ962" t="s">
        <v>74</v>
      </c>
      <c r="BA962" t="s">
        <v>74</v>
      </c>
      <c r="BB962" t="s">
        <v>74</v>
      </c>
      <c r="BC962" t="s">
        <v>74</v>
      </c>
      <c r="BD962">
        <v>47</v>
      </c>
      <c r="BE962" t="s">
        <v>18169</v>
      </c>
      <c r="BF962" t="str">
        <f>HYPERLINK("http://dx.doi.org/10.3390/mti3030047","http://dx.doi.org/10.3390/mti3030047")</f>
        <v>http://dx.doi.org/10.3390/mti3030047</v>
      </c>
      <c r="BG962" t="s">
        <v>74</v>
      </c>
      <c r="BH962" t="s">
        <v>74</v>
      </c>
      <c r="BI962">
        <v>22</v>
      </c>
      <c r="BJ962" t="s">
        <v>18170</v>
      </c>
      <c r="BK962" t="s">
        <v>155</v>
      </c>
      <c r="BL962" t="s">
        <v>6189</v>
      </c>
      <c r="BM962" t="s">
        <v>18171</v>
      </c>
      <c r="BN962" t="s">
        <v>74</v>
      </c>
      <c r="BO962" t="s">
        <v>1374</v>
      </c>
      <c r="BP962" t="s">
        <v>74</v>
      </c>
      <c r="BQ962" t="s">
        <v>74</v>
      </c>
      <c r="BR962" t="s">
        <v>105</v>
      </c>
      <c r="BS962" t="s">
        <v>18172</v>
      </c>
      <c r="BT962" t="str">
        <f>HYPERLINK("https%3A%2F%2Fwww.webofscience.com%2Fwos%2Fwoscc%2Ffull-record%2FWOS:000623568900003","View Full Record in Web of Science")</f>
        <v>View Full Record in Web of Science</v>
      </c>
    </row>
    <row r="963" spans="1:72" x14ac:dyDescent="0.25">
      <c r="A963" t="s">
        <v>72</v>
      </c>
      <c r="B963" t="s">
        <v>18173</v>
      </c>
      <c r="C963" t="s">
        <v>74</v>
      </c>
      <c r="D963" t="s">
        <v>74</v>
      </c>
      <c r="E963" t="s">
        <v>74</v>
      </c>
      <c r="F963" t="s">
        <v>18174</v>
      </c>
      <c r="G963" t="s">
        <v>74</v>
      </c>
      <c r="H963" t="s">
        <v>74</v>
      </c>
      <c r="I963" t="s">
        <v>18175</v>
      </c>
      <c r="J963" t="s">
        <v>571</v>
      </c>
      <c r="K963" t="s">
        <v>74</v>
      </c>
      <c r="L963" t="s">
        <v>74</v>
      </c>
      <c r="M963" t="s">
        <v>78</v>
      </c>
      <c r="N963" t="s">
        <v>79</v>
      </c>
      <c r="O963" t="s">
        <v>74</v>
      </c>
      <c r="P963" t="s">
        <v>74</v>
      </c>
      <c r="Q963" t="s">
        <v>74</v>
      </c>
      <c r="R963" t="s">
        <v>74</v>
      </c>
      <c r="S963" t="s">
        <v>74</v>
      </c>
      <c r="T963" t="s">
        <v>18176</v>
      </c>
      <c r="U963" t="s">
        <v>18177</v>
      </c>
      <c r="V963" t="s">
        <v>18178</v>
      </c>
      <c r="W963" t="s">
        <v>18179</v>
      </c>
      <c r="X963" t="s">
        <v>18180</v>
      </c>
      <c r="Y963" t="s">
        <v>18181</v>
      </c>
      <c r="Z963" t="s">
        <v>18182</v>
      </c>
      <c r="AA963" t="s">
        <v>18183</v>
      </c>
      <c r="AB963" t="s">
        <v>18184</v>
      </c>
      <c r="AC963" t="s">
        <v>18185</v>
      </c>
      <c r="AD963" t="s">
        <v>18186</v>
      </c>
      <c r="AE963" t="s">
        <v>18187</v>
      </c>
      <c r="AF963" t="s">
        <v>74</v>
      </c>
      <c r="AG963">
        <v>99</v>
      </c>
      <c r="AH963">
        <v>17</v>
      </c>
      <c r="AI963">
        <v>20</v>
      </c>
      <c r="AJ963">
        <v>0</v>
      </c>
      <c r="AK963">
        <v>32</v>
      </c>
      <c r="AL963" t="s">
        <v>583</v>
      </c>
      <c r="AM963" t="s">
        <v>275</v>
      </c>
      <c r="AN963" t="s">
        <v>584</v>
      </c>
      <c r="AO963" t="s">
        <v>585</v>
      </c>
      <c r="AP963" t="s">
        <v>74</v>
      </c>
      <c r="AQ963" t="s">
        <v>74</v>
      </c>
      <c r="AR963" t="s">
        <v>571</v>
      </c>
      <c r="AS963" t="s">
        <v>586</v>
      </c>
      <c r="AT963" t="s">
        <v>420</v>
      </c>
      <c r="AU963">
        <v>2019</v>
      </c>
      <c r="AV963">
        <v>9</v>
      </c>
      <c r="AW963">
        <v>9</v>
      </c>
      <c r="AX963" t="s">
        <v>74</v>
      </c>
      <c r="AY963" t="s">
        <v>74</v>
      </c>
      <c r="AZ963" t="s">
        <v>74</v>
      </c>
      <c r="BA963" t="s">
        <v>74</v>
      </c>
      <c r="BB963" t="s">
        <v>74</v>
      </c>
      <c r="BC963" t="s">
        <v>74</v>
      </c>
      <c r="BD963" t="s">
        <v>18188</v>
      </c>
      <c r="BE963" t="s">
        <v>18189</v>
      </c>
      <c r="BF963" t="str">
        <f>HYPERLINK("http://dx.doi.org/10.1136/bmjopen-2019-032413","http://dx.doi.org/10.1136/bmjopen-2019-032413")</f>
        <v>http://dx.doi.org/10.1136/bmjopen-2019-032413</v>
      </c>
      <c r="BG963" t="s">
        <v>74</v>
      </c>
      <c r="BH963" t="s">
        <v>74</v>
      </c>
      <c r="BI963">
        <v>8</v>
      </c>
      <c r="BJ963" t="s">
        <v>128</v>
      </c>
      <c r="BK963" t="s">
        <v>102</v>
      </c>
      <c r="BL963" t="s">
        <v>129</v>
      </c>
      <c r="BM963" t="s">
        <v>18190</v>
      </c>
      <c r="BN963">
        <v>31562163</v>
      </c>
      <c r="BO963" t="s">
        <v>355</v>
      </c>
      <c r="BP963" t="s">
        <v>74</v>
      </c>
      <c r="BQ963" t="s">
        <v>74</v>
      </c>
      <c r="BR963" t="s">
        <v>105</v>
      </c>
      <c r="BS963" t="s">
        <v>18191</v>
      </c>
      <c r="BT963" t="str">
        <f>HYPERLINK("https%3A%2F%2Fwww.webofscience.com%2Fwos%2Fwoscc%2Ffull-record%2FWOS:000497787600411","View Full Record in Web of Science")</f>
        <v>View Full Record in Web of Science</v>
      </c>
    </row>
    <row r="964" spans="1:72" x14ac:dyDescent="0.25">
      <c r="A964" t="s">
        <v>72</v>
      </c>
      <c r="B964" t="s">
        <v>18192</v>
      </c>
      <c r="C964" t="s">
        <v>74</v>
      </c>
      <c r="D964" t="s">
        <v>74</v>
      </c>
      <c r="E964" t="s">
        <v>74</v>
      </c>
      <c r="F964" t="s">
        <v>18193</v>
      </c>
      <c r="G964" t="s">
        <v>74</v>
      </c>
      <c r="H964" t="s">
        <v>74</v>
      </c>
      <c r="I964" t="s">
        <v>18194</v>
      </c>
      <c r="J964" t="s">
        <v>162</v>
      </c>
      <c r="K964" t="s">
        <v>74</v>
      </c>
      <c r="L964" t="s">
        <v>74</v>
      </c>
      <c r="M964" t="s">
        <v>78</v>
      </c>
      <c r="N964" t="s">
        <v>79</v>
      </c>
      <c r="O964" t="s">
        <v>74</v>
      </c>
      <c r="P964" t="s">
        <v>74</v>
      </c>
      <c r="Q964" t="s">
        <v>74</v>
      </c>
      <c r="R964" t="s">
        <v>74</v>
      </c>
      <c r="S964" t="s">
        <v>74</v>
      </c>
      <c r="T964" t="s">
        <v>18195</v>
      </c>
      <c r="U964" t="s">
        <v>18196</v>
      </c>
      <c r="V964" t="s">
        <v>18197</v>
      </c>
      <c r="W964" t="s">
        <v>18198</v>
      </c>
      <c r="X964" t="s">
        <v>8738</v>
      </c>
      <c r="Y964" t="s">
        <v>18199</v>
      </c>
      <c r="Z964" t="s">
        <v>8740</v>
      </c>
      <c r="AA964" t="s">
        <v>18200</v>
      </c>
      <c r="AB964" t="s">
        <v>18201</v>
      </c>
      <c r="AC964" t="s">
        <v>18202</v>
      </c>
      <c r="AD964" t="s">
        <v>18203</v>
      </c>
      <c r="AE964" t="s">
        <v>18204</v>
      </c>
      <c r="AF964" t="s">
        <v>74</v>
      </c>
      <c r="AG964">
        <v>87</v>
      </c>
      <c r="AH964">
        <v>272</v>
      </c>
      <c r="AI964">
        <v>306</v>
      </c>
      <c r="AJ964">
        <v>137</v>
      </c>
      <c r="AK964">
        <v>1088</v>
      </c>
      <c r="AL964" t="s">
        <v>18205</v>
      </c>
      <c r="AM964" t="s">
        <v>275</v>
      </c>
      <c r="AN964" t="s">
        <v>997</v>
      </c>
      <c r="AO964" t="s">
        <v>175</v>
      </c>
      <c r="AP964" t="s">
        <v>176</v>
      </c>
      <c r="AQ964" t="s">
        <v>74</v>
      </c>
      <c r="AR964" t="s">
        <v>177</v>
      </c>
      <c r="AS964" t="s">
        <v>178</v>
      </c>
      <c r="AT964" t="s">
        <v>7892</v>
      </c>
      <c r="AU964">
        <v>2019</v>
      </c>
      <c r="AV964">
        <v>32</v>
      </c>
      <c r="AW964">
        <v>1</v>
      </c>
      <c r="AX964" t="s">
        <v>74</v>
      </c>
      <c r="AY964" t="s">
        <v>74</v>
      </c>
      <c r="AZ964" t="s">
        <v>74</v>
      </c>
      <c r="BA964" t="s">
        <v>74</v>
      </c>
      <c r="BB964" t="s">
        <v>74</v>
      </c>
      <c r="BC964" t="s">
        <v>74</v>
      </c>
      <c r="BD964">
        <v>74</v>
      </c>
      <c r="BE964" t="s">
        <v>18206</v>
      </c>
      <c r="BF964" t="str">
        <f>HYPERLINK("http://dx.doi.org/10.1186/s10033-019-0389-8","http://dx.doi.org/10.1186/s10033-019-0389-8")</f>
        <v>http://dx.doi.org/10.1186/s10033-019-0389-8</v>
      </c>
      <c r="BG964" t="s">
        <v>74</v>
      </c>
      <c r="BH964" t="s">
        <v>74</v>
      </c>
      <c r="BI964">
        <v>11</v>
      </c>
      <c r="BJ964" t="s">
        <v>181</v>
      </c>
      <c r="BK964" t="s">
        <v>182</v>
      </c>
      <c r="BL964" t="s">
        <v>183</v>
      </c>
      <c r="BM964" t="s">
        <v>18207</v>
      </c>
      <c r="BN964" t="s">
        <v>74</v>
      </c>
      <c r="BO964" t="s">
        <v>185</v>
      </c>
      <c r="BP964" t="s">
        <v>869</v>
      </c>
      <c r="BQ964" t="s">
        <v>870</v>
      </c>
      <c r="BR964" t="s">
        <v>105</v>
      </c>
      <c r="BS964" t="s">
        <v>18208</v>
      </c>
      <c r="BT964" t="str">
        <f>HYPERLINK("https%3A%2F%2Fwww.webofscience.com%2Fwos%2Fwoscc%2Ffull-record%2FWOS:000483532200001","View Full Record in Web of Science")</f>
        <v>View Full Record in Web of Science</v>
      </c>
    </row>
    <row r="965" spans="1:72" x14ac:dyDescent="0.25">
      <c r="A965" t="s">
        <v>72</v>
      </c>
      <c r="B965" t="s">
        <v>18209</v>
      </c>
      <c r="C965" t="s">
        <v>74</v>
      </c>
      <c r="D965" t="s">
        <v>74</v>
      </c>
      <c r="E965" t="s">
        <v>74</v>
      </c>
      <c r="F965" t="s">
        <v>18210</v>
      </c>
      <c r="G965" t="s">
        <v>74</v>
      </c>
      <c r="H965" t="s">
        <v>74</v>
      </c>
      <c r="I965" t="s">
        <v>18211</v>
      </c>
      <c r="J965" t="s">
        <v>1231</v>
      </c>
      <c r="K965" t="s">
        <v>74</v>
      </c>
      <c r="L965" t="s">
        <v>74</v>
      </c>
      <c r="M965" t="s">
        <v>78</v>
      </c>
      <c r="N965" t="s">
        <v>79</v>
      </c>
      <c r="O965" t="s">
        <v>74</v>
      </c>
      <c r="P965" t="s">
        <v>74</v>
      </c>
      <c r="Q965" t="s">
        <v>74</v>
      </c>
      <c r="R965" t="s">
        <v>74</v>
      </c>
      <c r="S965" t="s">
        <v>74</v>
      </c>
      <c r="T965" t="s">
        <v>18212</v>
      </c>
      <c r="U965" t="s">
        <v>18213</v>
      </c>
      <c r="V965" t="s">
        <v>18214</v>
      </c>
      <c r="W965" t="s">
        <v>18215</v>
      </c>
      <c r="X965" t="s">
        <v>13512</v>
      </c>
      <c r="Y965" t="s">
        <v>18216</v>
      </c>
      <c r="Z965" t="s">
        <v>18217</v>
      </c>
      <c r="AA965" t="s">
        <v>18218</v>
      </c>
      <c r="AB965" t="s">
        <v>74</v>
      </c>
      <c r="AC965" t="s">
        <v>74</v>
      </c>
      <c r="AD965" t="s">
        <v>74</v>
      </c>
      <c r="AE965" t="s">
        <v>74</v>
      </c>
      <c r="AF965" t="s">
        <v>74</v>
      </c>
      <c r="AG965">
        <v>108</v>
      </c>
      <c r="AH965">
        <v>62</v>
      </c>
      <c r="AI965">
        <v>73</v>
      </c>
      <c r="AJ965">
        <v>2</v>
      </c>
      <c r="AK965">
        <v>88</v>
      </c>
      <c r="AL965" t="s">
        <v>392</v>
      </c>
      <c r="AM965" t="s">
        <v>393</v>
      </c>
      <c r="AN965" t="s">
        <v>394</v>
      </c>
      <c r="AO965" t="s">
        <v>1244</v>
      </c>
      <c r="AP965" t="s">
        <v>74</v>
      </c>
      <c r="AQ965" t="s">
        <v>74</v>
      </c>
      <c r="AR965" t="s">
        <v>1245</v>
      </c>
      <c r="AS965" t="s">
        <v>1246</v>
      </c>
      <c r="AT965" t="s">
        <v>1484</v>
      </c>
      <c r="AU965">
        <v>2019</v>
      </c>
      <c r="AV965">
        <v>13</v>
      </c>
      <c r="AW965" t="s">
        <v>74</v>
      </c>
      <c r="AX965" t="s">
        <v>74</v>
      </c>
      <c r="AY965" t="s">
        <v>74</v>
      </c>
      <c r="AZ965" t="s">
        <v>74</v>
      </c>
      <c r="BA965" t="s">
        <v>74</v>
      </c>
      <c r="BB965" t="s">
        <v>74</v>
      </c>
      <c r="BC965" t="s">
        <v>74</v>
      </c>
      <c r="BD965">
        <v>63</v>
      </c>
      <c r="BE965" t="s">
        <v>18219</v>
      </c>
      <c r="BF965" t="str">
        <f>HYPERLINK("http://dx.doi.org/10.3389/fnbot.2019.00063","http://dx.doi.org/10.3389/fnbot.2019.00063")</f>
        <v>http://dx.doi.org/10.3389/fnbot.2019.00063</v>
      </c>
      <c r="BG965" t="s">
        <v>74</v>
      </c>
      <c r="BH965" t="s">
        <v>74</v>
      </c>
      <c r="BI965">
        <v>16</v>
      </c>
      <c r="BJ965" t="s">
        <v>1249</v>
      </c>
      <c r="BK965" t="s">
        <v>102</v>
      </c>
      <c r="BL965" t="s">
        <v>1250</v>
      </c>
      <c r="BM965" t="s">
        <v>18220</v>
      </c>
      <c r="BN965">
        <v>31456681</v>
      </c>
      <c r="BO965" t="s">
        <v>355</v>
      </c>
      <c r="BP965" t="s">
        <v>74</v>
      </c>
      <c r="BQ965" t="s">
        <v>74</v>
      </c>
      <c r="BR965" t="s">
        <v>105</v>
      </c>
      <c r="BS965" t="s">
        <v>18221</v>
      </c>
      <c r="BT965" t="str">
        <f>HYPERLINK("https%3A%2F%2Fwww.webofscience.com%2Fwos%2Fwoscc%2Ffull-record%2FWOS:000481662400001","View Full Record in Web of Science")</f>
        <v>View Full Record in Web of Science</v>
      </c>
    </row>
    <row r="966" spans="1:72" x14ac:dyDescent="0.25">
      <c r="A966" t="s">
        <v>72</v>
      </c>
      <c r="B966" t="s">
        <v>18222</v>
      </c>
      <c r="C966" t="s">
        <v>74</v>
      </c>
      <c r="D966" t="s">
        <v>74</v>
      </c>
      <c r="E966" t="s">
        <v>74</v>
      </c>
      <c r="F966" t="s">
        <v>18223</v>
      </c>
      <c r="G966" t="s">
        <v>74</v>
      </c>
      <c r="H966" t="s">
        <v>74</v>
      </c>
      <c r="I966" t="s">
        <v>18224</v>
      </c>
      <c r="J966" t="s">
        <v>18225</v>
      </c>
      <c r="K966" t="s">
        <v>74</v>
      </c>
      <c r="L966" t="s">
        <v>74</v>
      </c>
      <c r="M966" t="s">
        <v>78</v>
      </c>
      <c r="N966" t="s">
        <v>79</v>
      </c>
      <c r="O966" t="s">
        <v>74</v>
      </c>
      <c r="P966" t="s">
        <v>74</v>
      </c>
      <c r="Q966" t="s">
        <v>74</v>
      </c>
      <c r="R966" t="s">
        <v>74</v>
      </c>
      <c r="S966" t="s">
        <v>74</v>
      </c>
      <c r="T966" t="s">
        <v>18226</v>
      </c>
      <c r="U966" t="s">
        <v>18227</v>
      </c>
      <c r="V966" t="s">
        <v>18228</v>
      </c>
      <c r="W966" t="s">
        <v>18229</v>
      </c>
      <c r="X966" t="s">
        <v>18230</v>
      </c>
      <c r="Y966" t="s">
        <v>18231</v>
      </c>
      <c r="Z966" t="s">
        <v>18232</v>
      </c>
      <c r="AA966" t="s">
        <v>18233</v>
      </c>
      <c r="AB966" t="s">
        <v>18234</v>
      </c>
      <c r="AC966" t="s">
        <v>18235</v>
      </c>
      <c r="AD966" t="s">
        <v>18236</v>
      </c>
      <c r="AE966" t="s">
        <v>18237</v>
      </c>
      <c r="AF966" t="s">
        <v>74</v>
      </c>
      <c r="AG966">
        <v>143</v>
      </c>
      <c r="AH966">
        <v>140</v>
      </c>
      <c r="AI966">
        <v>156</v>
      </c>
      <c r="AJ966">
        <v>5</v>
      </c>
      <c r="AK966">
        <v>82</v>
      </c>
      <c r="AL966" t="s">
        <v>4915</v>
      </c>
      <c r="AM966" t="s">
        <v>532</v>
      </c>
      <c r="AN966" t="s">
        <v>4916</v>
      </c>
      <c r="AO966" t="s">
        <v>18238</v>
      </c>
      <c r="AP966" t="s">
        <v>18239</v>
      </c>
      <c r="AQ966" t="s">
        <v>74</v>
      </c>
      <c r="AR966" t="s">
        <v>18225</v>
      </c>
      <c r="AS966" t="s">
        <v>18240</v>
      </c>
      <c r="AT966" t="s">
        <v>634</v>
      </c>
      <c r="AU966">
        <v>2019</v>
      </c>
      <c r="AV966">
        <v>142</v>
      </c>
      <c r="AW966" t="s">
        <v>74</v>
      </c>
      <c r="AX966">
        <v>8</v>
      </c>
      <c r="AY966" t="s">
        <v>74</v>
      </c>
      <c r="AZ966" t="s">
        <v>74</v>
      </c>
      <c r="BA966" t="s">
        <v>74</v>
      </c>
      <c r="BB966">
        <v>2182</v>
      </c>
      <c r="BC966">
        <v>2197</v>
      </c>
      <c r="BD966" t="s">
        <v>74</v>
      </c>
      <c r="BE966" t="s">
        <v>18241</v>
      </c>
      <c r="BF966" t="str">
        <f>HYPERLINK("http://dx.doi.org/10.1093/brain/awz181","http://dx.doi.org/10.1093/brain/awz181")</f>
        <v>http://dx.doi.org/10.1093/brain/awz181</v>
      </c>
      <c r="BG966" t="s">
        <v>74</v>
      </c>
      <c r="BH966" t="s">
        <v>74</v>
      </c>
      <c r="BI966">
        <v>16</v>
      </c>
      <c r="BJ966" t="s">
        <v>400</v>
      </c>
      <c r="BK966" t="s">
        <v>102</v>
      </c>
      <c r="BL966" t="s">
        <v>375</v>
      </c>
      <c r="BM966" t="s">
        <v>18242</v>
      </c>
      <c r="BN966">
        <v>31257411</v>
      </c>
      <c r="BO966" t="s">
        <v>18243</v>
      </c>
      <c r="BP966" t="s">
        <v>74</v>
      </c>
      <c r="BQ966" t="s">
        <v>74</v>
      </c>
      <c r="BR966" t="s">
        <v>105</v>
      </c>
      <c r="BS966" t="s">
        <v>18244</v>
      </c>
      <c r="BT966" t="str">
        <f>HYPERLINK("https%3A%2F%2Fwww.webofscience.com%2Fwos%2Fwoscc%2Ffull-record%2FWOS:000493084400013","View Full Record in Web of Science")</f>
        <v>View Full Record in Web of Science</v>
      </c>
    </row>
    <row r="967" spans="1:72" x14ac:dyDescent="0.25">
      <c r="A967" t="s">
        <v>72</v>
      </c>
      <c r="B967" t="s">
        <v>18245</v>
      </c>
      <c r="C967" t="s">
        <v>74</v>
      </c>
      <c r="D967" t="s">
        <v>74</v>
      </c>
      <c r="E967" t="s">
        <v>74</v>
      </c>
      <c r="F967" t="s">
        <v>18246</v>
      </c>
      <c r="G967" t="s">
        <v>74</v>
      </c>
      <c r="H967" t="s">
        <v>74</v>
      </c>
      <c r="I967" t="s">
        <v>18247</v>
      </c>
      <c r="J967" t="s">
        <v>2091</v>
      </c>
      <c r="K967" t="s">
        <v>74</v>
      </c>
      <c r="L967" t="s">
        <v>74</v>
      </c>
      <c r="M967" t="s">
        <v>78</v>
      </c>
      <c r="N967" t="s">
        <v>79</v>
      </c>
      <c r="O967" t="s">
        <v>74</v>
      </c>
      <c r="P967" t="s">
        <v>74</v>
      </c>
      <c r="Q967" t="s">
        <v>74</v>
      </c>
      <c r="R967" t="s">
        <v>74</v>
      </c>
      <c r="S967" t="s">
        <v>74</v>
      </c>
      <c r="T967" t="s">
        <v>18248</v>
      </c>
      <c r="U967" t="s">
        <v>18249</v>
      </c>
      <c r="V967" t="s">
        <v>18250</v>
      </c>
      <c r="W967" t="s">
        <v>18251</v>
      </c>
      <c r="X967" t="s">
        <v>18252</v>
      </c>
      <c r="Y967" t="s">
        <v>18253</v>
      </c>
      <c r="Z967" t="s">
        <v>18254</v>
      </c>
      <c r="AA967" t="s">
        <v>18255</v>
      </c>
      <c r="AB967" t="s">
        <v>14549</v>
      </c>
      <c r="AC967" t="s">
        <v>18256</v>
      </c>
      <c r="AD967" t="s">
        <v>18256</v>
      </c>
      <c r="AE967" t="s">
        <v>18257</v>
      </c>
      <c r="AF967" t="s">
        <v>74</v>
      </c>
      <c r="AG967">
        <v>222</v>
      </c>
      <c r="AH967">
        <v>80</v>
      </c>
      <c r="AI967">
        <v>82</v>
      </c>
      <c r="AJ967">
        <v>3</v>
      </c>
      <c r="AK967">
        <v>73</v>
      </c>
      <c r="AL967" t="s">
        <v>120</v>
      </c>
      <c r="AM967" t="s">
        <v>121</v>
      </c>
      <c r="AN967" t="s">
        <v>122</v>
      </c>
      <c r="AO967" t="s">
        <v>74</v>
      </c>
      <c r="AP967" t="s">
        <v>2104</v>
      </c>
      <c r="AQ967" t="s">
        <v>74</v>
      </c>
      <c r="AR967" t="s">
        <v>2105</v>
      </c>
      <c r="AS967" t="s">
        <v>2106</v>
      </c>
      <c r="AT967" t="s">
        <v>16960</v>
      </c>
      <c r="AU967">
        <v>2019</v>
      </c>
      <c r="AV967">
        <v>9</v>
      </c>
      <c r="AW967">
        <v>15</v>
      </c>
      <c r="AX967" t="s">
        <v>74</v>
      </c>
      <c r="AY967" t="s">
        <v>74</v>
      </c>
      <c r="AZ967" t="s">
        <v>74</v>
      </c>
      <c r="BA967" t="s">
        <v>74</v>
      </c>
      <c r="BB967" t="s">
        <v>74</v>
      </c>
      <c r="BC967" t="s">
        <v>74</v>
      </c>
      <c r="BD967">
        <v>3183</v>
      </c>
      <c r="BE967" t="s">
        <v>18258</v>
      </c>
      <c r="BF967" t="str">
        <f>HYPERLINK("http://dx.doi.org/10.3390/app9153183","http://dx.doi.org/10.3390/app9153183")</f>
        <v>http://dx.doi.org/10.3390/app9153183</v>
      </c>
      <c r="BG967" t="s">
        <v>74</v>
      </c>
      <c r="BH967" t="s">
        <v>74</v>
      </c>
      <c r="BI967">
        <v>29</v>
      </c>
      <c r="BJ967" t="s">
        <v>2109</v>
      </c>
      <c r="BK967" t="s">
        <v>102</v>
      </c>
      <c r="BL967" t="s">
        <v>2110</v>
      </c>
      <c r="BM967" t="s">
        <v>18259</v>
      </c>
      <c r="BN967" t="s">
        <v>74</v>
      </c>
      <c r="BO967" t="s">
        <v>185</v>
      </c>
      <c r="BP967" t="s">
        <v>74</v>
      </c>
      <c r="BQ967" t="s">
        <v>74</v>
      </c>
      <c r="BR967" t="s">
        <v>105</v>
      </c>
      <c r="BS967" t="s">
        <v>18260</v>
      </c>
      <c r="BT967" t="str">
        <f>HYPERLINK("https%3A%2F%2Fwww.webofscience.com%2Fwos%2Fwoscc%2Ffull-record%2FWOS:000482134500238","View Full Record in Web of Science")</f>
        <v>View Full Record in Web of Science</v>
      </c>
    </row>
    <row r="968" spans="1:72" x14ac:dyDescent="0.25">
      <c r="A968" t="s">
        <v>72</v>
      </c>
      <c r="B968" t="s">
        <v>18261</v>
      </c>
      <c r="C968" t="s">
        <v>74</v>
      </c>
      <c r="D968" t="s">
        <v>74</v>
      </c>
      <c r="E968" t="s">
        <v>74</v>
      </c>
      <c r="F968" t="s">
        <v>18262</v>
      </c>
      <c r="G968" t="s">
        <v>74</v>
      </c>
      <c r="H968" t="s">
        <v>74</v>
      </c>
      <c r="I968" t="s">
        <v>18263</v>
      </c>
      <c r="J968" t="s">
        <v>2091</v>
      </c>
      <c r="K968" t="s">
        <v>74</v>
      </c>
      <c r="L968" t="s">
        <v>74</v>
      </c>
      <c r="M968" t="s">
        <v>78</v>
      </c>
      <c r="N968" t="s">
        <v>79</v>
      </c>
      <c r="O968" t="s">
        <v>74</v>
      </c>
      <c r="P968" t="s">
        <v>74</v>
      </c>
      <c r="Q968" t="s">
        <v>74</v>
      </c>
      <c r="R968" t="s">
        <v>74</v>
      </c>
      <c r="S968" t="s">
        <v>74</v>
      </c>
      <c r="T968" t="s">
        <v>18264</v>
      </c>
      <c r="U968" t="s">
        <v>18265</v>
      </c>
      <c r="V968" t="s">
        <v>18266</v>
      </c>
      <c r="W968" t="s">
        <v>18267</v>
      </c>
      <c r="X968" t="s">
        <v>10196</v>
      </c>
      <c r="Y968" t="s">
        <v>18268</v>
      </c>
      <c r="Z968" t="s">
        <v>18269</v>
      </c>
      <c r="AA968" t="s">
        <v>18270</v>
      </c>
      <c r="AB968" t="s">
        <v>18271</v>
      </c>
      <c r="AC968" t="s">
        <v>18272</v>
      </c>
      <c r="AD968" t="s">
        <v>18273</v>
      </c>
      <c r="AE968" t="s">
        <v>18274</v>
      </c>
      <c r="AF968" t="s">
        <v>74</v>
      </c>
      <c r="AG968">
        <v>117</v>
      </c>
      <c r="AH968">
        <v>32</v>
      </c>
      <c r="AI968">
        <v>34</v>
      </c>
      <c r="AJ968">
        <v>20</v>
      </c>
      <c r="AK968">
        <v>275</v>
      </c>
      <c r="AL968" t="s">
        <v>120</v>
      </c>
      <c r="AM968" t="s">
        <v>121</v>
      </c>
      <c r="AN968" t="s">
        <v>1221</v>
      </c>
      <c r="AO968" t="s">
        <v>74</v>
      </c>
      <c r="AP968" t="s">
        <v>2104</v>
      </c>
      <c r="AQ968" t="s">
        <v>74</v>
      </c>
      <c r="AR968" t="s">
        <v>2105</v>
      </c>
      <c r="AS968" t="s">
        <v>2106</v>
      </c>
      <c r="AT968" t="s">
        <v>16960</v>
      </c>
      <c r="AU968">
        <v>2019</v>
      </c>
      <c r="AV968">
        <v>9</v>
      </c>
      <c r="AW968">
        <v>15</v>
      </c>
      <c r="AX968" t="s">
        <v>74</v>
      </c>
      <c r="AY968" t="s">
        <v>74</v>
      </c>
      <c r="AZ968" t="s">
        <v>74</v>
      </c>
      <c r="BA968" t="s">
        <v>74</v>
      </c>
      <c r="BB968" t="s">
        <v>74</v>
      </c>
      <c r="BC968" t="s">
        <v>74</v>
      </c>
      <c r="BD968">
        <v>3102</v>
      </c>
      <c r="BE968" t="s">
        <v>18275</v>
      </c>
      <c r="BF968" t="str">
        <f>HYPERLINK("http://dx.doi.org/10.3390/app9153102","http://dx.doi.org/10.3390/app9153102")</f>
        <v>http://dx.doi.org/10.3390/app9153102</v>
      </c>
      <c r="BG968" t="s">
        <v>74</v>
      </c>
      <c r="BH968" t="s">
        <v>74</v>
      </c>
      <c r="BI968">
        <v>25</v>
      </c>
      <c r="BJ968" t="s">
        <v>2109</v>
      </c>
      <c r="BK968" t="s">
        <v>182</v>
      </c>
      <c r="BL968" t="s">
        <v>2110</v>
      </c>
      <c r="BM968" t="s">
        <v>18259</v>
      </c>
      <c r="BN968" t="s">
        <v>74</v>
      </c>
      <c r="BO968" t="s">
        <v>185</v>
      </c>
      <c r="BP968" t="s">
        <v>74</v>
      </c>
      <c r="BQ968" t="s">
        <v>74</v>
      </c>
      <c r="BR968" t="s">
        <v>105</v>
      </c>
      <c r="BS968" t="s">
        <v>18276</v>
      </c>
      <c r="BT968" t="str">
        <f>HYPERLINK("https%3A%2F%2Fwww.webofscience.com%2Fwos%2Fwoscc%2Ffull-record%2FWOS:000482134500157","View Full Record in Web of Science")</f>
        <v>View Full Record in Web of Science</v>
      </c>
    </row>
    <row r="969" spans="1:72" x14ac:dyDescent="0.25">
      <c r="A969" t="s">
        <v>72</v>
      </c>
      <c r="B969" t="s">
        <v>18277</v>
      </c>
      <c r="C969" t="s">
        <v>74</v>
      </c>
      <c r="D969" t="s">
        <v>74</v>
      </c>
      <c r="E969" t="s">
        <v>74</v>
      </c>
      <c r="F969" t="s">
        <v>18278</v>
      </c>
      <c r="G969" t="s">
        <v>74</v>
      </c>
      <c r="H969" t="s">
        <v>74</v>
      </c>
      <c r="I969" t="s">
        <v>18279</v>
      </c>
      <c r="J969" t="s">
        <v>594</v>
      </c>
      <c r="K969" t="s">
        <v>74</v>
      </c>
      <c r="L969" t="s">
        <v>74</v>
      </c>
      <c r="M969" t="s">
        <v>78</v>
      </c>
      <c r="N969" t="s">
        <v>79</v>
      </c>
      <c r="O969" t="s">
        <v>74</v>
      </c>
      <c r="P969" t="s">
        <v>74</v>
      </c>
      <c r="Q969" t="s">
        <v>74</v>
      </c>
      <c r="R969" t="s">
        <v>74</v>
      </c>
      <c r="S969" t="s">
        <v>74</v>
      </c>
      <c r="T969" t="s">
        <v>18280</v>
      </c>
      <c r="U969" t="s">
        <v>18281</v>
      </c>
      <c r="V969" t="s">
        <v>18282</v>
      </c>
      <c r="W969" t="s">
        <v>18283</v>
      </c>
      <c r="X969" t="s">
        <v>18284</v>
      </c>
      <c r="Y969" t="s">
        <v>18285</v>
      </c>
      <c r="Z969" t="s">
        <v>18286</v>
      </c>
      <c r="AA969" t="s">
        <v>18287</v>
      </c>
      <c r="AB969" t="s">
        <v>18288</v>
      </c>
      <c r="AC969" t="s">
        <v>74</v>
      </c>
      <c r="AD969" t="s">
        <v>74</v>
      </c>
      <c r="AE969" t="s">
        <v>74</v>
      </c>
      <c r="AF969" t="s">
        <v>74</v>
      </c>
      <c r="AG969">
        <v>101</v>
      </c>
      <c r="AH969">
        <v>42</v>
      </c>
      <c r="AI969">
        <v>42</v>
      </c>
      <c r="AJ969">
        <v>2</v>
      </c>
      <c r="AK969">
        <v>36</v>
      </c>
      <c r="AL969" t="s">
        <v>274</v>
      </c>
      <c r="AM969" t="s">
        <v>275</v>
      </c>
      <c r="AN969" t="s">
        <v>276</v>
      </c>
      <c r="AO969" t="s">
        <v>606</v>
      </c>
      <c r="AP969" t="s">
        <v>74</v>
      </c>
      <c r="AQ969" t="s">
        <v>74</v>
      </c>
      <c r="AR969" t="s">
        <v>607</v>
      </c>
      <c r="AS969" t="s">
        <v>608</v>
      </c>
      <c r="AT969" t="s">
        <v>18289</v>
      </c>
      <c r="AU969">
        <v>2019</v>
      </c>
      <c r="AV969">
        <v>16</v>
      </c>
      <c r="AW969" t="s">
        <v>74</v>
      </c>
      <c r="AX969" t="s">
        <v>74</v>
      </c>
      <c r="AY969" t="s">
        <v>74</v>
      </c>
      <c r="AZ969" t="s">
        <v>74</v>
      </c>
      <c r="BA969" t="s">
        <v>74</v>
      </c>
      <c r="BB969" t="s">
        <v>74</v>
      </c>
      <c r="BC969" t="s">
        <v>74</v>
      </c>
      <c r="BD969">
        <v>93</v>
      </c>
      <c r="BE969" t="s">
        <v>18290</v>
      </c>
      <c r="BF969" t="str">
        <f>HYPERLINK("http://dx.doi.org/10.1186/s12984-019-0543-7","http://dx.doi.org/10.1186/s12984-019-0543-7")</f>
        <v>http://dx.doi.org/10.1186/s12984-019-0543-7</v>
      </c>
      <c r="BG969" t="s">
        <v>74</v>
      </c>
      <c r="BH969" t="s">
        <v>74</v>
      </c>
      <c r="BI969">
        <v>15</v>
      </c>
      <c r="BJ969" t="s">
        <v>611</v>
      </c>
      <c r="BK969" t="s">
        <v>182</v>
      </c>
      <c r="BL969" t="s">
        <v>612</v>
      </c>
      <c r="BM969" t="s">
        <v>18291</v>
      </c>
      <c r="BN969">
        <v>31319893</v>
      </c>
      <c r="BO969" t="s">
        <v>355</v>
      </c>
      <c r="BP969" t="s">
        <v>74</v>
      </c>
      <c r="BQ969" t="s">
        <v>74</v>
      </c>
      <c r="BR969" t="s">
        <v>105</v>
      </c>
      <c r="BS969" t="s">
        <v>18292</v>
      </c>
      <c r="BT969" t="str">
        <f>HYPERLINK("https%3A%2F%2Fwww.webofscience.com%2Fwos%2Fwoscc%2Ffull-record%2FWOS:000476505200001","View Full Record in Web of Science")</f>
        <v>View Full Record in Web of Science</v>
      </c>
    </row>
    <row r="970" spans="1:72" x14ac:dyDescent="0.25">
      <c r="A970" t="s">
        <v>72</v>
      </c>
      <c r="B970" t="s">
        <v>18293</v>
      </c>
      <c r="C970" t="s">
        <v>74</v>
      </c>
      <c r="D970" t="s">
        <v>74</v>
      </c>
      <c r="E970" t="s">
        <v>74</v>
      </c>
      <c r="F970" t="s">
        <v>18294</v>
      </c>
      <c r="G970" t="s">
        <v>74</v>
      </c>
      <c r="H970" t="s">
        <v>74</v>
      </c>
      <c r="I970" t="s">
        <v>18295</v>
      </c>
      <c r="J970" t="s">
        <v>10672</v>
      </c>
      <c r="K970" t="s">
        <v>74</v>
      </c>
      <c r="L970" t="s">
        <v>74</v>
      </c>
      <c r="M970" t="s">
        <v>78</v>
      </c>
      <c r="N970" t="s">
        <v>79</v>
      </c>
      <c r="O970" t="s">
        <v>74</v>
      </c>
      <c r="P970" t="s">
        <v>74</v>
      </c>
      <c r="Q970" t="s">
        <v>74</v>
      </c>
      <c r="R970" t="s">
        <v>74</v>
      </c>
      <c r="S970" t="s">
        <v>74</v>
      </c>
      <c r="T970" t="s">
        <v>18296</v>
      </c>
      <c r="U970" t="s">
        <v>18297</v>
      </c>
      <c r="V970" t="s">
        <v>18298</v>
      </c>
      <c r="W970" t="s">
        <v>18299</v>
      </c>
      <c r="X970" t="s">
        <v>18300</v>
      </c>
      <c r="Y970" t="s">
        <v>18301</v>
      </c>
      <c r="Z970" t="s">
        <v>18302</v>
      </c>
      <c r="AA970" t="s">
        <v>18303</v>
      </c>
      <c r="AB970" t="s">
        <v>18304</v>
      </c>
      <c r="AC970" t="s">
        <v>18305</v>
      </c>
      <c r="AD970" t="s">
        <v>18306</v>
      </c>
      <c r="AE970" t="s">
        <v>18307</v>
      </c>
      <c r="AF970" t="s">
        <v>74</v>
      </c>
      <c r="AG970">
        <v>49</v>
      </c>
      <c r="AH970">
        <v>49</v>
      </c>
      <c r="AI970">
        <v>52</v>
      </c>
      <c r="AJ970">
        <v>1</v>
      </c>
      <c r="AK970">
        <v>19</v>
      </c>
      <c r="AL970" t="s">
        <v>1040</v>
      </c>
      <c r="AM970" t="s">
        <v>1041</v>
      </c>
      <c r="AN970" t="s">
        <v>1042</v>
      </c>
      <c r="AO970" t="s">
        <v>10684</v>
      </c>
      <c r="AP970" t="s">
        <v>74</v>
      </c>
      <c r="AQ970" t="s">
        <v>74</v>
      </c>
      <c r="AR970" t="s">
        <v>10685</v>
      </c>
      <c r="AS970" t="s">
        <v>10686</v>
      </c>
      <c r="AT970" t="s">
        <v>1734</v>
      </c>
      <c r="AU970">
        <v>2019</v>
      </c>
      <c r="AV970">
        <v>6</v>
      </c>
      <c r="AW970" t="s">
        <v>74</v>
      </c>
      <c r="AX970" t="s">
        <v>74</v>
      </c>
      <c r="AY970" t="s">
        <v>74</v>
      </c>
      <c r="AZ970" t="s">
        <v>74</v>
      </c>
      <c r="BA970" t="s">
        <v>74</v>
      </c>
      <c r="BB970" t="s">
        <v>74</v>
      </c>
      <c r="BC970" t="s">
        <v>74</v>
      </c>
      <c r="BD970">
        <v>2055668319863557</v>
      </c>
      <c r="BE970" t="s">
        <v>18308</v>
      </c>
      <c r="BF970" t="str">
        <f>HYPERLINK("http://dx.doi.org/10.1177/2055668319863557","http://dx.doi.org/10.1177/2055668319863557")</f>
        <v>http://dx.doi.org/10.1177/2055668319863557</v>
      </c>
      <c r="BG970" t="s">
        <v>74</v>
      </c>
      <c r="BH970" t="s">
        <v>74</v>
      </c>
      <c r="BI970">
        <v>7</v>
      </c>
      <c r="BJ970" t="s">
        <v>282</v>
      </c>
      <c r="BK970" t="s">
        <v>155</v>
      </c>
      <c r="BL970" t="s">
        <v>183</v>
      </c>
      <c r="BM970" t="s">
        <v>18309</v>
      </c>
      <c r="BN970">
        <v>31763052</v>
      </c>
      <c r="BO970" t="s">
        <v>355</v>
      </c>
      <c r="BP970" t="s">
        <v>74</v>
      </c>
      <c r="BQ970" t="s">
        <v>74</v>
      </c>
      <c r="BR970" t="s">
        <v>105</v>
      </c>
      <c r="BS970" t="s">
        <v>18310</v>
      </c>
      <c r="BT970" t="str">
        <f>HYPERLINK("https%3A%2F%2Fwww.webofscience.com%2Fwos%2Fwoscc%2Ffull-record%2FWOS:000497504900001","View Full Record in Web of Science")</f>
        <v>View Full Record in Web of Science</v>
      </c>
    </row>
    <row r="971" spans="1:72" x14ac:dyDescent="0.25">
      <c r="A971" t="s">
        <v>72</v>
      </c>
      <c r="B971" t="s">
        <v>18311</v>
      </c>
      <c r="C971" t="s">
        <v>74</v>
      </c>
      <c r="D971" t="s">
        <v>74</v>
      </c>
      <c r="E971" t="s">
        <v>74</v>
      </c>
      <c r="F971" t="s">
        <v>18312</v>
      </c>
      <c r="G971" t="s">
        <v>74</v>
      </c>
      <c r="H971" t="s">
        <v>74</v>
      </c>
      <c r="I971" t="s">
        <v>18313</v>
      </c>
      <c r="J971" t="s">
        <v>2091</v>
      </c>
      <c r="K971" t="s">
        <v>74</v>
      </c>
      <c r="L971" t="s">
        <v>74</v>
      </c>
      <c r="M971" t="s">
        <v>78</v>
      </c>
      <c r="N971" t="s">
        <v>79</v>
      </c>
      <c r="O971" t="s">
        <v>74</v>
      </c>
      <c r="P971" t="s">
        <v>74</v>
      </c>
      <c r="Q971" t="s">
        <v>74</v>
      </c>
      <c r="R971" t="s">
        <v>74</v>
      </c>
      <c r="S971" t="s">
        <v>74</v>
      </c>
      <c r="T971" t="s">
        <v>18314</v>
      </c>
      <c r="U971" t="s">
        <v>18315</v>
      </c>
      <c r="V971" t="s">
        <v>18316</v>
      </c>
      <c r="W971" t="s">
        <v>18317</v>
      </c>
      <c r="X971" t="s">
        <v>18318</v>
      </c>
      <c r="Y971" t="s">
        <v>18319</v>
      </c>
      <c r="Z971" t="s">
        <v>18320</v>
      </c>
      <c r="AA971" t="s">
        <v>18321</v>
      </c>
      <c r="AB971" t="s">
        <v>18322</v>
      </c>
      <c r="AC971" t="s">
        <v>74</v>
      </c>
      <c r="AD971" t="s">
        <v>74</v>
      </c>
      <c r="AE971" t="s">
        <v>74</v>
      </c>
      <c r="AF971" t="s">
        <v>74</v>
      </c>
      <c r="AG971">
        <v>99</v>
      </c>
      <c r="AH971">
        <v>15</v>
      </c>
      <c r="AI971">
        <v>18</v>
      </c>
      <c r="AJ971">
        <v>3</v>
      </c>
      <c r="AK971">
        <v>40</v>
      </c>
      <c r="AL971" t="s">
        <v>120</v>
      </c>
      <c r="AM971" t="s">
        <v>121</v>
      </c>
      <c r="AN971" t="s">
        <v>122</v>
      </c>
      <c r="AO971" t="s">
        <v>74</v>
      </c>
      <c r="AP971" t="s">
        <v>2104</v>
      </c>
      <c r="AQ971" t="s">
        <v>74</v>
      </c>
      <c r="AR971" t="s">
        <v>2105</v>
      </c>
      <c r="AS971" t="s">
        <v>2106</v>
      </c>
      <c r="AT971" t="s">
        <v>2107</v>
      </c>
      <c r="AU971">
        <v>2019</v>
      </c>
      <c r="AV971">
        <v>9</v>
      </c>
      <c r="AW971">
        <v>13</v>
      </c>
      <c r="AX971" t="s">
        <v>74</v>
      </c>
      <c r="AY971" t="s">
        <v>74</v>
      </c>
      <c r="AZ971" t="s">
        <v>74</v>
      </c>
      <c r="BA971" t="s">
        <v>74</v>
      </c>
      <c r="BB971" t="s">
        <v>74</v>
      </c>
      <c r="BC971" t="s">
        <v>74</v>
      </c>
      <c r="BD971">
        <v>2689</v>
      </c>
      <c r="BE971" t="s">
        <v>18323</v>
      </c>
      <c r="BF971" t="str">
        <f>HYPERLINK("http://dx.doi.org/10.3390/app9132689","http://dx.doi.org/10.3390/app9132689")</f>
        <v>http://dx.doi.org/10.3390/app9132689</v>
      </c>
      <c r="BG971" t="s">
        <v>74</v>
      </c>
      <c r="BH971" t="s">
        <v>74</v>
      </c>
      <c r="BI971">
        <v>22</v>
      </c>
      <c r="BJ971" t="s">
        <v>2109</v>
      </c>
      <c r="BK971" t="s">
        <v>102</v>
      </c>
      <c r="BL971" t="s">
        <v>2110</v>
      </c>
      <c r="BM971" t="s">
        <v>2111</v>
      </c>
      <c r="BN971" t="s">
        <v>74</v>
      </c>
      <c r="BO971" t="s">
        <v>185</v>
      </c>
      <c r="BP971" t="s">
        <v>74</v>
      </c>
      <c r="BQ971" t="s">
        <v>74</v>
      </c>
      <c r="BR971" t="s">
        <v>105</v>
      </c>
      <c r="BS971" t="s">
        <v>18324</v>
      </c>
      <c r="BT971" t="str">
        <f>HYPERLINK("https%3A%2F%2Fwww.webofscience.com%2Fwos%2Fwoscc%2Ffull-record%2FWOS:000477031900108","View Full Record in Web of Science")</f>
        <v>View Full Record in Web of Science</v>
      </c>
    </row>
    <row r="972" spans="1:72" x14ac:dyDescent="0.25">
      <c r="A972" t="s">
        <v>72</v>
      </c>
      <c r="B972" t="s">
        <v>18325</v>
      </c>
      <c r="C972" t="s">
        <v>74</v>
      </c>
      <c r="D972" t="s">
        <v>74</v>
      </c>
      <c r="E972" t="s">
        <v>74</v>
      </c>
      <c r="F972" t="s">
        <v>18326</v>
      </c>
      <c r="G972" t="s">
        <v>74</v>
      </c>
      <c r="H972" t="s">
        <v>74</v>
      </c>
      <c r="I972" t="s">
        <v>18327</v>
      </c>
      <c r="J972" t="s">
        <v>18328</v>
      </c>
      <c r="K972" t="s">
        <v>74</v>
      </c>
      <c r="L972" t="s">
        <v>74</v>
      </c>
      <c r="M972" t="s">
        <v>78</v>
      </c>
      <c r="N972" t="s">
        <v>79</v>
      </c>
      <c r="O972" t="s">
        <v>74</v>
      </c>
      <c r="P972" t="s">
        <v>74</v>
      </c>
      <c r="Q972" t="s">
        <v>74</v>
      </c>
      <c r="R972" t="s">
        <v>74</v>
      </c>
      <c r="S972" t="s">
        <v>74</v>
      </c>
      <c r="T972" t="s">
        <v>18329</v>
      </c>
      <c r="U972" t="s">
        <v>18330</v>
      </c>
      <c r="V972" t="s">
        <v>18331</v>
      </c>
      <c r="W972" t="s">
        <v>18332</v>
      </c>
      <c r="X972" t="s">
        <v>18333</v>
      </c>
      <c r="Y972" t="s">
        <v>18334</v>
      </c>
      <c r="Z972" t="s">
        <v>18335</v>
      </c>
      <c r="AA972" t="s">
        <v>18336</v>
      </c>
      <c r="AB972" t="s">
        <v>18337</v>
      </c>
      <c r="AC972" t="s">
        <v>74</v>
      </c>
      <c r="AD972" t="s">
        <v>74</v>
      </c>
      <c r="AE972" t="s">
        <v>74</v>
      </c>
      <c r="AF972" t="s">
        <v>74</v>
      </c>
      <c r="AG972">
        <v>43</v>
      </c>
      <c r="AH972">
        <v>120</v>
      </c>
      <c r="AI972">
        <v>123</v>
      </c>
      <c r="AJ972">
        <v>11</v>
      </c>
      <c r="AK972">
        <v>100</v>
      </c>
      <c r="AL972" t="s">
        <v>8607</v>
      </c>
      <c r="AM972" t="s">
        <v>8608</v>
      </c>
      <c r="AN972" t="s">
        <v>8609</v>
      </c>
      <c r="AO972" t="s">
        <v>18338</v>
      </c>
      <c r="AP972" t="s">
        <v>18339</v>
      </c>
      <c r="AQ972" t="s">
        <v>74</v>
      </c>
      <c r="AR972" t="s">
        <v>18340</v>
      </c>
      <c r="AS972" t="s">
        <v>18341</v>
      </c>
      <c r="AT972" t="s">
        <v>2107</v>
      </c>
      <c r="AU972">
        <v>2019</v>
      </c>
      <c r="AV972">
        <v>25</v>
      </c>
      <c r="AW972">
        <v>7</v>
      </c>
      <c r="AX972" t="s">
        <v>74</v>
      </c>
      <c r="AY972" t="s">
        <v>74</v>
      </c>
      <c r="AZ972" t="s">
        <v>74</v>
      </c>
      <c r="BA972" t="s">
        <v>74</v>
      </c>
      <c r="BB972">
        <v>533</v>
      </c>
      <c r="BC972">
        <v>540</v>
      </c>
      <c r="BD972" t="s">
        <v>74</v>
      </c>
      <c r="BE972" t="s">
        <v>18342</v>
      </c>
      <c r="BF972" t="str">
        <f>HYPERLINK("http://dx.doi.org/10.1089/tmj.2018.0051","http://dx.doi.org/10.1089/tmj.2018.0051")</f>
        <v>http://dx.doi.org/10.1089/tmj.2018.0051</v>
      </c>
      <c r="BG972" t="s">
        <v>74</v>
      </c>
      <c r="BH972" t="s">
        <v>74</v>
      </c>
      <c r="BI972">
        <v>8</v>
      </c>
      <c r="BJ972" t="s">
        <v>423</v>
      </c>
      <c r="BK972" t="s">
        <v>102</v>
      </c>
      <c r="BL972" t="s">
        <v>423</v>
      </c>
      <c r="BM972" t="s">
        <v>18343</v>
      </c>
      <c r="BN972">
        <v>30136901</v>
      </c>
      <c r="BO972" t="s">
        <v>74</v>
      </c>
      <c r="BP972" t="s">
        <v>74</v>
      </c>
      <c r="BQ972" t="s">
        <v>74</v>
      </c>
      <c r="BR972" t="s">
        <v>105</v>
      </c>
      <c r="BS972" t="s">
        <v>18344</v>
      </c>
      <c r="BT972" t="str">
        <f>HYPERLINK("https%3A%2F%2Fwww.webofscience.com%2Fwos%2Fwoscc%2Ffull-record%2FWOS:000475463100003","View Full Record in Web of Science")</f>
        <v>View Full Record in Web of Science</v>
      </c>
    </row>
    <row r="973" spans="1:72" x14ac:dyDescent="0.25">
      <c r="A973" t="s">
        <v>72</v>
      </c>
      <c r="B973" t="s">
        <v>18345</v>
      </c>
      <c r="C973" t="s">
        <v>74</v>
      </c>
      <c r="D973" t="s">
        <v>74</v>
      </c>
      <c r="E973" t="s">
        <v>74</v>
      </c>
      <c r="F973" t="s">
        <v>18346</v>
      </c>
      <c r="G973" t="s">
        <v>74</v>
      </c>
      <c r="H973" t="s">
        <v>74</v>
      </c>
      <c r="I973" t="s">
        <v>18347</v>
      </c>
      <c r="J973" t="s">
        <v>5820</v>
      </c>
      <c r="K973" t="s">
        <v>74</v>
      </c>
      <c r="L973" t="s">
        <v>74</v>
      </c>
      <c r="M973" t="s">
        <v>78</v>
      </c>
      <c r="N973" t="s">
        <v>79</v>
      </c>
      <c r="O973" t="s">
        <v>74</v>
      </c>
      <c r="P973" t="s">
        <v>74</v>
      </c>
      <c r="Q973" t="s">
        <v>74</v>
      </c>
      <c r="R973" t="s">
        <v>74</v>
      </c>
      <c r="S973" t="s">
        <v>74</v>
      </c>
      <c r="T973" t="s">
        <v>18348</v>
      </c>
      <c r="U973" t="s">
        <v>18349</v>
      </c>
      <c r="V973" t="s">
        <v>18350</v>
      </c>
      <c r="W973" t="s">
        <v>18351</v>
      </c>
      <c r="X973" t="s">
        <v>18352</v>
      </c>
      <c r="Y973" t="s">
        <v>18353</v>
      </c>
      <c r="Z973" t="s">
        <v>18354</v>
      </c>
      <c r="AA973" t="s">
        <v>74</v>
      </c>
      <c r="AB973" t="s">
        <v>18355</v>
      </c>
      <c r="AC973" t="s">
        <v>18356</v>
      </c>
      <c r="AD973" t="s">
        <v>18356</v>
      </c>
      <c r="AE973" t="s">
        <v>18357</v>
      </c>
      <c r="AF973" t="s">
        <v>74</v>
      </c>
      <c r="AG973">
        <v>59</v>
      </c>
      <c r="AH973">
        <v>38</v>
      </c>
      <c r="AI973">
        <v>42</v>
      </c>
      <c r="AJ973">
        <v>3</v>
      </c>
      <c r="AK973">
        <v>65</v>
      </c>
      <c r="AL973" t="s">
        <v>836</v>
      </c>
      <c r="AM973" t="s">
        <v>532</v>
      </c>
      <c r="AN973" t="s">
        <v>837</v>
      </c>
      <c r="AO973" t="s">
        <v>5833</v>
      </c>
      <c r="AP973" t="s">
        <v>5834</v>
      </c>
      <c r="AQ973" t="s">
        <v>74</v>
      </c>
      <c r="AR973" t="s">
        <v>5835</v>
      </c>
      <c r="AS973" t="s">
        <v>5836</v>
      </c>
      <c r="AT973" t="s">
        <v>1734</v>
      </c>
      <c r="AU973">
        <v>2019</v>
      </c>
      <c r="AV973">
        <v>95</v>
      </c>
      <c r="AW973" t="s">
        <v>74</v>
      </c>
      <c r="AX973" t="s">
        <v>74</v>
      </c>
      <c r="AY973" t="s">
        <v>74</v>
      </c>
      <c r="AZ973" t="s">
        <v>74</v>
      </c>
      <c r="BA973" t="s">
        <v>74</v>
      </c>
      <c r="BB973">
        <v>7</v>
      </c>
      <c r="BC973">
        <v>18</v>
      </c>
      <c r="BD973" t="s">
        <v>74</v>
      </c>
      <c r="BE973" t="s">
        <v>18358</v>
      </c>
      <c r="BF973" t="str">
        <f>HYPERLINK("http://dx.doi.org/10.1016/j.ijnurstu.2019.03.015","http://dx.doi.org/10.1016/j.ijnurstu.2019.03.015")</f>
        <v>http://dx.doi.org/10.1016/j.ijnurstu.2019.03.015</v>
      </c>
      <c r="BG973" t="s">
        <v>74</v>
      </c>
      <c r="BH973" t="s">
        <v>74</v>
      </c>
      <c r="BI973">
        <v>12</v>
      </c>
      <c r="BJ973" t="s">
        <v>3094</v>
      </c>
      <c r="BK973" t="s">
        <v>102</v>
      </c>
      <c r="BL973" t="s">
        <v>3094</v>
      </c>
      <c r="BM973" t="s">
        <v>18359</v>
      </c>
      <c r="BN973">
        <v>31002951</v>
      </c>
      <c r="BO973" t="s">
        <v>74</v>
      </c>
      <c r="BP973" t="s">
        <v>74</v>
      </c>
      <c r="BQ973" t="s">
        <v>74</v>
      </c>
      <c r="BR973" t="s">
        <v>105</v>
      </c>
      <c r="BS973" t="s">
        <v>18360</v>
      </c>
      <c r="BT973" t="str">
        <f>HYPERLINK("https%3A%2F%2Fwww.webofscience.com%2Fwos%2Fwoscc%2Ffull-record%2FWOS:000473380100003","View Full Record in Web of Science")</f>
        <v>View Full Record in Web of Science</v>
      </c>
    </row>
    <row r="974" spans="1:72" x14ac:dyDescent="0.25">
      <c r="A974" t="s">
        <v>72</v>
      </c>
      <c r="B974" t="s">
        <v>18361</v>
      </c>
      <c r="C974" t="s">
        <v>74</v>
      </c>
      <c r="D974" t="s">
        <v>74</v>
      </c>
      <c r="E974" t="s">
        <v>74</v>
      </c>
      <c r="F974" t="s">
        <v>18362</v>
      </c>
      <c r="G974" t="s">
        <v>74</v>
      </c>
      <c r="H974" t="s">
        <v>74</v>
      </c>
      <c r="I974" t="s">
        <v>18363</v>
      </c>
      <c r="J974" t="s">
        <v>2198</v>
      </c>
      <c r="K974" t="s">
        <v>74</v>
      </c>
      <c r="L974" t="s">
        <v>74</v>
      </c>
      <c r="M974" t="s">
        <v>78</v>
      </c>
      <c r="N974" t="s">
        <v>79</v>
      </c>
      <c r="O974" t="s">
        <v>74</v>
      </c>
      <c r="P974" t="s">
        <v>74</v>
      </c>
      <c r="Q974" t="s">
        <v>74</v>
      </c>
      <c r="R974" t="s">
        <v>74</v>
      </c>
      <c r="S974" t="s">
        <v>74</v>
      </c>
      <c r="T974" t="s">
        <v>18364</v>
      </c>
      <c r="U974" t="s">
        <v>18365</v>
      </c>
      <c r="V974" t="s">
        <v>18366</v>
      </c>
      <c r="W974" t="s">
        <v>18367</v>
      </c>
      <c r="X974" t="s">
        <v>18368</v>
      </c>
      <c r="Y974" t="s">
        <v>18369</v>
      </c>
      <c r="Z974" t="s">
        <v>18370</v>
      </c>
      <c r="AA974" t="s">
        <v>18371</v>
      </c>
      <c r="AB974" t="s">
        <v>18372</v>
      </c>
      <c r="AC974" t="s">
        <v>74</v>
      </c>
      <c r="AD974" t="s">
        <v>74</v>
      </c>
      <c r="AE974" t="s">
        <v>74</v>
      </c>
      <c r="AF974" t="s">
        <v>74</v>
      </c>
      <c r="AG974">
        <v>78</v>
      </c>
      <c r="AH974">
        <v>62</v>
      </c>
      <c r="AI974">
        <v>68</v>
      </c>
      <c r="AJ974">
        <v>1</v>
      </c>
      <c r="AK974">
        <v>86</v>
      </c>
      <c r="AL974" t="s">
        <v>392</v>
      </c>
      <c r="AM974" t="s">
        <v>393</v>
      </c>
      <c r="AN974" t="s">
        <v>394</v>
      </c>
      <c r="AO974" t="s">
        <v>2206</v>
      </c>
      <c r="AP974" t="s">
        <v>74</v>
      </c>
      <c r="AQ974" t="s">
        <v>74</v>
      </c>
      <c r="AR974" t="s">
        <v>2207</v>
      </c>
      <c r="AS974" t="s">
        <v>2208</v>
      </c>
      <c r="AT974" t="s">
        <v>3769</v>
      </c>
      <c r="AU974">
        <v>2019</v>
      </c>
      <c r="AV974">
        <v>13</v>
      </c>
      <c r="AW974" t="s">
        <v>74</v>
      </c>
      <c r="AX974" t="s">
        <v>74</v>
      </c>
      <c r="AY974" t="s">
        <v>74</v>
      </c>
      <c r="AZ974" t="s">
        <v>74</v>
      </c>
      <c r="BA974" t="s">
        <v>74</v>
      </c>
      <c r="BB974" t="s">
        <v>74</v>
      </c>
      <c r="BC974" t="s">
        <v>74</v>
      </c>
      <c r="BD974">
        <v>172</v>
      </c>
      <c r="BE974" t="s">
        <v>18373</v>
      </c>
      <c r="BF974" t="str">
        <f>HYPERLINK("http://dx.doi.org/10.3389/fnhum.2019.00172","http://dx.doi.org/10.3389/fnhum.2019.00172")</f>
        <v>http://dx.doi.org/10.3389/fnhum.2019.00172</v>
      </c>
      <c r="BG974" t="s">
        <v>74</v>
      </c>
      <c r="BH974" t="s">
        <v>74</v>
      </c>
      <c r="BI974">
        <v>17</v>
      </c>
      <c r="BJ974" t="s">
        <v>2211</v>
      </c>
      <c r="BK974" t="s">
        <v>182</v>
      </c>
      <c r="BL974" t="s">
        <v>2212</v>
      </c>
      <c r="BM974" t="s">
        <v>18374</v>
      </c>
      <c r="BN974">
        <v>31231200</v>
      </c>
      <c r="BO974" t="s">
        <v>131</v>
      </c>
      <c r="BP974" t="s">
        <v>74</v>
      </c>
      <c r="BQ974" t="s">
        <v>74</v>
      </c>
      <c r="BR974" t="s">
        <v>105</v>
      </c>
      <c r="BS974" t="s">
        <v>18375</v>
      </c>
      <c r="BT974" t="str">
        <f>HYPERLINK("https%3A%2F%2Fwww.webofscience.com%2Fwos%2Fwoscc%2Ffull-record%2FWOS:000470293500001","View Full Record in Web of Science")</f>
        <v>View Full Record in Web of Science</v>
      </c>
    </row>
    <row r="975" spans="1:72" x14ac:dyDescent="0.25">
      <c r="A975" t="s">
        <v>72</v>
      </c>
      <c r="B975" t="s">
        <v>18376</v>
      </c>
      <c r="C975" t="s">
        <v>74</v>
      </c>
      <c r="D975" t="s">
        <v>74</v>
      </c>
      <c r="E975" t="s">
        <v>74</v>
      </c>
      <c r="F975" t="s">
        <v>18377</v>
      </c>
      <c r="G975" t="s">
        <v>74</v>
      </c>
      <c r="H975" t="s">
        <v>74</v>
      </c>
      <c r="I975" t="s">
        <v>18378</v>
      </c>
      <c r="J975" t="s">
        <v>2091</v>
      </c>
      <c r="K975" t="s">
        <v>74</v>
      </c>
      <c r="L975" t="s">
        <v>74</v>
      </c>
      <c r="M975" t="s">
        <v>78</v>
      </c>
      <c r="N975" t="s">
        <v>79</v>
      </c>
      <c r="O975" t="s">
        <v>74</v>
      </c>
      <c r="P975" t="s">
        <v>74</v>
      </c>
      <c r="Q975" t="s">
        <v>74</v>
      </c>
      <c r="R975" t="s">
        <v>74</v>
      </c>
      <c r="S975" t="s">
        <v>74</v>
      </c>
      <c r="T975" t="s">
        <v>18379</v>
      </c>
      <c r="U975" t="s">
        <v>18380</v>
      </c>
      <c r="V975" t="s">
        <v>18381</v>
      </c>
      <c r="W975" t="s">
        <v>18382</v>
      </c>
      <c r="X975" t="s">
        <v>18383</v>
      </c>
      <c r="Y975" t="s">
        <v>18384</v>
      </c>
      <c r="Z975" t="s">
        <v>18385</v>
      </c>
      <c r="AA975" t="s">
        <v>18386</v>
      </c>
      <c r="AB975" t="s">
        <v>74</v>
      </c>
      <c r="AC975" t="s">
        <v>18387</v>
      </c>
      <c r="AD975" t="s">
        <v>18388</v>
      </c>
      <c r="AE975" t="s">
        <v>18389</v>
      </c>
      <c r="AF975" t="s">
        <v>74</v>
      </c>
      <c r="AG975">
        <v>52</v>
      </c>
      <c r="AH975">
        <v>25</v>
      </c>
      <c r="AI975">
        <v>26</v>
      </c>
      <c r="AJ975">
        <v>11</v>
      </c>
      <c r="AK975">
        <v>159</v>
      </c>
      <c r="AL975" t="s">
        <v>120</v>
      </c>
      <c r="AM975" t="s">
        <v>121</v>
      </c>
      <c r="AN975" t="s">
        <v>122</v>
      </c>
      <c r="AO975" t="s">
        <v>74</v>
      </c>
      <c r="AP975" t="s">
        <v>2104</v>
      </c>
      <c r="AQ975" t="s">
        <v>74</v>
      </c>
      <c r="AR975" t="s">
        <v>2105</v>
      </c>
      <c r="AS975" t="s">
        <v>2106</v>
      </c>
      <c r="AT975" t="s">
        <v>18390</v>
      </c>
      <c r="AU975">
        <v>2019</v>
      </c>
      <c r="AV975">
        <v>9</v>
      </c>
      <c r="AW975">
        <v>12</v>
      </c>
      <c r="AX975" t="s">
        <v>74</v>
      </c>
      <c r="AY975" t="s">
        <v>74</v>
      </c>
      <c r="AZ975" t="s">
        <v>74</v>
      </c>
      <c r="BA975" t="s">
        <v>74</v>
      </c>
      <c r="BB975" t="s">
        <v>74</v>
      </c>
      <c r="BC975" t="s">
        <v>74</v>
      </c>
      <c r="BD975">
        <v>2514</v>
      </c>
      <c r="BE975" t="s">
        <v>18391</v>
      </c>
      <c r="BF975" t="str">
        <f>HYPERLINK("http://dx.doi.org/10.3390/app9122514","http://dx.doi.org/10.3390/app9122514")</f>
        <v>http://dx.doi.org/10.3390/app9122514</v>
      </c>
      <c r="BG975" t="s">
        <v>74</v>
      </c>
      <c r="BH975" t="s">
        <v>74</v>
      </c>
      <c r="BI975">
        <v>14</v>
      </c>
      <c r="BJ975" t="s">
        <v>2109</v>
      </c>
      <c r="BK975" t="s">
        <v>182</v>
      </c>
      <c r="BL975" t="s">
        <v>2110</v>
      </c>
      <c r="BM975" t="s">
        <v>18392</v>
      </c>
      <c r="BN975" t="s">
        <v>74</v>
      </c>
      <c r="BO975" t="s">
        <v>1374</v>
      </c>
      <c r="BP975" t="s">
        <v>74</v>
      </c>
      <c r="BQ975" t="s">
        <v>74</v>
      </c>
      <c r="BR975" t="s">
        <v>105</v>
      </c>
      <c r="BS975" t="s">
        <v>18393</v>
      </c>
      <c r="BT975" t="str">
        <f>HYPERLINK("https%3A%2F%2Fwww.webofscience.com%2Fwos%2Fwoscc%2Ffull-record%2FWOS:000473754800123","View Full Record in Web of Science")</f>
        <v>View Full Record in Web of Science</v>
      </c>
    </row>
    <row r="976" spans="1:72" x14ac:dyDescent="0.25">
      <c r="A976" t="s">
        <v>72</v>
      </c>
      <c r="B976" t="s">
        <v>18394</v>
      </c>
      <c r="C976" t="s">
        <v>74</v>
      </c>
      <c r="D976" t="s">
        <v>74</v>
      </c>
      <c r="E976" t="s">
        <v>74</v>
      </c>
      <c r="F976" t="s">
        <v>18395</v>
      </c>
      <c r="G976" t="s">
        <v>74</v>
      </c>
      <c r="H976" t="s">
        <v>74</v>
      </c>
      <c r="I976" t="s">
        <v>18396</v>
      </c>
      <c r="J976" t="s">
        <v>15102</v>
      </c>
      <c r="K976" t="s">
        <v>74</v>
      </c>
      <c r="L976" t="s">
        <v>74</v>
      </c>
      <c r="M976" t="s">
        <v>78</v>
      </c>
      <c r="N976" t="s">
        <v>79</v>
      </c>
      <c r="O976" t="s">
        <v>74</v>
      </c>
      <c r="P976" t="s">
        <v>74</v>
      </c>
      <c r="Q976" t="s">
        <v>74</v>
      </c>
      <c r="R976" t="s">
        <v>74</v>
      </c>
      <c r="S976" t="s">
        <v>74</v>
      </c>
      <c r="T976" t="s">
        <v>74</v>
      </c>
      <c r="U976" t="s">
        <v>18397</v>
      </c>
      <c r="V976" t="s">
        <v>18398</v>
      </c>
      <c r="W976" t="s">
        <v>18399</v>
      </c>
      <c r="X976" t="s">
        <v>364</v>
      </c>
      <c r="Y976" t="s">
        <v>15106</v>
      </c>
      <c r="Z976" t="s">
        <v>15107</v>
      </c>
      <c r="AA976" t="s">
        <v>74</v>
      </c>
      <c r="AB976" t="s">
        <v>18400</v>
      </c>
      <c r="AC976" t="s">
        <v>15109</v>
      </c>
      <c r="AD976" t="s">
        <v>15109</v>
      </c>
      <c r="AE976" t="s">
        <v>18401</v>
      </c>
      <c r="AF976" t="s">
        <v>74</v>
      </c>
      <c r="AG976">
        <v>48</v>
      </c>
      <c r="AH976">
        <v>27</v>
      </c>
      <c r="AI976">
        <v>29</v>
      </c>
      <c r="AJ976">
        <v>0</v>
      </c>
      <c r="AK976">
        <v>15</v>
      </c>
      <c r="AL976" t="s">
        <v>18402</v>
      </c>
      <c r="AM976" t="s">
        <v>275</v>
      </c>
      <c r="AN976" t="s">
        <v>18403</v>
      </c>
      <c r="AO976" t="s">
        <v>15111</v>
      </c>
      <c r="AP976" t="s">
        <v>15112</v>
      </c>
      <c r="AQ976" t="s">
        <v>74</v>
      </c>
      <c r="AR976" t="s">
        <v>15102</v>
      </c>
      <c r="AS976" t="s">
        <v>15113</v>
      </c>
      <c r="AT976" t="s">
        <v>1070</v>
      </c>
      <c r="AU976">
        <v>2019</v>
      </c>
      <c r="AV976">
        <v>57</v>
      </c>
      <c r="AW976">
        <v>6</v>
      </c>
      <c r="AX976" t="s">
        <v>74</v>
      </c>
      <c r="AY976" t="s">
        <v>74</v>
      </c>
      <c r="AZ976" t="s">
        <v>74</v>
      </c>
      <c r="BA976" t="s">
        <v>74</v>
      </c>
      <c r="BB976">
        <v>449</v>
      </c>
      <c r="BC976">
        <v>460</v>
      </c>
      <c r="BD976" t="s">
        <v>74</v>
      </c>
      <c r="BE976" t="s">
        <v>18404</v>
      </c>
      <c r="BF976" t="str">
        <f>HYPERLINK("http://dx.doi.org/10.1038/s41393-019-0242-z","http://dx.doi.org/10.1038/s41393-019-0242-z")</f>
        <v>http://dx.doi.org/10.1038/s41393-019-0242-z</v>
      </c>
      <c r="BG976" t="s">
        <v>74</v>
      </c>
      <c r="BH976" t="s">
        <v>74</v>
      </c>
      <c r="BI976">
        <v>12</v>
      </c>
      <c r="BJ976" t="s">
        <v>1049</v>
      </c>
      <c r="BK976" t="s">
        <v>182</v>
      </c>
      <c r="BL976" t="s">
        <v>1050</v>
      </c>
      <c r="BM976" t="s">
        <v>18405</v>
      </c>
      <c r="BN976">
        <v>30723256</v>
      </c>
      <c r="BO976" t="s">
        <v>1052</v>
      </c>
      <c r="BP976" t="s">
        <v>74</v>
      </c>
      <c r="BQ976" t="s">
        <v>74</v>
      </c>
      <c r="BR976" t="s">
        <v>105</v>
      </c>
      <c r="BS976" t="s">
        <v>18406</v>
      </c>
      <c r="BT976" t="str">
        <f>HYPERLINK("https%3A%2F%2Fwww.webofscience.com%2Fwos%2Fwoscc%2Ffull-record%2FWOS:000470677900003","View Full Record in Web of Science")</f>
        <v>View Full Record in Web of Science</v>
      </c>
    </row>
    <row r="977" spans="1:72" x14ac:dyDescent="0.25">
      <c r="A977" t="s">
        <v>72</v>
      </c>
      <c r="B977" t="s">
        <v>18407</v>
      </c>
      <c r="C977" t="s">
        <v>74</v>
      </c>
      <c r="D977" t="s">
        <v>74</v>
      </c>
      <c r="E977" t="s">
        <v>74</v>
      </c>
      <c r="F977" t="s">
        <v>18408</v>
      </c>
      <c r="G977" t="s">
        <v>74</v>
      </c>
      <c r="H977" t="s">
        <v>74</v>
      </c>
      <c r="I977" t="s">
        <v>18409</v>
      </c>
      <c r="J977" t="s">
        <v>18410</v>
      </c>
      <c r="K977" t="s">
        <v>74</v>
      </c>
      <c r="L977" t="s">
        <v>74</v>
      </c>
      <c r="M977" t="s">
        <v>78</v>
      </c>
      <c r="N977" t="s">
        <v>79</v>
      </c>
      <c r="O977" t="s">
        <v>74</v>
      </c>
      <c r="P977" t="s">
        <v>74</v>
      </c>
      <c r="Q977" t="s">
        <v>74</v>
      </c>
      <c r="R977" t="s">
        <v>74</v>
      </c>
      <c r="S977" t="s">
        <v>74</v>
      </c>
      <c r="T977" t="s">
        <v>18411</v>
      </c>
      <c r="U977" t="s">
        <v>18412</v>
      </c>
      <c r="V977" t="s">
        <v>18413</v>
      </c>
      <c r="W977" t="s">
        <v>18414</v>
      </c>
      <c r="X977" t="s">
        <v>18415</v>
      </c>
      <c r="Y977" t="s">
        <v>18416</v>
      </c>
      <c r="Z977" t="s">
        <v>18417</v>
      </c>
      <c r="AA977" t="s">
        <v>18418</v>
      </c>
      <c r="AB977" t="s">
        <v>18419</v>
      </c>
      <c r="AC977" t="s">
        <v>74</v>
      </c>
      <c r="AD977" t="s">
        <v>74</v>
      </c>
      <c r="AE977" t="s">
        <v>74</v>
      </c>
      <c r="AF977" t="s">
        <v>74</v>
      </c>
      <c r="AG977">
        <v>11</v>
      </c>
      <c r="AH977">
        <v>14</v>
      </c>
      <c r="AI977">
        <v>14</v>
      </c>
      <c r="AJ977">
        <v>0</v>
      </c>
      <c r="AK977">
        <v>3</v>
      </c>
      <c r="AL977" t="s">
        <v>346</v>
      </c>
      <c r="AM977" t="s">
        <v>227</v>
      </c>
      <c r="AN977" t="s">
        <v>347</v>
      </c>
      <c r="AO977" t="s">
        <v>74</v>
      </c>
      <c r="AP977" t="s">
        <v>18420</v>
      </c>
      <c r="AQ977" t="s">
        <v>74</v>
      </c>
      <c r="AR977" t="s">
        <v>18421</v>
      </c>
      <c r="AS977" t="s">
        <v>18422</v>
      </c>
      <c r="AT977" t="s">
        <v>1070</v>
      </c>
      <c r="AU977">
        <v>2019</v>
      </c>
      <c r="AV977">
        <v>17</v>
      </c>
      <c r="AW977">
        <v>2</v>
      </c>
      <c r="AX977" t="s">
        <v>74</v>
      </c>
      <c r="AY977" t="s">
        <v>74</v>
      </c>
      <c r="AZ977" t="s">
        <v>74</v>
      </c>
      <c r="BA977" t="s">
        <v>74</v>
      </c>
      <c r="BB977">
        <v>131</v>
      </c>
      <c r="BC977">
        <v>142</v>
      </c>
      <c r="BD977" t="s">
        <v>74</v>
      </c>
      <c r="BE977" t="s">
        <v>18423</v>
      </c>
      <c r="BF977" t="str">
        <f>HYPERLINK("http://dx.doi.org/10.1097/XEB.0000000000000163","http://dx.doi.org/10.1097/XEB.0000000000000163")</f>
        <v>http://dx.doi.org/10.1097/XEB.0000000000000163</v>
      </c>
      <c r="BG977" t="s">
        <v>74</v>
      </c>
      <c r="BH977" t="s">
        <v>74</v>
      </c>
      <c r="BI977">
        <v>12</v>
      </c>
      <c r="BJ977" t="s">
        <v>18424</v>
      </c>
      <c r="BK977" t="s">
        <v>182</v>
      </c>
      <c r="BL977" t="s">
        <v>18425</v>
      </c>
      <c r="BM977" t="s">
        <v>18426</v>
      </c>
      <c r="BN977">
        <v>30870267</v>
      </c>
      <c r="BO977" t="s">
        <v>74</v>
      </c>
      <c r="BP977" t="s">
        <v>74</v>
      </c>
      <c r="BQ977" t="s">
        <v>74</v>
      </c>
      <c r="BR977" t="s">
        <v>105</v>
      </c>
      <c r="BS977" t="s">
        <v>18427</v>
      </c>
      <c r="BT977" t="str">
        <f>HYPERLINK("https%3A%2F%2Fwww.webofscience.com%2Fwos%2Fwoscc%2Ffull-record%2FWOS:000480692300006","View Full Record in Web of Science")</f>
        <v>View Full Record in Web of Science</v>
      </c>
    </row>
    <row r="978" spans="1:72" x14ac:dyDescent="0.25">
      <c r="A978" t="s">
        <v>72</v>
      </c>
      <c r="B978" t="s">
        <v>18428</v>
      </c>
      <c r="C978" t="s">
        <v>74</v>
      </c>
      <c r="D978" t="s">
        <v>74</v>
      </c>
      <c r="E978" t="s">
        <v>74</v>
      </c>
      <c r="F978" t="s">
        <v>18429</v>
      </c>
      <c r="G978" t="s">
        <v>74</v>
      </c>
      <c r="H978" t="s">
        <v>74</v>
      </c>
      <c r="I978" t="s">
        <v>18430</v>
      </c>
      <c r="J978" t="s">
        <v>2745</v>
      </c>
      <c r="K978" t="s">
        <v>74</v>
      </c>
      <c r="L978" t="s">
        <v>74</v>
      </c>
      <c r="M978" t="s">
        <v>78</v>
      </c>
      <c r="N978" t="s">
        <v>79</v>
      </c>
      <c r="O978" t="s">
        <v>74</v>
      </c>
      <c r="P978" t="s">
        <v>74</v>
      </c>
      <c r="Q978" t="s">
        <v>74</v>
      </c>
      <c r="R978" t="s">
        <v>74</v>
      </c>
      <c r="S978" t="s">
        <v>74</v>
      </c>
      <c r="T978" t="s">
        <v>18431</v>
      </c>
      <c r="U978" t="s">
        <v>74</v>
      </c>
      <c r="V978" t="s">
        <v>18432</v>
      </c>
      <c r="W978" t="s">
        <v>18433</v>
      </c>
      <c r="X978" t="s">
        <v>18434</v>
      </c>
      <c r="Y978" t="s">
        <v>18435</v>
      </c>
      <c r="Z978" t="s">
        <v>18436</v>
      </c>
      <c r="AA978" t="s">
        <v>18437</v>
      </c>
      <c r="AB978" t="s">
        <v>18438</v>
      </c>
      <c r="AC978" t="s">
        <v>18439</v>
      </c>
      <c r="AD978" t="s">
        <v>18440</v>
      </c>
      <c r="AE978" t="s">
        <v>18441</v>
      </c>
      <c r="AF978" t="s">
        <v>74</v>
      </c>
      <c r="AG978">
        <v>63</v>
      </c>
      <c r="AH978">
        <v>70</v>
      </c>
      <c r="AI978">
        <v>73</v>
      </c>
      <c r="AJ978">
        <v>11</v>
      </c>
      <c r="AK978">
        <v>63</v>
      </c>
      <c r="AL978" t="s">
        <v>120</v>
      </c>
      <c r="AM978" t="s">
        <v>121</v>
      </c>
      <c r="AN978" t="s">
        <v>122</v>
      </c>
      <c r="AO978" t="s">
        <v>74</v>
      </c>
      <c r="AP978" t="s">
        <v>2757</v>
      </c>
      <c r="AQ978" t="s">
        <v>74</v>
      </c>
      <c r="AR978" t="s">
        <v>2745</v>
      </c>
      <c r="AS978" t="s">
        <v>2758</v>
      </c>
      <c r="AT978" t="s">
        <v>1070</v>
      </c>
      <c r="AU978">
        <v>2019</v>
      </c>
      <c r="AV978">
        <v>6</v>
      </c>
      <c r="AW978">
        <v>2</v>
      </c>
      <c r="AX978" t="s">
        <v>74</v>
      </c>
      <c r="AY978" t="s">
        <v>74</v>
      </c>
      <c r="AZ978" t="s">
        <v>74</v>
      </c>
      <c r="BA978" t="s">
        <v>74</v>
      </c>
      <c r="BB978" t="s">
        <v>74</v>
      </c>
      <c r="BC978" t="s">
        <v>74</v>
      </c>
      <c r="BD978" t="s">
        <v>74</v>
      </c>
      <c r="BE978" t="s">
        <v>18442</v>
      </c>
      <c r="BF978" t="str">
        <f>HYPERLINK("http://dx.doi.org/10.3390/bioengineering6020037","http://dx.doi.org/10.3390/bioengineering6020037")</f>
        <v>http://dx.doi.org/10.3390/bioengineering6020037</v>
      </c>
      <c r="BG978" t="s">
        <v>74</v>
      </c>
      <c r="BH978" t="s">
        <v>74</v>
      </c>
      <c r="BI978">
        <v>33</v>
      </c>
      <c r="BJ978" t="s">
        <v>2760</v>
      </c>
      <c r="BK978" t="s">
        <v>182</v>
      </c>
      <c r="BL978" t="s">
        <v>2761</v>
      </c>
      <c r="BM978" t="s">
        <v>18443</v>
      </c>
      <c r="BN978">
        <v>31035696</v>
      </c>
      <c r="BO978" t="s">
        <v>1573</v>
      </c>
      <c r="BP978" t="s">
        <v>74</v>
      </c>
      <c r="BQ978" t="s">
        <v>74</v>
      </c>
      <c r="BR978" t="s">
        <v>105</v>
      </c>
      <c r="BS978" t="s">
        <v>18444</v>
      </c>
      <c r="BT978" t="str">
        <f>HYPERLINK("https%3A%2F%2Fwww.webofscience.com%2Fwos%2Fwoscc%2Ffull-record%2FWOS:000475298500010","View Full Record in Web of Science")</f>
        <v>View Full Record in Web of Science</v>
      </c>
    </row>
    <row r="979" spans="1:72" x14ac:dyDescent="0.25">
      <c r="A979" t="s">
        <v>72</v>
      </c>
      <c r="B979" t="s">
        <v>18445</v>
      </c>
      <c r="C979" t="s">
        <v>74</v>
      </c>
      <c r="D979" t="s">
        <v>74</v>
      </c>
      <c r="E979" t="s">
        <v>74</v>
      </c>
      <c r="F979" t="s">
        <v>18446</v>
      </c>
      <c r="G979" t="s">
        <v>74</v>
      </c>
      <c r="H979" t="s">
        <v>74</v>
      </c>
      <c r="I979" t="s">
        <v>18447</v>
      </c>
      <c r="J979" t="s">
        <v>594</v>
      </c>
      <c r="K979" t="s">
        <v>74</v>
      </c>
      <c r="L979" t="s">
        <v>74</v>
      </c>
      <c r="M979" t="s">
        <v>78</v>
      </c>
      <c r="N979" t="s">
        <v>79</v>
      </c>
      <c r="O979" t="s">
        <v>74</v>
      </c>
      <c r="P979" t="s">
        <v>74</v>
      </c>
      <c r="Q979" t="s">
        <v>74</v>
      </c>
      <c r="R979" t="s">
        <v>74</v>
      </c>
      <c r="S979" t="s">
        <v>74</v>
      </c>
      <c r="T979" t="s">
        <v>18448</v>
      </c>
      <c r="U979" t="s">
        <v>18449</v>
      </c>
      <c r="V979" t="s">
        <v>18450</v>
      </c>
      <c r="W979" t="s">
        <v>18451</v>
      </c>
      <c r="X979" t="s">
        <v>18452</v>
      </c>
      <c r="Y979" t="s">
        <v>18453</v>
      </c>
      <c r="Z979" t="s">
        <v>18454</v>
      </c>
      <c r="AA979" t="s">
        <v>18455</v>
      </c>
      <c r="AB979" t="s">
        <v>74</v>
      </c>
      <c r="AC979" t="s">
        <v>18456</v>
      </c>
      <c r="AD979" t="s">
        <v>18457</v>
      </c>
      <c r="AE979" t="s">
        <v>18458</v>
      </c>
      <c r="AF979" t="s">
        <v>74</v>
      </c>
      <c r="AG979">
        <v>157</v>
      </c>
      <c r="AH979">
        <v>147</v>
      </c>
      <c r="AI979">
        <v>159</v>
      </c>
      <c r="AJ979">
        <v>42</v>
      </c>
      <c r="AK979">
        <v>345</v>
      </c>
      <c r="AL979" t="s">
        <v>274</v>
      </c>
      <c r="AM979" t="s">
        <v>275</v>
      </c>
      <c r="AN979" t="s">
        <v>276</v>
      </c>
      <c r="AO979" t="s">
        <v>74</v>
      </c>
      <c r="AP979" t="s">
        <v>606</v>
      </c>
      <c r="AQ979" t="s">
        <v>74</v>
      </c>
      <c r="AR979" t="s">
        <v>607</v>
      </c>
      <c r="AS979" t="s">
        <v>608</v>
      </c>
      <c r="AT979" t="s">
        <v>18459</v>
      </c>
      <c r="AU979">
        <v>2019</v>
      </c>
      <c r="AV979">
        <v>16</v>
      </c>
      <c r="AW979" t="s">
        <v>74</v>
      </c>
      <c r="AX979" t="s">
        <v>74</v>
      </c>
      <c r="AY979" t="s">
        <v>74</v>
      </c>
      <c r="AZ979" t="s">
        <v>74</v>
      </c>
      <c r="BA979" t="s">
        <v>74</v>
      </c>
      <c r="BB979" t="s">
        <v>74</v>
      </c>
      <c r="BC979" t="s">
        <v>74</v>
      </c>
      <c r="BD979">
        <v>55</v>
      </c>
      <c r="BE979" t="s">
        <v>18460</v>
      </c>
      <c r="BF979" t="str">
        <f>HYPERLINK("http://dx.doi.org/10.1186/s12984-019-0517-9","http://dx.doi.org/10.1186/s12984-019-0517-9")</f>
        <v>http://dx.doi.org/10.1186/s12984-019-0517-9</v>
      </c>
      <c r="BG979" t="s">
        <v>74</v>
      </c>
      <c r="BH979" t="s">
        <v>74</v>
      </c>
      <c r="BI979">
        <v>16</v>
      </c>
      <c r="BJ979" t="s">
        <v>611</v>
      </c>
      <c r="BK979" t="s">
        <v>182</v>
      </c>
      <c r="BL979" t="s">
        <v>612</v>
      </c>
      <c r="BM979" t="s">
        <v>18461</v>
      </c>
      <c r="BN979">
        <v>31072370</v>
      </c>
      <c r="BO979" t="s">
        <v>355</v>
      </c>
      <c r="BP979" t="s">
        <v>74</v>
      </c>
      <c r="BQ979" t="s">
        <v>74</v>
      </c>
      <c r="BR979" t="s">
        <v>105</v>
      </c>
      <c r="BS979" t="s">
        <v>18462</v>
      </c>
      <c r="BT979" t="str">
        <f>HYPERLINK("https%3A%2F%2Fwww.webofscience.com%2Fwos%2Fwoscc%2Ffull-record%2FWOS:000467543100001","View Full Record in Web of Science")</f>
        <v>View Full Record in Web of Science</v>
      </c>
    </row>
    <row r="980" spans="1:72" x14ac:dyDescent="0.25">
      <c r="A980" t="s">
        <v>72</v>
      </c>
      <c r="B980" t="s">
        <v>18463</v>
      </c>
      <c r="C980" t="s">
        <v>74</v>
      </c>
      <c r="D980" t="s">
        <v>74</v>
      </c>
      <c r="E980" t="s">
        <v>74</v>
      </c>
      <c r="F980" t="s">
        <v>18464</v>
      </c>
      <c r="G980" t="s">
        <v>74</v>
      </c>
      <c r="H980" t="s">
        <v>74</v>
      </c>
      <c r="I980" t="s">
        <v>18465</v>
      </c>
      <c r="J980" t="s">
        <v>8279</v>
      </c>
      <c r="K980" t="s">
        <v>74</v>
      </c>
      <c r="L980" t="s">
        <v>74</v>
      </c>
      <c r="M980" t="s">
        <v>78</v>
      </c>
      <c r="N980" t="s">
        <v>79</v>
      </c>
      <c r="O980" t="s">
        <v>74</v>
      </c>
      <c r="P980" t="s">
        <v>74</v>
      </c>
      <c r="Q980" t="s">
        <v>74</v>
      </c>
      <c r="R980" t="s">
        <v>74</v>
      </c>
      <c r="S980" t="s">
        <v>74</v>
      </c>
      <c r="T980" t="s">
        <v>18466</v>
      </c>
      <c r="U980" t="s">
        <v>18467</v>
      </c>
      <c r="V980" t="s">
        <v>18468</v>
      </c>
      <c r="W980" t="s">
        <v>18469</v>
      </c>
      <c r="X980" t="s">
        <v>18470</v>
      </c>
      <c r="Y980" t="s">
        <v>18471</v>
      </c>
      <c r="Z980" t="s">
        <v>18472</v>
      </c>
      <c r="AA980" t="s">
        <v>18473</v>
      </c>
      <c r="AB980" t="s">
        <v>18474</v>
      </c>
      <c r="AC980" t="s">
        <v>74</v>
      </c>
      <c r="AD980" t="s">
        <v>74</v>
      </c>
      <c r="AE980" t="s">
        <v>74</v>
      </c>
      <c r="AF980" t="s">
        <v>74</v>
      </c>
      <c r="AG980">
        <v>25</v>
      </c>
      <c r="AH980">
        <v>17</v>
      </c>
      <c r="AI980">
        <v>17</v>
      </c>
      <c r="AJ980">
        <v>1</v>
      </c>
      <c r="AK980">
        <v>15</v>
      </c>
      <c r="AL980" t="s">
        <v>8289</v>
      </c>
      <c r="AM980" t="s">
        <v>2417</v>
      </c>
      <c r="AN980" t="s">
        <v>8290</v>
      </c>
      <c r="AO980" t="s">
        <v>8291</v>
      </c>
      <c r="AP980" t="s">
        <v>8292</v>
      </c>
      <c r="AQ980" t="s">
        <v>74</v>
      </c>
      <c r="AR980" t="s">
        <v>8293</v>
      </c>
      <c r="AS980" t="s">
        <v>8294</v>
      </c>
      <c r="AT980" t="s">
        <v>487</v>
      </c>
      <c r="AU980">
        <v>2019</v>
      </c>
      <c r="AV980">
        <v>15</v>
      </c>
      <c r="AW980">
        <v>2</v>
      </c>
      <c r="AX980" t="s">
        <v>74</v>
      </c>
      <c r="AY980" t="s">
        <v>74</v>
      </c>
      <c r="AZ980" t="s">
        <v>74</v>
      </c>
      <c r="BA980" t="s">
        <v>74</v>
      </c>
      <c r="BB980">
        <v>187</v>
      </c>
      <c r="BC980">
        <v>192</v>
      </c>
      <c r="BD980" t="s">
        <v>74</v>
      </c>
      <c r="BE980" t="s">
        <v>18475</v>
      </c>
      <c r="BF980" t="str">
        <f>HYPERLINK("http://dx.doi.org/10.12965/jer.1836618.309","http://dx.doi.org/10.12965/jer.1836618.309")</f>
        <v>http://dx.doi.org/10.12965/jer.1836618.309</v>
      </c>
      <c r="BG980" t="s">
        <v>74</v>
      </c>
      <c r="BH980" t="s">
        <v>74</v>
      </c>
      <c r="BI980">
        <v>6</v>
      </c>
      <c r="BJ980" t="s">
        <v>101</v>
      </c>
      <c r="BK980" t="s">
        <v>155</v>
      </c>
      <c r="BL980" t="s">
        <v>101</v>
      </c>
      <c r="BM980" t="s">
        <v>18476</v>
      </c>
      <c r="BN980">
        <v>31110999</v>
      </c>
      <c r="BO980" t="s">
        <v>2959</v>
      </c>
      <c r="BP980" t="s">
        <v>74</v>
      </c>
      <c r="BQ980" t="s">
        <v>74</v>
      </c>
      <c r="BR980" t="s">
        <v>105</v>
      </c>
      <c r="BS980" t="s">
        <v>18477</v>
      </c>
      <c r="BT980" t="str">
        <f>HYPERLINK("https%3A%2F%2Fwww.webofscience.com%2Fwos%2Fwoscc%2Ffull-record%2FWOS:000466146800004","View Full Record in Web of Science")</f>
        <v>View Full Record in Web of Science</v>
      </c>
    </row>
    <row r="981" spans="1:72" x14ac:dyDescent="0.25">
      <c r="A981" t="s">
        <v>72</v>
      </c>
      <c r="B981" t="s">
        <v>18478</v>
      </c>
      <c r="C981" t="s">
        <v>74</v>
      </c>
      <c r="D981" t="s">
        <v>74</v>
      </c>
      <c r="E981" t="s">
        <v>74</v>
      </c>
      <c r="F981" t="s">
        <v>18479</v>
      </c>
      <c r="G981" t="s">
        <v>74</v>
      </c>
      <c r="H981" t="s">
        <v>74</v>
      </c>
      <c r="I981" t="s">
        <v>18480</v>
      </c>
      <c r="J981" t="s">
        <v>18481</v>
      </c>
      <c r="K981" t="s">
        <v>74</v>
      </c>
      <c r="L981" t="s">
        <v>74</v>
      </c>
      <c r="M981" t="s">
        <v>78</v>
      </c>
      <c r="N981" t="s">
        <v>79</v>
      </c>
      <c r="O981" t="s">
        <v>74</v>
      </c>
      <c r="P981" t="s">
        <v>74</v>
      </c>
      <c r="Q981" t="s">
        <v>74</v>
      </c>
      <c r="R981" t="s">
        <v>74</v>
      </c>
      <c r="S981" t="s">
        <v>74</v>
      </c>
      <c r="T981" t="s">
        <v>18482</v>
      </c>
      <c r="U981" t="s">
        <v>18483</v>
      </c>
      <c r="V981" t="s">
        <v>18484</v>
      </c>
      <c r="W981" t="s">
        <v>18485</v>
      </c>
      <c r="X981" t="s">
        <v>18486</v>
      </c>
      <c r="Y981" t="s">
        <v>18487</v>
      </c>
      <c r="Z981" t="s">
        <v>18488</v>
      </c>
      <c r="AA981" t="s">
        <v>18489</v>
      </c>
      <c r="AB981" t="s">
        <v>18490</v>
      </c>
      <c r="AC981" t="s">
        <v>74</v>
      </c>
      <c r="AD981" t="s">
        <v>74</v>
      </c>
      <c r="AE981" t="s">
        <v>74</v>
      </c>
      <c r="AF981" t="s">
        <v>74</v>
      </c>
      <c r="AG981">
        <v>43</v>
      </c>
      <c r="AH981">
        <v>14</v>
      </c>
      <c r="AI981">
        <v>14</v>
      </c>
      <c r="AJ981">
        <v>1</v>
      </c>
      <c r="AK981">
        <v>9</v>
      </c>
      <c r="AL981" t="s">
        <v>18491</v>
      </c>
      <c r="AM981" t="s">
        <v>18492</v>
      </c>
      <c r="AN981" t="s">
        <v>18493</v>
      </c>
      <c r="AO981" t="s">
        <v>18494</v>
      </c>
      <c r="AP981" t="s">
        <v>18495</v>
      </c>
      <c r="AQ981" t="s">
        <v>74</v>
      </c>
      <c r="AR981" t="s">
        <v>18496</v>
      </c>
      <c r="AS981" t="s">
        <v>18497</v>
      </c>
      <c r="AT981" t="s">
        <v>487</v>
      </c>
      <c r="AU981">
        <v>2019</v>
      </c>
      <c r="AV981">
        <v>29</v>
      </c>
      <c r="AW981">
        <v>2</v>
      </c>
      <c r="AX981" t="s">
        <v>74</v>
      </c>
      <c r="AY981" t="s">
        <v>74</v>
      </c>
      <c r="AZ981" t="s">
        <v>74</v>
      </c>
      <c r="BA981" t="s">
        <v>74</v>
      </c>
      <c r="BB981">
        <v>173</v>
      </c>
      <c r="BC981">
        <v>178</v>
      </c>
      <c r="BD981" t="s">
        <v>74</v>
      </c>
      <c r="BE981" t="s">
        <v>18498</v>
      </c>
      <c r="BF981" t="str">
        <f>HYPERLINK("http://dx.doi.org/10.1055/s-0037-1615279","http://dx.doi.org/10.1055/s-0037-1615279")</f>
        <v>http://dx.doi.org/10.1055/s-0037-1615279</v>
      </c>
      <c r="BG981" t="s">
        <v>74</v>
      </c>
      <c r="BH981" t="s">
        <v>74</v>
      </c>
      <c r="BI981">
        <v>6</v>
      </c>
      <c r="BJ981" t="s">
        <v>18499</v>
      </c>
      <c r="BK981" t="s">
        <v>182</v>
      </c>
      <c r="BL981" t="s">
        <v>18499</v>
      </c>
      <c r="BM981" t="s">
        <v>18500</v>
      </c>
      <c r="BN981">
        <v>29258148</v>
      </c>
      <c r="BO981" t="s">
        <v>74</v>
      </c>
      <c r="BP981" t="s">
        <v>74</v>
      </c>
      <c r="BQ981" t="s">
        <v>74</v>
      </c>
      <c r="BR981" t="s">
        <v>105</v>
      </c>
      <c r="BS981" t="s">
        <v>18501</v>
      </c>
      <c r="BT981" t="str">
        <f>HYPERLINK("https%3A%2F%2Fwww.webofscience.com%2Fwos%2Fwoscc%2Ffull-record%2FWOS:000462675200006","View Full Record in Web of Science")</f>
        <v>View Full Record in Web of Science</v>
      </c>
    </row>
    <row r="982" spans="1:72" x14ac:dyDescent="0.25">
      <c r="A982" t="s">
        <v>72</v>
      </c>
      <c r="B982" t="s">
        <v>18502</v>
      </c>
      <c r="C982" t="s">
        <v>74</v>
      </c>
      <c r="D982" t="s">
        <v>74</v>
      </c>
      <c r="E982" t="s">
        <v>74</v>
      </c>
      <c r="F982" t="s">
        <v>18503</v>
      </c>
      <c r="G982" t="s">
        <v>74</v>
      </c>
      <c r="H982" t="s">
        <v>74</v>
      </c>
      <c r="I982" t="s">
        <v>18504</v>
      </c>
      <c r="J982" t="s">
        <v>18505</v>
      </c>
      <c r="K982" t="s">
        <v>74</v>
      </c>
      <c r="L982" t="s">
        <v>74</v>
      </c>
      <c r="M982" t="s">
        <v>78</v>
      </c>
      <c r="N982" t="s">
        <v>79</v>
      </c>
      <c r="O982" t="s">
        <v>74</v>
      </c>
      <c r="P982" t="s">
        <v>74</v>
      </c>
      <c r="Q982" t="s">
        <v>74</v>
      </c>
      <c r="R982" t="s">
        <v>74</v>
      </c>
      <c r="S982" t="s">
        <v>74</v>
      </c>
      <c r="T982" t="s">
        <v>18506</v>
      </c>
      <c r="U982" t="s">
        <v>18507</v>
      </c>
      <c r="V982" t="s">
        <v>18508</v>
      </c>
      <c r="W982" t="s">
        <v>18509</v>
      </c>
      <c r="X982" t="s">
        <v>18510</v>
      </c>
      <c r="Y982" t="s">
        <v>18511</v>
      </c>
      <c r="Z982" t="s">
        <v>18512</v>
      </c>
      <c r="AA982" t="s">
        <v>18513</v>
      </c>
      <c r="AB982" t="s">
        <v>18514</v>
      </c>
      <c r="AC982" t="s">
        <v>74</v>
      </c>
      <c r="AD982" t="s">
        <v>74</v>
      </c>
      <c r="AE982" t="s">
        <v>74</v>
      </c>
      <c r="AF982" t="s">
        <v>74</v>
      </c>
      <c r="AG982">
        <v>77</v>
      </c>
      <c r="AH982">
        <v>46</v>
      </c>
      <c r="AI982">
        <v>53</v>
      </c>
      <c r="AJ982">
        <v>3</v>
      </c>
      <c r="AK982">
        <v>75</v>
      </c>
      <c r="AL982" t="s">
        <v>297</v>
      </c>
      <c r="AM982" t="s">
        <v>298</v>
      </c>
      <c r="AN982" t="s">
        <v>299</v>
      </c>
      <c r="AO982" t="s">
        <v>18515</v>
      </c>
      <c r="AP982" t="s">
        <v>18516</v>
      </c>
      <c r="AQ982" t="s">
        <v>74</v>
      </c>
      <c r="AR982" t="s">
        <v>18517</v>
      </c>
      <c r="AS982" t="s">
        <v>18518</v>
      </c>
      <c r="AT982" t="s">
        <v>487</v>
      </c>
      <c r="AU982">
        <v>2019</v>
      </c>
      <c r="AV982">
        <v>24</v>
      </c>
      <c r="AW982">
        <v>2</v>
      </c>
      <c r="AX982" t="s">
        <v>74</v>
      </c>
      <c r="AY982" t="s">
        <v>74</v>
      </c>
      <c r="AZ982" t="s">
        <v>74</v>
      </c>
      <c r="BA982" t="s">
        <v>74</v>
      </c>
      <c r="BB982" t="s">
        <v>74</v>
      </c>
      <c r="BC982" t="s">
        <v>74</v>
      </c>
      <c r="BD982" t="s">
        <v>18519</v>
      </c>
      <c r="BE982" t="s">
        <v>18520</v>
      </c>
      <c r="BF982" t="str">
        <f>HYPERLINK("http://dx.doi.org/10.1002/pri.1764","http://dx.doi.org/10.1002/pri.1764")</f>
        <v>http://dx.doi.org/10.1002/pri.1764</v>
      </c>
      <c r="BG982" t="s">
        <v>74</v>
      </c>
      <c r="BH982" t="s">
        <v>74</v>
      </c>
      <c r="BI982">
        <v>16</v>
      </c>
      <c r="BJ982" t="s">
        <v>101</v>
      </c>
      <c r="BK982" t="s">
        <v>155</v>
      </c>
      <c r="BL982" t="s">
        <v>101</v>
      </c>
      <c r="BM982" t="s">
        <v>18521</v>
      </c>
      <c r="BN982">
        <v>30609208</v>
      </c>
      <c r="BO982" t="s">
        <v>74</v>
      </c>
      <c r="BP982" t="s">
        <v>74</v>
      </c>
      <c r="BQ982" t="s">
        <v>74</v>
      </c>
      <c r="BR982" t="s">
        <v>105</v>
      </c>
      <c r="BS982" t="s">
        <v>18522</v>
      </c>
      <c r="BT982" t="str">
        <f>HYPERLINK("https%3A%2F%2Fwww.webofscience.com%2Fwos%2Fwoscc%2Ffull-record%2FWOS:000463029100004","View Full Record in Web of Science")</f>
        <v>View Full Record in Web of Science</v>
      </c>
    </row>
    <row r="983" spans="1:72" x14ac:dyDescent="0.25">
      <c r="A983" t="s">
        <v>72</v>
      </c>
      <c r="B983" t="s">
        <v>18523</v>
      </c>
      <c r="C983" t="s">
        <v>74</v>
      </c>
      <c r="D983" t="s">
        <v>74</v>
      </c>
      <c r="E983" t="s">
        <v>74</v>
      </c>
      <c r="F983" t="s">
        <v>18524</v>
      </c>
      <c r="G983" t="s">
        <v>74</v>
      </c>
      <c r="H983" t="s">
        <v>74</v>
      </c>
      <c r="I983" t="s">
        <v>18525</v>
      </c>
      <c r="J983" t="s">
        <v>18526</v>
      </c>
      <c r="K983" t="s">
        <v>74</v>
      </c>
      <c r="L983" t="s">
        <v>74</v>
      </c>
      <c r="M983" t="s">
        <v>78</v>
      </c>
      <c r="N983" t="s">
        <v>79</v>
      </c>
      <c r="O983" t="s">
        <v>74</v>
      </c>
      <c r="P983" t="s">
        <v>74</v>
      </c>
      <c r="Q983" t="s">
        <v>74</v>
      </c>
      <c r="R983" t="s">
        <v>74</v>
      </c>
      <c r="S983" t="s">
        <v>74</v>
      </c>
      <c r="T983" t="s">
        <v>18527</v>
      </c>
      <c r="U983" t="s">
        <v>18528</v>
      </c>
      <c r="V983" t="s">
        <v>18529</v>
      </c>
      <c r="W983" t="s">
        <v>18530</v>
      </c>
      <c r="X983" t="s">
        <v>13461</v>
      </c>
      <c r="Y983" t="s">
        <v>18531</v>
      </c>
      <c r="Z983" t="s">
        <v>18532</v>
      </c>
      <c r="AA983" t="s">
        <v>18533</v>
      </c>
      <c r="AB983" t="s">
        <v>18534</v>
      </c>
      <c r="AC983" t="s">
        <v>18535</v>
      </c>
      <c r="AD983" t="s">
        <v>18536</v>
      </c>
      <c r="AE983" t="s">
        <v>18537</v>
      </c>
      <c r="AF983" t="s">
        <v>74</v>
      </c>
      <c r="AG983">
        <v>48</v>
      </c>
      <c r="AH983">
        <v>20</v>
      </c>
      <c r="AI983">
        <v>21</v>
      </c>
      <c r="AJ983">
        <v>2</v>
      </c>
      <c r="AK983">
        <v>38</v>
      </c>
      <c r="AL983" t="s">
        <v>172</v>
      </c>
      <c r="AM983" t="s">
        <v>173</v>
      </c>
      <c r="AN983" t="s">
        <v>1885</v>
      </c>
      <c r="AO983" t="s">
        <v>18538</v>
      </c>
      <c r="AP983" t="s">
        <v>18539</v>
      </c>
      <c r="AQ983" t="s">
        <v>74</v>
      </c>
      <c r="AR983" t="s">
        <v>18540</v>
      </c>
      <c r="AS983" t="s">
        <v>18541</v>
      </c>
      <c r="AT983" t="s">
        <v>487</v>
      </c>
      <c r="AU983">
        <v>2019</v>
      </c>
      <c r="AV983">
        <v>178</v>
      </c>
      <c r="AW983">
        <v>4</v>
      </c>
      <c r="AX983" t="s">
        <v>74</v>
      </c>
      <c r="AY983" t="s">
        <v>74</v>
      </c>
      <c r="AZ983" t="s">
        <v>74</v>
      </c>
      <c r="BA983" t="s">
        <v>74</v>
      </c>
      <c r="BB983">
        <v>433</v>
      </c>
      <c r="BC983">
        <v>454</v>
      </c>
      <c r="BD983" t="s">
        <v>74</v>
      </c>
      <c r="BE983" t="s">
        <v>18542</v>
      </c>
      <c r="BF983" t="str">
        <f>HYPERLINK("http://dx.doi.org/10.1007/s00431-019-03350-7","http://dx.doi.org/10.1007/s00431-019-03350-7")</f>
        <v>http://dx.doi.org/10.1007/s00431-019-03350-7</v>
      </c>
      <c r="BG983" t="s">
        <v>74</v>
      </c>
      <c r="BH983" t="s">
        <v>74</v>
      </c>
      <c r="BI983">
        <v>22</v>
      </c>
      <c r="BJ983" t="s">
        <v>2684</v>
      </c>
      <c r="BK983" t="s">
        <v>182</v>
      </c>
      <c r="BL983" t="s">
        <v>2684</v>
      </c>
      <c r="BM983" t="s">
        <v>18543</v>
      </c>
      <c r="BN983">
        <v>30810821</v>
      </c>
      <c r="BO983" t="s">
        <v>74</v>
      </c>
      <c r="BP983" t="s">
        <v>74</v>
      </c>
      <c r="BQ983" t="s">
        <v>74</v>
      </c>
      <c r="BR983" t="s">
        <v>105</v>
      </c>
      <c r="BS983" t="s">
        <v>18544</v>
      </c>
      <c r="BT983" t="str">
        <f>HYPERLINK("https%3A%2F%2Fwww.webofscience.com%2Fwos%2Fwoscc%2Ffull-record%2FWOS:000463834900001","View Full Record in Web of Science")</f>
        <v>View Full Record in Web of Science</v>
      </c>
    </row>
    <row r="984" spans="1:72" x14ac:dyDescent="0.25">
      <c r="A984" t="s">
        <v>72</v>
      </c>
      <c r="B984" t="s">
        <v>18545</v>
      </c>
      <c r="C984" t="s">
        <v>74</v>
      </c>
      <c r="D984" t="s">
        <v>74</v>
      </c>
      <c r="E984" t="s">
        <v>74</v>
      </c>
      <c r="F984" t="s">
        <v>18546</v>
      </c>
      <c r="G984" t="s">
        <v>74</v>
      </c>
      <c r="H984" t="s">
        <v>74</v>
      </c>
      <c r="I984" t="s">
        <v>18547</v>
      </c>
      <c r="J984" t="s">
        <v>18548</v>
      </c>
      <c r="K984" t="s">
        <v>74</v>
      </c>
      <c r="L984" t="s">
        <v>74</v>
      </c>
      <c r="M984" t="s">
        <v>78</v>
      </c>
      <c r="N984" t="s">
        <v>79</v>
      </c>
      <c r="O984" t="s">
        <v>74</v>
      </c>
      <c r="P984" t="s">
        <v>74</v>
      </c>
      <c r="Q984" t="s">
        <v>74</v>
      </c>
      <c r="R984" t="s">
        <v>74</v>
      </c>
      <c r="S984" t="s">
        <v>74</v>
      </c>
      <c r="T984" t="s">
        <v>18549</v>
      </c>
      <c r="U984" t="s">
        <v>18550</v>
      </c>
      <c r="V984" t="s">
        <v>18551</v>
      </c>
      <c r="W984" t="s">
        <v>18552</v>
      </c>
      <c r="X984" t="s">
        <v>18553</v>
      </c>
      <c r="Y984" t="s">
        <v>18554</v>
      </c>
      <c r="Z984" t="s">
        <v>18555</v>
      </c>
      <c r="AA984" t="s">
        <v>18556</v>
      </c>
      <c r="AB984" t="s">
        <v>74</v>
      </c>
      <c r="AC984" t="s">
        <v>74</v>
      </c>
      <c r="AD984" t="s">
        <v>74</v>
      </c>
      <c r="AE984" t="s">
        <v>74</v>
      </c>
      <c r="AF984" t="s">
        <v>74</v>
      </c>
      <c r="AG984">
        <v>57</v>
      </c>
      <c r="AH984">
        <v>31</v>
      </c>
      <c r="AI984">
        <v>33</v>
      </c>
      <c r="AJ984">
        <v>3</v>
      </c>
      <c r="AK984">
        <v>36</v>
      </c>
      <c r="AL984" t="s">
        <v>18557</v>
      </c>
      <c r="AM984" t="s">
        <v>1349</v>
      </c>
      <c r="AN984" t="s">
        <v>18558</v>
      </c>
      <c r="AO984" t="s">
        <v>18559</v>
      </c>
      <c r="AP984" t="s">
        <v>18560</v>
      </c>
      <c r="AQ984" t="s">
        <v>74</v>
      </c>
      <c r="AR984" t="s">
        <v>18561</v>
      </c>
      <c r="AS984" t="s">
        <v>18562</v>
      </c>
      <c r="AT984" t="s">
        <v>1471</v>
      </c>
      <c r="AU984">
        <v>2019</v>
      </c>
      <c r="AV984">
        <v>59</v>
      </c>
      <c r="AW984">
        <v>3</v>
      </c>
      <c r="AX984" t="s">
        <v>74</v>
      </c>
      <c r="AY984" t="s">
        <v>74</v>
      </c>
      <c r="AZ984" t="s">
        <v>74</v>
      </c>
      <c r="BA984" t="s">
        <v>74</v>
      </c>
      <c r="BB984">
        <v>69</v>
      </c>
      <c r="BC984">
        <v>78</v>
      </c>
      <c r="BD984" t="s">
        <v>74</v>
      </c>
      <c r="BE984" t="s">
        <v>18563</v>
      </c>
      <c r="BF984" t="str">
        <f>HYPERLINK("http://dx.doi.org/10.2176/nmc.ra.2018-0045","http://dx.doi.org/10.2176/nmc.ra.2018-0045")</f>
        <v>http://dx.doi.org/10.2176/nmc.ra.2018-0045</v>
      </c>
      <c r="BG984" t="s">
        <v>74</v>
      </c>
      <c r="BH984" t="s">
        <v>74</v>
      </c>
      <c r="BI984">
        <v>10</v>
      </c>
      <c r="BJ984" t="s">
        <v>3256</v>
      </c>
      <c r="BK984" t="s">
        <v>182</v>
      </c>
      <c r="BL984" t="s">
        <v>1508</v>
      </c>
      <c r="BM984" t="s">
        <v>18564</v>
      </c>
      <c r="BN984">
        <v>30760657</v>
      </c>
      <c r="BO984" t="s">
        <v>2959</v>
      </c>
      <c r="BP984" t="s">
        <v>74</v>
      </c>
      <c r="BQ984" t="s">
        <v>74</v>
      </c>
      <c r="BR984" t="s">
        <v>105</v>
      </c>
      <c r="BS984" t="s">
        <v>18565</v>
      </c>
      <c r="BT984" t="str">
        <f>HYPERLINK("https%3A%2F%2Fwww.webofscience.com%2Fwos%2Fwoscc%2Ffull-record%2FWOS:000462817600001","View Full Record in Web of Science")</f>
        <v>View Full Record in Web of Science</v>
      </c>
    </row>
    <row r="985" spans="1:72" x14ac:dyDescent="0.25">
      <c r="A985" t="s">
        <v>72</v>
      </c>
      <c r="B985" t="s">
        <v>18566</v>
      </c>
      <c r="C985" t="s">
        <v>74</v>
      </c>
      <c r="D985" t="s">
        <v>74</v>
      </c>
      <c r="E985" t="s">
        <v>74</v>
      </c>
      <c r="F985" t="s">
        <v>18567</v>
      </c>
      <c r="G985" t="s">
        <v>74</v>
      </c>
      <c r="H985" t="s">
        <v>74</v>
      </c>
      <c r="I985" t="s">
        <v>18568</v>
      </c>
      <c r="J985" t="s">
        <v>18569</v>
      </c>
      <c r="K985" t="s">
        <v>74</v>
      </c>
      <c r="L985" t="s">
        <v>74</v>
      </c>
      <c r="M985" t="s">
        <v>78</v>
      </c>
      <c r="N985" t="s">
        <v>79</v>
      </c>
      <c r="O985" t="s">
        <v>74</v>
      </c>
      <c r="P985" t="s">
        <v>74</v>
      </c>
      <c r="Q985" t="s">
        <v>74</v>
      </c>
      <c r="R985" t="s">
        <v>74</v>
      </c>
      <c r="S985" t="s">
        <v>74</v>
      </c>
      <c r="T985" t="s">
        <v>18570</v>
      </c>
      <c r="U985" t="s">
        <v>18571</v>
      </c>
      <c r="V985" t="s">
        <v>18572</v>
      </c>
      <c r="W985" t="s">
        <v>18573</v>
      </c>
      <c r="X985" t="s">
        <v>18574</v>
      </c>
      <c r="Y985" t="s">
        <v>18575</v>
      </c>
      <c r="Z985" t="s">
        <v>18576</v>
      </c>
      <c r="AA985" t="s">
        <v>18577</v>
      </c>
      <c r="AB985" t="s">
        <v>18578</v>
      </c>
      <c r="AC985" t="s">
        <v>18579</v>
      </c>
      <c r="AD985" t="s">
        <v>18580</v>
      </c>
      <c r="AE985" t="s">
        <v>18581</v>
      </c>
      <c r="AF985" t="s">
        <v>74</v>
      </c>
      <c r="AG985">
        <v>54</v>
      </c>
      <c r="AH985">
        <v>194</v>
      </c>
      <c r="AI985">
        <v>208</v>
      </c>
      <c r="AJ985">
        <v>9</v>
      </c>
      <c r="AK985">
        <v>91</v>
      </c>
      <c r="AL985" t="s">
        <v>1907</v>
      </c>
      <c r="AM985" t="s">
        <v>1908</v>
      </c>
      <c r="AN985" t="s">
        <v>1909</v>
      </c>
      <c r="AO985" t="s">
        <v>18582</v>
      </c>
      <c r="AP985" t="s">
        <v>18583</v>
      </c>
      <c r="AQ985" t="s">
        <v>74</v>
      </c>
      <c r="AR985" t="s">
        <v>18584</v>
      </c>
      <c r="AS985" t="s">
        <v>18585</v>
      </c>
      <c r="AT985" t="s">
        <v>1471</v>
      </c>
      <c r="AU985">
        <v>2019</v>
      </c>
      <c r="AV985">
        <v>123</v>
      </c>
      <c r="AW985" t="s">
        <v>74</v>
      </c>
      <c r="AX985" t="s">
        <v>74</v>
      </c>
      <c r="AY985" t="s">
        <v>74</v>
      </c>
      <c r="AZ985" t="s">
        <v>74</v>
      </c>
      <c r="BA985" t="s">
        <v>74</v>
      </c>
      <c r="BB985">
        <v>11</v>
      </c>
      <c r="BC985">
        <v>22</v>
      </c>
      <c r="BD985" t="s">
        <v>74</v>
      </c>
      <c r="BE985" t="s">
        <v>18586</v>
      </c>
      <c r="BF985" t="str">
        <f>HYPERLINK("http://dx.doi.org/10.1016/j.ijmedinf.2018.12.001","http://dx.doi.org/10.1016/j.ijmedinf.2018.12.001")</f>
        <v>http://dx.doi.org/10.1016/j.ijmedinf.2018.12.001</v>
      </c>
      <c r="BG985" t="s">
        <v>74</v>
      </c>
      <c r="BH985" t="s">
        <v>74</v>
      </c>
      <c r="BI985">
        <v>12</v>
      </c>
      <c r="BJ985" t="s">
        <v>18587</v>
      </c>
      <c r="BK985" t="s">
        <v>182</v>
      </c>
      <c r="BL985" t="s">
        <v>18588</v>
      </c>
      <c r="BM985" t="s">
        <v>18589</v>
      </c>
      <c r="BN985">
        <v>30654899</v>
      </c>
      <c r="BO985" t="s">
        <v>18590</v>
      </c>
      <c r="BP985" t="s">
        <v>74</v>
      </c>
      <c r="BQ985" t="s">
        <v>74</v>
      </c>
      <c r="BR985" t="s">
        <v>105</v>
      </c>
      <c r="BS985" t="s">
        <v>18591</v>
      </c>
      <c r="BT985" t="str">
        <f>HYPERLINK("https%3A%2F%2Fwww.webofscience.com%2Fwos%2Fwoscc%2Ffull-record%2FWOS:000455662000002","View Full Record in Web of Science")</f>
        <v>View Full Record in Web of Science</v>
      </c>
    </row>
    <row r="986" spans="1:72" x14ac:dyDescent="0.25">
      <c r="A986" t="s">
        <v>72</v>
      </c>
      <c r="B986" t="s">
        <v>18592</v>
      </c>
      <c r="C986" t="s">
        <v>74</v>
      </c>
      <c r="D986" t="s">
        <v>74</v>
      </c>
      <c r="E986" t="s">
        <v>74</v>
      </c>
      <c r="F986" t="s">
        <v>18593</v>
      </c>
      <c r="G986" t="s">
        <v>74</v>
      </c>
      <c r="H986" t="s">
        <v>74</v>
      </c>
      <c r="I986" t="s">
        <v>18594</v>
      </c>
      <c r="J986" t="s">
        <v>18595</v>
      </c>
      <c r="K986" t="s">
        <v>74</v>
      </c>
      <c r="L986" t="s">
        <v>74</v>
      </c>
      <c r="M986" t="s">
        <v>78</v>
      </c>
      <c r="N986" t="s">
        <v>79</v>
      </c>
      <c r="O986" t="s">
        <v>74</v>
      </c>
      <c r="P986" t="s">
        <v>74</v>
      </c>
      <c r="Q986" t="s">
        <v>74</v>
      </c>
      <c r="R986" t="s">
        <v>74</v>
      </c>
      <c r="S986" t="s">
        <v>74</v>
      </c>
      <c r="T986" t="s">
        <v>18596</v>
      </c>
      <c r="U986" t="s">
        <v>18597</v>
      </c>
      <c r="V986" t="s">
        <v>18598</v>
      </c>
      <c r="W986" t="s">
        <v>18599</v>
      </c>
      <c r="X986" t="s">
        <v>18600</v>
      </c>
      <c r="Y986" t="s">
        <v>18601</v>
      </c>
      <c r="Z986" t="s">
        <v>18602</v>
      </c>
      <c r="AA986" t="s">
        <v>74</v>
      </c>
      <c r="AB986" t="s">
        <v>74</v>
      </c>
      <c r="AC986" t="s">
        <v>74</v>
      </c>
      <c r="AD986" t="s">
        <v>74</v>
      </c>
      <c r="AE986" t="s">
        <v>74</v>
      </c>
      <c r="AF986" t="s">
        <v>74</v>
      </c>
      <c r="AG986">
        <v>87</v>
      </c>
      <c r="AH986">
        <v>55</v>
      </c>
      <c r="AI986">
        <v>56</v>
      </c>
      <c r="AJ986">
        <v>1</v>
      </c>
      <c r="AK986">
        <v>27</v>
      </c>
      <c r="AL986" t="s">
        <v>18603</v>
      </c>
      <c r="AM986" t="s">
        <v>18604</v>
      </c>
      <c r="AN986" t="s">
        <v>18605</v>
      </c>
      <c r="AO986" t="s">
        <v>18606</v>
      </c>
      <c r="AP986" t="s">
        <v>18607</v>
      </c>
      <c r="AQ986" t="s">
        <v>74</v>
      </c>
      <c r="AR986" t="s">
        <v>18608</v>
      </c>
      <c r="AS986" t="s">
        <v>18609</v>
      </c>
      <c r="AT986" t="s">
        <v>1471</v>
      </c>
      <c r="AU986">
        <v>2019</v>
      </c>
      <c r="AV986">
        <v>130</v>
      </c>
      <c r="AW986">
        <v>3</v>
      </c>
      <c r="AX986" t="s">
        <v>74</v>
      </c>
      <c r="AY986" t="s">
        <v>74</v>
      </c>
      <c r="AZ986" t="s">
        <v>74</v>
      </c>
      <c r="BA986" t="s">
        <v>74</v>
      </c>
      <c r="BB986">
        <v>675</v>
      </c>
      <c r="BC986">
        <v>685</v>
      </c>
      <c r="BD986" t="s">
        <v>74</v>
      </c>
      <c r="BE986" t="s">
        <v>18610</v>
      </c>
      <c r="BF986" t="str">
        <f>HYPERLINK("http://dx.doi.org/10.3171/2018.11.JNS181520","http://dx.doi.org/10.3171/2018.11.JNS181520")</f>
        <v>http://dx.doi.org/10.3171/2018.11.JNS181520</v>
      </c>
      <c r="BG986" t="s">
        <v>74</v>
      </c>
      <c r="BH986" t="s">
        <v>74</v>
      </c>
      <c r="BI986">
        <v>11</v>
      </c>
      <c r="BJ986" t="s">
        <v>3256</v>
      </c>
      <c r="BK986" t="s">
        <v>182</v>
      </c>
      <c r="BL986" t="s">
        <v>1508</v>
      </c>
      <c r="BM986" t="s">
        <v>18611</v>
      </c>
      <c r="BN986">
        <v>30835708</v>
      </c>
      <c r="BO986" t="s">
        <v>1052</v>
      </c>
      <c r="BP986" t="s">
        <v>74</v>
      </c>
      <c r="BQ986" t="s">
        <v>74</v>
      </c>
      <c r="BR986" t="s">
        <v>105</v>
      </c>
      <c r="BS986" t="s">
        <v>18612</v>
      </c>
      <c r="BT986" t="str">
        <f>HYPERLINK("https%3A%2F%2Fwww.webofscience.com%2Fwos%2Fwoscc%2Ffull-record%2FWOS:000461011900001","View Full Record in Web of Science")</f>
        <v>View Full Record in Web of Science</v>
      </c>
    </row>
    <row r="987" spans="1:72" x14ac:dyDescent="0.25">
      <c r="A987" t="s">
        <v>72</v>
      </c>
      <c r="B987" t="s">
        <v>18613</v>
      </c>
      <c r="C987" t="s">
        <v>74</v>
      </c>
      <c r="D987" t="s">
        <v>74</v>
      </c>
      <c r="E987" t="s">
        <v>74</v>
      </c>
      <c r="F987" t="s">
        <v>18614</v>
      </c>
      <c r="G987" t="s">
        <v>74</v>
      </c>
      <c r="H987" t="s">
        <v>74</v>
      </c>
      <c r="I987" t="s">
        <v>18615</v>
      </c>
      <c r="J987" t="s">
        <v>4654</v>
      </c>
      <c r="K987" t="s">
        <v>74</v>
      </c>
      <c r="L987" t="s">
        <v>74</v>
      </c>
      <c r="M987" t="s">
        <v>78</v>
      </c>
      <c r="N987" t="s">
        <v>79</v>
      </c>
      <c r="O987" t="s">
        <v>74</v>
      </c>
      <c r="P987" t="s">
        <v>74</v>
      </c>
      <c r="Q987" t="s">
        <v>74</v>
      </c>
      <c r="R987" t="s">
        <v>74</v>
      </c>
      <c r="S987" t="s">
        <v>74</v>
      </c>
      <c r="T987" t="s">
        <v>18616</v>
      </c>
      <c r="U987" t="s">
        <v>18617</v>
      </c>
      <c r="V987" t="s">
        <v>18618</v>
      </c>
      <c r="W987" t="s">
        <v>18619</v>
      </c>
      <c r="X987" t="s">
        <v>18620</v>
      </c>
      <c r="Y987" t="s">
        <v>18621</v>
      </c>
      <c r="Z987" t="s">
        <v>18622</v>
      </c>
      <c r="AA987" t="s">
        <v>18623</v>
      </c>
      <c r="AB987" t="s">
        <v>18624</v>
      </c>
      <c r="AC987" t="s">
        <v>18625</v>
      </c>
      <c r="AD987" t="s">
        <v>18626</v>
      </c>
      <c r="AE987" t="s">
        <v>18627</v>
      </c>
      <c r="AF987" t="s">
        <v>74</v>
      </c>
      <c r="AG987">
        <v>228</v>
      </c>
      <c r="AH987">
        <v>30</v>
      </c>
      <c r="AI987">
        <v>31</v>
      </c>
      <c r="AJ987">
        <v>2</v>
      </c>
      <c r="AK987">
        <v>79</v>
      </c>
      <c r="AL987" t="s">
        <v>836</v>
      </c>
      <c r="AM987" t="s">
        <v>532</v>
      </c>
      <c r="AN987" t="s">
        <v>837</v>
      </c>
      <c r="AO987" t="s">
        <v>4667</v>
      </c>
      <c r="AP987" t="s">
        <v>74</v>
      </c>
      <c r="AQ987" t="s">
        <v>74</v>
      </c>
      <c r="AR987" t="s">
        <v>4654</v>
      </c>
      <c r="AS987" t="s">
        <v>4668</v>
      </c>
      <c r="AT987" t="s">
        <v>351</v>
      </c>
      <c r="AU987">
        <v>2019</v>
      </c>
      <c r="AV987">
        <v>57</v>
      </c>
      <c r="AW987" t="s">
        <v>74</v>
      </c>
      <c r="AX987" t="s">
        <v>74</v>
      </c>
      <c r="AY987" t="s">
        <v>74</v>
      </c>
      <c r="AZ987" t="s">
        <v>74</v>
      </c>
      <c r="BA987" t="s">
        <v>74</v>
      </c>
      <c r="BB987">
        <v>1</v>
      </c>
      <c r="BC987">
        <v>19</v>
      </c>
      <c r="BD987" t="s">
        <v>74</v>
      </c>
      <c r="BE987" t="s">
        <v>18628</v>
      </c>
      <c r="BF987" t="str">
        <f>HYPERLINK("http://dx.doi.org/10.1016/j.mechatronics.2018.03.002","http://dx.doi.org/10.1016/j.mechatronics.2018.03.002")</f>
        <v>http://dx.doi.org/10.1016/j.mechatronics.2018.03.002</v>
      </c>
      <c r="BG987" t="s">
        <v>74</v>
      </c>
      <c r="BH987" t="s">
        <v>74</v>
      </c>
      <c r="BI987">
        <v>19</v>
      </c>
      <c r="BJ987" t="s">
        <v>4671</v>
      </c>
      <c r="BK987" t="s">
        <v>102</v>
      </c>
      <c r="BL987" t="s">
        <v>4672</v>
      </c>
      <c r="BM987" t="s">
        <v>18629</v>
      </c>
      <c r="BN987" t="s">
        <v>74</v>
      </c>
      <c r="BO987" t="s">
        <v>74</v>
      </c>
      <c r="BP987" t="s">
        <v>74</v>
      </c>
      <c r="BQ987" t="s">
        <v>74</v>
      </c>
      <c r="BR987" t="s">
        <v>105</v>
      </c>
      <c r="BS987" t="s">
        <v>18630</v>
      </c>
      <c r="BT987" t="str">
        <f>HYPERLINK("https%3A%2F%2Fwww.webofscience.com%2Fwos%2Fwoscc%2Ffull-record%2FWOS:000458589400001","View Full Record in Web of Science")</f>
        <v>View Full Record in Web of Science</v>
      </c>
    </row>
    <row r="988" spans="1:72" x14ac:dyDescent="0.25">
      <c r="A988" t="s">
        <v>72</v>
      </c>
      <c r="B988" t="s">
        <v>18631</v>
      </c>
      <c r="C988" t="s">
        <v>74</v>
      </c>
      <c r="D988" t="s">
        <v>74</v>
      </c>
      <c r="E988" t="s">
        <v>74</v>
      </c>
      <c r="F988" t="s">
        <v>18632</v>
      </c>
      <c r="G988" t="s">
        <v>74</v>
      </c>
      <c r="H988" t="s">
        <v>74</v>
      </c>
      <c r="I988" t="s">
        <v>18633</v>
      </c>
      <c r="J988" t="s">
        <v>18634</v>
      </c>
      <c r="K988" t="s">
        <v>74</v>
      </c>
      <c r="L988" t="s">
        <v>74</v>
      </c>
      <c r="M988" t="s">
        <v>78</v>
      </c>
      <c r="N988" t="s">
        <v>79</v>
      </c>
      <c r="O988" t="s">
        <v>74</v>
      </c>
      <c r="P988" t="s">
        <v>74</v>
      </c>
      <c r="Q988" t="s">
        <v>74</v>
      </c>
      <c r="R988" t="s">
        <v>74</v>
      </c>
      <c r="S988" t="s">
        <v>74</v>
      </c>
      <c r="T988" t="s">
        <v>74</v>
      </c>
      <c r="U988" t="s">
        <v>18635</v>
      </c>
      <c r="V988" t="s">
        <v>18636</v>
      </c>
      <c r="W988" t="s">
        <v>18637</v>
      </c>
      <c r="X988" t="s">
        <v>18638</v>
      </c>
      <c r="Y988" t="s">
        <v>18639</v>
      </c>
      <c r="Z988" t="s">
        <v>18640</v>
      </c>
      <c r="AA988" t="s">
        <v>74</v>
      </c>
      <c r="AB988" t="s">
        <v>18641</v>
      </c>
      <c r="AC988" t="s">
        <v>18642</v>
      </c>
      <c r="AD988" t="s">
        <v>18643</v>
      </c>
      <c r="AE988" t="s">
        <v>18644</v>
      </c>
      <c r="AF988" t="s">
        <v>74</v>
      </c>
      <c r="AG988">
        <v>30</v>
      </c>
      <c r="AH988">
        <v>18</v>
      </c>
      <c r="AI988">
        <v>21</v>
      </c>
      <c r="AJ988">
        <v>0</v>
      </c>
      <c r="AK988">
        <v>19</v>
      </c>
      <c r="AL988" t="s">
        <v>583</v>
      </c>
      <c r="AM988" t="s">
        <v>275</v>
      </c>
      <c r="AN988" t="s">
        <v>584</v>
      </c>
      <c r="AO988" t="s">
        <v>18645</v>
      </c>
      <c r="AP988" t="s">
        <v>18646</v>
      </c>
      <c r="AQ988" t="s">
        <v>74</v>
      </c>
      <c r="AR988" t="s">
        <v>18647</v>
      </c>
      <c r="AS988" t="s">
        <v>18648</v>
      </c>
      <c r="AT988" t="s">
        <v>351</v>
      </c>
      <c r="AU988">
        <v>2019</v>
      </c>
      <c r="AV988">
        <v>104</v>
      </c>
      <c r="AW988">
        <v>2</v>
      </c>
      <c r="AX988" t="s">
        <v>74</v>
      </c>
      <c r="AY988" t="s">
        <v>74</v>
      </c>
      <c r="AZ988" t="s">
        <v>74</v>
      </c>
      <c r="BA988" t="s">
        <v>74</v>
      </c>
      <c r="BB988">
        <v>184</v>
      </c>
      <c r="BC988" t="s">
        <v>233</v>
      </c>
      <c r="BD988" t="s">
        <v>74</v>
      </c>
      <c r="BE988" t="s">
        <v>18649</v>
      </c>
      <c r="BF988" t="str">
        <f>HYPERLINK("http://dx.doi.org/10.1136/archdischild-2017-314309","http://dx.doi.org/10.1136/archdischild-2017-314309")</f>
        <v>http://dx.doi.org/10.1136/archdischild-2017-314309</v>
      </c>
      <c r="BG988" t="s">
        <v>74</v>
      </c>
      <c r="BH988" t="s">
        <v>74</v>
      </c>
      <c r="BI988">
        <v>5</v>
      </c>
      <c r="BJ988" t="s">
        <v>2684</v>
      </c>
      <c r="BK988" t="s">
        <v>102</v>
      </c>
      <c r="BL988" t="s">
        <v>2684</v>
      </c>
      <c r="BM988" t="s">
        <v>18650</v>
      </c>
      <c r="BN988">
        <v>30154177</v>
      </c>
      <c r="BO988" t="s">
        <v>74</v>
      </c>
      <c r="BP988" t="s">
        <v>74</v>
      </c>
      <c r="BQ988" t="s">
        <v>74</v>
      </c>
      <c r="BR988" t="s">
        <v>105</v>
      </c>
      <c r="BS988" t="s">
        <v>18651</v>
      </c>
      <c r="BT988" t="str">
        <f>HYPERLINK("https%3A%2F%2Fwww.webofscience.com%2Fwos%2Fwoscc%2Ffull-record%2FWOS:000459638700022","View Full Record in Web of Science")</f>
        <v>View Full Record in Web of Science</v>
      </c>
    </row>
    <row r="989" spans="1:72" x14ac:dyDescent="0.25">
      <c r="A989" t="s">
        <v>72</v>
      </c>
      <c r="B989" t="s">
        <v>18652</v>
      </c>
      <c r="C989" t="s">
        <v>74</v>
      </c>
      <c r="D989" t="s">
        <v>74</v>
      </c>
      <c r="E989" t="s">
        <v>74</v>
      </c>
      <c r="F989" t="s">
        <v>18653</v>
      </c>
      <c r="G989" t="s">
        <v>74</v>
      </c>
      <c r="H989" t="s">
        <v>74</v>
      </c>
      <c r="I989" t="s">
        <v>18654</v>
      </c>
      <c r="J989" t="s">
        <v>1339</v>
      </c>
      <c r="K989" t="s">
        <v>74</v>
      </c>
      <c r="L989" t="s">
        <v>74</v>
      </c>
      <c r="M989" t="s">
        <v>78</v>
      </c>
      <c r="N989" t="s">
        <v>79</v>
      </c>
      <c r="O989" t="s">
        <v>74</v>
      </c>
      <c r="P989" t="s">
        <v>74</v>
      </c>
      <c r="Q989" t="s">
        <v>74</v>
      </c>
      <c r="R989" t="s">
        <v>74</v>
      </c>
      <c r="S989" t="s">
        <v>74</v>
      </c>
      <c r="T989" t="s">
        <v>18655</v>
      </c>
      <c r="U989" t="s">
        <v>18656</v>
      </c>
      <c r="V989" t="s">
        <v>18657</v>
      </c>
      <c r="W989" t="s">
        <v>18658</v>
      </c>
      <c r="X989" t="s">
        <v>18659</v>
      </c>
      <c r="Y989" t="s">
        <v>18660</v>
      </c>
      <c r="Z989" t="s">
        <v>18661</v>
      </c>
      <c r="AA989" t="s">
        <v>18662</v>
      </c>
      <c r="AB989" t="s">
        <v>18663</v>
      </c>
      <c r="AC989" t="s">
        <v>74</v>
      </c>
      <c r="AD989" t="s">
        <v>74</v>
      </c>
      <c r="AE989" t="s">
        <v>74</v>
      </c>
      <c r="AF989" t="s">
        <v>74</v>
      </c>
      <c r="AG989">
        <v>63</v>
      </c>
      <c r="AH989">
        <v>4</v>
      </c>
      <c r="AI989">
        <v>4</v>
      </c>
      <c r="AJ989">
        <v>0</v>
      </c>
      <c r="AK989">
        <v>12</v>
      </c>
      <c r="AL989" t="s">
        <v>1348</v>
      </c>
      <c r="AM989" t="s">
        <v>1349</v>
      </c>
      <c r="AN989" t="s">
        <v>15947</v>
      </c>
      <c r="AO989" t="s">
        <v>1351</v>
      </c>
      <c r="AP989" t="s">
        <v>1352</v>
      </c>
      <c r="AQ989" t="s">
        <v>74</v>
      </c>
      <c r="AR989" t="s">
        <v>1353</v>
      </c>
      <c r="AS989" t="s">
        <v>1354</v>
      </c>
      <c r="AT989" t="s">
        <v>351</v>
      </c>
      <c r="AU989">
        <v>2019</v>
      </c>
      <c r="AV989">
        <v>31</v>
      </c>
      <c r="AW989">
        <v>1</v>
      </c>
      <c r="AX989" t="s">
        <v>74</v>
      </c>
      <c r="AY989" t="s">
        <v>74</v>
      </c>
      <c r="AZ989" t="s">
        <v>152</v>
      </c>
      <c r="BA989" t="s">
        <v>74</v>
      </c>
      <c r="BB989">
        <v>35</v>
      </c>
      <c r="BC989">
        <v>44</v>
      </c>
      <c r="BD989" t="s">
        <v>74</v>
      </c>
      <c r="BE989" t="s">
        <v>18664</v>
      </c>
      <c r="BF989" t="str">
        <f>HYPERLINK("http://dx.doi.org/10.20965/jrm.2019.p0035","http://dx.doi.org/10.20965/jrm.2019.p0035")</f>
        <v>http://dx.doi.org/10.20965/jrm.2019.p0035</v>
      </c>
      <c r="BG989" t="s">
        <v>74</v>
      </c>
      <c r="BH989" t="s">
        <v>74</v>
      </c>
      <c r="BI989">
        <v>10</v>
      </c>
      <c r="BJ989" t="s">
        <v>714</v>
      </c>
      <c r="BK989" t="s">
        <v>155</v>
      </c>
      <c r="BL989" t="s">
        <v>714</v>
      </c>
      <c r="BM989" t="s">
        <v>18665</v>
      </c>
      <c r="BN989" t="s">
        <v>74</v>
      </c>
      <c r="BO989" t="s">
        <v>185</v>
      </c>
      <c r="BP989" t="s">
        <v>74</v>
      </c>
      <c r="BQ989" t="s">
        <v>74</v>
      </c>
      <c r="BR989" t="s">
        <v>105</v>
      </c>
      <c r="BS989" t="s">
        <v>18666</v>
      </c>
      <c r="BT989" t="str">
        <f>HYPERLINK("https%3A%2F%2Fwww.webofscience.com%2Fwos%2Fwoscc%2Ffull-record%2FWOS:000459201800008","View Full Record in Web of Science")</f>
        <v>View Full Record in Web of Science</v>
      </c>
    </row>
    <row r="990" spans="1:72" x14ac:dyDescent="0.25">
      <c r="A990" t="s">
        <v>72</v>
      </c>
      <c r="B990" t="s">
        <v>18667</v>
      </c>
      <c r="C990" t="s">
        <v>74</v>
      </c>
      <c r="D990" t="s">
        <v>74</v>
      </c>
      <c r="E990" t="s">
        <v>74</v>
      </c>
      <c r="F990" t="s">
        <v>18668</v>
      </c>
      <c r="G990" t="s">
        <v>74</v>
      </c>
      <c r="H990" t="s">
        <v>74</v>
      </c>
      <c r="I990" t="s">
        <v>18669</v>
      </c>
      <c r="J990" t="s">
        <v>1339</v>
      </c>
      <c r="K990" t="s">
        <v>74</v>
      </c>
      <c r="L990" t="s">
        <v>74</v>
      </c>
      <c r="M990" t="s">
        <v>78</v>
      </c>
      <c r="N990" t="s">
        <v>79</v>
      </c>
      <c r="O990" t="s">
        <v>74</v>
      </c>
      <c r="P990" t="s">
        <v>74</v>
      </c>
      <c r="Q990" t="s">
        <v>74</v>
      </c>
      <c r="R990" t="s">
        <v>74</v>
      </c>
      <c r="S990" t="s">
        <v>74</v>
      </c>
      <c r="T990" t="s">
        <v>18670</v>
      </c>
      <c r="U990" t="s">
        <v>18671</v>
      </c>
      <c r="V990" t="s">
        <v>18672</v>
      </c>
      <c r="W990" t="s">
        <v>18673</v>
      </c>
      <c r="X990" t="s">
        <v>18674</v>
      </c>
      <c r="Y990" t="s">
        <v>18675</v>
      </c>
      <c r="Z990" t="s">
        <v>18676</v>
      </c>
      <c r="AA990" t="s">
        <v>74</v>
      </c>
      <c r="AB990" t="s">
        <v>74</v>
      </c>
      <c r="AC990" t="s">
        <v>74</v>
      </c>
      <c r="AD990" t="s">
        <v>74</v>
      </c>
      <c r="AE990" t="s">
        <v>74</v>
      </c>
      <c r="AF990" t="s">
        <v>74</v>
      </c>
      <c r="AG990">
        <v>88</v>
      </c>
      <c r="AH990">
        <v>28</v>
      </c>
      <c r="AI990">
        <v>29</v>
      </c>
      <c r="AJ990">
        <v>5</v>
      </c>
      <c r="AK990">
        <v>107</v>
      </c>
      <c r="AL990" t="s">
        <v>1348</v>
      </c>
      <c r="AM990" t="s">
        <v>1349</v>
      </c>
      <c r="AN990" t="s">
        <v>15947</v>
      </c>
      <c r="AO990" t="s">
        <v>1351</v>
      </c>
      <c r="AP990" t="s">
        <v>1352</v>
      </c>
      <c r="AQ990" t="s">
        <v>74</v>
      </c>
      <c r="AR990" t="s">
        <v>1353</v>
      </c>
      <c r="AS990" t="s">
        <v>1354</v>
      </c>
      <c r="AT990" t="s">
        <v>351</v>
      </c>
      <c r="AU990">
        <v>2019</v>
      </c>
      <c r="AV990">
        <v>31</v>
      </c>
      <c r="AW990">
        <v>1</v>
      </c>
      <c r="AX990" t="s">
        <v>74</v>
      </c>
      <c r="AY990" t="s">
        <v>74</v>
      </c>
      <c r="AZ990" t="s">
        <v>152</v>
      </c>
      <c r="BA990" t="s">
        <v>74</v>
      </c>
      <c r="BB990">
        <v>16</v>
      </c>
      <c r="BC990">
        <v>26</v>
      </c>
      <c r="BD990" t="s">
        <v>74</v>
      </c>
      <c r="BE990" t="s">
        <v>18677</v>
      </c>
      <c r="BF990" t="str">
        <f>HYPERLINK("http://dx.doi.org/10.20965/jrm.2019.p0016","http://dx.doi.org/10.20965/jrm.2019.p0016")</f>
        <v>http://dx.doi.org/10.20965/jrm.2019.p0016</v>
      </c>
      <c r="BG990" t="s">
        <v>74</v>
      </c>
      <c r="BH990" t="s">
        <v>74</v>
      </c>
      <c r="BI990">
        <v>11</v>
      </c>
      <c r="BJ990" t="s">
        <v>714</v>
      </c>
      <c r="BK990" t="s">
        <v>155</v>
      </c>
      <c r="BL990" t="s">
        <v>714</v>
      </c>
      <c r="BM990" t="s">
        <v>18665</v>
      </c>
      <c r="BN990" t="s">
        <v>74</v>
      </c>
      <c r="BO990" t="s">
        <v>185</v>
      </c>
      <c r="BP990" t="s">
        <v>74</v>
      </c>
      <c r="BQ990" t="s">
        <v>74</v>
      </c>
      <c r="BR990" t="s">
        <v>105</v>
      </c>
      <c r="BS990" t="s">
        <v>18678</v>
      </c>
      <c r="BT990" t="str">
        <f>HYPERLINK("https%3A%2F%2Fwww.webofscience.com%2Fwos%2Fwoscc%2Ffull-record%2FWOS:000459201800006","View Full Record in Web of Science")</f>
        <v>View Full Record in Web of Science</v>
      </c>
    </row>
    <row r="991" spans="1:72" x14ac:dyDescent="0.25">
      <c r="A991" t="s">
        <v>72</v>
      </c>
      <c r="B991" t="s">
        <v>18679</v>
      </c>
      <c r="C991" t="s">
        <v>74</v>
      </c>
      <c r="D991" t="s">
        <v>74</v>
      </c>
      <c r="E991" t="s">
        <v>74</v>
      </c>
      <c r="F991" t="s">
        <v>18680</v>
      </c>
      <c r="G991" t="s">
        <v>74</v>
      </c>
      <c r="H991" t="s">
        <v>74</v>
      </c>
      <c r="I991" t="s">
        <v>18681</v>
      </c>
      <c r="J991" t="s">
        <v>1008</v>
      </c>
      <c r="K991" t="s">
        <v>74</v>
      </c>
      <c r="L991" t="s">
        <v>74</v>
      </c>
      <c r="M991" t="s">
        <v>78</v>
      </c>
      <c r="N991" t="s">
        <v>79</v>
      </c>
      <c r="O991" t="s">
        <v>74</v>
      </c>
      <c r="P991" t="s">
        <v>74</v>
      </c>
      <c r="Q991" t="s">
        <v>74</v>
      </c>
      <c r="R991" t="s">
        <v>74</v>
      </c>
      <c r="S991" t="s">
        <v>74</v>
      </c>
      <c r="T991" t="s">
        <v>18682</v>
      </c>
      <c r="U991" t="s">
        <v>18683</v>
      </c>
      <c r="V991" t="s">
        <v>18684</v>
      </c>
      <c r="W991" t="s">
        <v>18685</v>
      </c>
      <c r="X991" t="s">
        <v>18686</v>
      </c>
      <c r="Y991" t="s">
        <v>18687</v>
      </c>
      <c r="Z991" t="s">
        <v>18688</v>
      </c>
      <c r="AA991" t="s">
        <v>18689</v>
      </c>
      <c r="AB991" t="s">
        <v>18690</v>
      </c>
      <c r="AC991" t="s">
        <v>18691</v>
      </c>
      <c r="AD991" t="s">
        <v>18692</v>
      </c>
      <c r="AE991" t="s">
        <v>18693</v>
      </c>
      <c r="AF991" t="s">
        <v>74</v>
      </c>
      <c r="AG991">
        <v>238</v>
      </c>
      <c r="AH991">
        <v>32</v>
      </c>
      <c r="AI991">
        <v>37</v>
      </c>
      <c r="AJ991">
        <v>2</v>
      </c>
      <c r="AK991">
        <v>30</v>
      </c>
      <c r="AL991" t="s">
        <v>2529</v>
      </c>
      <c r="AM991" t="s">
        <v>2530</v>
      </c>
      <c r="AN991" t="s">
        <v>2531</v>
      </c>
      <c r="AO991" t="s">
        <v>1021</v>
      </c>
      <c r="AP991" t="s">
        <v>6602</v>
      </c>
      <c r="AQ991" t="s">
        <v>74</v>
      </c>
      <c r="AR991" t="s">
        <v>1022</v>
      </c>
      <c r="AS991" t="s">
        <v>1023</v>
      </c>
      <c r="AT991" t="s">
        <v>351</v>
      </c>
      <c r="AU991">
        <v>2019</v>
      </c>
      <c r="AV991">
        <v>57</v>
      </c>
      <c r="AW991">
        <v>2</v>
      </c>
      <c r="AX991" t="s">
        <v>74</v>
      </c>
      <c r="AY991" t="s">
        <v>74</v>
      </c>
      <c r="AZ991" t="s">
        <v>74</v>
      </c>
      <c r="BA991" t="s">
        <v>74</v>
      </c>
      <c r="BB991">
        <v>339</v>
      </c>
      <c r="BC991">
        <v>367</v>
      </c>
      <c r="BD991" t="s">
        <v>74</v>
      </c>
      <c r="BE991" t="s">
        <v>18694</v>
      </c>
      <c r="BF991" t="str">
        <f>HYPERLINK("http://dx.doi.org/10.1007/s11517-018-1903-3","http://dx.doi.org/10.1007/s11517-018-1903-3")</f>
        <v>http://dx.doi.org/10.1007/s11517-018-1903-3</v>
      </c>
      <c r="BG991" t="s">
        <v>74</v>
      </c>
      <c r="BH991" t="s">
        <v>74</v>
      </c>
      <c r="BI991">
        <v>29</v>
      </c>
      <c r="BJ991" t="s">
        <v>1025</v>
      </c>
      <c r="BK991" t="s">
        <v>102</v>
      </c>
      <c r="BL991" t="s">
        <v>1026</v>
      </c>
      <c r="BM991" t="s">
        <v>18695</v>
      </c>
      <c r="BN991">
        <v>30367391</v>
      </c>
      <c r="BO991" t="s">
        <v>238</v>
      </c>
      <c r="BP991" t="s">
        <v>74</v>
      </c>
      <c r="BQ991" t="s">
        <v>74</v>
      </c>
      <c r="BR991" t="s">
        <v>105</v>
      </c>
      <c r="BS991" t="s">
        <v>18696</v>
      </c>
      <c r="BT991" t="str">
        <f>HYPERLINK("https%3A%2F%2Fwww.webofscience.com%2Fwos%2Fwoscc%2Ffull-record%2FWOS:000456747000001","View Full Record in Web of Science")</f>
        <v>View Full Record in Web of Science</v>
      </c>
    </row>
    <row r="992" spans="1:72" x14ac:dyDescent="0.25">
      <c r="A992" t="s">
        <v>72</v>
      </c>
      <c r="B992" t="s">
        <v>18697</v>
      </c>
      <c r="C992" t="s">
        <v>74</v>
      </c>
      <c r="D992" t="s">
        <v>74</v>
      </c>
      <c r="E992" t="s">
        <v>74</v>
      </c>
      <c r="F992" t="s">
        <v>18698</v>
      </c>
      <c r="G992" t="s">
        <v>74</v>
      </c>
      <c r="H992" t="s">
        <v>74</v>
      </c>
      <c r="I992" t="s">
        <v>18699</v>
      </c>
      <c r="J992" t="s">
        <v>13816</v>
      </c>
      <c r="K992" t="s">
        <v>74</v>
      </c>
      <c r="L992" t="s">
        <v>74</v>
      </c>
      <c r="M992" t="s">
        <v>78</v>
      </c>
      <c r="N992" t="s">
        <v>79</v>
      </c>
      <c r="O992" t="s">
        <v>74</v>
      </c>
      <c r="P992" t="s">
        <v>74</v>
      </c>
      <c r="Q992" t="s">
        <v>74</v>
      </c>
      <c r="R992" t="s">
        <v>74</v>
      </c>
      <c r="S992" t="s">
        <v>74</v>
      </c>
      <c r="T992" t="s">
        <v>18700</v>
      </c>
      <c r="U992" t="s">
        <v>74</v>
      </c>
      <c r="V992" t="s">
        <v>18701</v>
      </c>
      <c r="W992" t="s">
        <v>18702</v>
      </c>
      <c r="X992" t="s">
        <v>18703</v>
      </c>
      <c r="Y992" t="s">
        <v>18704</v>
      </c>
      <c r="Z992" t="s">
        <v>74</v>
      </c>
      <c r="AA992" t="s">
        <v>18705</v>
      </c>
      <c r="AB992" t="s">
        <v>18706</v>
      </c>
      <c r="AC992" t="s">
        <v>18707</v>
      </c>
      <c r="AD992" t="s">
        <v>18708</v>
      </c>
      <c r="AE992" t="s">
        <v>18709</v>
      </c>
      <c r="AF992" t="s">
        <v>74</v>
      </c>
      <c r="AG992">
        <v>26</v>
      </c>
      <c r="AH992">
        <v>32</v>
      </c>
      <c r="AI992">
        <v>34</v>
      </c>
      <c r="AJ992">
        <v>11</v>
      </c>
      <c r="AK992">
        <v>59</v>
      </c>
      <c r="AL992" t="s">
        <v>13822</v>
      </c>
      <c r="AM992" t="s">
        <v>13823</v>
      </c>
      <c r="AN992" t="s">
        <v>13824</v>
      </c>
      <c r="AO992" t="s">
        <v>13825</v>
      </c>
      <c r="AP992" t="s">
        <v>13826</v>
      </c>
      <c r="AQ992" t="s">
        <v>74</v>
      </c>
      <c r="AR992" t="s">
        <v>13827</v>
      </c>
      <c r="AS992" t="s">
        <v>13828</v>
      </c>
      <c r="AT992" t="s">
        <v>351</v>
      </c>
      <c r="AU992">
        <v>2019</v>
      </c>
      <c r="AV992">
        <v>66</v>
      </c>
      <c r="AW992" t="s">
        <v>13829</v>
      </c>
      <c r="AX992" t="s">
        <v>74</v>
      </c>
      <c r="AY992" t="s">
        <v>74</v>
      </c>
      <c r="AZ992" t="s">
        <v>74</v>
      </c>
      <c r="BA992" t="s">
        <v>74</v>
      </c>
      <c r="BB992">
        <v>19</v>
      </c>
      <c r="BC992">
        <v>23</v>
      </c>
      <c r="BD992" t="s">
        <v>74</v>
      </c>
      <c r="BE992" t="s">
        <v>74</v>
      </c>
      <c r="BF992" t="s">
        <v>74</v>
      </c>
      <c r="BG992" t="s">
        <v>74</v>
      </c>
      <c r="BH992" t="s">
        <v>74</v>
      </c>
      <c r="BI992">
        <v>5</v>
      </c>
      <c r="BJ992" t="s">
        <v>738</v>
      </c>
      <c r="BK992" t="s">
        <v>155</v>
      </c>
      <c r="BL992" t="s">
        <v>739</v>
      </c>
      <c r="BM992" t="s">
        <v>18710</v>
      </c>
      <c r="BN992">
        <v>31064938</v>
      </c>
      <c r="BO992" t="s">
        <v>185</v>
      </c>
      <c r="BP992" t="s">
        <v>74</v>
      </c>
      <c r="BQ992" t="s">
        <v>74</v>
      </c>
      <c r="BR992" t="s">
        <v>105</v>
      </c>
      <c r="BS992" t="s">
        <v>18711</v>
      </c>
      <c r="BT992" t="str">
        <f>HYPERLINK("https%3A%2F%2Fwww.webofscience.com%2Fwos%2Fwoscc%2Ffull-record%2FWOS:000467744400006","View Full Record in Web of Science")</f>
        <v>View Full Record in Web of Science</v>
      </c>
    </row>
    <row r="993" spans="1:72" x14ac:dyDescent="0.25">
      <c r="A993" t="s">
        <v>72</v>
      </c>
      <c r="B993" t="s">
        <v>18712</v>
      </c>
      <c r="C993" t="s">
        <v>74</v>
      </c>
      <c r="D993" t="s">
        <v>74</v>
      </c>
      <c r="E993" t="s">
        <v>74</v>
      </c>
      <c r="F993" t="s">
        <v>18713</v>
      </c>
      <c r="G993" t="s">
        <v>74</v>
      </c>
      <c r="H993" t="s">
        <v>74</v>
      </c>
      <c r="I993" t="s">
        <v>18714</v>
      </c>
      <c r="J993" t="s">
        <v>2690</v>
      </c>
      <c r="K993" t="s">
        <v>74</v>
      </c>
      <c r="L993" t="s">
        <v>74</v>
      </c>
      <c r="M993" t="s">
        <v>78</v>
      </c>
      <c r="N993" t="s">
        <v>79</v>
      </c>
      <c r="O993" t="s">
        <v>74</v>
      </c>
      <c r="P993" t="s">
        <v>74</v>
      </c>
      <c r="Q993" t="s">
        <v>74</v>
      </c>
      <c r="R993" t="s">
        <v>74</v>
      </c>
      <c r="S993" t="s">
        <v>74</v>
      </c>
      <c r="T993" t="s">
        <v>18715</v>
      </c>
      <c r="U993" t="s">
        <v>18716</v>
      </c>
      <c r="V993" t="s">
        <v>18717</v>
      </c>
      <c r="W993" t="s">
        <v>18718</v>
      </c>
      <c r="X993" t="s">
        <v>18719</v>
      </c>
      <c r="Y993" t="s">
        <v>18720</v>
      </c>
      <c r="Z993" t="s">
        <v>18721</v>
      </c>
      <c r="AA993" t="s">
        <v>18722</v>
      </c>
      <c r="AB993" t="s">
        <v>18723</v>
      </c>
      <c r="AC993" t="s">
        <v>18724</v>
      </c>
      <c r="AD993" t="s">
        <v>18725</v>
      </c>
      <c r="AE993" t="s">
        <v>18726</v>
      </c>
      <c r="AF993" t="s">
        <v>74</v>
      </c>
      <c r="AG993">
        <v>100</v>
      </c>
      <c r="AH993">
        <v>26</v>
      </c>
      <c r="AI993">
        <v>28</v>
      </c>
      <c r="AJ993">
        <v>2</v>
      </c>
      <c r="AK993">
        <v>37</v>
      </c>
      <c r="AL993" t="s">
        <v>120</v>
      </c>
      <c r="AM993" t="s">
        <v>121</v>
      </c>
      <c r="AN993" t="s">
        <v>122</v>
      </c>
      <c r="AO993" t="s">
        <v>74</v>
      </c>
      <c r="AP993" t="s">
        <v>2698</v>
      </c>
      <c r="AQ993" t="s">
        <v>74</v>
      </c>
      <c r="AR993" t="s">
        <v>2690</v>
      </c>
      <c r="AS993" t="s">
        <v>2699</v>
      </c>
      <c r="AT993" t="s">
        <v>13887</v>
      </c>
      <c r="AU993">
        <v>2019</v>
      </c>
      <c r="AV993">
        <v>8</v>
      </c>
      <c r="AW993">
        <v>1</v>
      </c>
      <c r="AX993" t="s">
        <v>74</v>
      </c>
      <c r="AY993" t="s">
        <v>74</v>
      </c>
      <c r="AZ993" t="s">
        <v>74</v>
      </c>
      <c r="BA993" t="s">
        <v>74</v>
      </c>
      <c r="BB993" t="s">
        <v>74</v>
      </c>
      <c r="BC993" t="s">
        <v>74</v>
      </c>
      <c r="BD993">
        <v>10</v>
      </c>
      <c r="BE993" t="s">
        <v>18727</v>
      </c>
      <c r="BF993" t="str">
        <f>HYPERLINK("http://dx.doi.org/10.3390/act8010010","http://dx.doi.org/10.3390/act8010010")</f>
        <v>http://dx.doi.org/10.3390/act8010010</v>
      </c>
      <c r="BG993" t="s">
        <v>74</v>
      </c>
      <c r="BH993" t="s">
        <v>74</v>
      </c>
      <c r="BI993">
        <v>28</v>
      </c>
      <c r="BJ993" t="s">
        <v>2701</v>
      </c>
      <c r="BK993" t="s">
        <v>182</v>
      </c>
      <c r="BL993" t="s">
        <v>2702</v>
      </c>
      <c r="BM993" t="s">
        <v>18728</v>
      </c>
      <c r="BN993" t="s">
        <v>74</v>
      </c>
      <c r="BO993" t="s">
        <v>185</v>
      </c>
      <c r="BP993" t="s">
        <v>74</v>
      </c>
      <c r="BQ993" t="s">
        <v>74</v>
      </c>
      <c r="BR993" t="s">
        <v>105</v>
      </c>
      <c r="BS993" t="s">
        <v>18729</v>
      </c>
      <c r="BT993" t="str">
        <f>HYPERLINK("https%3A%2F%2Fwww.webofscience.com%2Fwos%2Fwoscc%2Ffull-record%2FWOS:000464048700001","View Full Record in Web of Science")</f>
        <v>View Full Record in Web of Science</v>
      </c>
    </row>
    <row r="994" spans="1:72" x14ac:dyDescent="0.25">
      <c r="A994" t="s">
        <v>1531</v>
      </c>
      <c r="B994" t="s">
        <v>18730</v>
      </c>
      <c r="C994" t="s">
        <v>74</v>
      </c>
      <c r="D994" t="s">
        <v>18731</v>
      </c>
      <c r="E994" t="s">
        <v>74</v>
      </c>
      <c r="F994" t="s">
        <v>18732</v>
      </c>
      <c r="G994" t="s">
        <v>74</v>
      </c>
      <c r="H994" t="s">
        <v>74</v>
      </c>
      <c r="I994" t="s">
        <v>18733</v>
      </c>
      <c r="J994" t="s">
        <v>18734</v>
      </c>
      <c r="K994" t="s">
        <v>74</v>
      </c>
      <c r="L994" t="s">
        <v>74</v>
      </c>
      <c r="M994" t="s">
        <v>78</v>
      </c>
      <c r="N994" t="s">
        <v>1537</v>
      </c>
      <c r="O994" t="s">
        <v>74</v>
      </c>
      <c r="P994" t="s">
        <v>74</v>
      </c>
      <c r="Q994" t="s">
        <v>74</v>
      </c>
      <c r="R994" t="s">
        <v>74</v>
      </c>
      <c r="S994" t="s">
        <v>74</v>
      </c>
      <c r="T994" t="s">
        <v>18735</v>
      </c>
      <c r="U994" t="s">
        <v>18736</v>
      </c>
      <c r="V994" t="s">
        <v>18737</v>
      </c>
      <c r="W994" t="s">
        <v>18738</v>
      </c>
      <c r="X994" t="s">
        <v>7049</v>
      </c>
      <c r="Y994" t="s">
        <v>18739</v>
      </c>
      <c r="Z994" t="s">
        <v>74</v>
      </c>
      <c r="AA994" t="s">
        <v>18740</v>
      </c>
      <c r="AB994" t="s">
        <v>18741</v>
      </c>
      <c r="AC994" t="s">
        <v>74</v>
      </c>
      <c r="AD994" t="s">
        <v>74</v>
      </c>
      <c r="AE994" t="s">
        <v>74</v>
      </c>
      <c r="AF994" t="s">
        <v>74</v>
      </c>
      <c r="AG994">
        <v>26</v>
      </c>
      <c r="AH994">
        <v>2</v>
      </c>
      <c r="AI994">
        <v>2</v>
      </c>
      <c r="AJ994">
        <v>0</v>
      </c>
      <c r="AK994">
        <v>4</v>
      </c>
      <c r="AL994" t="s">
        <v>18742</v>
      </c>
      <c r="AM994" t="s">
        <v>2597</v>
      </c>
      <c r="AN994" t="s">
        <v>18743</v>
      </c>
      <c r="AO994" t="s">
        <v>74</v>
      </c>
      <c r="AP994" t="s">
        <v>74</v>
      </c>
      <c r="AQ994" t="s">
        <v>18744</v>
      </c>
      <c r="AR994" t="s">
        <v>74</v>
      </c>
      <c r="AS994" t="s">
        <v>74</v>
      </c>
      <c r="AT994" t="s">
        <v>74</v>
      </c>
      <c r="AU994">
        <v>2019</v>
      </c>
      <c r="AV994" t="s">
        <v>74</v>
      </c>
      <c r="AW994" t="s">
        <v>74</v>
      </c>
      <c r="AX994" t="s">
        <v>74</v>
      </c>
      <c r="AY994" t="s">
        <v>74</v>
      </c>
      <c r="AZ994" t="s">
        <v>74</v>
      </c>
      <c r="BA994" t="s">
        <v>74</v>
      </c>
      <c r="BB994">
        <v>477</v>
      </c>
      <c r="BC994">
        <v>490</v>
      </c>
      <c r="BD994" t="s">
        <v>74</v>
      </c>
      <c r="BE994" t="s">
        <v>18745</v>
      </c>
      <c r="BF994" t="str">
        <f>HYPERLINK("http://dx.doi.org/10.1007/978-981-13-7142-4_24","http://dx.doi.org/10.1007/978-981-13-7142-4_24")</f>
        <v>http://dx.doi.org/10.1007/978-981-13-7142-4_24</v>
      </c>
      <c r="BG994" t="s">
        <v>18746</v>
      </c>
      <c r="BH994" t="s">
        <v>74</v>
      </c>
      <c r="BI994">
        <v>14</v>
      </c>
      <c r="BJ994" t="s">
        <v>8688</v>
      </c>
      <c r="BK994" t="s">
        <v>1549</v>
      </c>
      <c r="BL994" t="s">
        <v>8689</v>
      </c>
      <c r="BM994" t="s">
        <v>18747</v>
      </c>
      <c r="BN994" t="s">
        <v>74</v>
      </c>
      <c r="BO994" t="s">
        <v>74</v>
      </c>
      <c r="BP994" t="s">
        <v>74</v>
      </c>
      <c r="BQ994" t="s">
        <v>74</v>
      </c>
      <c r="BR994" t="s">
        <v>105</v>
      </c>
      <c r="BS994" t="s">
        <v>18748</v>
      </c>
      <c r="BT994" t="str">
        <f>HYPERLINK("https%3A%2F%2Fwww.webofscience.com%2Fwos%2Fwoscc%2Ffull-record%2FWOS:000571507200025","View Full Record in Web of Science")</f>
        <v>View Full Record in Web of Science</v>
      </c>
    </row>
    <row r="995" spans="1:72" x14ac:dyDescent="0.25">
      <c r="A995" t="s">
        <v>18749</v>
      </c>
      <c r="B995" t="s">
        <v>18750</v>
      </c>
      <c r="C995" t="s">
        <v>74</v>
      </c>
      <c r="D995" t="s">
        <v>18751</v>
      </c>
      <c r="E995" t="s">
        <v>74</v>
      </c>
      <c r="F995" t="s">
        <v>18752</v>
      </c>
      <c r="G995" t="s">
        <v>74</v>
      </c>
      <c r="H995" t="s">
        <v>74</v>
      </c>
      <c r="I995" t="s">
        <v>18753</v>
      </c>
      <c r="J995" t="s">
        <v>18754</v>
      </c>
      <c r="K995" t="s">
        <v>18755</v>
      </c>
      <c r="L995" t="s">
        <v>74</v>
      </c>
      <c r="M995" t="s">
        <v>78</v>
      </c>
      <c r="N995" t="s">
        <v>1537</v>
      </c>
      <c r="O995" t="s">
        <v>74</v>
      </c>
      <c r="P995" t="s">
        <v>74</v>
      </c>
      <c r="Q995" t="s">
        <v>74</v>
      </c>
      <c r="R995" t="s">
        <v>74</v>
      </c>
      <c r="S995" t="s">
        <v>74</v>
      </c>
      <c r="T995" t="s">
        <v>18756</v>
      </c>
      <c r="U995" t="s">
        <v>18757</v>
      </c>
      <c r="V995" t="s">
        <v>18758</v>
      </c>
      <c r="W995" t="s">
        <v>18759</v>
      </c>
      <c r="X995" t="s">
        <v>18760</v>
      </c>
      <c r="Y995" t="s">
        <v>18761</v>
      </c>
      <c r="Z995" t="s">
        <v>18762</v>
      </c>
      <c r="AA995" t="s">
        <v>18763</v>
      </c>
      <c r="AB995" t="s">
        <v>18764</v>
      </c>
      <c r="AC995" t="s">
        <v>74</v>
      </c>
      <c r="AD995" t="s">
        <v>74</v>
      </c>
      <c r="AE995" t="s">
        <v>74</v>
      </c>
      <c r="AF995" t="s">
        <v>74</v>
      </c>
      <c r="AG995">
        <v>56</v>
      </c>
      <c r="AH995">
        <v>2</v>
      </c>
      <c r="AI995">
        <v>2</v>
      </c>
      <c r="AJ995">
        <v>6</v>
      </c>
      <c r="AK995">
        <v>45</v>
      </c>
      <c r="AL995" t="s">
        <v>18765</v>
      </c>
      <c r="AM995" t="s">
        <v>5342</v>
      </c>
      <c r="AN995" t="s">
        <v>5343</v>
      </c>
      <c r="AO995" t="s">
        <v>18766</v>
      </c>
      <c r="AP995" t="s">
        <v>18767</v>
      </c>
      <c r="AQ995" t="s">
        <v>18768</v>
      </c>
      <c r="AR995" t="s">
        <v>18769</v>
      </c>
      <c r="AS995" t="s">
        <v>18770</v>
      </c>
      <c r="AT995" t="s">
        <v>74</v>
      </c>
      <c r="AU995">
        <v>2019</v>
      </c>
      <c r="AV995">
        <v>1170</v>
      </c>
      <c r="AW995" t="s">
        <v>74</v>
      </c>
      <c r="AX995" t="s">
        <v>74</v>
      </c>
      <c r="AY995" t="s">
        <v>74</v>
      </c>
      <c r="AZ995" t="s">
        <v>74</v>
      </c>
      <c r="BA995" t="s">
        <v>74</v>
      </c>
      <c r="BB995">
        <v>1</v>
      </c>
      <c r="BC995">
        <v>35</v>
      </c>
      <c r="BD995" t="s">
        <v>74</v>
      </c>
      <c r="BE995" t="s">
        <v>18771</v>
      </c>
      <c r="BF995" t="str">
        <f>HYPERLINK("http://dx.doi.org/10.1007/978-3-030-24230-5_1","http://dx.doi.org/10.1007/978-3-030-24230-5_1")</f>
        <v>http://dx.doi.org/10.1007/978-3-030-24230-5_1</v>
      </c>
      <c r="BG995" t="s">
        <v>18772</v>
      </c>
      <c r="BH995" t="s">
        <v>74</v>
      </c>
      <c r="BI995">
        <v>35</v>
      </c>
      <c r="BJ995" t="s">
        <v>18773</v>
      </c>
      <c r="BK995" t="s">
        <v>18774</v>
      </c>
      <c r="BL995" t="s">
        <v>18775</v>
      </c>
      <c r="BM995" t="s">
        <v>18776</v>
      </c>
      <c r="BN995">
        <v>32067201</v>
      </c>
      <c r="BO995" t="s">
        <v>74</v>
      </c>
      <c r="BP995" t="s">
        <v>74</v>
      </c>
      <c r="BQ995" t="s">
        <v>74</v>
      </c>
      <c r="BR995" t="s">
        <v>105</v>
      </c>
      <c r="BS995" t="s">
        <v>18777</v>
      </c>
      <c r="BT995" t="str">
        <f>HYPERLINK("https%3A%2F%2Fwww.webofscience.com%2Fwos%2Fwoscc%2Ffull-record%2FWOS:000530682700002","View Full Record in Web of Science")</f>
        <v>View Full Record in Web of Science</v>
      </c>
    </row>
    <row r="996" spans="1:72" x14ac:dyDescent="0.25">
      <c r="A996" t="s">
        <v>72</v>
      </c>
      <c r="B996" t="s">
        <v>18778</v>
      </c>
      <c r="C996" t="s">
        <v>74</v>
      </c>
      <c r="D996" t="s">
        <v>74</v>
      </c>
      <c r="E996" t="s">
        <v>74</v>
      </c>
      <c r="F996" t="s">
        <v>18779</v>
      </c>
      <c r="G996" t="s">
        <v>74</v>
      </c>
      <c r="H996" t="s">
        <v>74</v>
      </c>
      <c r="I996" t="s">
        <v>18780</v>
      </c>
      <c r="J996" t="s">
        <v>8517</v>
      </c>
      <c r="K996" t="s">
        <v>74</v>
      </c>
      <c r="L996" t="s">
        <v>74</v>
      </c>
      <c r="M996" t="s">
        <v>78</v>
      </c>
      <c r="N996" t="s">
        <v>79</v>
      </c>
      <c r="O996" t="s">
        <v>74</v>
      </c>
      <c r="P996" t="s">
        <v>74</v>
      </c>
      <c r="Q996" t="s">
        <v>74</v>
      </c>
      <c r="R996" t="s">
        <v>74</v>
      </c>
      <c r="S996" t="s">
        <v>74</v>
      </c>
      <c r="T996" t="s">
        <v>18781</v>
      </c>
      <c r="U996" t="s">
        <v>18782</v>
      </c>
      <c r="V996" t="s">
        <v>18783</v>
      </c>
      <c r="W996" t="s">
        <v>18784</v>
      </c>
      <c r="X996" t="s">
        <v>18785</v>
      </c>
      <c r="Y996" t="s">
        <v>18786</v>
      </c>
      <c r="Z996" t="s">
        <v>18787</v>
      </c>
      <c r="AA996" t="s">
        <v>18788</v>
      </c>
      <c r="AB996" t="s">
        <v>74</v>
      </c>
      <c r="AC996" t="s">
        <v>18789</v>
      </c>
      <c r="AD996" t="s">
        <v>18790</v>
      </c>
      <c r="AE996" t="s">
        <v>18791</v>
      </c>
      <c r="AF996" t="s">
        <v>74</v>
      </c>
      <c r="AG996">
        <v>53</v>
      </c>
      <c r="AH996">
        <v>22</v>
      </c>
      <c r="AI996">
        <v>23</v>
      </c>
      <c r="AJ996">
        <v>7</v>
      </c>
      <c r="AK996">
        <v>19</v>
      </c>
      <c r="AL996" t="s">
        <v>4725</v>
      </c>
      <c r="AM996" t="s">
        <v>2597</v>
      </c>
      <c r="AN996" t="s">
        <v>4726</v>
      </c>
      <c r="AO996" t="s">
        <v>8529</v>
      </c>
      <c r="AP996" t="s">
        <v>8530</v>
      </c>
      <c r="AQ996" t="s">
        <v>74</v>
      </c>
      <c r="AR996" t="s">
        <v>8531</v>
      </c>
      <c r="AS996" t="s">
        <v>8532</v>
      </c>
      <c r="AT996" t="s">
        <v>538</v>
      </c>
      <c r="AU996">
        <v>2019</v>
      </c>
      <c r="AV996">
        <v>42</v>
      </c>
      <c r="AW996">
        <v>1</v>
      </c>
      <c r="AX996" t="s">
        <v>74</v>
      </c>
      <c r="AY996" t="s">
        <v>74</v>
      </c>
      <c r="AZ996" t="s">
        <v>74</v>
      </c>
      <c r="BA996" t="s">
        <v>74</v>
      </c>
      <c r="BB996">
        <v>11</v>
      </c>
      <c r="BC996">
        <v>18</v>
      </c>
      <c r="BD996" t="s">
        <v>74</v>
      </c>
      <c r="BE996" t="s">
        <v>18792</v>
      </c>
      <c r="BF996" t="str">
        <f>HYPERLINK("http://dx.doi.org/10.1016/j.asjsur.2018.01.007","http://dx.doi.org/10.1016/j.asjsur.2018.01.007")</f>
        <v>http://dx.doi.org/10.1016/j.asjsur.2018.01.007</v>
      </c>
      <c r="BG996" t="s">
        <v>74</v>
      </c>
      <c r="BH996" t="s">
        <v>74</v>
      </c>
      <c r="BI996">
        <v>8</v>
      </c>
      <c r="BJ996" t="s">
        <v>4896</v>
      </c>
      <c r="BK996" t="s">
        <v>182</v>
      </c>
      <c r="BL996" t="s">
        <v>4896</v>
      </c>
      <c r="BM996" t="s">
        <v>18793</v>
      </c>
      <c r="BN996">
        <v>29627391</v>
      </c>
      <c r="BO996" t="s">
        <v>185</v>
      </c>
      <c r="BP996" t="s">
        <v>74</v>
      </c>
      <c r="BQ996" t="s">
        <v>74</v>
      </c>
      <c r="BR996" t="s">
        <v>105</v>
      </c>
      <c r="BS996" t="s">
        <v>18794</v>
      </c>
      <c r="BT996" t="str">
        <f>HYPERLINK("https%3A%2F%2Fwww.webofscience.com%2Fwos%2Fwoscc%2Ffull-record%2FWOS:000454143100003","View Full Record in Web of Science")</f>
        <v>View Full Record in Web of Science</v>
      </c>
    </row>
    <row r="997" spans="1:72" x14ac:dyDescent="0.25">
      <c r="A997" t="s">
        <v>72</v>
      </c>
      <c r="B997" t="s">
        <v>18795</v>
      </c>
      <c r="C997" t="s">
        <v>74</v>
      </c>
      <c r="D997" t="s">
        <v>74</v>
      </c>
      <c r="E997" t="s">
        <v>74</v>
      </c>
      <c r="F997" t="s">
        <v>18796</v>
      </c>
      <c r="G997" t="s">
        <v>74</v>
      </c>
      <c r="H997" t="s">
        <v>74</v>
      </c>
      <c r="I997" t="s">
        <v>18797</v>
      </c>
      <c r="J997" t="s">
        <v>17802</v>
      </c>
      <c r="K997" t="s">
        <v>74</v>
      </c>
      <c r="L997" t="s">
        <v>74</v>
      </c>
      <c r="M997" t="s">
        <v>16260</v>
      </c>
      <c r="N997" t="s">
        <v>79</v>
      </c>
      <c r="O997" t="s">
        <v>74</v>
      </c>
      <c r="P997" t="s">
        <v>74</v>
      </c>
      <c r="Q997" t="s">
        <v>74</v>
      </c>
      <c r="R997" t="s">
        <v>74</v>
      </c>
      <c r="S997" t="s">
        <v>74</v>
      </c>
      <c r="T997" t="s">
        <v>18798</v>
      </c>
      <c r="U997" t="s">
        <v>18799</v>
      </c>
      <c r="V997" t="s">
        <v>18800</v>
      </c>
      <c r="W997" t="s">
        <v>18801</v>
      </c>
      <c r="X997" t="s">
        <v>18802</v>
      </c>
      <c r="Y997" t="s">
        <v>18803</v>
      </c>
      <c r="Z997" t="s">
        <v>18804</v>
      </c>
      <c r="AA997" t="s">
        <v>18805</v>
      </c>
      <c r="AB997" t="s">
        <v>18806</v>
      </c>
      <c r="AC997" t="s">
        <v>18807</v>
      </c>
      <c r="AD997" t="s">
        <v>18808</v>
      </c>
      <c r="AE997" t="s">
        <v>18809</v>
      </c>
      <c r="AF997" t="s">
        <v>74</v>
      </c>
      <c r="AG997">
        <v>49</v>
      </c>
      <c r="AH997">
        <v>2</v>
      </c>
      <c r="AI997">
        <v>2</v>
      </c>
      <c r="AJ997">
        <v>0</v>
      </c>
      <c r="AK997">
        <v>10</v>
      </c>
      <c r="AL997" t="s">
        <v>17815</v>
      </c>
      <c r="AM997" t="s">
        <v>17816</v>
      </c>
      <c r="AN997" t="s">
        <v>17817</v>
      </c>
      <c r="AO997" t="s">
        <v>17818</v>
      </c>
      <c r="AP997" t="s">
        <v>17819</v>
      </c>
      <c r="AQ997" t="s">
        <v>74</v>
      </c>
      <c r="AR997" t="s">
        <v>17820</v>
      </c>
      <c r="AS997" t="s">
        <v>17821</v>
      </c>
      <c r="AT997" t="s">
        <v>74</v>
      </c>
      <c r="AU997">
        <v>2019</v>
      </c>
      <c r="AV997">
        <v>18</v>
      </c>
      <c r="AW997">
        <v>2</v>
      </c>
      <c r="AX997" t="s">
        <v>74</v>
      </c>
      <c r="AY997" t="s">
        <v>74</v>
      </c>
      <c r="AZ997" t="s">
        <v>74</v>
      </c>
      <c r="BA997" t="s">
        <v>74</v>
      </c>
      <c r="BB997">
        <v>223</v>
      </c>
      <c r="BC997">
        <v>233</v>
      </c>
      <c r="BD997" t="s">
        <v>74</v>
      </c>
      <c r="BE997" t="s">
        <v>18810</v>
      </c>
      <c r="BF997" t="str">
        <f>HYPERLINK("http://dx.doi.org/10.20538/1682-0363-2019-2-223-233","http://dx.doi.org/10.20538/1682-0363-2019-2-223-233")</f>
        <v>http://dx.doi.org/10.20538/1682-0363-2019-2-223-233</v>
      </c>
      <c r="BG997" t="s">
        <v>74</v>
      </c>
      <c r="BH997" t="s">
        <v>74</v>
      </c>
      <c r="BI997">
        <v>11</v>
      </c>
      <c r="BJ997" t="s">
        <v>128</v>
      </c>
      <c r="BK997" t="s">
        <v>155</v>
      </c>
      <c r="BL997" t="s">
        <v>129</v>
      </c>
      <c r="BM997" t="s">
        <v>18811</v>
      </c>
      <c r="BN997" t="s">
        <v>74</v>
      </c>
      <c r="BO997" t="s">
        <v>185</v>
      </c>
      <c r="BP997" t="s">
        <v>74</v>
      </c>
      <c r="BQ997" t="s">
        <v>74</v>
      </c>
      <c r="BR997" t="s">
        <v>105</v>
      </c>
      <c r="BS997" t="s">
        <v>18812</v>
      </c>
      <c r="BT997" t="str">
        <f>HYPERLINK("https%3A%2F%2Fwww.webofscience.com%2Fwos%2Fwoscc%2Ffull-record%2FWOS:000480425600022","View Full Record in Web of Science")</f>
        <v>View Full Record in Web of Science</v>
      </c>
    </row>
    <row r="998" spans="1:72" x14ac:dyDescent="0.25">
      <c r="A998" t="s">
        <v>72</v>
      </c>
      <c r="B998" t="s">
        <v>18813</v>
      </c>
      <c r="C998" t="s">
        <v>74</v>
      </c>
      <c r="D998" t="s">
        <v>74</v>
      </c>
      <c r="E998" t="s">
        <v>74</v>
      </c>
      <c r="F998" t="s">
        <v>18814</v>
      </c>
      <c r="G998" t="s">
        <v>74</v>
      </c>
      <c r="H998" t="s">
        <v>74</v>
      </c>
      <c r="I998" t="s">
        <v>18815</v>
      </c>
      <c r="J998" t="s">
        <v>1837</v>
      </c>
      <c r="K998" t="s">
        <v>74</v>
      </c>
      <c r="L998" t="s">
        <v>74</v>
      </c>
      <c r="M998" t="s">
        <v>78</v>
      </c>
      <c r="N998" t="s">
        <v>79</v>
      </c>
      <c r="O998" t="s">
        <v>74</v>
      </c>
      <c r="P998" t="s">
        <v>74</v>
      </c>
      <c r="Q998" t="s">
        <v>74</v>
      </c>
      <c r="R998" t="s">
        <v>74</v>
      </c>
      <c r="S998" t="s">
        <v>74</v>
      </c>
      <c r="T998" t="s">
        <v>18816</v>
      </c>
      <c r="U998" t="s">
        <v>18817</v>
      </c>
      <c r="V998" t="s">
        <v>18818</v>
      </c>
      <c r="W998" t="s">
        <v>18819</v>
      </c>
      <c r="X998" t="s">
        <v>18820</v>
      </c>
      <c r="Y998" t="s">
        <v>18821</v>
      </c>
      <c r="Z998" t="s">
        <v>18822</v>
      </c>
      <c r="AA998" t="s">
        <v>18823</v>
      </c>
      <c r="AB998" t="s">
        <v>18824</v>
      </c>
      <c r="AC998" t="s">
        <v>18825</v>
      </c>
      <c r="AD998" t="s">
        <v>14213</v>
      </c>
      <c r="AE998" t="s">
        <v>18826</v>
      </c>
      <c r="AF998" t="s">
        <v>74</v>
      </c>
      <c r="AG998">
        <v>149</v>
      </c>
      <c r="AH998">
        <v>40</v>
      </c>
      <c r="AI998">
        <v>43</v>
      </c>
      <c r="AJ998">
        <v>3</v>
      </c>
      <c r="AK998">
        <v>42</v>
      </c>
      <c r="AL998" t="s">
        <v>1114</v>
      </c>
      <c r="AM998" t="s">
        <v>1115</v>
      </c>
      <c r="AN998" t="s">
        <v>1116</v>
      </c>
      <c r="AO998" t="s">
        <v>1850</v>
      </c>
      <c r="AP998" t="s">
        <v>74</v>
      </c>
      <c r="AQ998" t="s">
        <v>74</v>
      </c>
      <c r="AR998" t="s">
        <v>1837</v>
      </c>
      <c r="AS998" t="s">
        <v>1851</v>
      </c>
      <c r="AT998" t="s">
        <v>74</v>
      </c>
      <c r="AU998">
        <v>2019</v>
      </c>
      <c r="AV998">
        <v>7</v>
      </c>
      <c r="AW998" t="s">
        <v>74</v>
      </c>
      <c r="AX998" t="s">
        <v>74</v>
      </c>
      <c r="AY998" t="s">
        <v>74</v>
      </c>
      <c r="AZ998" t="s">
        <v>74</v>
      </c>
      <c r="BA998" t="s">
        <v>74</v>
      </c>
      <c r="BB998">
        <v>142451</v>
      </c>
      <c r="BC998">
        <v>142466</v>
      </c>
      <c r="BD998" t="s">
        <v>74</v>
      </c>
      <c r="BE998" t="s">
        <v>18827</v>
      </c>
      <c r="BF998" t="str">
        <f>HYPERLINK("http://dx.doi.org/10.1109/ACCESS.2019.2944067","http://dx.doi.org/10.1109/ACCESS.2019.2944067")</f>
        <v>http://dx.doi.org/10.1109/ACCESS.2019.2944067</v>
      </c>
      <c r="BG998" t="s">
        <v>74</v>
      </c>
      <c r="BH998" t="s">
        <v>74</v>
      </c>
      <c r="BI998">
        <v>16</v>
      </c>
      <c r="BJ998" t="s">
        <v>1853</v>
      </c>
      <c r="BK998" t="s">
        <v>182</v>
      </c>
      <c r="BL998" t="s">
        <v>1854</v>
      </c>
      <c r="BM998" t="s">
        <v>18828</v>
      </c>
      <c r="BN998" t="s">
        <v>74</v>
      </c>
      <c r="BO998" t="s">
        <v>185</v>
      </c>
      <c r="BP998" t="s">
        <v>74</v>
      </c>
      <c r="BQ998" t="s">
        <v>74</v>
      </c>
      <c r="BR998" t="s">
        <v>105</v>
      </c>
      <c r="BS998" t="s">
        <v>18829</v>
      </c>
      <c r="BT998" t="str">
        <f>HYPERLINK("https%3A%2F%2Fwww.webofscience.com%2Fwos%2Fwoscc%2Ffull-record%2FWOS:000510220900001","View Full Record in Web of Science")</f>
        <v>View Full Record in Web of Science</v>
      </c>
    </row>
    <row r="999" spans="1:72" x14ac:dyDescent="0.25">
      <c r="A999" t="s">
        <v>72</v>
      </c>
      <c r="B999" t="s">
        <v>18830</v>
      </c>
      <c r="C999" t="s">
        <v>74</v>
      </c>
      <c r="D999" t="s">
        <v>74</v>
      </c>
      <c r="E999" t="s">
        <v>74</v>
      </c>
      <c r="F999" t="s">
        <v>18831</v>
      </c>
      <c r="G999" t="s">
        <v>74</v>
      </c>
      <c r="H999" t="s">
        <v>74</v>
      </c>
      <c r="I999" t="s">
        <v>18832</v>
      </c>
      <c r="J999" t="s">
        <v>1837</v>
      </c>
      <c r="K999" t="s">
        <v>74</v>
      </c>
      <c r="L999" t="s">
        <v>74</v>
      </c>
      <c r="M999" t="s">
        <v>78</v>
      </c>
      <c r="N999" t="s">
        <v>79</v>
      </c>
      <c r="O999" t="s">
        <v>74</v>
      </c>
      <c r="P999" t="s">
        <v>74</v>
      </c>
      <c r="Q999" t="s">
        <v>74</v>
      </c>
      <c r="R999" t="s">
        <v>74</v>
      </c>
      <c r="S999" t="s">
        <v>74</v>
      </c>
      <c r="T999" t="s">
        <v>18833</v>
      </c>
      <c r="U999" t="s">
        <v>18834</v>
      </c>
      <c r="V999" t="s">
        <v>18835</v>
      </c>
      <c r="W999" t="s">
        <v>18836</v>
      </c>
      <c r="X999" t="s">
        <v>18837</v>
      </c>
      <c r="Y999" t="s">
        <v>18838</v>
      </c>
      <c r="Z999" t="s">
        <v>2098</v>
      </c>
      <c r="AA999" t="s">
        <v>18839</v>
      </c>
      <c r="AB999" t="s">
        <v>18840</v>
      </c>
      <c r="AC999" t="s">
        <v>18841</v>
      </c>
      <c r="AD999" t="s">
        <v>18842</v>
      </c>
      <c r="AE999" t="s">
        <v>18843</v>
      </c>
      <c r="AF999" t="s">
        <v>74</v>
      </c>
      <c r="AG999">
        <v>61</v>
      </c>
      <c r="AH999">
        <v>44</v>
      </c>
      <c r="AI999">
        <v>45</v>
      </c>
      <c r="AJ999">
        <v>1</v>
      </c>
      <c r="AK999">
        <v>37</v>
      </c>
      <c r="AL999" t="s">
        <v>1114</v>
      </c>
      <c r="AM999" t="s">
        <v>1115</v>
      </c>
      <c r="AN999" t="s">
        <v>1116</v>
      </c>
      <c r="AO999" t="s">
        <v>1850</v>
      </c>
      <c r="AP999" t="s">
        <v>74</v>
      </c>
      <c r="AQ999" t="s">
        <v>74</v>
      </c>
      <c r="AR999" t="s">
        <v>1837</v>
      </c>
      <c r="AS999" t="s">
        <v>1851</v>
      </c>
      <c r="AT999" t="s">
        <v>74</v>
      </c>
      <c r="AU999">
        <v>2019</v>
      </c>
      <c r="AV999">
        <v>7</v>
      </c>
      <c r="AW999" t="s">
        <v>74</v>
      </c>
      <c r="AX999" t="s">
        <v>74</v>
      </c>
      <c r="AY999" t="s">
        <v>74</v>
      </c>
      <c r="AZ999" t="s">
        <v>74</v>
      </c>
      <c r="BA999" t="s">
        <v>74</v>
      </c>
      <c r="BB999">
        <v>32352</v>
      </c>
      <c r="BC999">
        <v>32367</v>
      </c>
      <c r="BD999" t="s">
        <v>74</v>
      </c>
      <c r="BE999" t="s">
        <v>18844</v>
      </c>
      <c r="BF999" t="str">
        <f>HYPERLINK("http://dx.doi.org/10.1109/ACCESS.2019.2901814","http://dx.doi.org/10.1109/ACCESS.2019.2901814")</f>
        <v>http://dx.doi.org/10.1109/ACCESS.2019.2901814</v>
      </c>
      <c r="BG999" t="s">
        <v>74</v>
      </c>
      <c r="BH999" t="s">
        <v>74</v>
      </c>
      <c r="BI999">
        <v>16</v>
      </c>
      <c r="BJ999" t="s">
        <v>1853</v>
      </c>
      <c r="BK999" t="s">
        <v>102</v>
      </c>
      <c r="BL999" t="s">
        <v>1854</v>
      </c>
      <c r="BM999" t="s">
        <v>18845</v>
      </c>
      <c r="BN999" t="s">
        <v>74</v>
      </c>
      <c r="BO999" t="s">
        <v>355</v>
      </c>
      <c r="BP999" t="s">
        <v>74</v>
      </c>
      <c r="BQ999" t="s">
        <v>74</v>
      </c>
      <c r="BR999" t="s">
        <v>105</v>
      </c>
      <c r="BS999" t="s">
        <v>18846</v>
      </c>
      <c r="BT999" t="str">
        <f>HYPERLINK("https%3A%2F%2Fwww.webofscience.com%2Fwos%2Fwoscc%2Ffull-record%2FWOS:000463424800001","View Full Record in Web of Science")</f>
        <v>View Full Record in Web of Science</v>
      </c>
    </row>
    <row r="1000" spans="1:72" x14ac:dyDescent="0.25">
      <c r="A1000" t="s">
        <v>72</v>
      </c>
      <c r="B1000" t="s">
        <v>18847</v>
      </c>
      <c r="C1000" t="s">
        <v>74</v>
      </c>
      <c r="D1000" t="s">
        <v>74</v>
      </c>
      <c r="E1000" t="s">
        <v>74</v>
      </c>
      <c r="F1000" t="s">
        <v>18848</v>
      </c>
      <c r="G1000" t="s">
        <v>74</v>
      </c>
      <c r="H1000" t="s">
        <v>74</v>
      </c>
      <c r="I1000" t="s">
        <v>18849</v>
      </c>
      <c r="J1000" t="s">
        <v>243</v>
      </c>
      <c r="K1000" t="s">
        <v>74</v>
      </c>
      <c r="L1000" t="s">
        <v>74</v>
      </c>
      <c r="M1000" t="s">
        <v>78</v>
      </c>
      <c r="N1000" t="s">
        <v>79</v>
      </c>
      <c r="O1000" t="s">
        <v>74</v>
      </c>
      <c r="P1000" t="s">
        <v>74</v>
      </c>
      <c r="Q1000" t="s">
        <v>74</v>
      </c>
      <c r="R1000" t="s">
        <v>74</v>
      </c>
      <c r="S1000" t="s">
        <v>74</v>
      </c>
      <c r="T1000" t="s">
        <v>18850</v>
      </c>
      <c r="U1000" t="s">
        <v>18851</v>
      </c>
      <c r="V1000" t="s">
        <v>18852</v>
      </c>
      <c r="W1000" t="s">
        <v>18853</v>
      </c>
      <c r="X1000" t="s">
        <v>18854</v>
      </c>
      <c r="Y1000" t="s">
        <v>18855</v>
      </c>
      <c r="Z1000" t="s">
        <v>18856</v>
      </c>
      <c r="AA1000" t="s">
        <v>18857</v>
      </c>
      <c r="AB1000" t="s">
        <v>18858</v>
      </c>
      <c r="AC1000" t="s">
        <v>74</v>
      </c>
      <c r="AD1000" t="s">
        <v>74</v>
      </c>
      <c r="AE1000" t="s">
        <v>74</v>
      </c>
      <c r="AF1000" t="s">
        <v>74</v>
      </c>
      <c r="AG1000">
        <v>37</v>
      </c>
      <c r="AH1000">
        <v>17</v>
      </c>
      <c r="AI1000">
        <v>18</v>
      </c>
      <c r="AJ1000">
        <v>1</v>
      </c>
      <c r="AK1000">
        <v>17</v>
      </c>
      <c r="AL1000" t="s">
        <v>253</v>
      </c>
      <c r="AM1000" t="s">
        <v>227</v>
      </c>
      <c r="AN1000" t="s">
        <v>254</v>
      </c>
      <c r="AO1000" t="s">
        <v>255</v>
      </c>
      <c r="AP1000" t="s">
        <v>256</v>
      </c>
      <c r="AQ1000" t="s">
        <v>74</v>
      </c>
      <c r="AR1000" t="s">
        <v>257</v>
      </c>
      <c r="AS1000" t="s">
        <v>258</v>
      </c>
      <c r="AT1000" t="s">
        <v>74</v>
      </c>
      <c r="AU1000">
        <v>2019</v>
      </c>
      <c r="AV1000">
        <v>14</v>
      </c>
      <c r="AW1000">
        <v>8</v>
      </c>
      <c r="AX1000" t="s">
        <v>74</v>
      </c>
      <c r="AY1000" t="s">
        <v>74</v>
      </c>
      <c r="AZ1000" t="s">
        <v>74</v>
      </c>
      <c r="BA1000" t="s">
        <v>74</v>
      </c>
      <c r="BB1000">
        <v>764</v>
      </c>
      <c r="BC1000">
        <v>775</v>
      </c>
      <c r="BD1000" t="s">
        <v>74</v>
      </c>
      <c r="BE1000" t="s">
        <v>18859</v>
      </c>
      <c r="BF1000" t="str">
        <f>HYPERLINK("http://dx.doi.org/10.1080/17483107.2018.1499137","http://dx.doi.org/10.1080/17483107.2018.1499137")</f>
        <v>http://dx.doi.org/10.1080/17483107.2018.1499137</v>
      </c>
      <c r="BG1000" t="s">
        <v>74</v>
      </c>
      <c r="BH1000" t="s">
        <v>74</v>
      </c>
      <c r="BI1000">
        <v>12</v>
      </c>
      <c r="BJ1000" t="s">
        <v>101</v>
      </c>
      <c r="BK1000" t="s">
        <v>462</v>
      </c>
      <c r="BL1000" t="s">
        <v>101</v>
      </c>
      <c r="BM1000" t="s">
        <v>18860</v>
      </c>
      <c r="BN1000">
        <v>30241453</v>
      </c>
      <c r="BO1000" t="s">
        <v>74</v>
      </c>
      <c r="BP1000" t="s">
        <v>74</v>
      </c>
      <c r="BQ1000" t="s">
        <v>74</v>
      </c>
      <c r="BR1000" t="s">
        <v>105</v>
      </c>
      <c r="BS1000" t="s">
        <v>18861</v>
      </c>
      <c r="BT1000" t="str">
        <f>HYPERLINK("https%3A%2F%2Fwww.webofscience.com%2Fwos%2Fwoscc%2Ffull-record%2FWOS:000508271700008","View Full Record in Web of Science")</f>
        <v>View Full Record in Web of Science</v>
      </c>
    </row>
    <row r="1001" spans="1:72" x14ac:dyDescent="0.25">
      <c r="A1001" t="s">
        <v>1531</v>
      </c>
      <c r="B1001" t="s">
        <v>18862</v>
      </c>
      <c r="C1001" t="s">
        <v>18863</v>
      </c>
      <c r="D1001" t="s">
        <v>74</v>
      </c>
      <c r="E1001" t="s">
        <v>74</v>
      </c>
      <c r="F1001" t="s">
        <v>18864</v>
      </c>
      <c r="G1001" t="s">
        <v>18863</v>
      </c>
      <c r="H1001" t="s">
        <v>74</v>
      </c>
      <c r="I1001" t="s">
        <v>18865</v>
      </c>
      <c r="J1001" t="s">
        <v>18866</v>
      </c>
      <c r="K1001" t="s">
        <v>18867</v>
      </c>
      <c r="L1001" t="s">
        <v>74</v>
      </c>
      <c r="M1001" t="s">
        <v>78</v>
      </c>
      <c r="N1001" t="s">
        <v>1537</v>
      </c>
      <c r="O1001" t="s">
        <v>74</v>
      </c>
      <c r="P1001" t="s">
        <v>74</v>
      </c>
      <c r="Q1001" t="s">
        <v>74</v>
      </c>
      <c r="R1001" t="s">
        <v>74</v>
      </c>
      <c r="S1001" t="s">
        <v>74</v>
      </c>
      <c r="T1001" t="s">
        <v>74</v>
      </c>
      <c r="U1001" t="s">
        <v>18868</v>
      </c>
      <c r="V1001" t="s">
        <v>18869</v>
      </c>
      <c r="W1001" t="s">
        <v>18870</v>
      </c>
      <c r="X1001" t="s">
        <v>18871</v>
      </c>
      <c r="Y1001" t="s">
        <v>18872</v>
      </c>
      <c r="Z1001" t="s">
        <v>74</v>
      </c>
      <c r="AA1001" t="s">
        <v>74</v>
      </c>
      <c r="AB1001" t="s">
        <v>74</v>
      </c>
      <c r="AC1001" t="s">
        <v>74</v>
      </c>
      <c r="AD1001" t="s">
        <v>74</v>
      </c>
      <c r="AE1001" t="s">
        <v>74</v>
      </c>
      <c r="AF1001" t="s">
        <v>74</v>
      </c>
      <c r="AG1001">
        <v>76</v>
      </c>
      <c r="AH1001">
        <v>2</v>
      </c>
      <c r="AI1001">
        <v>2</v>
      </c>
      <c r="AJ1001">
        <v>0</v>
      </c>
      <c r="AK1001">
        <v>16</v>
      </c>
      <c r="AL1001" t="s">
        <v>4765</v>
      </c>
      <c r="AM1001" t="s">
        <v>18873</v>
      </c>
      <c r="AN1001" t="s">
        <v>18874</v>
      </c>
      <c r="AO1001" t="s">
        <v>74</v>
      </c>
      <c r="AP1001" t="s">
        <v>74</v>
      </c>
      <c r="AQ1001" t="s">
        <v>18875</v>
      </c>
      <c r="AR1001" t="s">
        <v>18876</v>
      </c>
      <c r="AS1001" t="s">
        <v>74</v>
      </c>
      <c r="AT1001" t="s">
        <v>74</v>
      </c>
      <c r="AU1001">
        <v>2019</v>
      </c>
      <c r="AV1001" t="s">
        <v>74</v>
      </c>
      <c r="AW1001" t="s">
        <v>74</v>
      </c>
      <c r="AX1001" t="s">
        <v>74</v>
      </c>
      <c r="AY1001" t="s">
        <v>74</v>
      </c>
      <c r="AZ1001" t="s">
        <v>74</v>
      </c>
      <c r="BA1001" t="s">
        <v>74</v>
      </c>
      <c r="BB1001">
        <v>217</v>
      </c>
      <c r="BC1001">
        <v>246</v>
      </c>
      <c r="BD1001" t="s">
        <v>74</v>
      </c>
      <c r="BE1001" t="s">
        <v>18877</v>
      </c>
      <c r="BF1001" t="str">
        <f>HYPERLINK("http://dx.doi.org/10.4018/978-1-5225-5276-5.ch008","http://dx.doi.org/10.4018/978-1-5225-5276-5.ch008")</f>
        <v>http://dx.doi.org/10.4018/978-1-5225-5276-5.ch008</v>
      </c>
      <c r="BG1001" t="s">
        <v>18878</v>
      </c>
      <c r="BH1001" t="s">
        <v>74</v>
      </c>
      <c r="BI1001">
        <v>30</v>
      </c>
      <c r="BJ1001" t="s">
        <v>5059</v>
      </c>
      <c r="BK1001" t="s">
        <v>1549</v>
      </c>
      <c r="BL1001" t="s">
        <v>5060</v>
      </c>
      <c r="BM1001" t="s">
        <v>18879</v>
      </c>
      <c r="BN1001" t="s">
        <v>74</v>
      </c>
      <c r="BO1001" t="s">
        <v>74</v>
      </c>
      <c r="BP1001" t="s">
        <v>74</v>
      </c>
      <c r="BQ1001" t="s">
        <v>74</v>
      </c>
      <c r="BR1001" t="s">
        <v>105</v>
      </c>
      <c r="BS1001" t="s">
        <v>18880</v>
      </c>
      <c r="BT1001" t="str">
        <f>HYPERLINK("https%3A%2F%2Fwww.webofscience.com%2Fwos%2Fwoscc%2Ffull-record%2FWOS:000487732700009","View Full Record in Web of Science")</f>
        <v>View Full Record in Web of Science</v>
      </c>
    </row>
    <row r="1002" spans="1:72" x14ac:dyDescent="0.25">
      <c r="A1002" t="s">
        <v>72</v>
      </c>
      <c r="B1002" t="s">
        <v>18881</v>
      </c>
      <c r="C1002" t="s">
        <v>74</v>
      </c>
      <c r="D1002" t="s">
        <v>74</v>
      </c>
      <c r="E1002" t="s">
        <v>74</v>
      </c>
      <c r="F1002" t="s">
        <v>18882</v>
      </c>
      <c r="G1002" t="s">
        <v>74</v>
      </c>
      <c r="H1002" t="s">
        <v>74</v>
      </c>
      <c r="I1002" t="s">
        <v>18883</v>
      </c>
      <c r="J1002" t="s">
        <v>18884</v>
      </c>
      <c r="K1002" t="s">
        <v>74</v>
      </c>
      <c r="L1002" t="s">
        <v>74</v>
      </c>
      <c r="M1002" t="s">
        <v>78</v>
      </c>
      <c r="N1002" t="s">
        <v>79</v>
      </c>
      <c r="O1002" t="s">
        <v>74</v>
      </c>
      <c r="P1002" t="s">
        <v>74</v>
      </c>
      <c r="Q1002" t="s">
        <v>74</v>
      </c>
      <c r="R1002" t="s">
        <v>74</v>
      </c>
      <c r="S1002" t="s">
        <v>74</v>
      </c>
      <c r="T1002" t="s">
        <v>18885</v>
      </c>
      <c r="U1002" t="s">
        <v>18886</v>
      </c>
      <c r="V1002" t="s">
        <v>18887</v>
      </c>
      <c r="W1002" t="s">
        <v>18888</v>
      </c>
      <c r="X1002" t="s">
        <v>18889</v>
      </c>
      <c r="Y1002" t="s">
        <v>18890</v>
      </c>
      <c r="Z1002" t="s">
        <v>18891</v>
      </c>
      <c r="AA1002" t="s">
        <v>18892</v>
      </c>
      <c r="AB1002" t="s">
        <v>18893</v>
      </c>
      <c r="AC1002" t="s">
        <v>18894</v>
      </c>
      <c r="AD1002" t="s">
        <v>18895</v>
      </c>
      <c r="AE1002" t="s">
        <v>18896</v>
      </c>
      <c r="AF1002" t="s">
        <v>74</v>
      </c>
      <c r="AG1002">
        <v>32</v>
      </c>
      <c r="AH1002">
        <v>44</v>
      </c>
      <c r="AI1002">
        <v>46</v>
      </c>
      <c r="AJ1002">
        <v>3</v>
      </c>
      <c r="AK1002">
        <v>19</v>
      </c>
      <c r="AL1002" t="s">
        <v>18897</v>
      </c>
      <c r="AM1002" t="s">
        <v>121</v>
      </c>
      <c r="AN1002" t="s">
        <v>18898</v>
      </c>
      <c r="AO1002" t="s">
        <v>18899</v>
      </c>
      <c r="AP1002" t="s">
        <v>18900</v>
      </c>
      <c r="AQ1002" t="s">
        <v>74</v>
      </c>
      <c r="AR1002" t="s">
        <v>18901</v>
      </c>
      <c r="AS1002" t="s">
        <v>18902</v>
      </c>
      <c r="AT1002" t="s">
        <v>74</v>
      </c>
      <c r="AU1002">
        <v>2019</v>
      </c>
      <c r="AV1002">
        <v>81</v>
      </c>
      <c r="AW1002" t="s">
        <v>18903</v>
      </c>
      <c r="AX1002" t="s">
        <v>74</v>
      </c>
      <c r="AY1002" t="s">
        <v>74</v>
      </c>
      <c r="AZ1002" t="s">
        <v>74</v>
      </c>
      <c r="BA1002" t="s">
        <v>74</v>
      </c>
      <c r="BB1002">
        <v>103</v>
      </c>
      <c r="BC1002">
        <v>111</v>
      </c>
      <c r="BD1002" t="s">
        <v>74</v>
      </c>
      <c r="BE1002" t="s">
        <v>18904</v>
      </c>
      <c r="BF1002" t="str">
        <f>HYPERLINK("http://dx.doi.org/10.1159/000500747","http://dx.doi.org/10.1159/000500747")</f>
        <v>http://dx.doi.org/10.1159/000500747</v>
      </c>
      <c r="BG1002" t="s">
        <v>74</v>
      </c>
      <c r="BH1002" t="s">
        <v>74</v>
      </c>
      <c r="BI1002">
        <v>9</v>
      </c>
      <c r="BJ1002" t="s">
        <v>400</v>
      </c>
      <c r="BK1002" t="s">
        <v>182</v>
      </c>
      <c r="BL1002" t="s">
        <v>375</v>
      </c>
      <c r="BM1002" t="s">
        <v>18905</v>
      </c>
      <c r="BN1002">
        <v>31167193</v>
      </c>
      <c r="BO1002" t="s">
        <v>1052</v>
      </c>
      <c r="BP1002" t="s">
        <v>74</v>
      </c>
      <c r="BQ1002" t="s">
        <v>74</v>
      </c>
      <c r="BR1002" t="s">
        <v>105</v>
      </c>
      <c r="BS1002" t="s">
        <v>18906</v>
      </c>
      <c r="BT1002" t="str">
        <f>HYPERLINK("https%3A%2F%2Fwww.webofscience.com%2Fwos%2Fwoscc%2Ffull-record%2FWOS:000483852500001","View Full Record in Web of Science")</f>
        <v>View Full Record in Web of Science</v>
      </c>
    </row>
    <row r="1003" spans="1:72" x14ac:dyDescent="0.25">
      <c r="A1003" t="s">
        <v>18749</v>
      </c>
      <c r="B1003" t="s">
        <v>18907</v>
      </c>
      <c r="C1003" t="s">
        <v>74</v>
      </c>
      <c r="D1003" t="s">
        <v>18908</v>
      </c>
      <c r="E1003" t="s">
        <v>74</v>
      </c>
      <c r="F1003" t="s">
        <v>18909</v>
      </c>
      <c r="G1003" t="s">
        <v>74</v>
      </c>
      <c r="H1003" t="s">
        <v>74</v>
      </c>
      <c r="I1003" t="s">
        <v>18910</v>
      </c>
      <c r="J1003" t="s">
        <v>18911</v>
      </c>
      <c r="K1003" t="s">
        <v>18912</v>
      </c>
      <c r="L1003" t="s">
        <v>74</v>
      </c>
      <c r="M1003" t="s">
        <v>78</v>
      </c>
      <c r="N1003" t="s">
        <v>1537</v>
      </c>
      <c r="O1003" t="s">
        <v>74</v>
      </c>
      <c r="P1003" t="s">
        <v>74</v>
      </c>
      <c r="Q1003" t="s">
        <v>74</v>
      </c>
      <c r="R1003" t="s">
        <v>74</v>
      </c>
      <c r="S1003" t="s">
        <v>74</v>
      </c>
      <c r="T1003" t="s">
        <v>18913</v>
      </c>
      <c r="U1003" t="s">
        <v>18914</v>
      </c>
      <c r="V1003" t="s">
        <v>18915</v>
      </c>
      <c r="W1003" t="s">
        <v>18916</v>
      </c>
      <c r="X1003" t="s">
        <v>18917</v>
      </c>
      <c r="Y1003" t="s">
        <v>18918</v>
      </c>
      <c r="Z1003" t="s">
        <v>18919</v>
      </c>
      <c r="AA1003" t="s">
        <v>18920</v>
      </c>
      <c r="AB1003" t="s">
        <v>74</v>
      </c>
      <c r="AC1003" t="s">
        <v>18921</v>
      </c>
      <c r="AD1003" t="s">
        <v>1266</v>
      </c>
      <c r="AE1003" t="s">
        <v>74</v>
      </c>
      <c r="AF1003" t="s">
        <v>74</v>
      </c>
      <c r="AG1003">
        <v>143</v>
      </c>
      <c r="AH1003">
        <v>103</v>
      </c>
      <c r="AI1003">
        <v>112</v>
      </c>
      <c r="AJ1003">
        <v>11</v>
      </c>
      <c r="AK1003">
        <v>197</v>
      </c>
      <c r="AL1003" t="s">
        <v>4437</v>
      </c>
      <c r="AM1003" t="s">
        <v>4438</v>
      </c>
      <c r="AN1003" t="s">
        <v>18922</v>
      </c>
      <c r="AO1003" t="s">
        <v>9471</v>
      </c>
      <c r="AP1003" t="s">
        <v>9472</v>
      </c>
      <c r="AQ1003" t="s">
        <v>74</v>
      </c>
      <c r="AR1003" t="s">
        <v>9473</v>
      </c>
      <c r="AS1003" t="s">
        <v>9474</v>
      </c>
      <c r="AT1003" t="s">
        <v>74</v>
      </c>
      <c r="AU1003">
        <v>2019</v>
      </c>
      <c r="AV1003">
        <v>21</v>
      </c>
      <c r="AW1003" t="s">
        <v>74</v>
      </c>
      <c r="AX1003" t="s">
        <v>74</v>
      </c>
      <c r="AY1003" t="s">
        <v>74</v>
      </c>
      <c r="AZ1003" t="s">
        <v>74</v>
      </c>
      <c r="BA1003" t="s">
        <v>74</v>
      </c>
      <c r="BB1003">
        <v>193</v>
      </c>
      <c r="BC1003">
        <v>218</v>
      </c>
      <c r="BD1003" t="s">
        <v>74</v>
      </c>
      <c r="BE1003" t="s">
        <v>18923</v>
      </c>
      <c r="BF1003" t="str">
        <f>HYPERLINK("http://dx.doi.org/10.1146/annurev-bioeng-060418-052502","http://dx.doi.org/10.1146/annurev-bioeng-060418-052502")</f>
        <v>http://dx.doi.org/10.1146/annurev-bioeng-060418-052502</v>
      </c>
      <c r="BG1003" t="s">
        <v>74</v>
      </c>
      <c r="BH1003" t="s">
        <v>74</v>
      </c>
      <c r="BI1003">
        <v>26</v>
      </c>
      <c r="BJ1003" t="s">
        <v>282</v>
      </c>
      <c r="BK1003" t="s">
        <v>18774</v>
      </c>
      <c r="BL1003" t="s">
        <v>183</v>
      </c>
      <c r="BM1003" t="s">
        <v>18924</v>
      </c>
      <c r="BN1003">
        <v>30822100</v>
      </c>
      <c r="BO1003" t="s">
        <v>309</v>
      </c>
      <c r="BP1003" t="s">
        <v>74</v>
      </c>
      <c r="BQ1003" t="s">
        <v>74</v>
      </c>
      <c r="BR1003" t="s">
        <v>105</v>
      </c>
      <c r="BS1003" t="s">
        <v>18925</v>
      </c>
      <c r="BT1003" t="str">
        <f>HYPERLINK("https%3A%2F%2Fwww.webofscience.com%2Fwos%2Fwoscc%2Ffull-record%2FWOS:000470875500008","View Full Record in Web of Science")</f>
        <v>View Full Record in Web of Science</v>
      </c>
    </row>
    <row r="1004" spans="1:72" x14ac:dyDescent="0.25">
      <c r="A1004" t="s">
        <v>72</v>
      </c>
      <c r="B1004" t="s">
        <v>18926</v>
      </c>
      <c r="C1004" t="s">
        <v>74</v>
      </c>
      <c r="D1004" t="s">
        <v>74</v>
      </c>
      <c r="E1004" t="s">
        <v>74</v>
      </c>
      <c r="F1004" t="s">
        <v>18927</v>
      </c>
      <c r="G1004" t="s">
        <v>74</v>
      </c>
      <c r="H1004" t="s">
        <v>74</v>
      </c>
      <c r="I1004" t="s">
        <v>18928</v>
      </c>
      <c r="J1004" t="s">
        <v>3053</v>
      </c>
      <c r="K1004" t="s">
        <v>74</v>
      </c>
      <c r="L1004" t="s">
        <v>74</v>
      </c>
      <c r="M1004" t="s">
        <v>78</v>
      </c>
      <c r="N1004" t="s">
        <v>79</v>
      </c>
      <c r="O1004" t="s">
        <v>74</v>
      </c>
      <c r="P1004" t="s">
        <v>74</v>
      </c>
      <c r="Q1004" t="s">
        <v>74</v>
      </c>
      <c r="R1004" t="s">
        <v>74</v>
      </c>
      <c r="S1004" t="s">
        <v>74</v>
      </c>
      <c r="T1004" t="s">
        <v>18929</v>
      </c>
      <c r="U1004" t="s">
        <v>18930</v>
      </c>
      <c r="V1004" t="s">
        <v>18931</v>
      </c>
      <c r="W1004" t="s">
        <v>18932</v>
      </c>
      <c r="X1004" t="s">
        <v>74</v>
      </c>
      <c r="Y1004" t="s">
        <v>18933</v>
      </c>
      <c r="Z1004" t="s">
        <v>18934</v>
      </c>
      <c r="AA1004" t="s">
        <v>18935</v>
      </c>
      <c r="AB1004" t="s">
        <v>18936</v>
      </c>
      <c r="AC1004" t="s">
        <v>74</v>
      </c>
      <c r="AD1004" t="s">
        <v>74</v>
      </c>
      <c r="AE1004" t="s">
        <v>74</v>
      </c>
      <c r="AF1004" t="s">
        <v>74</v>
      </c>
      <c r="AG1004">
        <v>58</v>
      </c>
      <c r="AH1004">
        <v>20</v>
      </c>
      <c r="AI1004">
        <v>22</v>
      </c>
      <c r="AJ1004">
        <v>2</v>
      </c>
      <c r="AK1004">
        <v>9</v>
      </c>
      <c r="AL1004" t="s">
        <v>92</v>
      </c>
      <c r="AM1004" t="s">
        <v>93</v>
      </c>
      <c r="AN1004" t="s">
        <v>94</v>
      </c>
      <c r="AO1004" t="s">
        <v>3066</v>
      </c>
      <c r="AP1004" t="s">
        <v>3067</v>
      </c>
      <c r="AQ1004" t="s">
        <v>74</v>
      </c>
      <c r="AR1004" t="s">
        <v>3068</v>
      </c>
      <c r="AS1004" t="s">
        <v>3069</v>
      </c>
      <c r="AT1004" t="s">
        <v>74</v>
      </c>
      <c r="AU1004">
        <v>2019</v>
      </c>
      <c r="AV1004">
        <v>42</v>
      </c>
      <c r="AW1004">
        <v>2</v>
      </c>
      <c r="AX1004" t="s">
        <v>74</v>
      </c>
      <c r="AY1004" t="s">
        <v>74</v>
      </c>
      <c r="AZ1004" t="s">
        <v>74</v>
      </c>
      <c r="BA1004" t="s">
        <v>74</v>
      </c>
      <c r="BB1004">
        <v>142</v>
      </c>
      <c r="BC1004">
        <v>154</v>
      </c>
      <c r="BD1004" t="s">
        <v>74</v>
      </c>
      <c r="BE1004" t="s">
        <v>18937</v>
      </c>
      <c r="BF1004" t="str">
        <f>HYPERLINK("http://dx.doi.org/10.1080/10790268.2017.1390644","http://dx.doi.org/10.1080/10790268.2017.1390644")</f>
        <v>http://dx.doi.org/10.1080/10790268.2017.1390644</v>
      </c>
      <c r="BG1004" t="s">
        <v>74</v>
      </c>
      <c r="BH1004" t="s">
        <v>74</v>
      </c>
      <c r="BI1004">
        <v>13</v>
      </c>
      <c r="BJ1004" t="s">
        <v>541</v>
      </c>
      <c r="BK1004" t="s">
        <v>102</v>
      </c>
      <c r="BL1004" t="s">
        <v>375</v>
      </c>
      <c r="BM1004" t="s">
        <v>18938</v>
      </c>
      <c r="BN1004">
        <v>29065788</v>
      </c>
      <c r="BO1004" t="s">
        <v>2246</v>
      </c>
      <c r="BP1004" t="s">
        <v>74</v>
      </c>
      <c r="BQ1004" t="s">
        <v>74</v>
      </c>
      <c r="BR1004" t="s">
        <v>105</v>
      </c>
      <c r="BS1004" t="s">
        <v>18939</v>
      </c>
      <c r="BT1004" t="str">
        <f>HYPERLINK("https%3A%2F%2Fwww.webofscience.com%2Fwos%2Fwoscc%2Ffull-record%2FWOS:000474485900002","View Full Record in Web of Science")</f>
        <v>View Full Record in Web of Science</v>
      </c>
    </row>
    <row r="1005" spans="1:72" x14ac:dyDescent="0.25">
      <c r="A1005" t="s">
        <v>72</v>
      </c>
      <c r="B1005" t="s">
        <v>18940</v>
      </c>
      <c r="C1005" t="s">
        <v>74</v>
      </c>
      <c r="D1005" t="s">
        <v>74</v>
      </c>
      <c r="E1005" t="s">
        <v>74</v>
      </c>
      <c r="F1005" t="s">
        <v>18941</v>
      </c>
      <c r="G1005" t="s">
        <v>74</v>
      </c>
      <c r="H1005" t="s">
        <v>74</v>
      </c>
      <c r="I1005" t="s">
        <v>18942</v>
      </c>
      <c r="J1005" t="s">
        <v>6753</v>
      </c>
      <c r="K1005" t="s">
        <v>74</v>
      </c>
      <c r="L1005" t="s">
        <v>74</v>
      </c>
      <c r="M1005" t="s">
        <v>78</v>
      </c>
      <c r="N1005" t="s">
        <v>79</v>
      </c>
      <c r="O1005" t="s">
        <v>74</v>
      </c>
      <c r="P1005" t="s">
        <v>74</v>
      </c>
      <c r="Q1005" t="s">
        <v>74</v>
      </c>
      <c r="R1005" t="s">
        <v>74</v>
      </c>
      <c r="S1005" t="s">
        <v>74</v>
      </c>
      <c r="T1005" t="s">
        <v>18943</v>
      </c>
      <c r="U1005" t="s">
        <v>18944</v>
      </c>
      <c r="V1005" t="s">
        <v>18945</v>
      </c>
      <c r="W1005" t="s">
        <v>18946</v>
      </c>
      <c r="X1005" t="s">
        <v>18947</v>
      </c>
      <c r="Y1005" t="s">
        <v>18948</v>
      </c>
      <c r="Z1005" t="s">
        <v>18949</v>
      </c>
      <c r="AA1005" t="s">
        <v>18950</v>
      </c>
      <c r="AB1005" t="s">
        <v>18951</v>
      </c>
      <c r="AC1005" t="s">
        <v>74</v>
      </c>
      <c r="AD1005" t="s">
        <v>74</v>
      </c>
      <c r="AE1005" t="s">
        <v>74</v>
      </c>
      <c r="AF1005" t="s">
        <v>74</v>
      </c>
      <c r="AG1005">
        <v>161</v>
      </c>
      <c r="AH1005">
        <v>10</v>
      </c>
      <c r="AI1005">
        <v>10</v>
      </c>
      <c r="AJ1005">
        <v>0</v>
      </c>
      <c r="AK1005">
        <v>9</v>
      </c>
      <c r="AL1005" t="s">
        <v>92</v>
      </c>
      <c r="AM1005" t="s">
        <v>93</v>
      </c>
      <c r="AN1005" t="s">
        <v>94</v>
      </c>
      <c r="AO1005" t="s">
        <v>6761</v>
      </c>
      <c r="AP1005" t="s">
        <v>6762</v>
      </c>
      <c r="AQ1005" t="s">
        <v>74</v>
      </c>
      <c r="AR1005" t="s">
        <v>6763</v>
      </c>
      <c r="AS1005" t="s">
        <v>6764</v>
      </c>
      <c r="AT1005" t="s">
        <v>74</v>
      </c>
      <c r="AU1005">
        <v>2019</v>
      </c>
      <c r="AV1005">
        <v>24</v>
      </c>
      <c r="AW1005" t="s">
        <v>18903</v>
      </c>
      <c r="AX1005" t="s">
        <v>74</v>
      </c>
      <c r="AY1005" t="s">
        <v>74</v>
      </c>
      <c r="AZ1005" t="s">
        <v>74</v>
      </c>
      <c r="BA1005" t="s">
        <v>74</v>
      </c>
      <c r="BB1005">
        <v>100</v>
      </c>
      <c r="BC1005">
        <v>117</v>
      </c>
      <c r="BD1005" t="s">
        <v>74</v>
      </c>
      <c r="BE1005" t="s">
        <v>18952</v>
      </c>
      <c r="BF1005" t="str">
        <f>HYPERLINK("http://dx.doi.org/10.1080/10833196.2019.1597439","http://dx.doi.org/10.1080/10833196.2019.1597439")</f>
        <v>http://dx.doi.org/10.1080/10833196.2019.1597439</v>
      </c>
      <c r="BG1005" t="s">
        <v>74</v>
      </c>
      <c r="BH1005" t="s">
        <v>74</v>
      </c>
      <c r="BI1005">
        <v>18</v>
      </c>
      <c r="BJ1005" t="s">
        <v>101</v>
      </c>
      <c r="BK1005" t="s">
        <v>155</v>
      </c>
      <c r="BL1005" t="s">
        <v>101</v>
      </c>
      <c r="BM1005" t="s">
        <v>18953</v>
      </c>
      <c r="BN1005" t="s">
        <v>74</v>
      </c>
      <c r="BO1005" t="s">
        <v>74</v>
      </c>
      <c r="BP1005" t="s">
        <v>74</v>
      </c>
      <c r="BQ1005" t="s">
        <v>74</v>
      </c>
      <c r="BR1005" t="s">
        <v>105</v>
      </c>
      <c r="BS1005" t="s">
        <v>18954</v>
      </c>
      <c r="BT1005" t="str">
        <f>HYPERLINK("https%3A%2F%2Fwww.webofscience.com%2Fwos%2Fwoscc%2Ffull-record%2FWOS:000840668200001","View Full Record in Web of Science")</f>
        <v>View Full Record in Web of Science</v>
      </c>
    </row>
    <row r="1006" spans="1:72" x14ac:dyDescent="0.25">
      <c r="A1006" t="s">
        <v>72</v>
      </c>
      <c r="B1006" t="s">
        <v>18955</v>
      </c>
      <c r="C1006" t="s">
        <v>74</v>
      </c>
      <c r="D1006" t="s">
        <v>74</v>
      </c>
      <c r="E1006" t="s">
        <v>74</v>
      </c>
      <c r="F1006" t="s">
        <v>18956</v>
      </c>
      <c r="G1006" t="s">
        <v>74</v>
      </c>
      <c r="H1006" t="s">
        <v>74</v>
      </c>
      <c r="I1006" t="s">
        <v>18957</v>
      </c>
      <c r="J1006" t="s">
        <v>18958</v>
      </c>
      <c r="K1006" t="s">
        <v>74</v>
      </c>
      <c r="L1006" t="s">
        <v>74</v>
      </c>
      <c r="M1006" t="s">
        <v>78</v>
      </c>
      <c r="N1006" t="s">
        <v>79</v>
      </c>
      <c r="O1006" t="s">
        <v>74</v>
      </c>
      <c r="P1006" t="s">
        <v>74</v>
      </c>
      <c r="Q1006" t="s">
        <v>74</v>
      </c>
      <c r="R1006" t="s">
        <v>74</v>
      </c>
      <c r="S1006" t="s">
        <v>74</v>
      </c>
      <c r="T1006" t="s">
        <v>18959</v>
      </c>
      <c r="U1006" t="s">
        <v>18960</v>
      </c>
      <c r="V1006" t="s">
        <v>18961</v>
      </c>
      <c r="W1006" t="s">
        <v>18962</v>
      </c>
      <c r="X1006" t="s">
        <v>18963</v>
      </c>
      <c r="Y1006" t="s">
        <v>18964</v>
      </c>
      <c r="Z1006" t="s">
        <v>18965</v>
      </c>
      <c r="AA1006" t="s">
        <v>18966</v>
      </c>
      <c r="AB1006" t="s">
        <v>18967</v>
      </c>
      <c r="AC1006" t="s">
        <v>18968</v>
      </c>
      <c r="AD1006" t="s">
        <v>4047</v>
      </c>
      <c r="AE1006" t="s">
        <v>18969</v>
      </c>
      <c r="AF1006" t="s">
        <v>74</v>
      </c>
      <c r="AG1006">
        <v>50</v>
      </c>
      <c r="AH1006">
        <v>48</v>
      </c>
      <c r="AI1006">
        <v>49</v>
      </c>
      <c r="AJ1006">
        <v>13</v>
      </c>
      <c r="AK1006">
        <v>100</v>
      </c>
      <c r="AL1006" t="s">
        <v>18970</v>
      </c>
      <c r="AM1006" t="s">
        <v>18971</v>
      </c>
      <c r="AN1006" t="s">
        <v>18972</v>
      </c>
      <c r="AO1006" t="s">
        <v>18973</v>
      </c>
      <c r="AP1006" t="s">
        <v>74</v>
      </c>
      <c r="AQ1006" t="s">
        <v>74</v>
      </c>
      <c r="AR1006" t="s">
        <v>18974</v>
      </c>
      <c r="AS1006" t="s">
        <v>18975</v>
      </c>
      <c r="AT1006" t="s">
        <v>74</v>
      </c>
      <c r="AU1006">
        <v>2019</v>
      </c>
      <c r="AV1006">
        <v>10</v>
      </c>
      <c r="AW1006">
        <v>12</v>
      </c>
      <c r="AX1006" t="s">
        <v>74</v>
      </c>
      <c r="AY1006" t="s">
        <v>74</v>
      </c>
      <c r="AZ1006" t="s">
        <v>74</v>
      </c>
      <c r="BA1006" t="s">
        <v>74</v>
      </c>
      <c r="BB1006">
        <v>2643</v>
      </c>
      <c r="BC1006">
        <v>2653</v>
      </c>
      <c r="BD1006" t="s">
        <v>74</v>
      </c>
      <c r="BE1006" t="s">
        <v>18976</v>
      </c>
      <c r="BF1006" t="str">
        <f>HYPERLINK("http://dx.doi.org/10.7150/jca.32739","http://dx.doi.org/10.7150/jca.32739")</f>
        <v>http://dx.doi.org/10.7150/jca.32739</v>
      </c>
      <c r="BG1006" t="s">
        <v>74</v>
      </c>
      <c r="BH1006" t="s">
        <v>74</v>
      </c>
      <c r="BI1006">
        <v>11</v>
      </c>
      <c r="BJ1006" t="s">
        <v>4032</v>
      </c>
      <c r="BK1006" t="s">
        <v>102</v>
      </c>
      <c r="BL1006" t="s">
        <v>4032</v>
      </c>
      <c r="BM1006" t="s">
        <v>18977</v>
      </c>
      <c r="BN1006">
        <v>31258772</v>
      </c>
      <c r="BO1006" t="s">
        <v>5437</v>
      </c>
      <c r="BP1006" t="s">
        <v>74</v>
      </c>
      <c r="BQ1006" t="s">
        <v>74</v>
      </c>
      <c r="BR1006" t="s">
        <v>105</v>
      </c>
      <c r="BS1006" t="s">
        <v>18978</v>
      </c>
      <c r="BT1006" t="str">
        <f>HYPERLINK("https%3A%2F%2Fwww.webofscience.com%2Fwos%2Fwoscc%2Ffull-record%2FWOS:000470089300007","View Full Record in Web of Science")</f>
        <v>View Full Record in Web of Science</v>
      </c>
    </row>
    <row r="1007" spans="1:72" x14ac:dyDescent="0.25">
      <c r="A1007" t="s">
        <v>72</v>
      </c>
      <c r="B1007" t="s">
        <v>18979</v>
      </c>
      <c r="C1007" t="s">
        <v>74</v>
      </c>
      <c r="D1007" t="s">
        <v>74</v>
      </c>
      <c r="E1007" t="s">
        <v>74</v>
      </c>
      <c r="F1007" t="s">
        <v>18980</v>
      </c>
      <c r="G1007" t="s">
        <v>74</v>
      </c>
      <c r="H1007" t="s">
        <v>74</v>
      </c>
      <c r="I1007" t="s">
        <v>18981</v>
      </c>
      <c r="J1007" t="s">
        <v>18982</v>
      </c>
      <c r="K1007" t="s">
        <v>74</v>
      </c>
      <c r="L1007" t="s">
        <v>74</v>
      </c>
      <c r="M1007" t="s">
        <v>78</v>
      </c>
      <c r="N1007" t="s">
        <v>79</v>
      </c>
      <c r="O1007" t="s">
        <v>74</v>
      </c>
      <c r="P1007" t="s">
        <v>74</v>
      </c>
      <c r="Q1007" t="s">
        <v>74</v>
      </c>
      <c r="R1007" t="s">
        <v>74</v>
      </c>
      <c r="S1007" t="s">
        <v>74</v>
      </c>
      <c r="T1007" t="s">
        <v>18983</v>
      </c>
      <c r="U1007" t="s">
        <v>18984</v>
      </c>
      <c r="V1007" t="s">
        <v>18985</v>
      </c>
      <c r="W1007" t="s">
        <v>18986</v>
      </c>
      <c r="X1007" t="s">
        <v>18987</v>
      </c>
      <c r="Y1007" t="s">
        <v>18988</v>
      </c>
      <c r="Z1007" t="s">
        <v>18989</v>
      </c>
      <c r="AA1007" t="s">
        <v>18990</v>
      </c>
      <c r="AB1007" t="s">
        <v>18991</v>
      </c>
      <c r="AC1007" t="s">
        <v>74</v>
      </c>
      <c r="AD1007" t="s">
        <v>74</v>
      </c>
      <c r="AE1007" t="s">
        <v>74</v>
      </c>
      <c r="AF1007" t="s">
        <v>74</v>
      </c>
      <c r="AG1007">
        <v>80</v>
      </c>
      <c r="AH1007">
        <v>7</v>
      </c>
      <c r="AI1007">
        <v>7</v>
      </c>
      <c r="AJ1007">
        <v>1</v>
      </c>
      <c r="AK1007">
        <v>26</v>
      </c>
      <c r="AL1007" t="s">
        <v>18992</v>
      </c>
      <c r="AM1007" t="s">
        <v>18993</v>
      </c>
      <c r="AN1007" t="s">
        <v>18994</v>
      </c>
      <c r="AO1007" t="s">
        <v>18995</v>
      </c>
      <c r="AP1007" t="s">
        <v>74</v>
      </c>
      <c r="AQ1007" t="s">
        <v>74</v>
      </c>
      <c r="AR1007" t="s">
        <v>18996</v>
      </c>
      <c r="AS1007" t="s">
        <v>18997</v>
      </c>
      <c r="AT1007" t="s">
        <v>1807</v>
      </c>
      <c r="AU1007">
        <v>2019</v>
      </c>
      <c r="AV1007">
        <v>9</v>
      </c>
      <c r="AW1007">
        <v>1</v>
      </c>
      <c r="AX1007" t="s">
        <v>74</v>
      </c>
      <c r="AY1007" t="s">
        <v>74</v>
      </c>
      <c r="AZ1007" t="s">
        <v>74</v>
      </c>
      <c r="BA1007" t="s">
        <v>74</v>
      </c>
      <c r="BB1007">
        <v>21</v>
      </c>
      <c r="BC1007">
        <v>48</v>
      </c>
      <c r="BD1007" t="s">
        <v>74</v>
      </c>
      <c r="BE1007" t="s">
        <v>18998</v>
      </c>
      <c r="BF1007" t="str">
        <f>HYPERLINK("http://dx.doi.org/10.32098/mltj.01.2019.07","http://dx.doi.org/10.32098/mltj.01.2019.07")</f>
        <v>http://dx.doi.org/10.32098/mltj.01.2019.07</v>
      </c>
      <c r="BG1007" t="s">
        <v>74</v>
      </c>
      <c r="BH1007" t="s">
        <v>74</v>
      </c>
      <c r="BI1007">
        <v>28</v>
      </c>
      <c r="BJ1007" t="s">
        <v>443</v>
      </c>
      <c r="BK1007" t="s">
        <v>155</v>
      </c>
      <c r="BL1007" t="s">
        <v>443</v>
      </c>
      <c r="BM1007" t="s">
        <v>18999</v>
      </c>
      <c r="BN1007" t="s">
        <v>74</v>
      </c>
      <c r="BO1007" t="s">
        <v>1052</v>
      </c>
      <c r="BP1007" t="s">
        <v>74</v>
      </c>
      <c r="BQ1007" t="s">
        <v>74</v>
      </c>
      <c r="BR1007" t="s">
        <v>105</v>
      </c>
      <c r="BS1007" t="s">
        <v>19000</v>
      </c>
      <c r="BT1007" t="str">
        <f>HYPERLINK("https%3A%2F%2Fwww.webofscience.com%2Fwos%2Fwoscc%2Ffull-record%2FWOS:000472161000005","View Full Record in Web of Science")</f>
        <v>View Full Record in Web of Science</v>
      </c>
    </row>
    <row r="1008" spans="1:72" x14ac:dyDescent="0.25">
      <c r="A1008" t="s">
        <v>72</v>
      </c>
      <c r="B1008" t="s">
        <v>19001</v>
      </c>
      <c r="C1008" t="s">
        <v>74</v>
      </c>
      <c r="D1008" t="s">
        <v>74</v>
      </c>
      <c r="E1008" t="s">
        <v>74</v>
      </c>
      <c r="F1008" t="s">
        <v>19002</v>
      </c>
      <c r="G1008" t="s">
        <v>74</v>
      </c>
      <c r="H1008" t="s">
        <v>74</v>
      </c>
      <c r="I1008" t="s">
        <v>19003</v>
      </c>
      <c r="J1008" t="s">
        <v>16896</v>
      </c>
      <c r="K1008" t="s">
        <v>74</v>
      </c>
      <c r="L1008" t="s">
        <v>74</v>
      </c>
      <c r="M1008" t="s">
        <v>78</v>
      </c>
      <c r="N1008" t="s">
        <v>79</v>
      </c>
      <c r="O1008" t="s">
        <v>74</v>
      </c>
      <c r="P1008" t="s">
        <v>74</v>
      </c>
      <c r="Q1008" t="s">
        <v>74</v>
      </c>
      <c r="R1008" t="s">
        <v>74</v>
      </c>
      <c r="S1008" t="s">
        <v>74</v>
      </c>
      <c r="T1008" t="s">
        <v>19004</v>
      </c>
      <c r="U1008" t="s">
        <v>19005</v>
      </c>
      <c r="V1008" t="s">
        <v>19006</v>
      </c>
      <c r="W1008" t="s">
        <v>19007</v>
      </c>
      <c r="X1008" t="s">
        <v>19008</v>
      </c>
      <c r="Y1008" t="s">
        <v>19009</v>
      </c>
      <c r="Z1008" t="s">
        <v>18472</v>
      </c>
      <c r="AA1008" t="s">
        <v>19010</v>
      </c>
      <c r="AB1008" t="s">
        <v>19011</v>
      </c>
      <c r="AC1008" t="s">
        <v>74</v>
      </c>
      <c r="AD1008" t="s">
        <v>74</v>
      </c>
      <c r="AE1008" t="s">
        <v>74</v>
      </c>
      <c r="AF1008" t="s">
        <v>74</v>
      </c>
      <c r="AG1008">
        <v>36</v>
      </c>
      <c r="AH1008">
        <v>41</v>
      </c>
      <c r="AI1008">
        <v>41</v>
      </c>
      <c r="AJ1008">
        <v>2</v>
      </c>
      <c r="AK1008">
        <v>32</v>
      </c>
      <c r="AL1008" t="s">
        <v>346</v>
      </c>
      <c r="AM1008" t="s">
        <v>227</v>
      </c>
      <c r="AN1008" t="s">
        <v>347</v>
      </c>
      <c r="AO1008" t="s">
        <v>16908</v>
      </c>
      <c r="AP1008" t="s">
        <v>16909</v>
      </c>
      <c r="AQ1008" t="s">
        <v>74</v>
      </c>
      <c r="AR1008" t="s">
        <v>16910</v>
      </c>
      <c r="AS1008" t="s">
        <v>16911</v>
      </c>
      <c r="AT1008" t="s">
        <v>151</v>
      </c>
      <c r="AU1008">
        <v>2018</v>
      </c>
      <c r="AV1008">
        <v>41</v>
      </c>
      <c r="AW1008">
        <v>4</v>
      </c>
      <c r="AX1008" t="s">
        <v>74</v>
      </c>
      <c r="AY1008" t="s">
        <v>74</v>
      </c>
      <c r="AZ1008" t="s">
        <v>74</v>
      </c>
      <c r="BA1008" t="s">
        <v>74</v>
      </c>
      <c r="BB1008">
        <v>287</v>
      </c>
      <c r="BC1008">
        <v>296</v>
      </c>
      <c r="BD1008" t="s">
        <v>74</v>
      </c>
      <c r="BE1008" t="s">
        <v>19012</v>
      </c>
      <c r="BF1008" t="str">
        <f>HYPERLINK("http://dx.doi.org/10.1097/MRR.0000000000000312","http://dx.doi.org/10.1097/MRR.0000000000000312")</f>
        <v>http://dx.doi.org/10.1097/MRR.0000000000000312</v>
      </c>
      <c r="BG1008" t="s">
        <v>74</v>
      </c>
      <c r="BH1008" t="s">
        <v>74</v>
      </c>
      <c r="BI1008">
        <v>10</v>
      </c>
      <c r="BJ1008" t="s">
        <v>101</v>
      </c>
      <c r="BK1008" t="s">
        <v>102</v>
      </c>
      <c r="BL1008" t="s">
        <v>101</v>
      </c>
      <c r="BM1008" t="s">
        <v>19013</v>
      </c>
      <c r="BN1008">
        <v>30119060</v>
      </c>
      <c r="BO1008" t="s">
        <v>74</v>
      </c>
      <c r="BP1008" t="s">
        <v>74</v>
      </c>
      <c r="BQ1008" t="s">
        <v>74</v>
      </c>
      <c r="BR1008" t="s">
        <v>105</v>
      </c>
      <c r="BS1008" t="s">
        <v>19014</v>
      </c>
      <c r="BT1008" t="str">
        <f>HYPERLINK("https%3A%2F%2Fwww.webofscience.com%2Fwos%2Fwoscc%2Ffull-record%2FWOS:000450432600002","View Full Record in Web of Science")</f>
        <v>View Full Record in Web of Science</v>
      </c>
    </row>
    <row r="1009" spans="1:72" x14ac:dyDescent="0.25">
      <c r="A1009" t="s">
        <v>72</v>
      </c>
      <c r="B1009" t="s">
        <v>19015</v>
      </c>
      <c r="C1009" t="s">
        <v>74</v>
      </c>
      <c r="D1009" t="s">
        <v>74</v>
      </c>
      <c r="E1009" t="s">
        <v>74</v>
      </c>
      <c r="F1009" t="s">
        <v>19016</v>
      </c>
      <c r="G1009" t="s">
        <v>74</v>
      </c>
      <c r="H1009" t="s">
        <v>74</v>
      </c>
      <c r="I1009" t="s">
        <v>19017</v>
      </c>
      <c r="J1009" t="s">
        <v>19018</v>
      </c>
      <c r="K1009" t="s">
        <v>74</v>
      </c>
      <c r="L1009" t="s">
        <v>74</v>
      </c>
      <c r="M1009" t="s">
        <v>78</v>
      </c>
      <c r="N1009" t="s">
        <v>79</v>
      </c>
      <c r="O1009" t="s">
        <v>74</v>
      </c>
      <c r="P1009" t="s">
        <v>74</v>
      </c>
      <c r="Q1009" t="s">
        <v>74</v>
      </c>
      <c r="R1009" t="s">
        <v>74</v>
      </c>
      <c r="S1009" t="s">
        <v>74</v>
      </c>
      <c r="T1009" t="s">
        <v>19019</v>
      </c>
      <c r="U1009" t="s">
        <v>19020</v>
      </c>
      <c r="V1009" t="s">
        <v>19021</v>
      </c>
      <c r="W1009" t="s">
        <v>19022</v>
      </c>
      <c r="X1009" t="s">
        <v>19023</v>
      </c>
      <c r="Y1009" t="s">
        <v>19024</v>
      </c>
      <c r="Z1009" t="s">
        <v>19025</v>
      </c>
      <c r="AA1009" t="s">
        <v>19026</v>
      </c>
      <c r="AB1009" t="s">
        <v>19027</v>
      </c>
      <c r="AC1009" t="s">
        <v>19028</v>
      </c>
      <c r="AD1009" t="s">
        <v>19029</v>
      </c>
      <c r="AE1009" t="s">
        <v>19030</v>
      </c>
      <c r="AF1009" t="s">
        <v>74</v>
      </c>
      <c r="AG1009">
        <v>26</v>
      </c>
      <c r="AH1009">
        <v>26</v>
      </c>
      <c r="AI1009">
        <v>29</v>
      </c>
      <c r="AJ1009">
        <v>0</v>
      </c>
      <c r="AK1009">
        <v>9</v>
      </c>
      <c r="AL1009" t="s">
        <v>172</v>
      </c>
      <c r="AM1009" t="s">
        <v>173</v>
      </c>
      <c r="AN1009" t="s">
        <v>1885</v>
      </c>
      <c r="AO1009" t="s">
        <v>19031</v>
      </c>
      <c r="AP1009" t="s">
        <v>19032</v>
      </c>
      <c r="AQ1009" t="s">
        <v>74</v>
      </c>
      <c r="AR1009" t="s">
        <v>19018</v>
      </c>
      <c r="AS1009" t="s">
        <v>19033</v>
      </c>
      <c r="AT1009" t="s">
        <v>151</v>
      </c>
      <c r="AU1009">
        <v>2018</v>
      </c>
      <c r="AV1009">
        <v>47</v>
      </c>
      <c r="AW1009">
        <v>12</v>
      </c>
      <c r="AX1009" t="s">
        <v>74</v>
      </c>
      <c r="AY1009" t="s">
        <v>74</v>
      </c>
      <c r="AZ1009" t="s">
        <v>74</v>
      </c>
      <c r="BA1009" t="s">
        <v>74</v>
      </c>
      <c r="BB1009">
        <v>1009</v>
      </c>
      <c r="BC1009">
        <v>1017</v>
      </c>
      <c r="BD1009" t="s">
        <v>74</v>
      </c>
      <c r="BE1009" t="s">
        <v>19034</v>
      </c>
      <c r="BF1009" t="str">
        <f>HYPERLINK("http://dx.doi.org/10.1007/s00132-018-3604-x","http://dx.doi.org/10.1007/s00132-018-3604-x")</f>
        <v>http://dx.doi.org/10.1007/s00132-018-3604-x</v>
      </c>
      <c r="BG1009" t="s">
        <v>74</v>
      </c>
      <c r="BH1009" t="s">
        <v>74</v>
      </c>
      <c r="BI1009">
        <v>9</v>
      </c>
      <c r="BJ1009" t="s">
        <v>443</v>
      </c>
      <c r="BK1009" t="s">
        <v>182</v>
      </c>
      <c r="BL1009" t="s">
        <v>443</v>
      </c>
      <c r="BM1009" t="s">
        <v>19035</v>
      </c>
      <c r="BN1009">
        <v>30051277</v>
      </c>
      <c r="BO1009" t="s">
        <v>74</v>
      </c>
      <c r="BP1009" t="s">
        <v>74</v>
      </c>
      <c r="BQ1009" t="s">
        <v>74</v>
      </c>
      <c r="BR1009" t="s">
        <v>105</v>
      </c>
      <c r="BS1009" t="s">
        <v>19036</v>
      </c>
      <c r="BT1009" t="str">
        <f>HYPERLINK("https%3A%2F%2Fwww.webofscience.com%2Fwos%2Fwoscc%2Ffull-record%2FWOS:000451301000006","View Full Record in Web of Science")</f>
        <v>View Full Record in Web of Science</v>
      </c>
    </row>
    <row r="1010" spans="1:72" x14ac:dyDescent="0.25">
      <c r="A1010" t="s">
        <v>72</v>
      </c>
      <c r="B1010" t="s">
        <v>19037</v>
      </c>
      <c r="C1010" t="s">
        <v>74</v>
      </c>
      <c r="D1010" t="s">
        <v>74</v>
      </c>
      <c r="E1010" t="s">
        <v>74</v>
      </c>
      <c r="F1010" t="s">
        <v>19038</v>
      </c>
      <c r="G1010" t="s">
        <v>74</v>
      </c>
      <c r="H1010" t="s">
        <v>74</v>
      </c>
      <c r="I1010" t="s">
        <v>19039</v>
      </c>
      <c r="J1010" t="s">
        <v>13400</v>
      </c>
      <c r="K1010" t="s">
        <v>74</v>
      </c>
      <c r="L1010" t="s">
        <v>74</v>
      </c>
      <c r="M1010" t="s">
        <v>78</v>
      </c>
      <c r="N1010" t="s">
        <v>79</v>
      </c>
      <c r="O1010" t="s">
        <v>74</v>
      </c>
      <c r="P1010" t="s">
        <v>74</v>
      </c>
      <c r="Q1010" t="s">
        <v>74</v>
      </c>
      <c r="R1010" t="s">
        <v>74</v>
      </c>
      <c r="S1010" t="s">
        <v>74</v>
      </c>
      <c r="T1010" t="s">
        <v>19040</v>
      </c>
      <c r="U1010" t="s">
        <v>19041</v>
      </c>
      <c r="V1010" t="s">
        <v>74</v>
      </c>
      <c r="W1010" t="s">
        <v>19042</v>
      </c>
      <c r="X1010" t="s">
        <v>19043</v>
      </c>
      <c r="Y1010" t="s">
        <v>19044</v>
      </c>
      <c r="Z1010" t="s">
        <v>19045</v>
      </c>
      <c r="AA1010" t="s">
        <v>74</v>
      </c>
      <c r="AB1010" t="s">
        <v>74</v>
      </c>
      <c r="AC1010" t="s">
        <v>19046</v>
      </c>
      <c r="AD1010" t="s">
        <v>2827</v>
      </c>
      <c r="AE1010" t="s">
        <v>19047</v>
      </c>
      <c r="AF1010" t="s">
        <v>74</v>
      </c>
      <c r="AG1010">
        <v>86</v>
      </c>
      <c r="AH1010">
        <v>59</v>
      </c>
      <c r="AI1010">
        <v>71</v>
      </c>
      <c r="AJ1010">
        <v>1</v>
      </c>
      <c r="AK1010">
        <v>47</v>
      </c>
      <c r="AL1010" t="s">
        <v>346</v>
      </c>
      <c r="AM1010" t="s">
        <v>227</v>
      </c>
      <c r="AN1010" t="s">
        <v>347</v>
      </c>
      <c r="AO1010" t="s">
        <v>13413</v>
      </c>
      <c r="AP1010" t="s">
        <v>13414</v>
      </c>
      <c r="AQ1010" t="s">
        <v>74</v>
      </c>
      <c r="AR1010" t="s">
        <v>13400</v>
      </c>
      <c r="AS1010" t="s">
        <v>13415</v>
      </c>
      <c r="AT1010" t="s">
        <v>151</v>
      </c>
      <c r="AU1010">
        <v>2018</v>
      </c>
      <c r="AV1010">
        <v>49</v>
      </c>
      <c r="AW1010">
        <v>12</v>
      </c>
      <c r="AX1010" t="s">
        <v>74</v>
      </c>
      <c r="AY1010" t="s">
        <v>74</v>
      </c>
      <c r="AZ1010" t="s">
        <v>74</v>
      </c>
      <c r="BA1010" t="s">
        <v>74</v>
      </c>
      <c r="BB1010">
        <v>3107</v>
      </c>
      <c r="BC1010">
        <v>3114</v>
      </c>
      <c r="BD1010" t="s">
        <v>74</v>
      </c>
      <c r="BE1010" t="s">
        <v>19048</v>
      </c>
      <c r="BF1010" t="str">
        <f>HYPERLINK("http://dx.doi.org/10.1161/STROKEAHA.118.021359","http://dx.doi.org/10.1161/STROKEAHA.118.021359")</f>
        <v>http://dx.doi.org/10.1161/STROKEAHA.118.021359</v>
      </c>
      <c r="BG1010" t="s">
        <v>74</v>
      </c>
      <c r="BH1010" t="s">
        <v>74</v>
      </c>
      <c r="BI1010">
        <v>8</v>
      </c>
      <c r="BJ1010" t="s">
        <v>13417</v>
      </c>
      <c r="BK1010" t="s">
        <v>182</v>
      </c>
      <c r="BL1010" t="s">
        <v>13418</v>
      </c>
      <c r="BM1010" t="s">
        <v>19049</v>
      </c>
      <c r="BN1010">
        <v>30571435</v>
      </c>
      <c r="BO1010" t="s">
        <v>19050</v>
      </c>
      <c r="BP1010" t="s">
        <v>74</v>
      </c>
      <c r="BQ1010" t="s">
        <v>74</v>
      </c>
      <c r="BR1010" t="s">
        <v>105</v>
      </c>
      <c r="BS1010" t="s">
        <v>19051</v>
      </c>
      <c r="BT1010" t="str">
        <f>HYPERLINK("https%3A%2F%2Fwww.webofscience.com%2Fwos%2Fwoscc%2Ffull-record%2FWOS:000456427700060","View Full Record in Web of Science")</f>
        <v>View Full Record in Web of Science</v>
      </c>
    </row>
    <row r="1011" spans="1:72" x14ac:dyDescent="0.25">
      <c r="A1011" t="s">
        <v>72</v>
      </c>
      <c r="B1011" t="s">
        <v>19052</v>
      </c>
      <c r="C1011" t="s">
        <v>74</v>
      </c>
      <c r="D1011" t="s">
        <v>74</v>
      </c>
      <c r="E1011" t="s">
        <v>74</v>
      </c>
      <c r="F1011" t="s">
        <v>19053</v>
      </c>
      <c r="G1011" t="s">
        <v>74</v>
      </c>
      <c r="H1011" t="s">
        <v>74</v>
      </c>
      <c r="I1011" t="s">
        <v>19054</v>
      </c>
      <c r="J1011" t="s">
        <v>19055</v>
      </c>
      <c r="K1011" t="s">
        <v>74</v>
      </c>
      <c r="L1011" t="s">
        <v>74</v>
      </c>
      <c r="M1011" t="s">
        <v>78</v>
      </c>
      <c r="N1011" t="s">
        <v>79</v>
      </c>
      <c r="O1011" t="s">
        <v>74</v>
      </c>
      <c r="P1011" t="s">
        <v>74</v>
      </c>
      <c r="Q1011" t="s">
        <v>74</v>
      </c>
      <c r="R1011" t="s">
        <v>74</v>
      </c>
      <c r="S1011" t="s">
        <v>74</v>
      </c>
      <c r="T1011" t="s">
        <v>74</v>
      </c>
      <c r="U1011" t="s">
        <v>19056</v>
      </c>
      <c r="V1011" t="s">
        <v>19057</v>
      </c>
      <c r="W1011" t="s">
        <v>19058</v>
      </c>
      <c r="X1011" t="s">
        <v>19059</v>
      </c>
      <c r="Y1011" t="s">
        <v>19060</v>
      </c>
      <c r="Z1011" t="s">
        <v>19061</v>
      </c>
      <c r="AA1011" t="s">
        <v>19062</v>
      </c>
      <c r="AB1011" t="s">
        <v>19063</v>
      </c>
      <c r="AC1011" t="s">
        <v>19064</v>
      </c>
      <c r="AD1011" t="s">
        <v>19065</v>
      </c>
      <c r="AE1011" t="s">
        <v>19066</v>
      </c>
      <c r="AF1011" t="s">
        <v>74</v>
      </c>
      <c r="AG1011">
        <v>155</v>
      </c>
      <c r="AH1011">
        <v>26</v>
      </c>
      <c r="AI1011">
        <v>26</v>
      </c>
      <c r="AJ1011">
        <v>3</v>
      </c>
      <c r="AK1011">
        <v>88</v>
      </c>
      <c r="AL1011" t="s">
        <v>19067</v>
      </c>
      <c r="AM1011" t="s">
        <v>173</v>
      </c>
      <c r="AN1011" t="s">
        <v>19068</v>
      </c>
      <c r="AO1011" t="s">
        <v>19069</v>
      </c>
      <c r="AP1011" t="s">
        <v>19070</v>
      </c>
      <c r="AQ1011" t="s">
        <v>74</v>
      </c>
      <c r="AR1011" t="s">
        <v>19071</v>
      </c>
      <c r="AS1011" t="s">
        <v>19072</v>
      </c>
      <c r="AT1011" t="s">
        <v>126</v>
      </c>
      <c r="AU1011">
        <v>2018</v>
      </c>
      <c r="AV1011">
        <v>70</v>
      </c>
      <c r="AW1011">
        <v>6</v>
      </c>
      <c r="AX1011" t="s">
        <v>74</v>
      </c>
      <c r="AY1011" t="s">
        <v>74</v>
      </c>
      <c r="AZ1011" t="s">
        <v>74</v>
      </c>
      <c r="BA1011" t="s">
        <v>74</v>
      </c>
      <c r="BB1011" t="s">
        <v>74</v>
      </c>
      <c r="BC1011" t="s">
        <v>74</v>
      </c>
      <c r="BD1011">
        <v>60801</v>
      </c>
      <c r="BE1011" t="s">
        <v>19073</v>
      </c>
      <c r="BF1011" t="str">
        <f>HYPERLINK("http://dx.doi.org/10.1115/1.4042399","http://dx.doi.org/10.1115/1.4042399")</f>
        <v>http://dx.doi.org/10.1115/1.4042399</v>
      </c>
      <c r="BG1011" t="s">
        <v>74</v>
      </c>
      <c r="BH1011" t="s">
        <v>74</v>
      </c>
      <c r="BI1011">
        <v>16</v>
      </c>
      <c r="BJ1011" t="s">
        <v>19074</v>
      </c>
      <c r="BK1011" t="s">
        <v>182</v>
      </c>
      <c r="BL1011" t="s">
        <v>19074</v>
      </c>
      <c r="BM1011" t="s">
        <v>19075</v>
      </c>
      <c r="BN1011" t="s">
        <v>74</v>
      </c>
      <c r="BO1011" t="s">
        <v>74</v>
      </c>
      <c r="BP1011" t="s">
        <v>74</v>
      </c>
      <c r="BQ1011" t="s">
        <v>74</v>
      </c>
      <c r="BR1011" t="s">
        <v>105</v>
      </c>
      <c r="BS1011" t="s">
        <v>19076</v>
      </c>
      <c r="BT1011" t="str">
        <f>HYPERLINK("https%3A%2F%2Fwww.webofscience.com%2Fwos%2Fwoscc%2Ffull-record%2FWOS:000458512200001","View Full Record in Web of Science")</f>
        <v>View Full Record in Web of Science</v>
      </c>
    </row>
    <row r="1012" spans="1:72" x14ac:dyDescent="0.25">
      <c r="A1012" t="s">
        <v>72</v>
      </c>
      <c r="B1012" t="s">
        <v>19077</v>
      </c>
      <c r="C1012" t="s">
        <v>74</v>
      </c>
      <c r="D1012" t="s">
        <v>74</v>
      </c>
      <c r="E1012" t="s">
        <v>74</v>
      </c>
      <c r="F1012" t="s">
        <v>19078</v>
      </c>
      <c r="G1012" t="s">
        <v>74</v>
      </c>
      <c r="H1012" t="s">
        <v>74</v>
      </c>
      <c r="I1012" t="s">
        <v>19079</v>
      </c>
      <c r="J1012" t="s">
        <v>19080</v>
      </c>
      <c r="K1012" t="s">
        <v>74</v>
      </c>
      <c r="L1012" t="s">
        <v>74</v>
      </c>
      <c r="M1012" t="s">
        <v>78</v>
      </c>
      <c r="N1012" t="s">
        <v>79</v>
      </c>
      <c r="O1012" t="s">
        <v>74</v>
      </c>
      <c r="P1012" t="s">
        <v>74</v>
      </c>
      <c r="Q1012" t="s">
        <v>74</v>
      </c>
      <c r="R1012" t="s">
        <v>74</v>
      </c>
      <c r="S1012" t="s">
        <v>74</v>
      </c>
      <c r="T1012" t="s">
        <v>19081</v>
      </c>
      <c r="U1012" t="s">
        <v>19082</v>
      </c>
      <c r="V1012" t="s">
        <v>19083</v>
      </c>
      <c r="W1012" t="s">
        <v>19084</v>
      </c>
      <c r="X1012" t="s">
        <v>19085</v>
      </c>
      <c r="Y1012" t="s">
        <v>19086</v>
      </c>
      <c r="Z1012" t="s">
        <v>19087</v>
      </c>
      <c r="AA1012" t="s">
        <v>74</v>
      </c>
      <c r="AB1012" t="s">
        <v>19088</v>
      </c>
      <c r="AC1012" t="s">
        <v>19089</v>
      </c>
      <c r="AD1012" t="s">
        <v>19089</v>
      </c>
      <c r="AE1012" t="s">
        <v>19090</v>
      </c>
      <c r="AF1012" t="s">
        <v>74</v>
      </c>
      <c r="AG1012">
        <v>89</v>
      </c>
      <c r="AH1012">
        <v>23</v>
      </c>
      <c r="AI1012">
        <v>24</v>
      </c>
      <c r="AJ1012">
        <v>1</v>
      </c>
      <c r="AK1012">
        <v>83</v>
      </c>
      <c r="AL1012" t="s">
        <v>19091</v>
      </c>
      <c r="AM1012" t="s">
        <v>532</v>
      </c>
      <c r="AN1012" t="s">
        <v>19092</v>
      </c>
      <c r="AO1012" t="s">
        <v>19093</v>
      </c>
      <c r="AP1012" t="s">
        <v>19094</v>
      </c>
      <c r="AQ1012" t="s">
        <v>74</v>
      </c>
      <c r="AR1012" t="s">
        <v>19095</v>
      </c>
      <c r="AS1012" t="s">
        <v>19096</v>
      </c>
      <c r="AT1012" t="s">
        <v>7547</v>
      </c>
      <c r="AU1012">
        <v>2018</v>
      </c>
      <c r="AV1012">
        <v>117</v>
      </c>
      <c r="AW1012" t="s">
        <v>74</v>
      </c>
      <c r="AX1012" t="s">
        <v>74</v>
      </c>
      <c r="AY1012" t="s">
        <v>74</v>
      </c>
      <c r="AZ1012" t="s">
        <v>74</v>
      </c>
      <c r="BA1012" t="s">
        <v>74</v>
      </c>
      <c r="BB1012">
        <v>403</v>
      </c>
      <c r="BC1012">
        <v>415</v>
      </c>
      <c r="BD1012" t="s">
        <v>74</v>
      </c>
      <c r="BE1012" t="s">
        <v>19097</v>
      </c>
      <c r="BF1012" t="str">
        <f>HYPERLINK("http://dx.doi.org/10.1016/j.bios.2018.06.027","http://dx.doi.org/10.1016/j.bios.2018.06.027")</f>
        <v>http://dx.doi.org/10.1016/j.bios.2018.06.027</v>
      </c>
      <c r="BG1012" t="s">
        <v>74</v>
      </c>
      <c r="BH1012" t="s">
        <v>74</v>
      </c>
      <c r="BI1012">
        <v>13</v>
      </c>
      <c r="BJ1012" t="s">
        <v>19098</v>
      </c>
      <c r="BK1012" t="s">
        <v>182</v>
      </c>
      <c r="BL1012" t="s">
        <v>19099</v>
      </c>
      <c r="BM1012" t="s">
        <v>19100</v>
      </c>
      <c r="BN1012">
        <v>29960851</v>
      </c>
      <c r="BO1012" t="s">
        <v>74</v>
      </c>
      <c r="BP1012" t="s">
        <v>74</v>
      </c>
      <c r="BQ1012" t="s">
        <v>74</v>
      </c>
      <c r="BR1012" t="s">
        <v>105</v>
      </c>
      <c r="BS1012" t="s">
        <v>19101</v>
      </c>
      <c r="BT1012" t="str">
        <f>HYPERLINK("https%3A%2F%2Fwww.webofscience.com%2Fwos%2Fwoscc%2Ffull-record%2FWOS:000442191900049","View Full Record in Web of Science")</f>
        <v>View Full Record in Web of Science</v>
      </c>
    </row>
    <row r="1013" spans="1:72" x14ac:dyDescent="0.25">
      <c r="A1013" t="s">
        <v>72</v>
      </c>
      <c r="B1013" t="s">
        <v>19102</v>
      </c>
      <c r="C1013" t="s">
        <v>74</v>
      </c>
      <c r="D1013" t="s">
        <v>74</v>
      </c>
      <c r="E1013" t="s">
        <v>74</v>
      </c>
      <c r="F1013" t="s">
        <v>19103</v>
      </c>
      <c r="G1013" t="s">
        <v>74</v>
      </c>
      <c r="H1013" t="s">
        <v>74</v>
      </c>
      <c r="I1013" t="s">
        <v>19104</v>
      </c>
      <c r="J1013" t="s">
        <v>1674</v>
      </c>
      <c r="K1013" t="s">
        <v>74</v>
      </c>
      <c r="L1013" t="s">
        <v>74</v>
      </c>
      <c r="M1013" t="s">
        <v>78</v>
      </c>
      <c r="N1013" t="s">
        <v>79</v>
      </c>
      <c r="O1013" t="s">
        <v>74</v>
      </c>
      <c r="P1013" t="s">
        <v>74</v>
      </c>
      <c r="Q1013" t="s">
        <v>74</v>
      </c>
      <c r="R1013" t="s">
        <v>74</v>
      </c>
      <c r="S1013" t="s">
        <v>74</v>
      </c>
      <c r="T1013" t="s">
        <v>19105</v>
      </c>
      <c r="U1013" t="s">
        <v>19106</v>
      </c>
      <c r="V1013" t="s">
        <v>19107</v>
      </c>
      <c r="W1013" t="s">
        <v>19108</v>
      </c>
      <c r="X1013" t="s">
        <v>19109</v>
      </c>
      <c r="Y1013" t="s">
        <v>19110</v>
      </c>
      <c r="Z1013" t="s">
        <v>19111</v>
      </c>
      <c r="AA1013" t="s">
        <v>19112</v>
      </c>
      <c r="AB1013" t="s">
        <v>19113</v>
      </c>
      <c r="AC1013" t="s">
        <v>74</v>
      </c>
      <c r="AD1013" t="s">
        <v>74</v>
      </c>
      <c r="AE1013" t="s">
        <v>74</v>
      </c>
      <c r="AF1013" t="s">
        <v>74</v>
      </c>
      <c r="AG1013">
        <v>112</v>
      </c>
      <c r="AH1013">
        <v>49</v>
      </c>
      <c r="AI1013">
        <v>52</v>
      </c>
      <c r="AJ1013">
        <v>5</v>
      </c>
      <c r="AK1013">
        <v>86</v>
      </c>
      <c r="AL1013" t="s">
        <v>531</v>
      </c>
      <c r="AM1013" t="s">
        <v>2343</v>
      </c>
      <c r="AN1013" t="s">
        <v>2344</v>
      </c>
      <c r="AO1013" t="s">
        <v>1687</v>
      </c>
      <c r="AP1013" t="s">
        <v>1688</v>
      </c>
      <c r="AQ1013" t="s">
        <v>74</v>
      </c>
      <c r="AR1013" t="s">
        <v>1689</v>
      </c>
      <c r="AS1013" t="s">
        <v>1690</v>
      </c>
      <c r="AT1013" t="s">
        <v>1888</v>
      </c>
      <c r="AU1013">
        <v>2018</v>
      </c>
      <c r="AV1013">
        <v>60</v>
      </c>
      <c r="AW1013" t="s">
        <v>74</v>
      </c>
      <c r="AX1013" t="s">
        <v>74</v>
      </c>
      <c r="AY1013" t="s">
        <v>74</v>
      </c>
      <c r="AZ1013" t="s">
        <v>74</v>
      </c>
      <c r="BA1013" t="s">
        <v>74</v>
      </c>
      <c r="BB1013">
        <v>1</v>
      </c>
      <c r="BC1013">
        <v>13</v>
      </c>
      <c r="BD1013" t="s">
        <v>74</v>
      </c>
      <c r="BE1013" t="s">
        <v>19114</v>
      </c>
      <c r="BF1013" t="str">
        <f>HYPERLINK("http://dx.doi.org/10.1016/j.medengphy.2018.07.017","http://dx.doi.org/10.1016/j.medengphy.2018.07.017")</f>
        <v>http://dx.doi.org/10.1016/j.medengphy.2018.07.017</v>
      </c>
      <c r="BG1013" t="s">
        <v>74</v>
      </c>
      <c r="BH1013" t="s">
        <v>74</v>
      </c>
      <c r="BI1013">
        <v>13</v>
      </c>
      <c r="BJ1013" t="s">
        <v>282</v>
      </c>
      <c r="BK1013" t="s">
        <v>182</v>
      </c>
      <c r="BL1013" t="s">
        <v>183</v>
      </c>
      <c r="BM1013" t="s">
        <v>19115</v>
      </c>
      <c r="BN1013">
        <v>30122472</v>
      </c>
      <c r="BO1013" t="s">
        <v>3048</v>
      </c>
      <c r="BP1013" t="s">
        <v>74</v>
      </c>
      <c r="BQ1013" t="s">
        <v>74</v>
      </c>
      <c r="BR1013" t="s">
        <v>105</v>
      </c>
      <c r="BS1013" t="s">
        <v>19116</v>
      </c>
      <c r="BT1013" t="str">
        <f>HYPERLINK("https%3A%2F%2Fwww.webofscience.com%2Fwos%2Fwoscc%2Ffull-record%2FWOS:000453645300001","View Full Record in Web of Science")</f>
        <v>View Full Record in Web of Science</v>
      </c>
    </row>
    <row r="1014" spans="1:72" x14ac:dyDescent="0.25">
      <c r="A1014" t="s">
        <v>72</v>
      </c>
      <c r="B1014" t="s">
        <v>19117</v>
      </c>
      <c r="C1014" t="s">
        <v>74</v>
      </c>
      <c r="D1014" t="s">
        <v>74</v>
      </c>
      <c r="E1014" t="s">
        <v>74</v>
      </c>
      <c r="F1014" t="s">
        <v>19118</v>
      </c>
      <c r="G1014" t="s">
        <v>74</v>
      </c>
      <c r="H1014" t="s">
        <v>74</v>
      </c>
      <c r="I1014" t="s">
        <v>19119</v>
      </c>
      <c r="J1014" t="s">
        <v>594</v>
      </c>
      <c r="K1014" t="s">
        <v>74</v>
      </c>
      <c r="L1014" t="s">
        <v>74</v>
      </c>
      <c r="M1014" t="s">
        <v>78</v>
      </c>
      <c r="N1014" t="s">
        <v>79</v>
      </c>
      <c r="O1014" t="s">
        <v>74</v>
      </c>
      <c r="P1014" t="s">
        <v>74</v>
      </c>
      <c r="Q1014" t="s">
        <v>74</v>
      </c>
      <c r="R1014" t="s">
        <v>74</v>
      </c>
      <c r="S1014" t="s">
        <v>74</v>
      </c>
      <c r="T1014" t="s">
        <v>19120</v>
      </c>
      <c r="U1014" t="s">
        <v>19121</v>
      </c>
      <c r="V1014" t="s">
        <v>19122</v>
      </c>
      <c r="W1014" t="s">
        <v>19123</v>
      </c>
      <c r="X1014" t="s">
        <v>19124</v>
      </c>
      <c r="Y1014" t="s">
        <v>19125</v>
      </c>
      <c r="Z1014" t="s">
        <v>19126</v>
      </c>
      <c r="AA1014" t="s">
        <v>19127</v>
      </c>
      <c r="AB1014" t="s">
        <v>19128</v>
      </c>
      <c r="AC1014" t="s">
        <v>19129</v>
      </c>
      <c r="AD1014" t="s">
        <v>19130</v>
      </c>
      <c r="AE1014" t="s">
        <v>19131</v>
      </c>
      <c r="AF1014" t="s">
        <v>74</v>
      </c>
      <c r="AG1014">
        <v>78</v>
      </c>
      <c r="AH1014">
        <v>40</v>
      </c>
      <c r="AI1014">
        <v>44</v>
      </c>
      <c r="AJ1014">
        <v>2</v>
      </c>
      <c r="AK1014">
        <v>42</v>
      </c>
      <c r="AL1014" t="s">
        <v>274</v>
      </c>
      <c r="AM1014" t="s">
        <v>275</v>
      </c>
      <c r="AN1014" t="s">
        <v>276</v>
      </c>
      <c r="AO1014" t="s">
        <v>606</v>
      </c>
      <c r="AP1014" t="s">
        <v>74</v>
      </c>
      <c r="AQ1014" t="s">
        <v>74</v>
      </c>
      <c r="AR1014" t="s">
        <v>607</v>
      </c>
      <c r="AS1014" t="s">
        <v>608</v>
      </c>
      <c r="AT1014" t="s">
        <v>19132</v>
      </c>
      <c r="AU1014">
        <v>2018</v>
      </c>
      <c r="AV1014">
        <v>15</v>
      </c>
      <c r="AW1014" t="s">
        <v>74</v>
      </c>
      <c r="AX1014" t="s">
        <v>74</v>
      </c>
      <c r="AY1014" t="s">
        <v>74</v>
      </c>
      <c r="AZ1014" t="s">
        <v>74</v>
      </c>
      <c r="BA1014" t="s">
        <v>74</v>
      </c>
      <c r="BB1014" t="s">
        <v>74</v>
      </c>
      <c r="BC1014" t="s">
        <v>74</v>
      </c>
      <c r="BD1014">
        <v>86</v>
      </c>
      <c r="BE1014" t="s">
        <v>19133</v>
      </c>
      <c r="BF1014" t="str">
        <f>HYPERLINK("http://dx.doi.org/10.1186/s12984-018-0424-5","http://dx.doi.org/10.1186/s12984-018-0424-5")</f>
        <v>http://dx.doi.org/10.1186/s12984-018-0424-5</v>
      </c>
      <c r="BG1014" t="s">
        <v>74</v>
      </c>
      <c r="BH1014" t="s">
        <v>74</v>
      </c>
      <c r="BI1014">
        <v>25</v>
      </c>
      <c r="BJ1014" t="s">
        <v>611</v>
      </c>
      <c r="BK1014" t="s">
        <v>182</v>
      </c>
      <c r="BL1014" t="s">
        <v>612</v>
      </c>
      <c r="BM1014" t="s">
        <v>19134</v>
      </c>
      <c r="BN1014">
        <v>30285869</v>
      </c>
      <c r="BO1014" t="s">
        <v>131</v>
      </c>
      <c r="BP1014" t="s">
        <v>74</v>
      </c>
      <c r="BQ1014" t="s">
        <v>74</v>
      </c>
      <c r="BR1014" t="s">
        <v>105</v>
      </c>
      <c r="BS1014" t="s">
        <v>19135</v>
      </c>
      <c r="BT1014" t="str">
        <f>HYPERLINK("https%3A%2F%2Fwww.webofscience.com%2Fwos%2Fwoscc%2Ffull-record%2FWOS:000446364700001","View Full Record in Web of Science")</f>
        <v>View Full Record in Web of Science</v>
      </c>
    </row>
    <row r="1015" spans="1:72" x14ac:dyDescent="0.25">
      <c r="A1015" t="s">
        <v>72</v>
      </c>
      <c r="B1015" t="s">
        <v>19136</v>
      </c>
      <c r="C1015" t="s">
        <v>74</v>
      </c>
      <c r="D1015" t="s">
        <v>74</v>
      </c>
      <c r="E1015" t="s">
        <v>74</v>
      </c>
      <c r="F1015" t="s">
        <v>19137</v>
      </c>
      <c r="G1015" t="s">
        <v>74</v>
      </c>
      <c r="H1015" t="s">
        <v>74</v>
      </c>
      <c r="I1015" t="s">
        <v>19138</v>
      </c>
      <c r="J1015" t="s">
        <v>2091</v>
      </c>
      <c r="K1015" t="s">
        <v>74</v>
      </c>
      <c r="L1015" t="s">
        <v>74</v>
      </c>
      <c r="M1015" t="s">
        <v>78</v>
      </c>
      <c r="N1015" t="s">
        <v>79</v>
      </c>
      <c r="O1015" t="s">
        <v>74</v>
      </c>
      <c r="P1015" t="s">
        <v>74</v>
      </c>
      <c r="Q1015" t="s">
        <v>74</v>
      </c>
      <c r="R1015" t="s">
        <v>74</v>
      </c>
      <c r="S1015" t="s">
        <v>74</v>
      </c>
      <c r="T1015" t="s">
        <v>19139</v>
      </c>
      <c r="U1015" t="s">
        <v>19140</v>
      </c>
      <c r="V1015" t="s">
        <v>19141</v>
      </c>
      <c r="W1015" t="s">
        <v>19142</v>
      </c>
      <c r="X1015" t="s">
        <v>19143</v>
      </c>
      <c r="Y1015" t="s">
        <v>19144</v>
      </c>
      <c r="Z1015" t="s">
        <v>19145</v>
      </c>
      <c r="AA1015" t="s">
        <v>19146</v>
      </c>
      <c r="AB1015" t="s">
        <v>74</v>
      </c>
      <c r="AC1015" t="s">
        <v>19147</v>
      </c>
      <c r="AD1015" t="s">
        <v>19148</v>
      </c>
      <c r="AE1015" t="s">
        <v>19149</v>
      </c>
      <c r="AF1015" t="s">
        <v>74</v>
      </c>
      <c r="AG1015">
        <v>90</v>
      </c>
      <c r="AH1015">
        <v>51</v>
      </c>
      <c r="AI1015">
        <v>52</v>
      </c>
      <c r="AJ1015">
        <v>6</v>
      </c>
      <c r="AK1015">
        <v>95</v>
      </c>
      <c r="AL1015" t="s">
        <v>120</v>
      </c>
      <c r="AM1015" t="s">
        <v>121</v>
      </c>
      <c r="AN1015" t="s">
        <v>122</v>
      </c>
      <c r="AO1015" t="s">
        <v>74</v>
      </c>
      <c r="AP1015" t="s">
        <v>2104</v>
      </c>
      <c r="AQ1015" t="s">
        <v>74</v>
      </c>
      <c r="AR1015" t="s">
        <v>2105</v>
      </c>
      <c r="AS1015" t="s">
        <v>2106</v>
      </c>
      <c r="AT1015" t="s">
        <v>1888</v>
      </c>
      <c r="AU1015">
        <v>2018</v>
      </c>
      <c r="AV1015">
        <v>8</v>
      </c>
      <c r="AW1015">
        <v>10</v>
      </c>
      <c r="AX1015" t="s">
        <v>74</v>
      </c>
      <c r="AY1015" t="s">
        <v>74</v>
      </c>
      <c r="AZ1015" t="s">
        <v>74</v>
      </c>
      <c r="BA1015" t="s">
        <v>74</v>
      </c>
      <c r="BB1015" t="s">
        <v>74</v>
      </c>
      <c r="BC1015" t="s">
        <v>74</v>
      </c>
      <c r="BD1015">
        <v>1928</v>
      </c>
      <c r="BE1015" t="s">
        <v>19150</v>
      </c>
      <c r="BF1015" t="str">
        <f>HYPERLINK("http://dx.doi.org/10.3390/app8101928","http://dx.doi.org/10.3390/app8101928")</f>
        <v>http://dx.doi.org/10.3390/app8101928</v>
      </c>
      <c r="BG1015" t="s">
        <v>74</v>
      </c>
      <c r="BH1015" t="s">
        <v>74</v>
      </c>
      <c r="BI1015">
        <v>21</v>
      </c>
      <c r="BJ1015" t="s">
        <v>2109</v>
      </c>
      <c r="BK1015" t="s">
        <v>182</v>
      </c>
      <c r="BL1015" t="s">
        <v>2110</v>
      </c>
      <c r="BM1015" t="s">
        <v>19151</v>
      </c>
      <c r="BN1015" t="s">
        <v>74</v>
      </c>
      <c r="BO1015" t="s">
        <v>185</v>
      </c>
      <c r="BP1015" t="s">
        <v>74</v>
      </c>
      <c r="BQ1015" t="s">
        <v>74</v>
      </c>
      <c r="BR1015" t="s">
        <v>105</v>
      </c>
      <c r="BS1015" t="s">
        <v>19152</v>
      </c>
      <c r="BT1015" t="str">
        <f>HYPERLINK("https%3A%2F%2Fwww.webofscience.com%2Fwos%2Fwoscc%2Ffull-record%2FWOS:000448653700223","View Full Record in Web of Science")</f>
        <v>View Full Record in Web of Science</v>
      </c>
    </row>
    <row r="1016" spans="1:72" x14ac:dyDescent="0.25">
      <c r="A1016" t="s">
        <v>72</v>
      </c>
      <c r="B1016" t="s">
        <v>19153</v>
      </c>
      <c r="C1016" t="s">
        <v>74</v>
      </c>
      <c r="D1016" t="s">
        <v>74</v>
      </c>
      <c r="E1016" t="s">
        <v>74</v>
      </c>
      <c r="F1016" t="s">
        <v>19154</v>
      </c>
      <c r="G1016" t="s">
        <v>74</v>
      </c>
      <c r="H1016" t="s">
        <v>74</v>
      </c>
      <c r="I1016" t="s">
        <v>19155</v>
      </c>
      <c r="J1016" t="s">
        <v>15593</v>
      </c>
      <c r="K1016" t="s">
        <v>74</v>
      </c>
      <c r="L1016" t="s">
        <v>74</v>
      </c>
      <c r="M1016" t="s">
        <v>78</v>
      </c>
      <c r="N1016" t="s">
        <v>79</v>
      </c>
      <c r="O1016" t="s">
        <v>74</v>
      </c>
      <c r="P1016" t="s">
        <v>74</v>
      </c>
      <c r="Q1016" t="s">
        <v>74</v>
      </c>
      <c r="R1016" t="s">
        <v>74</v>
      </c>
      <c r="S1016" t="s">
        <v>74</v>
      </c>
      <c r="T1016" t="s">
        <v>19156</v>
      </c>
      <c r="U1016" t="s">
        <v>19157</v>
      </c>
      <c r="V1016" t="s">
        <v>19158</v>
      </c>
      <c r="W1016" t="s">
        <v>19159</v>
      </c>
      <c r="X1016" t="s">
        <v>19160</v>
      </c>
      <c r="Y1016" t="s">
        <v>19161</v>
      </c>
      <c r="Z1016" t="s">
        <v>19162</v>
      </c>
      <c r="AA1016" t="s">
        <v>19163</v>
      </c>
      <c r="AB1016" t="s">
        <v>19164</v>
      </c>
      <c r="AC1016" t="s">
        <v>74</v>
      </c>
      <c r="AD1016" t="s">
        <v>74</v>
      </c>
      <c r="AE1016" t="s">
        <v>74</v>
      </c>
      <c r="AF1016" t="s">
        <v>74</v>
      </c>
      <c r="AG1016">
        <v>36</v>
      </c>
      <c r="AH1016">
        <v>125</v>
      </c>
      <c r="AI1016">
        <v>135</v>
      </c>
      <c r="AJ1016">
        <v>1</v>
      </c>
      <c r="AK1016">
        <v>38</v>
      </c>
      <c r="AL1016" t="s">
        <v>1521</v>
      </c>
      <c r="AM1016" t="s">
        <v>1522</v>
      </c>
      <c r="AN1016" t="s">
        <v>19165</v>
      </c>
      <c r="AO1016" t="s">
        <v>15603</v>
      </c>
      <c r="AP1016" t="s">
        <v>74</v>
      </c>
      <c r="AQ1016" t="s">
        <v>74</v>
      </c>
      <c r="AR1016" t="s">
        <v>15604</v>
      </c>
      <c r="AS1016" t="s">
        <v>15605</v>
      </c>
      <c r="AT1016" t="s">
        <v>1001</v>
      </c>
      <c r="AU1016">
        <v>2018</v>
      </c>
      <c r="AV1016">
        <v>9</v>
      </c>
      <c r="AW1016">
        <v>9</v>
      </c>
      <c r="AX1016" t="s">
        <v>74</v>
      </c>
      <c r="AY1016" t="s">
        <v>74</v>
      </c>
      <c r="AZ1016" t="s">
        <v>74</v>
      </c>
      <c r="BA1016" t="s">
        <v>74</v>
      </c>
      <c r="BB1016">
        <v>112</v>
      </c>
      <c r="BC1016">
        <v>119</v>
      </c>
      <c r="BD1016" t="s">
        <v>74</v>
      </c>
      <c r="BE1016" t="s">
        <v>19166</v>
      </c>
      <c r="BF1016" t="str">
        <f>HYPERLINK("http://dx.doi.org/10.5312/wjo.v9.i9.112","http://dx.doi.org/10.5312/wjo.v9.i9.112")</f>
        <v>http://dx.doi.org/10.5312/wjo.v9.i9.112</v>
      </c>
      <c r="BG1016" t="s">
        <v>74</v>
      </c>
      <c r="BH1016" t="s">
        <v>74</v>
      </c>
      <c r="BI1016">
        <v>8</v>
      </c>
      <c r="BJ1016" t="s">
        <v>443</v>
      </c>
      <c r="BK1016" t="s">
        <v>155</v>
      </c>
      <c r="BL1016" t="s">
        <v>443</v>
      </c>
      <c r="BM1016" t="s">
        <v>19167</v>
      </c>
      <c r="BN1016">
        <v>30254967</v>
      </c>
      <c r="BO1016" t="s">
        <v>19168</v>
      </c>
      <c r="BP1016" t="s">
        <v>74</v>
      </c>
      <c r="BQ1016" t="s">
        <v>74</v>
      </c>
      <c r="BR1016" t="s">
        <v>105</v>
      </c>
      <c r="BS1016" t="s">
        <v>19169</v>
      </c>
      <c r="BT1016" t="str">
        <f>HYPERLINK("https%3A%2F%2Fwww.webofscience.com%2Fwos%2Fwoscc%2Ffull-record%2FWOS:000445098100001","View Full Record in Web of Science")</f>
        <v>View Full Record in Web of Science</v>
      </c>
    </row>
    <row r="1017" spans="1:72" x14ac:dyDescent="0.25">
      <c r="A1017" t="s">
        <v>72</v>
      </c>
      <c r="B1017" t="s">
        <v>19170</v>
      </c>
      <c r="C1017" t="s">
        <v>74</v>
      </c>
      <c r="D1017" t="s">
        <v>74</v>
      </c>
      <c r="E1017" t="s">
        <v>74</v>
      </c>
      <c r="F1017" t="s">
        <v>19171</v>
      </c>
      <c r="G1017" t="s">
        <v>74</v>
      </c>
      <c r="H1017" t="s">
        <v>74</v>
      </c>
      <c r="I1017" t="s">
        <v>19172</v>
      </c>
      <c r="J1017" t="s">
        <v>9759</v>
      </c>
      <c r="K1017" t="s">
        <v>74</v>
      </c>
      <c r="L1017" t="s">
        <v>74</v>
      </c>
      <c r="M1017" t="s">
        <v>78</v>
      </c>
      <c r="N1017" t="s">
        <v>79</v>
      </c>
      <c r="O1017" t="s">
        <v>74</v>
      </c>
      <c r="P1017" t="s">
        <v>74</v>
      </c>
      <c r="Q1017" t="s">
        <v>74</v>
      </c>
      <c r="R1017" t="s">
        <v>74</v>
      </c>
      <c r="S1017" t="s">
        <v>74</v>
      </c>
      <c r="T1017" t="s">
        <v>19173</v>
      </c>
      <c r="U1017" t="s">
        <v>19174</v>
      </c>
      <c r="V1017" t="s">
        <v>19175</v>
      </c>
      <c r="W1017" t="s">
        <v>19176</v>
      </c>
      <c r="X1017" t="s">
        <v>19177</v>
      </c>
      <c r="Y1017" t="s">
        <v>19178</v>
      </c>
      <c r="Z1017" t="s">
        <v>19179</v>
      </c>
      <c r="AA1017" t="s">
        <v>19180</v>
      </c>
      <c r="AB1017" t="s">
        <v>19181</v>
      </c>
      <c r="AC1017" t="s">
        <v>74</v>
      </c>
      <c r="AD1017" t="s">
        <v>74</v>
      </c>
      <c r="AE1017" t="s">
        <v>74</v>
      </c>
      <c r="AF1017" t="s">
        <v>74</v>
      </c>
      <c r="AG1017">
        <v>111</v>
      </c>
      <c r="AH1017">
        <v>19</v>
      </c>
      <c r="AI1017">
        <v>20</v>
      </c>
      <c r="AJ1017">
        <v>3</v>
      </c>
      <c r="AK1017">
        <v>57</v>
      </c>
      <c r="AL1017" t="s">
        <v>392</v>
      </c>
      <c r="AM1017" t="s">
        <v>393</v>
      </c>
      <c r="AN1017" t="s">
        <v>394</v>
      </c>
      <c r="AO1017" t="s">
        <v>74</v>
      </c>
      <c r="AP1017" t="s">
        <v>9772</v>
      </c>
      <c r="AQ1017" t="s">
        <v>74</v>
      </c>
      <c r="AR1017" t="s">
        <v>9773</v>
      </c>
      <c r="AS1017" t="s">
        <v>9774</v>
      </c>
      <c r="AT1017" t="s">
        <v>2634</v>
      </c>
      <c r="AU1017">
        <v>2018</v>
      </c>
      <c r="AV1017">
        <v>12</v>
      </c>
      <c r="AW1017" t="s">
        <v>74</v>
      </c>
      <c r="AX1017" t="s">
        <v>74</v>
      </c>
      <c r="AY1017" t="s">
        <v>74</v>
      </c>
      <c r="AZ1017" t="s">
        <v>74</v>
      </c>
      <c r="BA1017" t="s">
        <v>74</v>
      </c>
      <c r="BB1017" t="s">
        <v>74</v>
      </c>
      <c r="BC1017" t="s">
        <v>74</v>
      </c>
      <c r="BD1017">
        <v>577</v>
      </c>
      <c r="BE1017" t="s">
        <v>19182</v>
      </c>
      <c r="BF1017" t="str">
        <f>HYPERLINK("http://dx.doi.org/10.3389/fnins.2018.00577","http://dx.doi.org/10.3389/fnins.2018.00577")</f>
        <v>http://dx.doi.org/10.3389/fnins.2018.00577</v>
      </c>
      <c r="BG1017" t="s">
        <v>74</v>
      </c>
      <c r="BH1017" t="s">
        <v>74</v>
      </c>
      <c r="BI1017">
        <v>14</v>
      </c>
      <c r="BJ1017" t="s">
        <v>374</v>
      </c>
      <c r="BK1017" t="s">
        <v>102</v>
      </c>
      <c r="BL1017" t="s">
        <v>375</v>
      </c>
      <c r="BM1017" t="s">
        <v>19183</v>
      </c>
      <c r="BN1017">
        <v>30233289</v>
      </c>
      <c r="BO1017" t="s">
        <v>355</v>
      </c>
      <c r="BP1017" t="s">
        <v>74</v>
      </c>
      <c r="BQ1017" t="s">
        <v>74</v>
      </c>
      <c r="BR1017" t="s">
        <v>105</v>
      </c>
      <c r="BS1017" t="s">
        <v>19184</v>
      </c>
      <c r="BT1017" t="str">
        <f>HYPERLINK("https%3A%2F%2Fwww.webofscience.com%2Fwos%2Fwoscc%2Ffull-record%2FWOS:000443762100001","View Full Record in Web of Science")</f>
        <v>View Full Record in Web of Science</v>
      </c>
    </row>
    <row r="1018" spans="1:72" x14ac:dyDescent="0.25">
      <c r="A1018" t="s">
        <v>72</v>
      </c>
      <c r="B1018" t="s">
        <v>19185</v>
      </c>
      <c r="C1018" t="s">
        <v>74</v>
      </c>
      <c r="D1018" t="s">
        <v>74</v>
      </c>
      <c r="E1018" t="s">
        <v>74</v>
      </c>
      <c r="F1018" t="s">
        <v>19186</v>
      </c>
      <c r="G1018" t="s">
        <v>74</v>
      </c>
      <c r="H1018" t="s">
        <v>74</v>
      </c>
      <c r="I1018" t="s">
        <v>19187</v>
      </c>
      <c r="J1018" t="s">
        <v>2136</v>
      </c>
      <c r="K1018" t="s">
        <v>74</v>
      </c>
      <c r="L1018" t="s">
        <v>74</v>
      </c>
      <c r="M1018" t="s">
        <v>78</v>
      </c>
      <c r="N1018" t="s">
        <v>79</v>
      </c>
      <c r="O1018" t="s">
        <v>74</v>
      </c>
      <c r="P1018" t="s">
        <v>74</v>
      </c>
      <c r="Q1018" t="s">
        <v>74</v>
      </c>
      <c r="R1018" t="s">
        <v>74</v>
      </c>
      <c r="S1018" t="s">
        <v>74</v>
      </c>
      <c r="T1018" t="s">
        <v>74</v>
      </c>
      <c r="U1018" t="s">
        <v>19188</v>
      </c>
      <c r="V1018" t="s">
        <v>19189</v>
      </c>
      <c r="W1018" t="s">
        <v>19190</v>
      </c>
      <c r="X1018" t="s">
        <v>74</v>
      </c>
      <c r="Y1018" t="s">
        <v>19191</v>
      </c>
      <c r="Z1018" t="s">
        <v>19192</v>
      </c>
      <c r="AA1018" t="s">
        <v>74</v>
      </c>
      <c r="AB1018" t="s">
        <v>74</v>
      </c>
      <c r="AC1018" t="s">
        <v>74</v>
      </c>
      <c r="AD1018" t="s">
        <v>74</v>
      </c>
      <c r="AE1018" t="s">
        <v>74</v>
      </c>
      <c r="AF1018" t="s">
        <v>74</v>
      </c>
      <c r="AG1018">
        <v>36</v>
      </c>
      <c r="AH1018">
        <v>13</v>
      </c>
      <c r="AI1018">
        <v>16</v>
      </c>
      <c r="AJ1018">
        <v>5</v>
      </c>
      <c r="AK1018">
        <v>45</v>
      </c>
      <c r="AL1018" t="s">
        <v>3675</v>
      </c>
      <c r="AM1018" t="s">
        <v>173</v>
      </c>
      <c r="AN1018" t="s">
        <v>19193</v>
      </c>
      <c r="AO1018" t="s">
        <v>2147</v>
      </c>
      <c r="AP1018" t="s">
        <v>2148</v>
      </c>
      <c r="AQ1018" t="s">
        <v>74</v>
      </c>
      <c r="AR1018" t="s">
        <v>2136</v>
      </c>
      <c r="AS1018" t="s">
        <v>2136</v>
      </c>
      <c r="AT1018" t="s">
        <v>420</v>
      </c>
      <c r="AU1018">
        <v>2018</v>
      </c>
      <c r="AV1018">
        <v>10</v>
      </c>
      <c r="AW1018">
        <v>9</v>
      </c>
      <c r="AX1018" t="s">
        <v>74</v>
      </c>
      <c r="AY1018">
        <v>2</v>
      </c>
      <c r="AZ1018" t="s">
        <v>74</v>
      </c>
      <c r="BA1018" t="s">
        <v>74</v>
      </c>
      <c r="BB1018" t="s">
        <v>19194</v>
      </c>
      <c r="BC1018" t="s">
        <v>19195</v>
      </c>
      <c r="BD1018" t="s">
        <v>74</v>
      </c>
      <c r="BE1018" t="s">
        <v>19196</v>
      </c>
      <c r="BF1018" t="str">
        <f>HYPERLINK("http://dx.doi.org/10.1016/j.pmrj.2018.04.013","http://dx.doi.org/10.1016/j.pmrj.2018.04.013")</f>
        <v>http://dx.doi.org/10.1016/j.pmrj.2018.04.013</v>
      </c>
      <c r="BG1018" t="s">
        <v>74</v>
      </c>
      <c r="BH1018" t="s">
        <v>74</v>
      </c>
      <c r="BI1018">
        <v>13</v>
      </c>
      <c r="BJ1018" t="s">
        <v>236</v>
      </c>
      <c r="BK1018" t="s">
        <v>182</v>
      </c>
      <c r="BL1018" t="s">
        <v>236</v>
      </c>
      <c r="BM1018" t="s">
        <v>2152</v>
      </c>
      <c r="BN1018">
        <v>30269799</v>
      </c>
      <c r="BO1018" t="s">
        <v>1052</v>
      </c>
      <c r="BP1018" t="s">
        <v>74</v>
      </c>
      <c r="BQ1018" t="s">
        <v>74</v>
      </c>
      <c r="BR1018" t="s">
        <v>105</v>
      </c>
      <c r="BS1018" t="s">
        <v>19197</v>
      </c>
      <c r="BT1018" t="str">
        <f>HYPERLINK("https%3A%2F%2Fwww.webofscience.com%2Fwos%2Fwoscc%2Ffull-record%2FWOS:000445927400002","View Full Record in Web of Science")</f>
        <v>View Full Record in Web of Science</v>
      </c>
    </row>
    <row r="1019" spans="1:72" x14ac:dyDescent="0.25">
      <c r="A1019" t="s">
        <v>72</v>
      </c>
      <c r="B1019" t="s">
        <v>19198</v>
      </c>
      <c r="C1019" t="s">
        <v>74</v>
      </c>
      <c r="D1019" t="s">
        <v>74</v>
      </c>
      <c r="E1019" t="s">
        <v>74</v>
      </c>
      <c r="F1019" t="s">
        <v>19199</v>
      </c>
      <c r="G1019" t="s">
        <v>74</v>
      </c>
      <c r="H1019" t="s">
        <v>74</v>
      </c>
      <c r="I1019" t="s">
        <v>19200</v>
      </c>
      <c r="J1019" t="s">
        <v>2136</v>
      </c>
      <c r="K1019" t="s">
        <v>74</v>
      </c>
      <c r="L1019" t="s">
        <v>74</v>
      </c>
      <c r="M1019" t="s">
        <v>78</v>
      </c>
      <c r="N1019" t="s">
        <v>79</v>
      </c>
      <c r="O1019" t="s">
        <v>74</v>
      </c>
      <c r="P1019" t="s">
        <v>74</v>
      </c>
      <c r="Q1019" t="s">
        <v>74</v>
      </c>
      <c r="R1019" t="s">
        <v>74</v>
      </c>
      <c r="S1019" t="s">
        <v>74</v>
      </c>
      <c r="T1019" t="s">
        <v>74</v>
      </c>
      <c r="U1019" t="s">
        <v>19201</v>
      </c>
      <c r="V1019" t="s">
        <v>19202</v>
      </c>
      <c r="W1019" t="s">
        <v>19203</v>
      </c>
      <c r="X1019" t="s">
        <v>19204</v>
      </c>
      <c r="Y1019" t="s">
        <v>19205</v>
      </c>
      <c r="Z1019" t="s">
        <v>19206</v>
      </c>
      <c r="AA1019" t="s">
        <v>19207</v>
      </c>
      <c r="AB1019" t="s">
        <v>19208</v>
      </c>
      <c r="AC1019" t="s">
        <v>19209</v>
      </c>
      <c r="AD1019" t="s">
        <v>19210</v>
      </c>
      <c r="AE1019" t="s">
        <v>19211</v>
      </c>
      <c r="AF1019" t="s">
        <v>74</v>
      </c>
      <c r="AG1019">
        <v>17</v>
      </c>
      <c r="AH1019">
        <v>64</v>
      </c>
      <c r="AI1019">
        <v>70</v>
      </c>
      <c r="AJ1019">
        <v>1</v>
      </c>
      <c r="AK1019">
        <v>35</v>
      </c>
      <c r="AL1019" t="s">
        <v>297</v>
      </c>
      <c r="AM1019" t="s">
        <v>298</v>
      </c>
      <c r="AN1019" t="s">
        <v>299</v>
      </c>
      <c r="AO1019" t="s">
        <v>2147</v>
      </c>
      <c r="AP1019" t="s">
        <v>2148</v>
      </c>
      <c r="AQ1019" t="s">
        <v>74</v>
      </c>
      <c r="AR1019" t="s">
        <v>2136</v>
      </c>
      <c r="AS1019" t="s">
        <v>2136</v>
      </c>
      <c r="AT1019" t="s">
        <v>420</v>
      </c>
      <c r="AU1019">
        <v>2018</v>
      </c>
      <c r="AV1019">
        <v>10</v>
      </c>
      <c r="AW1019">
        <v>9</v>
      </c>
      <c r="AX1019" t="s">
        <v>74</v>
      </c>
      <c r="AY1019">
        <v>2</v>
      </c>
      <c r="AZ1019" t="s">
        <v>74</v>
      </c>
      <c r="BA1019" t="s">
        <v>74</v>
      </c>
      <c r="BB1019" t="s">
        <v>19212</v>
      </c>
      <c r="BC1019" t="s">
        <v>19213</v>
      </c>
      <c r="BD1019" t="s">
        <v>74</v>
      </c>
      <c r="BE1019" t="s">
        <v>19214</v>
      </c>
      <c r="BF1019" t="str">
        <f>HYPERLINK("http://dx.doi.org/10.1016/j.pmrj.2018.07.011","http://dx.doi.org/10.1016/j.pmrj.2018.07.011")</f>
        <v>http://dx.doi.org/10.1016/j.pmrj.2018.07.011</v>
      </c>
      <c r="BG1019" t="s">
        <v>74</v>
      </c>
      <c r="BH1019" t="s">
        <v>74</v>
      </c>
      <c r="BI1019">
        <v>9</v>
      </c>
      <c r="BJ1019" t="s">
        <v>236</v>
      </c>
      <c r="BK1019" t="s">
        <v>102</v>
      </c>
      <c r="BL1019" t="s">
        <v>236</v>
      </c>
      <c r="BM1019" t="s">
        <v>2152</v>
      </c>
      <c r="BN1019">
        <v>30269805</v>
      </c>
      <c r="BO1019" t="s">
        <v>1052</v>
      </c>
      <c r="BP1019" t="s">
        <v>74</v>
      </c>
      <c r="BQ1019" t="s">
        <v>74</v>
      </c>
      <c r="BR1019" t="s">
        <v>105</v>
      </c>
      <c r="BS1019" t="s">
        <v>19215</v>
      </c>
      <c r="BT1019" t="str">
        <f>HYPERLINK("https%3A%2F%2Fwww.webofscience.com%2Fwos%2Fwoscc%2Ffull-record%2FWOS:000445927400008","View Full Record in Web of Science")</f>
        <v>View Full Record in Web of Science</v>
      </c>
    </row>
    <row r="1020" spans="1:72" x14ac:dyDescent="0.25">
      <c r="A1020" t="s">
        <v>72</v>
      </c>
      <c r="B1020" t="s">
        <v>19216</v>
      </c>
      <c r="C1020" t="s">
        <v>74</v>
      </c>
      <c r="D1020" t="s">
        <v>74</v>
      </c>
      <c r="E1020" t="s">
        <v>74</v>
      </c>
      <c r="F1020" t="s">
        <v>19217</v>
      </c>
      <c r="G1020" t="s">
        <v>74</v>
      </c>
      <c r="H1020" t="s">
        <v>74</v>
      </c>
      <c r="I1020" t="s">
        <v>19218</v>
      </c>
      <c r="J1020" t="s">
        <v>19219</v>
      </c>
      <c r="K1020" t="s">
        <v>74</v>
      </c>
      <c r="L1020" t="s">
        <v>74</v>
      </c>
      <c r="M1020" t="s">
        <v>78</v>
      </c>
      <c r="N1020" t="s">
        <v>79</v>
      </c>
      <c r="O1020" t="s">
        <v>74</v>
      </c>
      <c r="P1020" t="s">
        <v>74</v>
      </c>
      <c r="Q1020" t="s">
        <v>74</v>
      </c>
      <c r="R1020" t="s">
        <v>74</v>
      </c>
      <c r="S1020" t="s">
        <v>74</v>
      </c>
      <c r="T1020" t="s">
        <v>19220</v>
      </c>
      <c r="U1020" t="s">
        <v>19221</v>
      </c>
      <c r="V1020" t="s">
        <v>19222</v>
      </c>
      <c r="W1020" t="s">
        <v>19223</v>
      </c>
      <c r="X1020" t="s">
        <v>19224</v>
      </c>
      <c r="Y1020" t="s">
        <v>19225</v>
      </c>
      <c r="Z1020" t="s">
        <v>19226</v>
      </c>
      <c r="AA1020" t="s">
        <v>74</v>
      </c>
      <c r="AB1020" t="s">
        <v>19227</v>
      </c>
      <c r="AC1020" t="s">
        <v>19228</v>
      </c>
      <c r="AD1020" t="s">
        <v>19229</v>
      </c>
      <c r="AE1020" t="s">
        <v>19230</v>
      </c>
      <c r="AF1020" t="s">
        <v>74</v>
      </c>
      <c r="AG1020">
        <v>86</v>
      </c>
      <c r="AH1020">
        <v>9</v>
      </c>
      <c r="AI1020">
        <v>9</v>
      </c>
      <c r="AJ1020">
        <v>0</v>
      </c>
      <c r="AK1020">
        <v>24</v>
      </c>
      <c r="AL1020" t="s">
        <v>172</v>
      </c>
      <c r="AM1020" t="s">
        <v>173</v>
      </c>
      <c r="AN1020" t="s">
        <v>1885</v>
      </c>
      <c r="AO1020" t="s">
        <v>19231</v>
      </c>
      <c r="AP1020" t="s">
        <v>19232</v>
      </c>
      <c r="AQ1020" t="s">
        <v>74</v>
      </c>
      <c r="AR1020" t="s">
        <v>19233</v>
      </c>
      <c r="AS1020" t="s">
        <v>19234</v>
      </c>
      <c r="AT1020" t="s">
        <v>420</v>
      </c>
      <c r="AU1020">
        <v>2018</v>
      </c>
      <c r="AV1020">
        <v>2</v>
      </c>
      <c r="AW1020">
        <v>3</v>
      </c>
      <c r="AX1020" t="s">
        <v>74</v>
      </c>
      <c r="AY1020" t="s">
        <v>74</v>
      </c>
      <c r="AZ1020" t="s">
        <v>74</v>
      </c>
      <c r="BA1020" t="s">
        <v>74</v>
      </c>
      <c r="BB1020">
        <v>267</v>
      </c>
      <c r="BC1020">
        <v>282</v>
      </c>
      <c r="BD1020" t="s">
        <v>74</v>
      </c>
      <c r="BE1020" t="s">
        <v>19235</v>
      </c>
      <c r="BF1020" t="str">
        <f>HYPERLINK("http://dx.doi.org/10.1007/s41315-018-0065-7","http://dx.doi.org/10.1007/s41315-018-0065-7")</f>
        <v>http://dx.doi.org/10.1007/s41315-018-0065-7</v>
      </c>
      <c r="BG1020" t="s">
        <v>74</v>
      </c>
      <c r="BH1020" t="s">
        <v>74</v>
      </c>
      <c r="BI1020">
        <v>16</v>
      </c>
      <c r="BJ1020" t="s">
        <v>714</v>
      </c>
      <c r="BK1020" t="s">
        <v>155</v>
      </c>
      <c r="BL1020" t="s">
        <v>714</v>
      </c>
      <c r="BM1020" t="s">
        <v>19236</v>
      </c>
      <c r="BN1020" t="s">
        <v>74</v>
      </c>
      <c r="BO1020" t="s">
        <v>74</v>
      </c>
      <c r="BP1020" t="s">
        <v>74</v>
      </c>
      <c r="BQ1020" t="s">
        <v>74</v>
      </c>
      <c r="BR1020" t="s">
        <v>105</v>
      </c>
      <c r="BS1020" t="s">
        <v>19237</v>
      </c>
      <c r="BT1020" t="str">
        <f>HYPERLINK("https%3A%2F%2Fwww.webofscience.com%2Fwos%2Fwoscc%2Ffull-record%2FWOS:000456824400001","View Full Record in Web of Science")</f>
        <v>View Full Record in Web of Science</v>
      </c>
    </row>
    <row r="1021" spans="1:72" x14ac:dyDescent="0.25">
      <c r="A1021" t="s">
        <v>72</v>
      </c>
      <c r="B1021" t="s">
        <v>19238</v>
      </c>
      <c r="C1021" t="s">
        <v>74</v>
      </c>
      <c r="D1021" t="s">
        <v>74</v>
      </c>
      <c r="E1021" t="s">
        <v>74</v>
      </c>
      <c r="F1021" t="s">
        <v>19239</v>
      </c>
      <c r="G1021" t="s">
        <v>74</v>
      </c>
      <c r="H1021" t="s">
        <v>74</v>
      </c>
      <c r="I1021" t="s">
        <v>19240</v>
      </c>
      <c r="J1021" t="s">
        <v>19241</v>
      </c>
      <c r="K1021" t="s">
        <v>74</v>
      </c>
      <c r="L1021" t="s">
        <v>74</v>
      </c>
      <c r="M1021" t="s">
        <v>1876</v>
      </c>
      <c r="N1021" t="s">
        <v>79</v>
      </c>
      <c r="O1021" t="s">
        <v>74</v>
      </c>
      <c r="P1021" t="s">
        <v>74</v>
      </c>
      <c r="Q1021" t="s">
        <v>74</v>
      </c>
      <c r="R1021" t="s">
        <v>74</v>
      </c>
      <c r="S1021" t="s">
        <v>74</v>
      </c>
      <c r="T1021" t="s">
        <v>19242</v>
      </c>
      <c r="U1021" t="s">
        <v>74</v>
      </c>
      <c r="V1021" t="s">
        <v>19243</v>
      </c>
      <c r="W1021" t="s">
        <v>19244</v>
      </c>
      <c r="X1021" t="s">
        <v>74</v>
      </c>
      <c r="Y1021" t="s">
        <v>19245</v>
      </c>
      <c r="Z1021" t="s">
        <v>19246</v>
      </c>
      <c r="AA1021" t="s">
        <v>74</v>
      </c>
      <c r="AB1021" t="s">
        <v>74</v>
      </c>
      <c r="AC1021" t="s">
        <v>74</v>
      </c>
      <c r="AD1021" t="s">
        <v>74</v>
      </c>
      <c r="AE1021" t="s">
        <v>74</v>
      </c>
      <c r="AF1021" t="s">
        <v>74</v>
      </c>
      <c r="AG1021">
        <v>7</v>
      </c>
      <c r="AH1021">
        <v>0</v>
      </c>
      <c r="AI1021">
        <v>0</v>
      </c>
      <c r="AJ1021">
        <v>0</v>
      </c>
      <c r="AK1021">
        <v>15</v>
      </c>
      <c r="AL1021" t="s">
        <v>2529</v>
      </c>
      <c r="AM1021" t="s">
        <v>2530</v>
      </c>
      <c r="AN1021" t="s">
        <v>2531</v>
      </c>
      <c r="AO1021" t="s">
        <v>19247</v>
      </c>
      <c r="AP1021" t="s">
        <v>19248</v>
      </c>
      <c r="AQ1021" t="s">
        <v>74</v>
      </c>
      <c r="AR1021" t="s">
        <v>19249</v>
      </c>
      <c r="AS1021" t="s">
        <v>19250</v>
      </c>
      <c r="AT1021" t="s">
        <v>420</v>
      </c>
      <c r="AU1021">
        <v>2018</v>
      </c>
      <c r="AV1021">
        <v>20</v>
      </c>
      <c r="AW1021" t="s">
        <v>74</v>
      </c>
      <c r="AX1021" t="s">
        <v>74</v>
      </c>
      <c r="AY1021">
        <v>4</v>
      </c>
      <c r="AZ1021" t="s">
        <v>74</v>
      </c>
      <c r="BA1021" t="s">
        <v>74</v>
      </c>
      <c r="BB1021">
        <v>254</v>
      </c>
      <c r="BC1021">
        <v>259</v>
      </c>
      <c r="BD1021" t="s">
        <v>74</v>
      </c>
      <c r="BE1021" t="s">
        <v>19251</v>
      </c>
      <c r="BF1021" t="str">
        <f>HYPERLINK("http://dx.doi.org/10.1007/s10039-018-0394-7","http://dx.doi.org/10.1007/s10039-018-0394-7")</f>
        <v>http://dx.doi.org/10.1007/s10039-018-0394-7</v>
      </c>
      <c r="BG1021" t="s">
        <v>74</v>
      </c>
      <c r="BH1021" t="s">
        <v>74</v>
      </c>
      <c r="BI1021">
        <v>6</v>
      </c>
      <c r="BJ1021" t="s">
        <v>19252</v>
      </c>
      <c r="BK1021" t="s">
        <v>155</v>
      </c>
      <c r="BL1021" t="s">
        <v>19252</v>
      </c>
      <c r="BM1021" t="s">
        <v>19253</v>
      </c>
      <c r="BN1021" t="s">
        <v>74</v>
      </c>
      <c r="BO1021" t="s">
        <v>1052</v>
      </c>
      <c r="BP1021" t="s">
        <v>74</v>
      </c>
      <c r="BQ1021" t="s">
        <v>74</v>
      </c>
      <c r="BR1021" t="s">
        <v>105</v>
      </c>
      <c r="BS1021" t="s">
        <v>19254</v>
      </c>
      <c r="BT1021" t="str">
        <f>HYPERLINK("https%3A%2F%2Fwww.webofscience.com%2Fwos%2Fwoscc%2Ffull-record%2FWOS:000445956700010","View Full Record in Web of Science")</f>
        <v>View Full Record in Web of Science</v>
      </c>
    </row>
    <row r="1022" spans="1:72" x14ac:dyDescent="0.25">
      <c r="A1022" t="s">
        <v>72</v>
      </c>
      <c r="B1022" t="s">
        <v>19255</v>
      </c>
      <c r="C1022" t="s">
        <v>74</v>
      </c>
      <c r="D1022" t="s">
        <v>74</v>
      </c>
      <c r="E1022" t="s">
        <v>74</v>
      </c>
      <c r="F1022" t="s">
        <v>19256</v>
      </c>
      <c r="G1022" t="s">
        <v>74</v>
      </c>
      <c r="H1022" t="s">
        <v>74</v>
      </c>
      <c r="I1022" t="s">
        <v>19257</v>
      </c>
      <c r="J1022" t="s">
        <v>6456</v>
      </c>
      <c r="K1022" t="s">
        <v>74</v>
      </c>
      <c r="L1022" t="s">
        <v>74</v>
      </c>
      <c r="M1022" t="s">
        <v>78</v>
      </c>
      <c r="N1022" t="s">
        <v>79</v>
      </c>
      <c r="O1022" t="s">
        <v>74</v>
      </c>
      <c r="P1022" t="s">
        <v>74</v>
      </c>
      <c r="Q1022" t="s">
        <v>74</v>
      </c>
      <c r="R1022" t="s">
        <v>74</v>
      </c>
      <c r="S1022" t="s">
        <v>74</v>
      </c>
      <c r="T1022" t="s">
        <v>19258</v>
      </c>
      <c r="U1022" t="s">
        <v>19259</v>
      </c>
      <c r="V1022" t="s">
        <v>19260</v>
      </c>
      <c r="W1022" t="s">
        <v>19261</v>
      </c>
      <c r="X1022" t="s">
        <v>19262</v>
      </c>
      <c r="Y1022" t="s">
        <v>19263</v>
      </c>
      <c r="Z1022" t="s">
        <v>19264</v>
      </c>
      <c r="AA1022" t="s">
        <v>19265</v>
      </c>
      <c r="AB1022" t="s">
        <v>19266</v>
      </c>
      <c r="AC1022" t="s">
        <v>19267</v>
      </c>
      <c r="AD1022" t="s">
        <v>19268</v>
      </c>
      <c r="AE1022" t="s">
        <v>19269</v>
      </c>
      <c r="AF1022" t="s">
        <v>74</v>
      </c>
      <c r="AG1022">
        <v>51</v>
      </c>
      <c r="AH1022">
        <v>17</v>
      </c>
      <c r="AI1022">
        <v>19</v>
      </c>
      <c r="AJ1022">
        <v>0</v>
      </c>
      <c r="AK1022">
        <v>15</v>
      </c>
      <c r="AL1022" t="s">
        <v>120</v>
      </c>
      <c r="AM1022" t="s">
        <v>121</v>
      </c>
      <c r="AN1022" t="s">
        <v>122</v>
      </c>
      <c r="AO1022" t="s">
        <v>74</v>
      </c>
      <c r="AP1022" t="s">
        <v>6469</v>
      </c>
      <c r="AQ1022" t="s">
        <v>74</v>
      </c>
      <c r="AR1022" t="s">
        <v>6470</v>
      </c>
      <c r="AS1022" t="s">
        <v>6471</v>
      </c>
      <c r="AT1022" t="s">
        <v>420</v>
      </c>
      <c r="AU1022">
        <v>2018</v>
      </c>
      <c r="AV1022">
        <v>3</v>
      </c>
      <c r="AW1022">
        <v>3</v>
      </c>
      <c r="AX1022" t="s">
        <v>74</v>
      </c>
      <c r="AY1022" t="s">
        <v>74</v>
      </c>
      <c r="AZ1022" t="s">
        <v>74</v>
      </c>
      <c r="BA1022" t="s">
        <v>74</v>
      </c>
      <c r="BB1022" t="s">
        <v>74</v>
      </c>
      <c r="BC1022" t="s">
        <v>74</v>
      </c>
      <c r="BD1022">
        <v>16</v>
      </c>
      <c r="BE1022" t="s">
        <v>19270</v>
      </c>
      <c r="BF1022" t="str">
        <f>HYPERLINK("http://dx.doi.org/10.3390/biomimetics3030016","http://dx.doi.org/10.3390/biomimetics3030016")</f>
        <v>http://dx.doi.org/10.3390/biomimetics3030016</v>
      </c>
      <c r="BG1022" t="s">
        <v>74</v>
      </c>
      <c r="BH1022" t="s">
        <v>74</v>
      </c>
      <c r="BI1022">
        <v>16</v>
      </c>
      <c r="BJ1022" t="s">
        <v>6474</v>
      </c>
      <c r="BK1022" t="s">
        <v>155</v>
      </c>
      <c r="BL1022" t="s">
        <v>4232</v>
      </c>
      <c r="BM1022" t="s">
        <v>19271</v>
      </c>
      <c r="BN1022">
        <v>31105238</v>
      </c>
      <c r="BO1022" t="s">
        <v>5437</v>
      </c>
      <c r="BP1022" t="s">
        <v>74</v>
      </c>
      <c r="BQ1022" t="s">
        <v>74</v>
      </c>
      <c r="BR1022" t="s">
        <v>105</v>
      </c>
      <c r="BS1022" t="s">
        <v>19272</v>
      </c>
      <c r="BT1022" t="str">
        <f>HYPERLINK("https%3A%2F%2Fwww.webofscience.com%2Fwos%2Fwoscc%2Ffull-record%2FWOS:000447913100003","View Full Record in Web of Science")</f>
        <v>View Full Record in Web of Science</v>
      </c>
    </row>
    <row r="1023" spans="1:72" x14ac:dyDescent="0.25">
      <c r="A1023" t="s">
        <v>72</v>
      </c>
      <c r="B1023" t="s">
        <v>19273</v>
      </c>
      <c r="C1023" t="s">
        <v>74</v>
      </c>
      <c r="D1023" t="s">
        <v>74</v>
      </c>
      <c r="E1023" t="s">
        <v>74</v>
      </c>
      <c r="F1023" t="s">
        <v>19274</v>
      </c>
      <c r="G1023" t="s">
        <v>74</v>
      </c>
      <c r="H1023" t="s">
        <v>74</v>
      </c>
      <c r="I1023" t="s">
        <v>19275</v>
      </c>
      <c r="J1023" t="s">
        <v>2136</v>
      </c>
      <c r="K1023" t="s">
        <v>74</v>
      </c>
      <c r="L1023" t="s">
        <v>74</v>
      </c>
      <c r="M1023" t="s">
        <v>78</v>
      </c>
      <c r="N1023" t="s">
        <v>79</v>
      </c>
      <c r="O1023" t="s">
        <v>74</v>
      </c>
      <c r="P1023" t="s">
        <v>74</v>
      </c>
      <c r="Q1023" t="s">
        <v>74</v>
      </c>
      <c r="R1023" t="s">
        <v>74</v>
      </c>
      <c r="S1023" t="s">
        <v>74</v>
      </c>
      <c r="T1023" t="s">
        <v>74</v>
      </c>
      <c r="U1023" t="s">
        <v>19276</v>
      </c>
      <c r="V1023" t="s">
        <v>19277</v>
      </c>
      <c r="W1023" t="s">
        <v>19278</v>
      </c>
      <c r="X1023" t="s">
        <v>74</v>
      </c>
      <c r="Y1023" t="s">
        <v>19279</v>
      </c>
      <c r="Z1023" t="s">
        <v>19280</v>
      </c>
      <c r="AA1023" t="s">
        <v>19281</v>
      </c>
      <c r="AB1023" t="s">
        <v>19282</v>
      </c>
      <c r="AC1023" t="s">
        <v>19283</v>
      </c>
      <c r="AD1023" t="s">
        <v>19283</v>
      </c>
      <c r="AE1023" t="s">
        <v>19284</v>
      </c>
      <c r="AF1023" t="s">
        <v>74</v>
      </c>
      <c r="AG1023">
        <v>58</v>
      </c>
      <c r="AH1023">
        <v>170</v>
      </c>
      <c r="AI1023">
        <v>190</v>
      </c>
      <c r="AJ1023">
        <v>9</v>
      </c>
      <c r="AK1023">
        <v>148</v>
      </c>
      <c r="AL1023" t="s">
        <v>297</v>
      </c>
      <c r="AM1023" t="s">
        <v>298</v>
      </c>
      <c r="AN1023" t="s">
        <v>299</v>
      </c>
      <c r="AO1023" t="s">
        <v>2147</v>
      </c>
      <c r="AP1023" t="s">
        <v>2148</v>
      </c>
      <c r="AQ1023" t="s">
        <v>74</v>
      </c>
      <c r="AR1023" t="s">
        <v>2136</v>
      </c>
      <c r="AS1023" t="s">
        <v>2136</v>
      </c>
      <c r="AT1023" t="s">
        <v>420</v>
      </c>
      <c r="AU1023">
        <v>2018</v>
      </c>
      <c r="AV1023">
        <v>10</v>
      </c>
      <c r="AW1023">
        <v>9</v>
      </c>
      <c r="AX1023" t="s">
        <v>74</v>
      </c>
      <c r="AY1023">
        <v>2</v>
      </c>
      <c r="AZ1023" t="s">
        <v>74</v>
      </c>
      <c r="BA1023" t="s">
        <v>74</v>
      </c>
      <c r="BB1023" t="s">
        <v>19285</v>
      </c>
      <c r="BC1023" t="s">
        <v>19286</v>
      </c>
      <c r="BD1023" t="s">
        <v>74</v>
      </c>
      <c r="BE1023" t="s">
        <v>19287</v>
      </c>
      <c r="BF1023" t="str">
        <f>HYPERLINK("http://dx.doi.org/10.1016/j.pmrj.2018.06.005","http://dx.doi.org/10.1016/j.pmrj.2018.06.005")</f>
        <v>http://dx.doi.org/10.1016/j.pmrj.2018.06.005</v>
      </c>
      <c r="BG1023" t="s">
        <v>74</v>
      </c>
      <c r="BH1023" t="s">
        <v>74</v>
      </c>
      <c r="BI1023">
        <v>15</v>
      </c>
      <c r="BJ1023" t="s">
        <v>236</v>
      </c>
      <c r="BK1023" t="s">
        <v>102</v>
      </c>
      <c r="BL1023" t="s">
        <v>236</v>
      </c>
      <c r="BM1023" t="s">
        <v>2152</v>
      </c>
      <c r="BN1023">
        <v>30269804</v>
      </c>
      <c r="BO1023" t="s">
        <v>74</v>
      </c>
      <c r="BP1023" t="s">
        <v>74</v>
      </c>
      <c r="BQ1023" t="s">
        <v>74</v>
      </c>
      <c r="BR1023" t="s">
        <v>105</v>
      </c>
      <c r="BS1023" t="s">
        <v>19288</v>
      </c>
      <c r="BT1023" t="str">
        <f>HYPERLINK("https%3A%2F%2Fwww.webofscience.com%2Fwos%2Fwoscc%2Ffull-record%2FWOS:000445927400007","View Full Record in Web of Science")</f>
        <v>View Full Record in Web of Science</v>
      </c>
    </row>
    <row r="1024" spans="1:72" x14ac:dyDescent="0.25">
      <c r="A1024" t="s">
        <v>72</v>
      </c>
      <c r="B1024" t="s">
        <v>19289</v>
      </c>
      <c r="C1024" t="s">
        <v>74</v>
      </c>
      <c r="D1024" t="s">
        <v>74</v>
      </c>
      <c r="E1024" t="s">
        <v>74</v>
      </c>
      <c r="F1024" t="s">
        <v>19290</v>
      </c>
      <c r="G1024" t="s">
        <v>74</v>
      </c>
      <c r="H1024" t="s">
        <v>74</v>
      </c>
      <c r="I1024" t="s">
        <v>19291</v>
      </c>
      <c r="J1024" t="s">
        <v>19055</v>
      </c>
      <c r="K1024" t="s">
        <v>74</v>
      </c>
      <c r="L1024" t="s">
        <v>74</v>
      </c>
      <c r="M1024" t="s">
        <v>78</v>
      </c>
      <c r="N1024" t="s">
        <v>79</v>
      </c>
      <c r="O1024" t="s">
        <v>74</v>
      </c>
      <c r="P1024" t="s">
        <v>74</v>
      </c>
      <c r="Q1024" t="s">
        <v>74</v>
      </c>
      <c r="R1024" t="s">
        <v>74</v>
      </c>
      <c r="S1024" t="s">
        <v>74</v>
      </c>
      <c r="T1024" t="s">
        <v>74</v>
      </c>
      <c r="U1024" t="s">
        <v>19292</v>
      </c>
      <c r="V1024" t="s">
        <v>19293</v>
      </c>
      <c r="W1024" t="s">
        <v>19294</v>
      </c>
      <c r="X1024" t="s">
        <v>19059</v>
      </c>
      <c r="Y1024" t="s">
        <v>19295</v>
      </c>
      <c r="Z1024" t="s">
        <v>19296</v>
      </c>
      <c r="AA1024" t="s">
        <v>19297</v>
      </c>
      <c r="AB1024" t="s">
        <v>19298</v>
      </c>
      <c r="AC1024" t="s">
        <v>19299</v>
      </c>
      <c r="AD1024" t="s">
        <v>19300</v>
      </c>
      <c r="AE1024" t="s">
        <v>19301</v>
      </c>
      <c r="AF1024" t="s">
        <v>74</v>
      </c>
      <c r="AG1024">
        <v>112</v>
      </c>
      <c r="AH1024">
        <v>100</v>
      </c>
      <c r="AI1024">
        <v>107</v>
      </c>
      <c r="AJ1024">
        <v>9</v>
      </c>
      <c r="AK1024">
        <v>74</v>
      </c>
      <c r="AL1024" t="s">
        <v>19067</v>
      </c>
      <c r="AM1024" t="s">
        <v>173</v>
      </c>
      <c r="AN1024" t="s">
        <v>19068</v>
      </c>
      <c r="AO1024" t="s">
        <v>19069</v>
      </c>
      <c r="AP1024" t="s">
        <v>19070</v>
      </c>
      <c r="AQ1024" t="s">
        <v>74</v>
      </c>
      <c r="AR1024" t="s">
        <v>19071</v>
      </c>
      <c r="AS1024" t="s">
        <v>19072</v>
      </c>
      <c r="AT1024" t="s">
        <v>420</v>
      </c>
      <c r="AU1024">
        <v>2018</v>
      </c>
      <c r="AV1024">
        <v>70</v>
      </c>
      <c r="AW1024">
        <v>5</v>
      </c>
      <c r="AX1024" t="s">
        <v>74</v>
      </c>
      <c r="AY1024" t="s">
        <v>74</v>
      </c>
      <c r="AZ1024" t="s">
        <v>74</v>
      </c>
      <c r="BA1024" t="s">
        <v>74</v>
      </c>
      <c r="BB1024" t="s">
        <v>74</v>
      </c>
      <c r="BC1024" t="s">
        <v>74</v>
      </c>
      <c r="BD1024">
        <v>50802</v>
      </c>
      <c r="BE1024" t="s">
        <v>19302</v>
      </c>
      <c r="BF1024" t="str">
        <f>HYPERLINK("http://dx.doi.org/10.1115/1.4042523","http://dx.doi.org/10.1115/1.4042523")</f>
        <v>http://dx.doi.org/10.1115/1.4042523</v>
      </c>
      <c r="BG1024" t="s">
        <v>74</v>
      </c>
      <c r="BH1024" t="s">
        <v>74</v>
      </c>
      <c r="BI1024">
        <v>19</v>
      </c>
      <c r="BJ1024" t="s">
        <v>19074</v>
      </c>
      <c r="BK1024" t="s">
        <v>102</v>
      </c>
      <c r="BL1024" t="s">
        <v>19074</v>
      </c>
      <c r="BM1024" t="s">
        <v>19303</v>
      </c>
      <c r="BN1024" t="s">
        <v>74</v>
      </c>
      <c r="BO1024" t="s">
        <v>1052</v>
      </c>
      <c r="BP1024" t="s">
        <v>74</v>
      </c>
      <c r="BQ1024" t="s">
        <v>74</v>
      </c>
      <c r="BR1024" t="s">
        <v>105</v>
      </c>
      <c r="BS1024" t="s">
        <v>19304</v>
      </c>
      <c r="BT1024" t="str">
        <f>HYPERLINK("https%3A%2F%2Fwww.webofscience.com%2Fwos%2Fwoscc%2Ffull-record%2FWOS:000458511300002","View Full Record in Web of Science")</f>
        <v>View Full Record in Web of Science</v>
      </c>
    </row>
    <row r="1025" spans="1:72" x14ac:dyDescent="0.25">
      <c r="A1025" t="s">
        <v>72</v>
      </c>
      <c r="B1025" t="s">
        <v>19305</v>
      </c>
      <c r="C1025" t="s">
        <v>74</v>
      </c>
      <c r="D1025" t="s">
        <v>74</v>
      </c>
      <c r="E1025" t="s">
        <v>74</v>
      </c>
      <c r="F1025" t="s">
        <v>19306</v>
      </c>
      <c r="G1025" t="s">
        <v>74</v>
      </c>
      <c r="H1025" t="s">
        <v>74</v>
      </c>
      <c r="I1025" t="s">
        <v>19307</v>
      </c>
      <c r="J1025" t="s">
        <v>16896</v>
      </c>
      <c r="K1025" t="s">
        <v>74</v>
      </c>
      <c r="L1025" t="s">
        <v>74</v>
      </c>
      <c r="M1025" t="s">
        <v>78</v>
      </c>
      <c r="N1025" t="s">
        <v>79</v>
      </c>
      <c r="O1025" t="s">
        <v>74</v>
      </c>
      <c r="P1025" t="s">
        <v>74</v>
      </c>
      <c r="Q1025" t="s">
        <v>74</v>
      </c>
      <c r="R1025" t="s">
        <v>74</v>
      </c>
      <c r="S1025" t="s">
        <v>74</v>
      </c>
      <c r="T1025" t="s">
        <v>19308</v>
      </c>
      <c r="U1025" t="s">
        <v>19309</v>
      </c>
      <c r="V1025" t="s">
        <v>19310</v>
      </c>
      <c r="W1025" t="s">
        <v>19311</v>
      </c>
      <c r="X1025" t="s">
        <v>19312</v>
      </c>
      <c r="Y1025" t="s">
        <v>19313</v>
      </c>
      <c r="Z1025" t="s">
        <v>19314</v>
      </c>
      <c r="AA1025" t="s">
        <v>19315</v>
      </c>
      <c r="AB1025" t="s">
        <v>74</v>
      </c>
      <c r="AC1025" t="s">
        <v>74</v>
      </c>
      <c r="AD1025" t="s">
        <v>74</v>
      </c>
      <c r="AE1025" t="s">
        <v>74</v>
      </c>
      <c r="AF1025" t="s">
        <v>74</v>
      </c>
      <c r="AG1025">
        <v>46</v>
      </c>
      <c r="AH1025">
        <v>16</v>
      </c>
      <c r="AI1025">
        <v>22</v>
      </c>
      <c r="AJ1025">
        <v>0</v>
      </c>
      <c r="AK1025">
        <v>52</v>
      </c>
      <c r="AL1025" t="s">
        <v>346</v>
      </c>
      <c r="AM1025" t="s">
        <v>227</v>
      </c>
      <c r="AN1025" t="s">
        <v>347</v>
      </c>
      <c r="AO1025" t="s">
        <v>16908</v>
      </c>
      <c r="AP1025" t="s">
        <v>16909</v>
      </c>
      <c r="AQ1025" t="s">
        <v>74</v>
      </c>
      <c r="AR1025" t="s">
        <v>16910</v>
      </c>
      <c r="AS1025" t="s">
        <v>16911</v>
      </c>
      <c r="AT1025" t="s">
        <v>420</v>
      </c>
      <c r="AU1025">
        <v>2018</v>
      </c>
      <c r="AV1025">
        <v>41</v>
      </c>
      <c r="AW1025">
        <v>3</v>
      </c>
      <c r="AX1025" t="s">
        <v>74</v>
      </c>
      <c r="AY1025" t="s">
        <v>74</v>
      </c>
      <c r="AZ1025" t="s">
        <v>74</v>
      </c>
      <c r="BA1025" t="s">
        <v>74</v>
      </c>
      <c r="BB1025">
        <v>197</v>
      </c>
      <c r="BC1025">
        <v>203</v>
      </c>
      <c r="BD1025" t="s">
        <v>74</v>
      </c>
      <c r="BE1025" t="s">
        <v>19316</v>
      </c>
      <c r="BF1025" t="str">
        <f>HYPERLINK("http://dx.doi.org/10.1097/MRR.0000000000000298","http://dx.doi.org/10.1097/MRR.0000000000000298")</f>
        <v>http://dx.doi.org/10.1097/MRR.0000000000000298</v>
      </c>
      <c r="BG1025" t="s">
        <v>74</v>
      </c>
      <c r="BH1025" t="s">
        <v>74</v>
      </c>
      <c r="BI1025">
        <v>7</v>
      </c>
      <c r="BJ1025" t="s">
        <v>101</v>
      </c>
      <c r="BK1025" t="s">
        <v>102</v>
      </c>
      <c r="BL1025" t="s">
        <v>101</v>
      </c>
      <c r="BM1025" t="s">
        <v>19317</v>
      </c>
      <c r="BN1025">
        <v>29912022</v>
      </c>
      <c r="BO1025" t="s">
        <v>74</v>
      </c>
      <c r="BP1025" t="s">
        <v>74</v>
      </c>
      <c r="BQ1025" t="s">
        <v>74</v>
      </c>
      <c r="BR1025" t="s">
        <v>105</v>
      </c>
      <c r="BS1025" t="s">
        <v>19318</v>
      </c>
      <c r="BT1025" t="str">
        <f>HYPERLINK("https%3A%2F%2Fwww.webofscience.com%2Fwos%2Fwoscc%2Ffull-record%2FWOS:000441913200002","View Full Record in Web of Science")</f>
        <v>View Full Record in Web of Science</v>
      </c>
    </row>
    <row r="1026" spans="1:72" x14ac:dyDescent="0.25">
      <c r="A1026" t="s">
        <v>72</v>
      </c>
      <c r="B1026" t="s">
        <v>19319</v>
      </c>
      <c r="C1026" t="s">
        <v>74</v>
      </c>
      <c r="D1026" t="s">
        <v>74</v>
      </c>
      <c r="E1026" t="s">
        <v>74</v>
      </c>
      <c r="F1026" t="s">
        <v>19320</v>
      </c>
      <c r="G1026" t="s">
        <v>74</v>
      </c>
      <c r="H1026" t="s">
        <v>74</v>
      </c>
      <c r="I1026" t="s">
        <v>19321</v>
      </c>
      <c r="J1026" t="s">
        <v>2136</v>
      </c>
      <c r="K1026" t="s">
        <v>74</v>
      </c>
      <c r="L1026" t="s">
        <v>74</v>
      </c>
      <c r="M1026" t="s">
        <v>78</v>
      </c>
      <c r="N1026" t="s">
        <v>79</v>
      </c>
      <c r="O1026" t="s">
        <v>74</v>
      </c>
      <c r="P1026" t="s">
        <v>74</v>
      </c>
      <c r="Q1026" t="s">
        <v>74</v>
      </c>
      <c r="R1026" t="s">
        <v>74</v>
      </c>
      <c r="S1026" t="s">
        <v>74</v>
      </c>
      <c r="T1026" t="s">
        <v>74</v>
      </c>
      <c r="U1026" t="s">
        <v>19322</v>
      </c>
      <c r="V1026" t="s">
        <v>19323</v>
      </c>
      <c r="W1026" t="s">
        <v>19324</v>
      </c>
      <c r="X1026" t="s">
        <v>19325</v>
      </c>
      <c r="Y1026" t="s">
        <v>19326</v>
      </c>
      <c r="Z1026" t="s">
        <v>16638</v>
      </c>
      <c r="AA1026" t="s">
        <v>19327</v>
      </c>
      <c r="AB1026" t="s">
        <v>19328</v>
      </c>
      <c r="AC1026" t="s">
        <v>19329</v>
      </c>
      <c r="AD1026" t="s">
        <v>19330</v>
      </c>
      <c r="AE1026" t="s">
        <v>19331</v>
      </c>
      <c r="AF1026" t="s">
        <v>74</v>
      </c>
      <c r="AG1026">
        <v>107</v>
      </c>
      <c r="AH1026">
        <v>167</v>
      </c>
      <c r="AI1026">
        <v>175</v>
      </c>
      <c r="AJ1026">
        <v>3</v>
      </c>
      <c r="AK1026">
        <v>58</v>
      </c>
      <c r="AL1026" t="s">
        <v>297</v>
      </c>
      <c r="AM1026" t="s">
        <v>298</v>
      </c>
      <c r="AN1026" t="s">
        <v>299</v>
      </c>
      <c r="AO1026" t="s">
        <v>2147</v>
      </c>
      <c r="AP1026" t="s">
        <v>2148</v>
      </c>
      <c r="AQ1026" t="s">
        <v>74</v>
      </c>
      <c r="AR1026" t="s">
        <v>2136</v>
      </c>
      <c r="AS1026" t="s">
        <v>2136</v>
      </c>
      <c r="AT1026" t="s">
        <v>420</v>
      </c>
      <c r="AU1026">
        <v>2018</v>
      </c>
      <c r="AV1026">
        <v>10</v>
      </c>
      <c r="AW1026">
        <v>9</v>
      </c>
      <c r="AX1026" t="s">
        <v>74</v>
      </c>
      <c r="AY1026">
        <v>2</v>
      </c>
      <c r="AZ1026" t="s">
        <v>74</v>
      </c>
      <c r="BA1026" t="s">
        <v>74</v>
      </c>
      <c r="BB1026" t="s">
        <v>19332</v>
      </c>
      <c r="BC1026" t="s">
        <v>19333</v>
      </c>
      <c r="BD1026" t="s">
        <v>74</v>
      </c>
      <c r="BE1026" t="s">
        <v>19334</v>
      </c>
      <c r="BF1026" t="str">
        <f>HYPERLINK("http://dx.doi.org/10.1016/j.pmrj.2018.06.013","http://dx.doi.org/10.1016/j.pmrj.2018.06.013")</f>
        <v>http://dx.doi.org/10.1016/j.pmrj.2018.06.013</v>
      </c>
      <c r="BG1026" t="s">
        <v>74</v>
      </c>
      <c r="BH1026" t="s">
        <v>74</v>
      </c>
      <c r="BI1026">
        <v>13</v>
      </c>
      <c r="BJ1026" t="s">
        <v>236</v>
      </c>
      <c r="BK1026" t="s">
        <v>102</v>
      </c>
      <c r="BL1026" t="s">
        <v>236</v>
      </c>
      <c r="BM1026" t="s">
        <v>2152</v>
      </c>
      <c r="BN1026">
        <v>30269807</v>
      </c>
      <c r="BO1026" t="s">
        <v>3048</v>
      </c>
      <c r="BP1026" t="s">
        <v>74</v>
      </c>
      <c r="BQ1026" t="s">
        <v>74</v>
      </c>
      <c r="BR1026" t="s">
        <v>105</v>
      </c>
      <c r="BS1026" t="s">
        <v>19335</v>
      </c>
      <c r="BT1026" t="str">
        <f>HYPERLINK("https%3A%2F%2Fwww.webofscience.com%2Fwos%2Fwoscc%2Ffull-record%2FWOS:000445927400011","View Full Record in Web of Science")</f>
        <v>View Full Record in Web of Science</v>
      </c>
    </row>
    <row r="1027" spans="1:72" x14ac:dyDescent="0.25">
      <c r="A1027" t="s">
        <v>72</v>
      </c>
      <c r="B1027" t="s">
        <v>19336</v>
      </c>
      <c r="C1027" t="s">
        <v>74</v>
      </c>
      <c r="D1027" t="s">
        <v>74</v>
      </c>
      <c r="E1027" t="s">
        <v>74</v>
      </c>
      <c r="F1027" t="s">
        <v>19337</v>
      </c>
      <c r="G1027" t="s">
        <v>74</v>
      </c>
      <c r="H1027" t="s">
        <v>74</v>
      </c>
      <c r="I1027" t="s">
        <v>19338</v>
      </c>
      <c r="J1027" t="s">
        <v>19219</v>
      </c>
      <c r="K1027" t="s">
        <v>74</v>
      </c>
      <c r="L1027" t="s">
        <v>74</v>
      </c>
      <c r="M1027" t="s">
        <v>78</v>
      </c>
      <c r="N1027" t="s">
        <v>79</v>
      </c>
      <c r="O1027" t="s">
        <v>74</v>
      </c>
      <c r="P1027" t="s">
        <v>74</v>
      </c>
      <c r="Q1027" t="s">
        <v>74</v>
      </c>
      <c r="R1027" t="s">
        <v>74</v>
      </c>
      <c r="S1027" t="s">
        <v>74</v>
      </c>
      <c r="T1027" t="s">
        <v>19339</v>
      </c>
      <c r="U1027" t="s">
        <v>19340</v>
      </c>
      <c r="V1027" t="s">
        <v>19341</v>
      </c>
      <c r="W1027" t="s">
        <v>19342</v>
      </c>
      <c r="X1027" t="s">
        <v>19343</v>
      </c>
      <c r="Y1027" t="s">
        <v>19344</v>
      </c>
      <c r="Z1027" t="s">
        <v>19345</v>
      </c>
      <c r="AA1027" t="s">
        <v>9623</v>
      </c>
      <c r="AB1027" t="s">
        <v>19346</v>
      </c>
      <c r="AC1027" t="s">
        <v>19347</v>
      </c>
      <c r="AD1027" t="s">
        <v>19348</v>
      </c>
      <c r="AE1027" t="s">
        <v>19349</v>
      </c>
      <c r="AF1027" t="s">
        <v>74</v>
      </c>
      <c r="AG1027">
        <v>73</v>
      </c>
      <c r="AH1027">
        <v>88</v>
      </c>
      <c r="AI1027">
        <v>95</v>
      </c>
      <c r="AJ1027">
        <v>2</v>
      </c>
      <c r="AK1027">
        <v>124</v>
      </c>
      <c r="AL1027" t="s">
        <v>19350</v>
      </c>
      <c r="AM1027" t="s">
        <v>2597</v>
      </c>
      <c r="AN1027" t="s">
        <v>19351</v>
      </c>
      <c r="AO1027" t="s">
        <v>19231</v>
      </c>
      <c r="AP1027" t="s">
        <v>19232</v>
      </c>
      <c r="AQ1027" t="s">
        <v>74</v>
      </c>
      <c r="AR1027" t="s">
        <v>19233</v>
      </c>
      <c r="AS1027" t="s">
        <v>19234</v>
      </c>
      <c r="AT1027" t="s">
        <v>420</v>
      </c>
      <c r="AU1027">
        <v>2018</v>
      </c>
      <c r="AV1027">
        <v>2</v>
      </c>
      <c r="AW1027">
        <v>3</v>
      </c>
      <c r="AX1027" t="s">
        <v>74</v>
      </c>
      <c r="AY1027" t="s">
        <v>74</v>
      </c>
      <c r="AZ1027" t="s">
        <v>74</v>
      </c>
      <c r="BA1027" t="s">
        <v>74</v>
      </c>
      <c r="BB1027">
        <v>283</v>
      </c>
      <c r="BC1027">
        <v>295</v>
      </c>
      <c r="BD1027" t="s">
        <v>74</v>
      </c>
      <c r="BE1027" t="s">
        <v>19352</v>
      </c>
      <c r="BF1027" t="str">
        <f>HYPERLINK("http://dx.doi.org/10.1007/s41315-018-0064-8","http://dx.doi.org/10.1007/s41315-018-0064-8")</f>
        <v>http://dx.doi.org/10.1007/s41315-018-0064-8</v>
      </c>
      <c r="BG1027" t="s">
        <v>74</v>
      </c>
      <c r="BH1027" t="s">
        <v>74</v>
      </c>
      <c r="BI1027">
        <v>13</v>
      </c>
      <c r="BJ1027" t="s">
        <v>714</v>
      </c>
      <c r="BK1027" t="s">
        <v>155</v>
      </c>
      <c r="BL1027" t="s">
        <v>714</v>
      </c>
      <c r="BM1027" t="s">
        <v>19236</v>
      </c>
      <c r="BN1027" t="s">
        <v>74</v>
      </c>
      <c r="BO1027" t="s">
        <v>3048</v>
      </c>
      <c r="BP1027" t="s">
        <v>74</v>
      </c>
      <c r="BQ1027" t="s">
        <v>74</v>
      </c>
      <c r="BR1027" t="s">
        <v>105</v>
      </c>
      <c r="BS1027" t="s">
        <v>19353</v>
      </c>
      <c r="BT1027" t="str">
        <f>HYPERLINK("https%3A%2F%2Fwww.webofscience.com%2Fwos%2Fwoscc%2Ffull-record%2FWOS:000456824400002","View Full Record in Web of Science")</f>
        <v>View Full Record in Web of Science</v>
      </c>
    </row>
    <row r="1028" spans="1:72" x14ac:dyDescent="0.25">
      <c r="A1028" t="s">
        <v>72</v>
      </c>
      <c r="B1028" t="s">
        <v>19354</v>
      </c>
      <c r="C1028" t="s">
        <v>74</v>
      </c>
      <c r="D1028" t="s">
        <v>74</v>
      </c>
      <c r="E1028" t="s">
        <v>74</v>
      </c>
      <c r="F1028" t="s">
        <v>19355</v>
      </c>
      <c r="G1028" t="s">
        <v>74</v>
      </c>
      <c r="H1028" t="s">
        <v>74</v>
      </c>
      <c r="I1028" t="s">
        <v>19356</v>
      </c>
      <c r="J1028" t="s">
        <v>6456</v>
      </c>
      <c r="K1028" t="s">
        <v>74</v>
      </c>
      <c r="L1028" t="s">
        <v>74</v>
      </c>
      <c r="M1028" t="s">
        <v>78</v>
      </c>
      <c r="N1028" t="s">
        <v>79</v>
      </c>
      <c r="O1028" t="s">
        <v>74</v>
      </c>
      <c r="P1028" t="s">
        <v>74</v>
      </c>
      <c r="Q1028" t="s">
        <v>74</v>
      </c>
      <c r="R1028" t="s">
        <v>74</v>
      </c>
      <c r="S1028" t="s">
        <v>74</v>
      </c>
      <c r="T1028" t="s">
        <v>19357</v>
      </c>
      <c r="U1028" t="s">
        <v>19358</v>
      </c>
      <c r="V1028" t="s">
        <v>19359</v>
      </c>
      <c r="W1028" t="s">
        <v>19360</v>
      </c>
      <c r="X1028" t="s">
        <v>19361</v>
      </c>
      <c r="Y1028" t="s">
        <v>19362</v>
      </c>
      <c r="Z1028" t="s">
        <v>19363</v>
      </c>
      <c r="AA1028" t="s">
        <v>19364</v>
      </c>
      <c r="AB1028" t="s">
        <v>19365</v>
      </c>
      <c r="AC1028" t="s">
        <v>74</v>
      </c>
      <c r="AD1028" t="s">
        <v>74</v>
      </c>
      <c r="AE1028" t="s">
        <v>74</v>
      </c>
      <c r="AF1028" t="s">
        <v>74</v>
      </c>
      <c r="AG1028">
        <v>77</v>
      </c>
      <c r="AH1028">
        <v>115</v>
      </c>
      <c r="AI1028">
        <v>125</v>
      </c>
      <c r="AJ1028">
        <v>9</v>
      </c>
      <c r="AK1028">
        <v>210</v>
      </c>
      <c r="AL1028" t="s">
        <v>120</v>
      </c>
      <c r="AM1028" t="s">
        <v>121</v>
      </c>
      <c r="AN1028" t="s">
        <v>122</v>
      </c>
      <c r="AO1028" t="s">
        <v>74</v>
      </c>
      <c r="AP1028" t="s">
        <v>6469</v>
      </c>
      <c r="AQ1028" t="s">
        <v>74</v>
      </c>
      <c r="AR1028" t="s">
        <v>6470</v>
      </c>
      <c r="AS1028" t="s">
        <v>6471</v>
      </c>
      <c r="AT1028" t="s">
        <v>420</v>
      </c>
      <c r="AU1028">
        <v>2018</v>
      </c>
      <c r="AV1028">
        <v>3</v>
      </c>
      <c r="AW1028">
        <v>3</v>
      </c>
      <c r="AX1028" t="s">
        <v>74</v>
      </c>
      <c r="AY1028" t="s">
        <v>74</v>
      </c>
      <c r="AZ1028" t="s">
        <v>74</v>
      </c>
      <c r="BA1028" t="s">
        <v>74</v>
      </c>
      <c r="BB1028" t="s">
        <v>74</v>
      </c>
      <c r="BC1028" t="s">
        <v>74</v>
      </c>
      <c r="BD1028">
        <v>17</v>
      </c>
      <c r="BE1028" t="s">
        <v>19366</v>
      </c>
      <c r="BF1028" t="str">
        <f>HYPERLINK("http://dx.doi.org/10.3390/biomimetics3030017","http://dx.doi.org/10.3390/biomimetics3030017")</f>
        <v>http://dx.doi.org/10.3390/biomimetics3030017</v>
      </c>
      <c r="BG1028" t="s">
        <v>74</v>
      </c>
      <c r="BH1028" t="s">
        <v>74</v>
      </c>
      <c r="BI1028">
        <v>20</v>
      </c>
      <c r="BJ1028" t="s">
        <v>6474</v>
      </c>
      <c r="BK1028" t="s">
        <v>155</v>
      </c>
      <c r="BL1028" t="s">
        <v>4232</v>
      </c>
      <c r="BM1028" t="s">
        <v>19271</v>
      </c>
      <c r="BN1028">
        <v>31105239</v>
      </c>
      <c r="BO1028" t="s">
        <v>5437</v>
      </c>
      <c r="BP1028" t="s">
        <v>74</v>
      </c>
      <c r="BQ1028" t="s">
        <v>74</v>
      </c>
      <c r="BR1028" t="s">
        <v>105</v>
      </c>
      <c r="BS1028" t="s">
        <v>19367</v>
      </c>
      <c r="BT1028" t="str">
        <f>HYPERLINK("https%3A%2F%2Fwww.webofscience.com%2Fwos%2Fwoscc%2Ffull-record%2FWOS:000447913100004","View Full Record in Web of Science")</f>
        <v>View Full Record in Web of Science</v>
      </c>
    </row>
    <row r="1029" spans="1:72" x14ac:dyDescent="0.25">
      <c r="A1029" t="s">
        <v>72</v>
      </c>
      <c r="B1029" t="s">
        <v>19368</v>
      </c>
      <c r="C1029" t="s">
        <v>74</v>
      </c>
      <c r="D1029" t="s">
        <v>74</v>
      </c>
      <c r="E1029" t="s">
        <v>74</v>
      </c>
      <c r="F1029" t="s">
        <v>19369</v>
      </c>
      <c r="G1029" t="s">
        <v>74</v>
      </c>
      <c r="H1029" t="s">
        <v>74</v>
      </c>
      <c r="I1029" t="s">
        <v>19370</v>
      </c>
      <c r="J1029" t="s">
        <v>594</v>
      </c>
      <c r="K1029" t="s">
        <v>74</v>
      </c>
      <c r="L1029" t="s">
        <v>74</v>
      </c>
      <c r="M1029" t="s">
        <v>78</v>
      </c>
      <c r="N1029" t="s">
        <v>79</v>
      </c>
      <c r="O1029" t="s">
        <v>74</v>
      </c>
      <c r="P1029" t="s">
        <v>74</v>
      </c>
      <c r="Q1029" t="s">
        <v>74</v>
      </c>
      <c r="R1029" t="s">
        <v>74</v>
      </c>
      <c r="S1029" t="s">
        <v>74</v>
      </c>
      <c r="T1029" t="s">
        <v>19371</v>
      </c>
      <c r="U1029" t="s">
        <v>19372</v>
      </c>
      <c r="V1029" t="s">
        <v>19373</v>
      </c>
      <c r="W1029" t="s">
        <v>19374</v>
      </c>
      <c r="X1029" t="s">
        <v>19375</v>
      </c>
      <c r="Y1029" t="s">
        <v>19376</v>
      </c>
      <c r="Z1029" t="s">
        <v>19377</v>
      </c>
      <c r="AA1029" t="s">
        <v>74</v>
      </c>
      <c r="AB1029" t="s">
        <v>74</v>
      </c>
      <c r="AC1029" t="s">
        <v>19378</v>
      </c>
      <c r="AD1029" t="s">
        <v>19379</v>
      </c>
      <c r="AE1029" t="s">
        <v>19380</v>
      </c>
      <c r="AF1029" t="s">
        <v>74</v>
      </c>
      <c r="AG1029">
        <v>142</v>
      </c>
      <c r="AH1029">
        <v>4</v>
      </c>
      <c r="AI1029">
        <v>6</v>
      </c>
      <c r="AJ1029">
        <v>0</v>
      </c>
      <c r="AK1029">
        <v>9</v>
      </c>
      <c r="AL1029" t="s">
        <v>274</v>
      </c>
      <c r="AM1029" t="s">
        <v>275</v>
      </c>
      <c r="AN1029" t="s">
        <v>276</v>
      </c>
      <c r="AO1029" t="s">
        <v>74</v>
      </c>
      <c r="AP1029" t="s">
        <v>606</v>
      </c>
      <c r="AQ1029" t="s">
        <v>74</v>
      </c>
      <c r="AR1029" t="s">
        <v>607</v>
      </c>
      <c r="AS1029" t="s">
        <v>608</v>
      </c>
      <c r="AT1029" t="s">
        <v>19381</v>
      </c>
      <c r="AU1029">
        <v>2018</v>
      </c>
      <c r="AV1029">
        <v>15</v>
      </c>
      <c r="AW1029" t="s">
        <v>74</v>
      </c>
      <c r="AX1029" t="s">
        <v>74</v>
      </c>
      <c r="AY1029" t="s">
        <v>74</v>
      </c>
      <c r="AZ1029" t="s">
        <v>74</v>
      </c>
      <c r="BA1029" t="s">
        <v>74</v>
      </c>
      <c r="BB1029" t="s">
        <v>74</v>
      </c>
      <c r="BC1029" t="s">
        <v>74</v>
      </c>
      <c r="BD1029">
        <v>75</v>
      </c>
      <c r="BE1029" t="s">
        <v>19382</v>
      </c>
      <c r="BF1029" t="str">
        <f>HYPERLINK("http://dx.doi.org/10.1186/s12984-018-0418-3","http://dx.doi.org/10.1186/s12984-018-0418-3")</f>
        <v>http://dx.doi.org/10.1186/s12984-018-0418-3</v>
      </c>
      <c r="BG1029" t="s">
        <v>74</v>
      </c>
      <c r="BH1029" t="s">
        <v>74</v>
      </c>
      <c r="BI1029">
        <v>15</v>
      </c>
      <c r="BJ1029" t="s">
        <v>611</v>
      </c>
      <c r="BK1029" t="s">
        <v>102</v>
      </c>
      <c r="BL1029" t="s">
        <v>612</v>
      </c>
      <c r="BM1029" t="s">
        <v>19383</v>
      </c>
      <c r="BN1029">
        <v>30107849</v>
      </c>
      <c r="BO1029" t="s">
        <v>131</v>
      </c>
      <c r="BP1029" t="s">
        <v>74</v>
      </c>
      <c r="BQ1029" t="s">
        <v>74</v>
      </c>
      <c r="BR1029" t="s">
        <v>105</v>
      </c>
      <c r="BS1029" t="s">
        <v>19384</v>
      </c>
      <c r="BT1029" t="str">
        <f>HYPERLINK("https%3A%2F%2Fwww.webofscience.com%2Fwos%2Fwoscc%2Ffull-record%2FWOS:000441836400001","View Full Record in Web of Science")</f>
        <v>View Full Record in Web of Science</v>
      </c>
    </row>
    <row r="1030" spans="1:72" x14ac:dyDescent="0.25">
      <c r="A1030" t="s">
        <v>72</v>
      </c>
      <c r="B1030" t="s">
        <v>19385</v>
      </c>
      <c r="C1030" t="s">
        <v>74</v>
      </c>
      <c r="D1030" t="s">
        <v>74</v>
      </c>
      <c r="E1030" t="s">
        <v>74</v>
      </c>
      <c r="F1030" t="s">
        <v>19386</v>
      </c>
      <c r="G1030" t="s">
        <v>74</v>
      </c>
      <c r="H1030" t="s">
        <v>74</v>
      </c>
      <c r="I1030" t="s">
        <v>19387</v>
      </c>
      <c r="J1030" t="s">
        <v>2198</v>
      </c>
      <c r="K1030" t="s">
        <v>74</v>
      </c>
      <c r="L1030" t="s">
        <v>74</v>
      </c>
      <c r="M1030" t="s">
        <v>78</v>
      </c>
      <c r="N1030" t="s">
        <v>79</v>
      </c>
      <c r="O1030" t="s">
        <v>74</v>
      </c>
      <c r="P1030" t="s">
        <v>74</v>
      </c>
      <c r="Q1030" t="s">
        <v>74</v>
      </c>
      <c r="R1030" t="s">
        <v>74</v>
      </c>
      <c r="S1030" t="s">
        <v>74</v>
      </c>
      <c r="T1030" t="s">
        <v>19388</v>
      </c>
      <c r="U1030" t="s">
        <v>19389</v>
      </c>
      <c r="V1030" t="s">
        <v>19390</v>
      </c>
      <c r="W1030" t="s">
        <v>19391</v>
      </c>
      <c r="X1030" t="s">
        <v>19392</v>
      </c>
      <c r="Y1030" t="s">
        <v>19393</v>
      </c>
      <c r="Z1030" t="s">
        <v>19394</v>
      </c>
      <c r="AA1030" t="s">
        <v>19395</v>
      </c>
      <c r="AB1030" t="s">
        <v>19396</v>
      </c>
      <c r="AC1030" t="s">
        <v>19397</v>
      </c>
      <c r="AD1030" t="s">
        <v>19397</v>
      </c>
      <c r="AE1030" t="s">
        <v>19398</v>
      </c>
      <c r="AF1030" t="s">
        <v>74</v>
      </c>
      <c r="AG1030">
        <v>144</v>
      </c>
      <c r="AH1030">
        <v>147</v>
      </c>
      <c r="AI1030">
        <v>153</v>
      </c>
      <c r="AJ1030">
        <v>8</v>
      </c>
      <c r="AK1030">
        <v>226</v>
      </c>
      <c r="AL1030" t="s">
        <v>392</v>
      </c>
      <c r="AM1030" t="s">
        <v>393</v>
      </c>
      <c r="AN1030" t="s">
        <v>394</v>
      </c>
      <c r="AO1030" t="s">
        <v>2206</v>
      </c>
      <c r="AP1030" t="s">
        <v>74</v>
      </c>
      <c r="AQ1030" t="s">
        <v>74</v>
      </c>
      <c r="AR1030" t="s">
        <v>2207</v>
      </c>
      <c r="AS1030" t="s">
        <v>2208</v>
      </c>
      <c r="AT1030" t="s">
        <v>19399</v>
      </c>
      <c r="AU1030">
        <v>2018</v>
      </c>
      <c r="AV1030">
        <v>12</v>
      </c>
      <c r="AW1030" t="s">
        <v>74</v>
      </c>
      <c r="AX1030" t="s">
        <v>74</v>
      </c>
      <c r="AY1030" t="s">
        <v>74</v>
      </c>
      <c r="AZ1030" t="s">
        <v>74</v>
      </c>
      <c r="BA1030" t="s">
        <v>74</v>
      </c>
      <c r="BB1030" t="s">
        <v>74</v>
      </c>
      <c r="BC1030" t="s">
        <v>74</v>
      </c>
      <c r="BD1030">
        <v>312</v>
      </c>
      <c r="BE1030" t="s">
        <v>19400</v>
      </c>
      <c r="BF1030" t="str">
        <f>HYPERLINK("http://dx.doi.org/10.3389/fnhum.2018.00312","http://dx.doi.org/10.3389/fnhum.2018.00312")</f>
        <v>http://dx.doi.org/10.3389/fnhum.2018.00312</v>
      </c>
      <c r="BG1030" t="s">
        <v>74</v>
      </c>
      <c r="BH1030" t="s">
        <v>74</v>
      </c>
      <c r="BI1030">
        <v>20</v>
      </c>
      <c r="BJ1030" t="s">
        <v>2211</v>
      </c>
      <c r="BK1030" t="s">
        <v>182</v>
      </c>
      <c r="BL1030" t="s">
        <v>2212</v>
      </c>
      <c r="BM1030" t="s">
        <v>19401</v>
      </c>
      <c r="BN1030">
        <v>30127730</v>
      </c>
      <c r="BO1030" t="s">
        <v>355</v>
      </c>
      <c r="BP1030" t="s">
        <v>74</v>
      </c>
      <c r="BQ1030" t="s">
        <v>74</v>
      </c>
      <c r="BR1030" t="s">
        <v>105</v>
      </c>
      <c r="BS1030" t="s">
        <v>19402</v>
      </c>
      <c r="BT1030" t="str">
        <f>HYPERLINK("https%3A%2F%2Fwww.webofscience.com%2Fwos%2Fwoscc%2Ffull-record%2FWOS:000440825700001","View Full Record in Web of Science")</f>
        <v>View Full Record in Web of Science</v>
      </c>
    </row>
    <row r="1031" spans="1:72" x14ac:dyDescent="0.25">
      <c r="A1031" t="s">
        <v>72</v>
      </c>
      <c r="B1031" t="s">
        <v>19403</v>
      </c>
      <c r="C1031" t="s">
        <v>74</v>
      </c>
      <c r="D1031" t="s">
        <v>74</v>
      </c>
      <c r="E1031" t="s">
        <v>74</v>
      </c>
      <c r="F1031" t="s">
        <v>19404</v>
      </c>
      <c r="G1031" t="s">
        <v>74</v>
      </c>
      <c r="H1031" t="s">
        <v>74</v>
      </c>
      <c r="I1031" t="s">
        <v>19405</v>
      </c>
      <c r="J1031" t="s">
        <v>916</v>
      </c>
      <c r="K1031" t="s">
        <v>74</v>
      </c>
      <c r="L1031" t="s">
        <v>74</v>
      </c>
      <c r="M1031" t="s">
        <v>78</v>
      </c>
      <c r="N1031" t="s">
        <v>79</v>
      </c>
      <c r="O1031" t="s">
        <v>74</v>
      </c>
      <c r="P1031" t="s">
        <v>74</v>
      </c>
      <c r="Q1031" t="s">
        <v>74</v>
      </c>
      <c r="R1031" t="s">
        <v>74</v>
      </c>
      <c r="S1031" t="s">
        <v>74</v>
      </c>
      <c r="T1031" t="s">
        <v>74</v>
      </c>
      <c r="U1031" t="s">
        <v>19406</v>
      </c>
      <c r="V1031" t="s">
        <v>19407</v>
      </c>
      <c r="W1031" t="s">
        <v>19408</v>
      </c>
      <c r="X1031" t="s">
        <v>19409</v>
      </c>
      <c r="Y1031" t="s">
        <v>19410</v>
      </c>
      <c r="Z1031" t="s">
        <v>14812</v>
      </c>
      <c r="AA1031" t="s">
        <v>19411</v>
      </c>
      <c r="AB1031" t="s">
        <v>19412</v>
      </c>
      <c r="AC1031" t="s">
        <v>74</v>
      </c>
      <c r="AD1031" t="s">
        <v>74</v>
      </c>
      <c r="AE1031" t="s">
        <v>74</v>
      </c>
      <c r="AF1031" t="s">
        <v>74</v>
      </c>
      <c r="AG1031">
        <v>62</v>
      </c>
      <c r="AH1031">
        <v>41</v>
      </c>
      <c r="AI1031">
        <v>42</v>
      </c>
      <c r="AJ1031">
        <v>0</v>
      </c>
      <c r="AK1031">
        <v>16</v>
      </c>
      <c r="AL1031" t="s">
        <v>928</v>
      </c>
      <c r="AM1031" t="s">
        <v>929</v>
      </c>
      <c r="AN1031" t="s">
        <v>930</v>
      </c>
      <c r="AO1031" t="s">
        <v>931</v>
      </c>
      <c r="AP1031" t="s">
        <v>74</v>
      </c>
      <c r="AQ1031" t="s">
        <v>74</v>
      </c>
      <c r="AR1031" t="s">
        <v>916</v>
      </c>
      <c r="AS1031" t="s">
        <v>932</v>
      </c>
      <c r="AT1031" t="s">
        <v>19413</v>
      </c>
      <c r="AU1031">
        <v>2018</v>
      </c>
      <c r="AV1031">
        <v>13</v>
      </c>
      <c r="AW1031">
        <v>7</v>
      </c>
      <c r="AX1031" t="s">
        <v>74</v>
      </c>
      <c r="AY1031" t="s">
        <v>74</v>
      </c>
      <c r="AZ1031" t="s">
        <v>74</v>
      </c>
      <c r="BA1031" t="s">
        <v>74</v>
      </c>
      <c r="BB1031" t="s">
        <v>74</v>
      </c>
      <c r="BC1031" t="s">
        <v>74</v>
      </c>
      <c r="BD1031" t="s">
        <v>19414</v>
      </c>
      <c r="BE1031" t="s">
        <v>19415</v>
      </c>
      <c r="BF1031" t="str">
        <f>HYPERLINK("http://dx.doi.org/10.1371/journal.pone.0200330","http://dx.doi.org/10.1371/journal.pone.0200330")</f>
        <v>http://dx.doi.org/10.1371/journal.pone.0200330</v>
      </c>
      <c r="BG1031" t="s">
        <v>74</v>
      </c>
      <c r="BH1031" t="s">
        <v>74</v>
      </c>
      <c r="BI1031">
        <v>21</v>
      </c>
      <c r="BJ1031" t="s">
        <v>936</v>
      </c>
      <c r="BK1031" t="s">
        <v>102</v>
      </c>
      <c r="BL1031" t="s">
        <v>937</v>
      </c>
      <c r="BM1031" t="s">
        <v>19416</v>
      </c>
      <c r="BN1031">
        <v>30001417</v>
      </c>
      <c r="BO1031" t="s">
        <v>5437</v>
      </c>
      <c r="BP1031" t="s">
        <v>74</v>
      </c>
      <c r="BQ1031" t="s">
        <v>74</v>
      </c>
      <c r="BR1031" t="s">
        <v>105</v>
      </c>
      <c r="BS1031" t="s">
        <v>19417</v>
      </c>
      <c r="BT1031" t="str">
        <f>HYPERLINK("https%3A%2F%2Fwww.webofscience.com%2Fwos%2Fwoscc%2Ffull-record%2FWOS:000438457400045","View Full Record in Web of Science")</f>
        <v>View Full Record in Web of Science</v>
      </c>
    </row>
    <row r="1032" spans="1:72" x14ac:dyDescent="0.25">
      <c r="A1032" t="s">
        <v>72</v>
      </c>
      <c r="B1032" t="s">
        <v>19418</v>
      </c>
      <c r="C1032" t="s">
        <v>74</v>
      </c>
      <c r="D1032" t="s">
        <v>74</v>
      </c>
      <c r="E1032" t="s">
        <v>74</v>
      </c>
      <c r="F1032" t="s">
        <v>19419</v>
      </c>
      <c r="G1032" t="s">
        <v>74</v>
      </c>
      <c r="H1032" t="s">
        <v>74</v>
      </c>
      <c r="I1032" t="s">
        <v>19420</v>
      </c>
      <c r="J1032" t="s">
        <v>594</v>
      </c>
      <c r="K1032" t="s">
        <v>74</v>
      </c>
      <c r="L1032" t="s">
        <v>74</v>
      </c>
      <c r="M1032" t="s">
        <v>78</v>
      </c>
      <c r="N1032" t="s">
        <v>79</v>
      </c>
      <c r="O1032" t="s">
        <v>74</v>
      </c>
      <c r="P1032" t="s">
        <v>74</v>
      </c>
      <c r="Q1032" t="s">
        <v>74</v>
      </c>
      <c r="R1032" t="s">
        <v>74</v>
      </c>
      <c r="S1032" t="s">
        <v>74</v>
      </c>
      <c r="T1032" t="s">
        <v>19421</v>
      </c>
      <c r="U1032" t="s">
        <v>19422</v>
      </c>
      <c r="V1032" t="s">
        <v>19423</v>
      </c>
      <c r="W1032" t="s">
        <v>19424</v>
      </c>
      <c r="X1032" t="s">
        <v>16691</v>
      </c>
      <c r="Y1032" t="s">
        <v>19425</v>
      </c>
      <c r="Z1032" t="s">
        <v>19426</v>
      </c>
      <c r="AA1032" t="s">
        <v>74</v>
      </c>
      <c r="AB1032" t="s">
        <v>19427</v>
      </c>
      <c r="AC1032" t="s">
        <v>19428</v>
      </c>
      <c r="AD1032" t="s">
        <v>19429</v>
      </c>
      <c r="AE1032" t="s">
        <v>19430</v>
      </c>
      <c r="AF1032" t="s">
        <v>74</v>
      </c>
      <c r="AG1032">
        <v>112</v>
      </c>
      <c r="AH1032">
        <v>29</v>
      </c>
      <c r="AI1032">
        <v>33</v>
      </c>
      <c r="AJ1032">
        <v>0</v>
      </c>
      <c r="AK1032">
        <v>13</v>
      </c>
      <c r="AL1032" t="s">
        <v>274</v>
      </c>
      <c r="AM1032" t="s">
        <v>275</v>
      </c>
      <c r="AN1032" t="s">
        <v>276</v>
      </c>
      <c r="AO1032" t="s">
        <v>74</v>
      </c>
      <c r="AP1032" t="s">
        <v>606</v>
      </c>
      <c r="AQ1032" t="s">
        <v>74</v>
      </c>
      <c r="AR1032" t="s">
        <v>607</v>
      </c>
      <c r="AS1032" t="s">
        <v>608</v>
      </c>
      <c r="AT1032" t="s">
        <v>12781</v>
      </c>
      <c r="AU1032">
        <v>2018</v>
      </c>
      <c r="AV1032">
        <v>15</v>
      </c>
      <c r="AW1032" t="s">
        <v>74</v>
      </c>
      <c r="AX1032" t="s">
        <v>74</v>
      </c>
      <c r="AY1032" t="s">
        <v>74</v>
      </c>
      <c r="AZ1032" t="s">
        <v>74</v>
      </c>
      <c r="BA1032" t="s">
        <v>74</v>
      </c>
      <c r="BB1032" t="s">
        <v>74</v>
      </c>
      <c r="BC1032" t="s">
        <v>74</v>
      </c>
      <c r="BD1032">
        <v>65</v>
      </c>
      <c r="BE1032" t="s">
        <v>19431</v>
      </c>
      <c r="BF1032" t="str">
        <f>HYPERLINK("http://dx.doi.org/10.1186/s12984-018-0408-5","http://dx.doi.org/10.1186/s12984-018-0408-5")</f>
        <v>http://dx.doi.org/10.1186/s12984-018-0408-5</v>
      </c>
      <c r="BG1032" t="s">
        <v>74</v>
      </c>
      <c r="BH1032" t="s">
        <v>74</v>
      </c>
      <c r="BI1032">
        <v>25</v>
      </c>
      <c r="BJ1032" t="s">
        <v>611</v>
      </c>
      <c r="BK1032" t="s">
        <v>102</v>
      </c>
      <c r="BL1032" t="s">
        <v>612</v>
      </c>
      <c r="BM1032" t="s">
        <v>19432</v>
      </c>
      <c r="BN1032">
        <v>29973250</v>
      </c>
      <c r="BO1032" t="s">
        <v>355</v>
      </c>
      <c r="BP1032" t="s">
        <v>74</v>
      </c>
      <c r="BQ1032" t="s">
        <v>74</v>
      </c>
      <c r="BR1032" t="s">
        <v>105</v>
      </c>
      <c r="BS1032" t="s">
        <v>19433</v>
      </c>
      <c r="BT1032" t="str">
        <f>HYPERLINK("https%3A%2F%2Fwww.webofscience.com%2Fwos%2Fwoscc%2Ffull-record%2FWOS:000437425000001","View Full Record in Web of Science")</f>
        <v>View Full Record in Web of Science</v>
      </c>
    </row>
    <row r="1033" spans="1:72" x14ac:dyDescent="0.25">
      <c r="A1033" t="s">
        <v>72</v>
      </c>
      <c r="B1033" t="s">
        <v>19434</v>
      </c>
      <c r="C1033" t="s">
        <v>74</v>
      </c>
      <c r="D1033" t="s">
        <v>74</v>
      </c>
      <c r="E1033" t="s">
        <v>74</v>
      </c>
      <c r="F1033" t="s">
        <v>19435</v>
      </c>
      <c r="G1033" t="s">
        <v>74</v>
      </c>
      <c r="H1033" t="s">
        <v>74</v>
      </c>
      <c r="I1033" t="s">
        <v>19436</v>
      </c>
      <c r="J1033" t="s">
        <v>19437</v>
      </c>
      <c r="K1033" t="s">
        <v>74</v>
      </c>
      <c r="L1033" t="s">
        <v>74</v>
      </c>
      <c r="M1033" t="s">
        <v>78</v>
      </c>
      <c r="N1033" t="s">
        <v>79</v>
      </c>
      <c r="O1033" t="s">
        <v>74</v>
      </c>
      <c r="P1033" t="s">
        <v>74</v>
      </c>
      <c r="Q1033" t="s">
        <v>74</v>
      </c>
      <c r="R1033" t="s">
        <v>74</v>
      </c>
      <c r="S1033" t="s">
        <v>74</v>
      </c>
      <c r="T1033" t="s">
        <v>19438</v>
      </c>
      <c r="U1033" t="s">
        <v>19439</v>
      </c>
      <c r="V1033" t="s">
        <v>19440</v>
      </c>
      <c r="W1033" t="s">
        <v>19441</v>
      </c>
      <c r="X1033" t="s">
        <v>9214</v>
      </c>
      <c r="Y1033" t="s">
        <v>19442</v>
      </c>
      <c r="Z1033" t="s">
        <v>19443</v>
      </c>
      <c r="AA1033" t="s">
        <v>74</v>
      </c>
      <c r="AB1033" t="s">
        <v>19444</v>
      </c>
      <c r="AC1033" t="s">
        <v>74</v>
      </c>
      <c r="AD1033" t="s">
        <v>74</v>
      </c>
      <c r="AE1033" t="s">
        <v>74</v>
      </c>
      <c r="AF1033" t="s">
        <v>74</v>
      </c>
      <c r="AG1033">
        <v>123</v>
      </c>
      <c r="AH1033">
        <v>120</v>
      </c>
      <c r="AI1033">
        <v>130</v>
      </c>
      <c r="AJ1033">
        <v>3</v>
      </c>
      <c r="AK1033">
        <v>91</v>
      </c>
      <c r="AL1033" t="s">
        <v>172</v>
      </c>
      <c r="AM1033" t="s">
        <v>173</v>
      </c>
      <c r="AN1033" t="s">
        <v>1885</v>
      </c>
      <c r="AO1033" t="s">
        <v>19445</v>
      </c>
      <c r="AP1033" t="s">
        <v>19446</v>
      </c>
      <c r="AQ1033" t="s">
        <v>74</v>
      </c>
      <c r="AR1033" t="s">
        <v>19437</v>
      </c>
      <c r="AS1033" t="s">
        <v>19447</v>
      </c>
      <c r="AT1033" t="s">
        <v>1734</v>
      </c>
      <c r="AU1033">
        <v>2018</v>
      </c>
      <c r="AV1033">
        <v>15</v>
      </c>
      <c r="AW1033">
        <v>3</v>
      </c>
      <c r="AX1033" t="s">
        <v>74</v>
      </c>
      <c r="AY1033" t="s">
        <v>74</v>
      </c>
      <c r="AZ1033" t="s">
        <v>74</v>
      </c>
      <c r="BA1033" t="s">
        <v>74</v>
      </c>
      <c r="BB1033">
        <v>604</v>
      </c>
      <c r="BC1033">
        <v>617</v>
      </c>
      <c r="BD1033" t="s">
        <v>74</v>
      </c>
      <c r="BE1033" t="s">
        <v>19448</v>
      </c>
      <c r="BF1033" t="str">
        <f>HYPERLINK("http://dx.doi.org/10.1007/s13311-018-0642-3","http://dx.doi.org/10.1007/s13311-018-0642-3")</f>
        <v>http://dx.doi.org/10.1007/s13311-018-0642-3</v>
      </c>
      <c r="BG1033" t="s">
        <v>74</v>
      </c>
      <c r="BH1033" t="s">
        <v>74</v>
      </c>
      <c r="BI1033">
        <v>14</v>
      </c>
      <c r="BJ1033" t="s">
        <v>19449</v>
      </c>
      <c r="BK1033" t="s">
        <v>102</v>
      </c>
      <c r="BL1033" t="s">
        <v>867</v>
      </c>
      <c r="BM1033" t="s">
        <v>19450</v>
      </c>
      <c r="BN1033">
        <v>29987763</v>
      </c>
      <c r="BO1033" t="s">
        <v>1276</v>
      </c>
      <c r="BP1033" t="s">
        <v>74</v>
      </c>
      <c r="BQ1033" t="s">
        <v>74</v>
      </c>
      <c r="BR1033" t="s">
        <v>105</v>
      </c>
      <c r="BS1033" t="s">
        <v>19451</v>
      </c>
      <c r="BT1033" t="str">
        <f>HYPERLINK("https%3A%2F%2Fwww.webofscience.com%2Fwos%2Fwoscc%2Ffull-record%2FWOS:000441999200007","View Full Record in Web of Science")</f>
        <v>View Full Record in Web of Science</v>
      </c>
    </row>
    <row r="1034" spans="1:72" x14ac:dyDescent="0.25">
      <c r="A1034" t="s">
        <v>72</v>
      </c>
      <c r="B1034" t="s">
        <v>19452</v>
      </c>
      <c r="C1034" t="s">
        <v>74</v>
      </c>
      <c r="D1034" t="s">
        <v>74</v>
      </c>
      <c r="E1034" t="s">
        <v>74</v>
      </c>
      <c r="F1034" t="s">
        <v>19453</v>
      </c>
      <c r="G1034" t="s">
        <v>74</v>
      </c>
      <c r="H1034" t="s">
        <v>74</v>
      </c>
      <c r="I1034" t="s">
        <v>19454</v>
      </c>
      <c r="J1034" t="s">
        <v>382</v>
      </c>
      <c r="K1034" t="s">
        <v>74</v>
      </c>
      <c r="L1034" t="s">
        <v>74</v>
      </c>
      <c r="M1034" t="s">
        <v>78</v>
      </c>
      <c r="N1034" t="s">
        <v>79</v>
      </c>
      <c r="O1034" t="s">
        <v>74</v>
      </c>
      <c r="P1034" t="s">
        <v>74</v>
      </c>
      <c r="Q1034" t="s">
        <v>74</v>
      </c>
      <c r="R1034" t="s">
        <v>74</v>
      </c>
      <c r="S1034" t="s">
        <v>74</v>
      </c>
      <c r="T1034" t="s">
        <v>19455</v>
      </c>
      <c r="U1034" t="s">
        <v>19456</v>
      </c>
      <c r="V1034" t="s">
        <v>19457</v>
      </c>
      <c r="W1034" t="s">
        <v>19458</v>
      </c>
      <c r="X1034" t="s">
        <v>19459</v>
      </c>
      <c r="Y1034" t="s">
        <v>19460</v>
      </c>
      <c r="Z1034" t="s">
        <v>19461</v>
      </c>
      <c r="AA1034" t="s">
        <v>19462</v>
      </c>
      <c r="AB1034" t="s">
        <v>19463</v>
      </c>
      <c r="AC1034" t="s">
        <v>74</v>
      </c>
      <c r="AD1034" t="s">
        <v>74</v>
      </c>
      <c r="AE1034" t="s">
        <v>74</v>
      </c>
      <c r="AF1034" t="s">
        <v>74</v>
      </c>
      <c r="AG1034">
        <v>79</v>
      </c>
      <c r="AH1034">
        <v>34</v>
      </c>
      <c r="AI1034">
        <v>37</v>
      </c>
      <c r="AJ1034">
        <v>0</v>
      </c>
      <c r="AK1034">
        <v>26</v>
      </c>
      <c r="AL1034" t="s">
        <v>392</v>
      </c>
      <c r="AM1034" t="s">
        <v>393</v>
      </c>
      <c r="AN1034" t="s">
        <v>394</v>
      </c>
      <c r="AO1034" t="s">
        <v>395</v>
      </c>
      <c r="AP1034" t="s">
        <v>74</v>
      </c>
      <c r="AQ1034" t="s">
        <v>74</v>
      </c>
      <c r="AR1034" t="s">
        <v>396</v>
      </c>
      <c r="AS1034" t="s">
        <v>397</v>
      </c>
      <c r="AT1034" t="s">
        <v>15095</v>
      </c>
      <c r="AU1034">
        <v>2018</v>
      </c>
      <c r="AV1034">
        <v>9</v>
      </c>
      <c r="AW1034" t="s">
        <v>74</v>
      </c>
      <c r="AX1034" t="s">
        <v>74</v>
      </c>
      <c r="AY1034" t="s">
        <v>74</v>
      </c>
      <c r="AZ1034" t="s">
        <v>74</v>
      </c>
      <c r="BA1034" t="s">
        <v>74</v>
      </c>
      <c r="BB1034" t="s">
        <v>74</v>
      </c>
      <c r="BC1034" t="s">
        <v>74</v>
      </c>
      <c r="BD1034">
        <v>472</v>
      </c>
      <c r="BE1034" t="s">
        <v>19464</v>
      </c>
      <c r="BF1034" t="str">
        <f>HYPERLINK("http://dx.doi.org/10.3389/fneur.2018.00472","http://dx.doi.org/10.3389/fneur.2018.00472")</f>
        <v>http://dx.doi.org/10.3389/fneur.2018.00472</v>
      </c>
      <c r="BG1034" t="s">
        <v>74</v>
      </c>
      <c r="BH1034" t="s">
        <v>74</v>
      </c>
      <c r="BI1034">
        <v>23</v>
      </c>
      <c r="BJ1034" t="s">
        <v>400</v>
      </c>
      <c r="BK1034" t="s">
        <v>102</v>
      </c>
      <c r="BL1034" t="s">
        <v>375</v>
      </c>
      <c r="BM1034" t="s">
        <v>19465</v>
      </c>
      <c r="BN1034">
        <v>29988530</v>
      </c>
      <c r="BO1034" t="s">
        <v>19466</v>
      </c>
      <c r="BP1034" t="s">
        <v>74</v>
      </c>
      <c r="BQ1034" t="s">
        <v>74</v>
      </c>
      <c r="BR1034" t="s">
        <v>105</v>
      </c>
      <c r="BS1034" t="s">
        <v>19467</v>
      </c>
      <c r="BT1034" t="str">
        <f>HYPERLINK("https%3A%2F%2Fwww.webofscience.com%2Fwos%2Fwoscc%2Ffull-record%2FWOS:000436148100001","View Full Record in Web of Science")</f>
        <v>View Full Record in Web of Science</v>
      </c>
    </row>
    <row r="1035" spans="1:72" x14ac:dyDescent="0.25">
      <c r="A1035" t="s">
        <v>72</v>
      </c>
      <c r="B1035" t="s">
        <v>19468</v>
      </c>
      <c r="C1035" t="s">
        <v>74</v>
      </c>
      <c r="D1035" t="s">
        <v>74</v>
      </c>
      <c r="E1035" t="s">
        <v>74</v>
      </c>
      <c r="F1035" t="s">
        <v>19469</v>
      </c>
      <c r="G1035" t="s">
        <v>74</v>
      </c>
      <c r="H1035" t="s">
        <v>74</v>
      </c>
      <c r="I1035" t="s">
        <v>19470</v>
      </c>
      <c r="J1035" t="s">
        <v>11573</v>
      </c>
      <c r="K1035" t="s">
        <v>74</v>
      </c>
      <c r="L1035" t="s">
        <v>74</v>
      </c>
      <c r="M1035" t="s">
        <v>78</v>
      </c>
      <c r="N1035" t="s">
        <v>79</v>
      </c>
      <c r="O1035" t="s">
        <v>74</v>
      </c>
      <c r="P1035" t="s">
        <v>74</v>
      </c>
      <c r="Q1035" t="s">
        <v>74</v>
      </c>
      <c r="R1035" t="s">
        <v>74</v>
      </c>
      <c r="S1035" t="s">
        <v>74</v>
      </c>
      <c r="T1035" t="s">
        <v>19471</v>
      </c>
      <c r="U1035" t="s">
        <v>19472</v>
      </c>
      <c r="V1035" t="s">
        <v>19473</v>
      </c>
      <c r="W1035" t="s">
        <v>19474</v>
      </c>
      <c r="X1035" t="s">
        <v>19475</v>
      </c>
      <c r="Y1035" t="s">
        <v>19476</v>
      </c>
      <c r="Z1035" t="s">
        <v>19477</v>
      </c>
      <c r="AA1035" t="s">
        <v>19478</v>
      </c>
      <c r="AB1035" t="s">
        <v>19479</v>
      </c>
      <c r="AC1035" t="s">
        <v>19480</v>
      </c>
      <c r="AD1035" t="s">
        <v>19481</v>
      </c>
      <c r="AE1035" t="s">
        <v>19482</v>
      </c>
      <c r="AF1035" t="s">
        <v>74</v>
      </c>
      <c r="AG1035">
        <v>133</v>
      </c>
      <c r="AH1035">
        <v>32</v>
      </c>
      <c r="AI1035">
        <v>34</v>
      </c>
      <c r="AJ1035">
        <v>2</v>
      </c>
      <c r="AK1035">
        <v>52</v>
      </c>
      <c r="AL1035" t="s">
        <v>836</v>
      </c>
      <c r="AM1035" t="s">
        <v>532</v>
      </c>
      <c r="AN1035" t="s">
        <v>837</v>
      </c>
      <c r="AO1035" t="s">
        <v>11585</v>
      </c>
      <c r="AP1035" t="s">
        <v>11586</v>
      </c>
      <c r="AQ1035" t="s">
        <v>74</v>
      </c>
      <c r="AR1035" t="s">
        <v>11587</v>
      </c>
      <c r="AS1035" t="s">
        <v>11588</v>
      </c>
      <c r="AT1035" t="s">
        <v>8614</v>
      </c>
      <c r="AU1035">
        <v>2018</v>
      </c>
      <c r="AV1035">
        <v>97</v>
      </c>
      <c r="AW1035" t="s">
        <v>74</v>
      </c>
      <c r="AX1035" t="s">
        <v>74</v>
      </c>
      <c r="AY1035" t="s">
        <v>74</v>
      </c>
      <c r="AZ1035" t="s">
        <v>74</v>
      </c>
      <c r="BA1035" t="s">
        <v>74</v>
      </c>
      <c r="BB1035">
        <v>89</v>
      </c>
      <c r="BC1035">
        <v>112</v>
      </c>
      <c r="BD1035" t="s">
        <v>74</v>
      </c>
      <c r="BE1035" t="s">
        <v>19483</v>
      </c>
      <c r="BF1035" t="str">
        <f>HYPERLINK("http://dx.doi.org/10.1016/j.compbiomed.2018.04.019","http://dx.doi.org/10.1016/j.compbiomed.2018.04.019")</f>
        <v>http://dx.doi.org/10.1016/j.compbiomed.2018.04.019</v>
      </c>
      <c r="BG1035" t="s">
        <v>74</v>
      </c>
      <c r="BH1035" t="s">
        <v>74</v>
      </c>
      <c r="BI1035">
        <v>24</v>
      </c>
      <c r="BJ1035" t="s">
        <v>11590</v>
      </c>
      <c r="BK1035" t="s">
        <v>102</v>
      </c>
      <c r="BL1035" t="s">
        <v>11591</v>
      </c>
      <c r="BM1035" t="s">
        <v>19484</v>
      </c>
      <c r="BN1035">
        <v>29715597</v>
      </c>
      <c r="BO1035" t="s">
        <v>2246</v>
      </c>
      <c r="BP1035" t="s">
        <v>74</v>
      </c>
      <c r="BQ1035" t="s">
        <v>74</v>
      </c>
      <c r="BR1035" t="s">
        <v>105</v>
      </c>
      <c r="BS1035" t="s">
        <v>19485</v>
      </c>
      <c r="BT1035" t="str">
        <f>HYPERLINK("https%3A%2F%2Fwww.webofscience.com%2Fwos%2Fwoscc%2Ffull-record%2FWOS:000435623700010","View Full Record in Web of Science")</f>
        <v>View Full Record in Web of Science</v>
      </c>
    </row>
    <row r="1036" spans="1:72" x14ac:dyDescent="0.25">
      <c r="A1036" t="s">
        <v>72</v>
      </c>
      <c r="B1036" t="s">
        <v>19486</v>
      </c>
      <c r="C1036" t="s">
        <v>74</v>
      </c>
      <c r="D1036" t="s">
        <v>74</v>
      </c>
      <c r="E1036" t="s">
        <v>74</v>
      </c>
      <c r="F1036" t="s">
        <v>19487</v>
      </c>
      <c r="G1036" t="s">
        <v>74</v>
      </c>
      <c r="H1036" t="s">
        <v>74</v>
      </c>
      <c r="I1036" t="s">
        <v>19488</v>
      </c>
      <c r="J1036" t="s">
        <v>2429</v>
      </c>
      <c r="K1036" t="s">
        <v>74</v>
      </c>
      <c r="L1036" t="s">
        <v>74</v>
      </c>
      <c r="M1036" t="s">
        <v>78</v>
      </c>
      <c r="N1036" t="s">
        <v>79</v>
      </c>
      <c r="O1036" t="s">
        <v>74</v>
      </c>
      <c r="P1036" t="s">
        <v>74</v>
      </c>
      <c r="Q1036" t="s">
        <v>74</v>
      </c>
      <c r="R1036" t="s">
        <v>74</v>
      </c>
      <c r="S1036" t="s">
        <v>74</v>
      </c>
      <c r="T1036" t="s">
        <v>19489</v>
      </c>
      <c r="U1036" t="s">
        <v>19490</v>
      </c>
      <c r="V1036" t="s">
        <v>19491</v>
      </c>
      <c r="W1036" t="s">
        <v>19492</v>
      </c>
      <c r="X1036" t="s">
        <v>19493</v>
      </c>
      <c r="Y1036" t="s">
        <v>19494</v>
      </c>
      <c r="Z1036" t="s">
        <v>19495</v>
      </c>
      <c r="AA1036" t="s">
        <v>19496</v>
      </c>
      <c r="AB1036" t="s">
        <v>19497</v>
      </c>
      <c r="AC1036" t="s">
        <v>19498</v>
      </c>
      <c r="AD1036" t="s">
        <v>19499</v>
      </c>
      <c r="AE1036" t="s">
        <v>19500</v>
      </c>
      <c r="AF1036" t="s">
        <v>74</v>
      </c>
      <c r="AG1036">
        <v>101</v>
      </c>
      <c r="AH1036">
        <v>13</v>
      </c>
      <c r="AI1036">
        <v>14</v>
      </c>
      <c r="AJ1036">
        <v>17</v>
      </c>
      <c r="AK1036">
        <v>193</v>
      </c>
      <c r="AL1036" t="s">
        <v>557</v>
      </c>
      <c r="AM1036" t="s">
        <v>275</v>
      </c>
      <c r="AN1036" t="s">
        <v>558</v>
      </c>
      <c r="AO1036" t="s">
        <v>2440</v>
      </c>
      <c r="AP1036" t="s">
        <v>2441</v>
      </c>
      <c r="AQ1036" t="s">
        <v>74</v>
      </c>
      <c r="AR1036" t="s">
        <v>2442</v>
      </c>
      <c r="AS1036" t="s">
        <v>2443</v>
      </c>
      <c r="AT1036" t="s">
        <v>6126</v>
      </c>
      <c r="AU1036">
        <v>2018</v>
      </c>
      <c r="AV1036">
        <v>10</v>
      </c>
      <c r="AW1036">
        <v>5</v>
      </c>
      <c r="AX1036" t="s">
        <v>74</v>
      </c>
      <c r="AY1036" t="s">
        <v>74</v>
      </c>
      <c r="AZ1036" t="s">
        <v>74</v>
      </c>
      <c r="BA1036" t="s">
        <v>74</v>
      </c>
      <c r="BB1036" t="s">
        <v>74</v>
      </c>
      <c r="BC1036" t="s">
        <v>74</v>
      </c>
      <c r="BD1036">
        <v>1687814018774186</v>
      </c>
      <c r="BE1036" t="s">
        <v>19501</v>
      </c>
      <c r="BF1036" t="str">
        <f>HYPERLINK("http://dx.doi.org/10.1177/1687814018774186","http://dx.doi.org/10.1177/1687814018774186")</f>
        <v>http://dx.doi.org/10.1177/1687814018774186</v>
      </c>
      <c r="BG1036" t="s">
        <v>74</v>
      </c>
      <c r="BH1036" t="s">
        <v>74</v>
      </c>
      <c r="BI1036">
        <v>14</v>
      </c>
      <c r="BJ1036" t="s">
        <v>2445</v>
      </c>
      <c r="BK1036" t="s">
        <v>182</v>
      </c>
      <c r="BL1036" t="s">
        <v>2446</v>
      </c>
      <c r="BM1036" t="s">
        <v>19502</v>
      </c>
      <c r="BN1036" t="s">
        <v>74</v>
      </c>
      <c r="BO1036" t="s">
        <v>4280</v>
      </c>
      <c r="BP1036" t="s">
        <v>74</v>
      </c>
      <c r="BQ1036" t="s">
        <v>74</v>
      </c>
      <c r="BR1036" t="s">
        <v>105</v>
      </c>
      <c r="BS1036" t="s">
        <v>19503</v>
      </c>
      <c r="BT1036" t="str">
        <f>HYPERLINK("https%3A%2F%2Fwww.webofscience.com%2Fwos%2Fwoscc%2Ffull-record%2FWOS:000432176600001","View Full Record in Web of Science")</f>
        <v>View Full Record in Web of Science</v>
      </c>
    </row>
    <row r="1037" spans="1:72" x14ac:dyDescent="0.25">
      <c r="A1037" t="s">
        <v>72</v>
      </c>
      <c r="B1037" t="s">
        <v>19504</v>
      </c>
      <c r="C1037" t="s">
        <v>74</v>
      </c>
      <c r="D1037" t="s">
        <v>74</v>
      </c>
      <c r="E1037" t="s">
        <v>74</v>
      </c>
      <c r="F1037" t="s">
        <v>19505</v>
      </c>
      <c r="G1037" t="s">
        <v>74</v>
      </c>
      <c r="H1037" t="s">
        <v>74</v>
      </c>
      <c r="I1037" t="s">
        <v>19506</v>
      </c>
      <c r="J1037" t="s">
        <v>8674</v>
      </c>
      <c r="K1037" t="s">
        <v>74</v>
      </c>
      <c r="L1037" t="s">
        <v>74</v>
      </c>
      <c r="M1037" t="s">
        <v>78</v>
      </c>
      <c r="N1037" t="s">
        <v>79</v>
      </c>
      <c r="O1037" t="s">
        <v>74</v>
      </c>
      <c r="P1037" t="s">
        <v>74</v>
      </c>
      <c r="Q1037" t="s">
        <v>74</v>
      </c>
      <c r="R1037" t="s">
        <v>74</v>
      </c>
      <c r="S1037" t="s">
        <v>74</v>
      </c>
      <c r="T1037" t="s">
        <v>19507</v>
      </c>
      <c r="U1037" t="s">
        <v>19508</v>
      </c>
      <c r="V1037" t="s">
        <v>19509</v>
      </c>
      <c r="W1037" t="s">
        <v>19510</v>
      </c>
      <c r="X1037" t="s">
        <v>19511</v>
      </c>
      <c r="Y1037" t="s">
        <v>19512</v>
      </c>
      <c r="Z1037" t="s">
        <v>19513</v>
      </c>
      <c r="AA1037" t="s">
        <v>19514</v>
      </c>
      <c r="AB1037" t="s">
        <v>19515</v>
      </c>
      <c r="AC1037" t="s">
        <v>19516</v>
      </c>
      <c r="AD1037" t="s">
        <v>19517</v>
      </c>
      <c r="AE1037" t="s">
        <v>19518</v>
      </c>
      <c r="AF1037" t="s">
        <v>74</v>
      </c>
      <c r="AG1037">
        <v>83</v>
      </c>
      <c r="AH1037">
        <v>168</v>
      </c>
      <c r="AI1037">
        <v>181</v>
      </c>
      <c r="AJ1037">
        <v>8</v>
      </c>
      <c r="AK1037">
        <v>191</v>
      </c>
      <c r="AL1037" t="s">
        <v>19519</v>
      </c>
      <c r="AM1037" t="s">
        <v>5928</v>
      </c>
      <c r="AN1037" t="s">
        <v>5929</v>
      </c>
      <c r="AO1037" t="s">
        <v>8683</v>
      </c>
      <c r="AP1037" t="s">
        <v>8684</v>
      </c>
      <c r="AQ1037" t="s">
        <v>74</v>
      </c>
      <c r="AR1037" t="s">
        <v>8685</v>
      </c>
      <c r="AS1037" t="s">
        <v>8686</v>
      </c>
      <c r="AT1037" t="s">
        <v>487</v>
      </c>
      <c r="AU1037">
        <v>2018</v>
      </c>
      <c r="AV1037">
        <v>15</v>
      </c>
      <c r="AW1037">
        <v>2</v>
      </c>
      <c r="AX1037" t="s">
        <v>74</v>
      </c>
      <c r="AY1037" t="s">
        <v>74</v>
      </c>
      <c r="AZ1037" t="s">
        <v>74</v>
      </c>
      <c r="BA1037" t="s">
        <v>74</v>
      </c>
      <c r="BB1037" t="s">
        <v>74</v>
      </c>
      <c r="BC1037" t="s">
        <v>74</v>
      </c>
      <c r="BD1037">
        <v>21004</v>
      </c>
      <c r="BE1037" t="s">
        <v>19520</v>
      </c>
      <c r="BF1037" t="str">
        <f>HYPERLINK("http://dx.doi.org/10.1088/1741-2552/aaa8c0","http://dx.doi.org/10.1088/1741-2552/aaa8c0")</f>
        <v>http://dx.doi.org/10.1088/1741-2552/aaa8c0</v>
      </c>
      <c r="BG1037" t="s">
        <v>74</v>
      </c>
      <c r="BH1037" t="s">
        <v>74</v>
      </c>
      <c r="BI1037">
        <v>15</v>
      </c>
      <c r="BJ1037" t="s">
        <v>8688</v>
      </c>
      <c r="BK1037" t="s">
        <v>182</v>
      </c>
      <c r="BL1037" t="s">
        <v>8689</v>
      </c>
      <c r="BM1037" t="s">
        <v>19521</v>
      </c>
      <c r="BN1037">
        <v>29345632</v>
      </c>
      <c r="BO1037" t="s">
        <v>309</v>
      </c>
      <c r="BP1037" t="s">
        <v>74</v>
      </c>
      <c r="BQ1037" t="s">
        <v>74</v>
      </c>
      <c r="BR1037" t="s">
        <v>105</v>
      </c>
      <c r="BS1037" t="s">
        <v>19522</v>
      </c>
      <c r="BT1037" t="str">
        <f>HYPERLINK("https%3A%2F%2Fwww.webofscience.com%2Fwos%2Fwoscc%2Ffull-record%2FWOS:000425177200001","View Full Record in Web of Science")</f>
        <v>View Full Record in Web of Science</v>
      </c>
    </row>
    <row r="1038" spans="1:72" x14ac:dyDescent="0.25">
      <c r="A1038" t="s">
        <v>72</v>
      </c>
      <c r="B1038" t="s">
        <v>19523</v>
      </c>
      <c r="C1038" t="s">
        <v>74</v>
      </c>
      <c r="D1038" t="s">
        <v>74</v>
      </c>
      <c r="E1038" t="s">
        <v>74</v>
      </c>
      <c r="F1038" t="s">
        <v>19524</v>
      </c>
      <c r="G1038" t="s">
        <v>74</v>
      </c>
      <c r="H1038" t="s">
        <v>74</v>
      </c>
      <c r="I1038" t="s">
        <v>19525</v>
      </c>
      <c r="J1038" t="s">
        <v>684</v>
      </c>
      <c r="K1038" t="s">
        <v>74</v>
      </c>
      <c r="L1038" t="s">
        <v>74</v>
      </c>
      <c r="M1038" t="s">
        <v>78</v>
      </c>
      <c r="N1038" t="s">
        <v>79</v>
      </c>
      <c r="O1038" t="s">
        <v>74</v>
      </c>
      <c r="P1038" t="s">
        <v>74</v>
      </c>
      <c r="Q1038" t="s">
        <v>74</v>
      </c>
      <c r="R1038" t="s">
        <v>74</v>
      </c>
      <c r="S1038" t="s">
        <v>74</v>
      </c>
      <c r="T1038" t="s">
        <v>19526</v>
      </c>
      <c r="U1038" t="s">
        <v>19527</v>
      </c>
      <c r="V1038" t="s">
        <v>19528</v>
      </c>
      <c r="W1038" t="s">
        <v>19529</v>
      </c>
      <c r="X1038" t="s">
        <v>19530</v>
      </c>
      <c r="Y1038" t="s">
        <v>19531</v>
      </c>
      <c r="Z1038" t="s">
        <v>19532</v>
      </c>
      <c r="AA1038" t="s">
        <v>19533</v>
      </c>
      <c r="AB1038" t="s">
        <v>19534</v>
      </c>
      <c r="AC1038" t="s">
        <v>19535</v>
      </c>
      <c r="AD1038" t="s">
        <v>19536</v>
      </c>
      <c r="AE1038" t="s">
        <v>19537</v>
      </c>
      <c r="AF1038" t="s">
        <v>74</v>
      </c>
      <c r="AG1038">
        <v>171</v>
      </c>
      <c r="AH1038">
        <v>50</v>
      </c>
      <c r="AI1038">
        <v>56</v>
      </c>
      <c r="AJ1038">
        <v>2</v>
      </c>
      <c r="AK1038">
        <v>115</v>
      </c>
      <c r="AL1038" t="s">
        <v>557</v>
      </c>
      <c r="AM1038" t="s">
        <v>275</v>
      </c>
      <c r="AN1038" t="s">
        <v>558</v>
      </c>
      <c r="AO1038" t="s">
        <v>691</v>
      </c>
      <c r="AP1038" t="s">
        <v>692</v>
      </c>
      <c r="AQ1038" t="s">
        <v>74</v>
      </c>
      <c r="AR1038" t="s">
        <v>693</v>
      </c>
      <c r="AS1038" t="s">
        <v>694</v>
      </c>
      <c r="AT1038" t="s">
        <v>487</v>
      </c>
      <c r="AU1038">
        <v>2018</v>
      </c>
      <c r="AV1038">
        <v>232</v>
      </c>
      <c r="AW1038">
        <v>4</v>
      </c>
      <c r="AX1038" t="s">
        <v>74</v>
      </c>
      <c r="AY1038" t="s">
        <v>74</v>
      </c>
      <c r="AZ1038" t="s">
        <v>74</v>
      </c>
      <c r="BA1038" t="s">
        <v>74</v>
      </c>
      <c r="BB1038">
        <v>344</v>
      </c>
      <c r="BC1038">
        <v>360</v>
      </c>
      <c r="BD1038" t="s">
        <v>74</v>
      </c>
      <c r="BE1038" t="s">
        <v>19538</v>
      </c>
      <c r="BF1038" t="str">
        <f>HYPERLINK("http://dx.doi.org/10.1177/0954411918755828","http://dx.doi.org/10.1177/0954411918755828")</f>
        <v>http://dx.doi.org/10.1177/0954411918755828</v>
      </c>
      <c r="BG1038" t="s">
        <v>74</v>
      </c>
      <c r="BH1038" t="s">
        <v>74</v>
      </c>
      <c r="BI1038">
        <v>17</v>
      </c>
      <c r="BJ1038" t="s">
        <v>282</v>
      </c>
      <c r="BK1038" t="s">
        <v>102</v>
      </c>
      <c r="BL1038" t="s">
        <v>183</v>
      </c>
      <c r="BM1038" t="s">
        <v>19539</v>
      </c>
      <c r="BN1038">
        <v>29409401</v>
      </c>
      <c r="BO1038" t="s">
        <v>74</v>
      </c>
      <c r="BP1038" t="s">
        <v>74</v>
      </c>
      <c r="BQ1038" t="s">
        <v>74</v>
      </c>
      <c r="BR1038" t="s">
        <v>105</v>
      </c>
      <c r="BS1038" t="s">
        <v>19540</v>
      </c>
      <c r="BT1038" t="str">
        <f>HYPERLINK("https%3A%2F%2Fwww.webofscience.com%2Fwos%2Fwoscc%2Ffull-record%2FWOS:000429916100002","View Full Record in Web of Science")</f>
        <v>View Full Record in Web of Science</v>
      </c>
    </row>
    <row r="1039" spans="1:72" x14ac:dyDescent="0.25">
      <c r="A1039" t="s">
        <v>72</v>
      </c>
      <c r="B1039" t="s">
        <v>19541</v>
      </c>
      <c r="C1039" t="s">
        <v>74</v>
      </c>
      <c r="D1039" t="s">
        <v>74</v>
      </c>
      <c r="E1039" t="s">
        <v>74</v>
      </c>
      <c r="F1039" t="s">
        <v>19542</v>
      </c>
      <c r="G1039" t="s">
        <v>74</v>
      </c>
      <c r="H1039" t="s">
        <v>74</v>
      </c>
      <c r="I1039" t="s">
        <v>19543</v>
      </c>
      <c r="J1039" t="s">
        <v>19219</v>
      </c>
      <c r="K1039" t="s">
        <v>74</v>
      </c>
      <c r="L1039" t="s">
        <v>74</v>
      </c>
      <c r="M1039" t="s">
        <v>78</v>
      </c>
      <c r="N1039" t="s">
        <v>79</v>
      </c>
      <c r="O1039" t="s">
        <v>74</v>
      </c>
      <c r="P1039" t="s">
        <v>74</v>
      </c>
      <c r="Q1039" t="s">
        <v>74</v>
      </c>
      <c r="R1039" t="s">
        <v>74</v>
      </c>
      <c r="S1039" t="s">
        <v>74</v>
      </c>
      <c r="T1039" t="s">
        <v>19544</v>
      </c>
      <c r="U1039" t="s">
        <v>19545</v>
      </c>
      <c r="V1039" t="s">
        <v>19546</v>
      </c>
      <c r="W1039" t="s">
        <v>19547</v>
      </c>
      <c r="X1039" t="s">
        <v>10101</v>
      </c>
      <c r="Y1039" t="s">
        <v>19548</v>
      </c>
      <c r="Z1039" t="s">
        <v>19549</v>
      </c>
      <c r="AA1039" t="s">
        <v>19550</v>
      </c>
      <c r="AB1039" t="s">
        <v>19551</v>
      </c>
      <c r="AC1039" t="s">
        <v>19552</v>
      </c>
      <c r="AD1039" t="s">
        <v>19553</v>
      </c>
      <c r="AE1039" t="s">
        <v>19554</v>
      </c>
      <c r="AF1039" t="s">
        <v>74</v>
      </c>
      <c r="AG1039">
        <v>93</v>
      </c>
      <c r="AH1039">
        <v>41</v>
      </c>
      <c r="AI1039">
        <v>46</v>
      </c>
      <c r="AJ1039">
        <v>1</v>
      </c>
      <c r="AK1039">
        <v>54</v>
      </c>
      <c r="AL1039" t="s">
        <v>19350</v>
      </c>
      <c r="AM1039" t="s">
        <v>2597</v>
      </c>
      <c r="AN1039" t="s">
        <v>19351</v>
      </c>
      <c r="AO1039" t="s">
        <v>19231</v>
      </c>
      <c r="AP1039" t="s">
        <v>19232</v>
      </c>
      <c r="AQ1039" t="s">
        <v>74</v>
      </c>
      <c r="AR1039" t="s">
        <v>19233</v>
      </c>
      <c r="AS1039" t="s">
        <v>19234</v>
      </c>
      <c r="AT1039" t="s">
        <v>1471</v>
      </c>
      <c r="AU1039">
        <v>2018</v>
      </c>
      <c r="AV1039">
        <v>2</v>
      </c>
      <c r="AW1039">
        <v>1</v>
      </c>
      <c r="AX1039" t="s">
        <v>74</v>
      </c>
      <c r="AY1039" t="s">
        <v>74</v>
      </c>
      <c r="AZ1039" t="s">
        <v>74</v>
      </c>
      <c r="BA1039" t="s">
        <v>74</v>
      </c>
      <c r="BB1039">
        <v>1</v>
      </c>
      <c r="BC1039">
        <v>28</v>
      </c>
      <c r="BD1039" t="s">
        <v>74</v>
      </c>
      <c r="BE1039" t="s">
        <v>19555</v>
      </c>
      <c r="BF1039" t="str">
        <f>HYPERLINK("http://dx.doi.org/10.1007/s41315-017-0042-6","http://dx.doi.org/10.1007/s41315-017-0042-6")</f>
        <v>http://dx.doi.org/10.1007/s41315-017-0042-6</v>
      </c>
      <c r="BG1039" t="s">
        <v>74</v>
      </c>
      <c r="BH1039" t="s">
        <v>74</v>
      </c>
      <c r="BI1039">
        <v>28</v>
      </c>
      <c r="BJ1039" t="s">
        <v>714</v>
      </c>
      <c r="BK1039" t="s">
        <v>155</v>
      </c>
      <c r="BL1039" t="s">
        <v>714</v>
      </c>
      <c r="BM1039" t="s">
        <v>19556</v>
      </c>
      <c r="BN1039" t="s">
        <v>74</v>
      </c>
      <c r="BO1039" t="s">
        <v>74</v>
      </c>
      <c r="BP1039" t="s">
        <v>74</v>
      </c>
      <c r="BQ1039" t="s">
        <v>74</v>
      </c>
      <c r="BR1039" t="s">
        <v>105</v>
      </c>
      <c r="BS1039" t="s">
        <v>19557</v>
      </c>
      <c r="BT1039" t="str">
        <f>HYPERLINK("https%3A%2F%2Fwww.webofscience.com%2Fwos%2Fwoscc%2Ffull-record%2FWOS:000441193700001","View Full Record in Web of Science")</f>
        <v>View Full Record in Web of Science</v>
      </c>
    </row>
    <row r="1040" spans="1:72" x14ac:dyDescent="0.25">
      <c r="A1040" t="s">
        <v>72</v>
      </c>
      <c r="B1040" t="s">
        <v>19558</v>
      </c>
      <c r="C1040" t="s">
        <v>74</v>
      </c>
      <c r="D1040" t="s">
        <v>74</v>
      </c>
      <c r="E1040" t="s">
        <v>74</v>
      </c>
      <c r="F1040" t="s">
        <v>19559</v>
      </c>
      <c r="G1040" t="s">
        <v>74</v>
      </c>
      <c r="H1040" t="s">
        <v>74</v>
      </c>
      <c r="I1040" t="s">
        <v>19560</v>
      </c>
      <c r="J1040" t="s">
        <v>1674</v>
      </c>
      <c r="K1040" t="s">
        <v>74</v>
      </c>
      <c r="L1040" t="s">
        <v>74</v>
      </c>
      <c r="M1040" t="s">
        <v>78</v>
      </c>
      <c r="N1040" t="s">
        <v>79</v>
      </c>
      <c r="O1040" t="s">
        <v>74</v>
      </c>
      <c r="P1040" t="s">
        <v>74</v>
      </c>
      <c r="Q1040" t="s">
        <v>74</v>
      </c>
      <c r="R1040" t="s">
        <v>74</v>
      </c>
      <c r="S1040" t="s">
        <v>74</v>
      </c>
      <c r="T1040" t="s">
        <v>19561</v>
      </c>
      <c r="U1040" t="s">
        <v>19562</v>
      </c>
      <c r="V1040" t="s">
        <v>19563</v>
      </c>
      <c r="W1040" t="s">
        <v>19564</v>
      </c>
      <c r="X1040" t="s">
        <v>19565</v>
      </c>
      <c r="Y1040" t="s">
        <v>19566</v>
      </c>
      <c r="Z1040" t="s">
        <v>19567</v>
      </c>
      <c r="AA1040" t="s">
        <v>19568</v>
      </c>
      <c r="AB1040" t="s">
        <v>19569</v>
      </c>
      <c r="AC1040" t="s">
        <v>74</v>
      </c>
      <c r="AD1040" t="s">
        <v>74</v>
      </c>
      <c r="AE1040" t="s">
        <v>74</v>
      </c>
      <c r="AF1040" t="s">
        <v>74</v>
      </c>
      <c r="AG1040">
        <v>96</v>
      </c>
      <c r="AH1040">
        <v>65</v>
      </c>
      <c r="AI1040">
        <v>72</v>
      </c>
      <c r="AJ1040">
        <v>1</v>
      </c>
      <c r="AK1040">
        <v>53</v>
      </c>
      <c r="AL1040" t="s">
        <v>531</v>
      </c>
      <c r="AM1040" t="s">
        <v>532</v>
      </c>
      <c r="AN1040" t="s">
        <v>533</v>
      </c>
      <c r="AO1040" t="s">
        <v>1687</v>
      </c>
      <c r="AP1040" t="s">
        <v>1688</v>
      </c>
      <c r="AQ1040" t="s">
        <v>74</v>
      </c>
      <c r="AR1040" t="s">
        <v>1689</v>
      </c>
      <c r="AS1040" t="s">
        <v>1690</v>
      </c>
      <c r="AT1040" t="s">
        <v>1471</v>
      </c>
      <c r="AU1040">
        <v>2018</v>
      </c>
      <c r="AV1040">
        <v>53</v>
      </c>
      <c r="AW1040" t="s">
        <v>74</v>
      </c>
      <c r="AX1040" t="s">
        <v>74</v>
      </c>
      <c r="AY1040" t="s">
        <v>74</v>
      </c>
      <c r="AZ1040" t="s">
        <v>74</v>
      </c>
      <c r="BA1040" t="s">
        <v>74</v>
      </c>
      <c r="BB1040">
        <v>13</v>
      </c>
      <c r="BC1040">
        <v>31</v>
      </c>
      <c r="BD1040" t="s">
        <v>74</v>
      </c>
      <c r="BE1040" t="s">
        <v>19570</v>
      </c>
      <c r="BF1040" t="str">
        <f>HYPERLINK("http://dx.doi.org/10.1016/j.medengphy.2017.12.005","http://dx.doi.org/10.1016/j.medengphy.2017.12.005")</f>
        <v>http://dx.doi.org/10.1016/j.medengphy.2017.12.005</v>
      </c>
      <c r="BG1040" t="s">
        <v>74</v>
      </c>
      <c r="BH1040" t="s">
        <v>74</v>
      </c>
      <c r="BI1040">
        <v>19</v>
      </c>
      <c r="BJ1040" t="s">
        <v>282</v>
      </c>
      <c r="BK1040" t="s">
        <v>102</v>
      </c>
      <c r="BL1040" t="s">
        <v>183</v>
      </c>
      <c r="BM1040" t="s">
        <v>19571</v>
      </c>
      <c r="BN1040">
        <v>29361407</v>
      </c>
      <c r="BO1040" t="s">
        <v>74</v>
      </c>
      <c r="BP1040" t="s">
        <v>74</v>
      </c>
      <c r="BQ1040" t="s">
        <v>74</v>
      </c>
      <c r="BR1040" t="s">
        <v>105</v>
      </c>
      <c r="BS1040" t="s">
        <v>19572</v>
      </c>
      <c r="BT1040" t="str">
        <f>HYPERLINK("https%3A%2F%2Fwww.webofscience.com%2Fwos%2Fwoscc%2Ffull-record%2FWOS:000429510600002","View Full Record in Web of Science")</f>
        <v>View Full Record in Web of Science</v>
      </c>
    </row>
    <row r="1041" spans="1:72" x14ac:dyDescent="0.25">
      <c r="A1041" t="s">
        <v>72</v>
      </c>
      <c r="B1041" t="s">
        <v>19573</v>
      </c>
      <c r="C1041" t="s">
        <v>74</v>
      </c>
      <c r="D1041" t="s">
        <v>74</v>
      </c>
      <c r="E1041" t="s">
        <v>74</v>
      </c>
      <c r="F1041" t="s">
        <v>19574</v>
      </c>
      <c r="G1041" t="s">
        <v>74</v>
      </c>
      <c r="H1041" t="s">
        <v>74</v>
      </c>
      <c r="I1041" t="s">
        <v>19575</v>
      </c>
      <c r="J1041" t="s">
        <v>594</v>
      </c>
      <c r="K1041" t="s">
        <v>74</v>
      </c>
      <c r="L1041" t="s">
        <v>74</v>
      </c>
      <c r="M1041" t="s">
        <v>78</v>
      </c>
      <c r="N1041" t="s">
        <v>79</v>
      </c>
      <c r="O1041" t="s">
        <v>74</v>
      </c>
      <c r="P1041" t="s">
        <v>74</v>
      </c>
      <c r="Q1041" t="s">
        <v>74</v>
      </c>
      <c r="R1041" t="s">
        <v>74</v>
      </c>
      <c r="S1041" t="s">
        <v>74</v>
      </c>
      <c r="T1041" t="s">
        <v>19576</v>
      </c>
      <c r="U1041" t="s">
        <v>19577</v>
      </c>
      <c r="V1041" t="s">
        <v>19578</v>
      </c>
      <c r="W1041" t="s">
        <v>19579</v>
      </c>
      <c r="X1041" t="s">
        <v>19580</v>
      </c>
      <c r="Y1041" t="s">
        <v>19581</v>
      </c>
      <c r="Z1041" t="s">
        <v>19582</v>
      </c>
      <c r="AA1041" t="s">
        <v>74</v>
      </c>
      <c r="AB1041" t="s">
        <v>74</v>
      </c>
      <c r="AC1041" t="s">
        <v>19583</v>
      </c>
      <c r="AD1041" t="s">
        <v>19584</v>
      </c>
      <c r="AE1041" t="s">
        <v>19585</v>
      </c>
      <c r="AF1041" t="s">
        <v>74</v>
      </c>
      <c r="AG1041">
        <v>77</v>
      </c>
      <c r="AH1041">
        <v>231</v>
      </c>
      <c r="AI1041">
        <v>263</v>
      </c>
      <c r="AJ1041">
        <v>12</v>
      </c>
      <c r="AK1041">
        <v>208</v>
      </c>
      <c r="AL1041" t="s">
        <v>274</v>
      </c>
      <c r="AM1041" t="s">
        <v>275</v>
      </c>
      <c r="AN1041" t="s">
        <v>276</v>
      </c>
      <c r="AO1041" t="s">
        <v>74</v>
      </c>
      <c r="AP1041" t="s">
        <v>606</v>
      </c>
      <c r="AQ1041" t="s">
        <v>74</v>
      </c>
      <c r="AR1041" t="s">
        <v>607</v>
      </c>
      <c r="AS1041" t="s">
        <v>608</v>
      </c>
      <c r="AT1041" t="s">
        <v>5683</v>
      </c>
      <c r="AU1041">
        <v>2018</v>
      </c>
      <c r="AV1041">
        <v>15</v>
      </c>
      <c r="AW1041" t="s">
        <v>74</v>
      </c>
      <c r="AX1041" t="s">
        <v>74</v>
      </c>
      <c r="AY1041" t="s">
        <v>74</v>
      </c>
      <c r="AZ1041" t="s">
        <v>74</v>
      </c>
      <c r="BA1041" t="s">
        <v>74</v>
      </c>
      <c r="BB1041" t="s">
        <v>74</v>
      </c>
      <c r="BC1041" t="s">
        <v>74</v>
      </c>
      <c r="BD1041">
        <v>9</v>
      </c>
      <c r="BE1041" t="s">
        <v>19586</v>
      </c>
      <c r="BF1041" t="str">
        <f>HYPERLINK("http://dx.doi.org/10.1186/s12984-018-0350-6","http://dx.doi.org/10.1186/s12984-018-0350-6")</f>
        <v>http://dx.doi.org/10.1186/s12984-018-0350-6</v>
      </c>
      <c r="BG1041" t="s">
        <v>74</v>
      </c>
      <c r="BH1041" t="s">
        <v>74</v>
      </c>
      <c r="BI1041">
        <v>14</v>
      </c>
      <c r="BJ1041" t="s">
        <v>611</v>
      </c>
      <c r="BK1041" t="s">
        <v>182</v>
      </c>
      <c r="BL1041" t="s">
        <v>612</v>
      </c>
      <c r="BM1041" t="s">
        <v>19587</v>
      </c>
      <c r="BN1041">
        <v>29454392</v>
      </c>
      <c r="BO1041" t="s">
        <v>131</v>
      </c>
      <c r="BP1041" t="s">
        <v>74</v>
      </c>
      <c r="BQ1041" t="s">
        <v>74</v>
      </c>
      <c r="BR1041" t="s">
        <v>105</v>
      </c>
      <c r="BS1041" t="s">
        <v>19588</v>
      </c>
      <c r="BT1041" t="str">
        <f>HYPERLINK("https%3A%2F%2Fwww.webofscience.com%2Fwos%2Fwoscc%2Ffull-record%2FWOS:000425419400001","View Full Record in Web of Science")</f>
        <v>View Full Record in Web of Science</v>
      </c>
    </row>
    <row r="1042" spans="1:72" x14ac:dyDescent="0.25">
      <c r="A1042" t="s">
        <v>72</v>
      </c>
      <c r="B1042" t="s">
        <v>19589</v>
      </c>
      <c r="C1042" t="s">
        <v>74</v>
      </c>
      <c r="D1042" t="s">
        <v>74</v>
      </c>
      <c r="E1042" t="s">
        <v>74</v>
      </c>
      <c r="F1042" t="s">
        <v>19590</v>
      </c>
      <c r="G1042" t="s">
        <v>74</v>
      </c>
      <c r="H1042" t="s">
        <v>74</v>
      </c>
      <c r="I1042" t="s">
        <v>19591</v>
      </c>
      <c r="J1042" t="s">
        <v>14826</v>
      </c>
      <c r="K1042" t="s">
        <v>74</v>
      </c>
      <c r="L1042" t="s">
        <v>74</v>
      </c>
      <c r="M1042" t="s">
        <v>78</v>
      </c>
      <c r="N1042" t="s">
        <v>79</v>
      </c>
      <c r="O1042" t="s">
        <v>74</v>
      </c>
      <c r="P1042" t="s">
        <v>74</v>
      </c>
      <c r="Q1042" t="s">
        <v>74</v>
      </c>
      <c r="R1042" t="s">
        <v>74</v>
      </c>
      <c r="S1042" t="s">
        <v>74</v>
      </c>
      <c r="T1042" t="s">
        <v>19592</v>
      </c>
      <c r="U1042" t="s">
        <v>19593</v>
      </c>
      <c r="V1042" t="s">
        <v>19594</v>
      </c>
      <c r="W1042" t="s">
        <v>19595</v>
      </c>
      <c r="X1042" t="s">
        <v>19596</v>
      </c>
      <c r="Y1042" t="s">
        <v>19597</v>
      </c>
      <c r="Z1042" t="s">
        <v>1766</v>
      </c>
      <c r="AA1042" t="s">
        <v>19598</v>
      </c>
      <c r="AB1042" t="s">
        <v>19599</v>
      </c>
      <c r="AC1042" t="s">
        <v>74</v>
      </c>
      <c r="AD1042" t="s">
        <v>74</v>
      </c>
      <c r="AE1042" t="s">
        <v>74</v>
      </c>
      <c r="AF1042" t="s">
        <v>74</v>
      </c>
      <c r="AG1042">
        <v>39</v>
      </c>
      <c r="AH1042">
        <v>154</v>
      </c>
      <c r="AI1042">
        <v>167</v>
      </c>
      <c r="AJ1042">
        <v>1</v>
      </c>
      <c r="AK1042">
        <v>66</v>
      </c>
      <c r="AL1042" t="s">
        <v>531</v>
      </c>
      <c r="AM1042" t="s">
        <v>532</v>
      </c>
      <c r="AN1042" t="s">
        <v>533</v>
      </c>
      <c r="AO1042" t="s">
        <v>14835</v>
      </c>
      <c r="AP1042" t="s">
        <v>14836</v>
      </c>
      <c r="AQ1042" t="s">
        <v>74</v>
      </c>
      <c r="AR1042" t="s">
        <v>14837</v>
      </c>
      <c r="AS1042" t="s">
        <v>14838</v>
      </c>
      <c r="AT1042" t="s">
        <v>351</v>
      </c>
      <c r="AU1042">
        <v>2018</v>
      </c>
      <c r="AV1042">
        <v>48</v>
      </c>
      <c r="AW1042" t="s">
        <v>74</v>
      </c>
      <c r="AX1042" t="s">
        <v>74</v>
      </c>
      <c r="AY1042" t="s">
        <v>74</v>
      </c>
      <c r="AZ1042" t="s">
        <v>74</v>
      </c>
      <c r="BA1042" t="s">
        <v>74</v>
      </c>
      <c r="BB1042">
        <v>11</v>
      </c>
      <c r="BC1042">
        <v>17</v>
      </c>
      <c r="BD1042" t="s">
        <v>74</v>
      </c>
      <c r="BE1042" t="s">
        <v>19600</v>
      </c>
      <c r="BF1042" t="str">
        <f>HYPERLINK("http://dx.doi.org/10.1016/j.jocn.2017.10.048","http://dx.doi.org/10.1016/j.jocn.2017.10.048")</f>
        <v>http://dx.doi.org/10.1016/j.jocn.2017.10.048</v>
      </c>
      <c r="BG1042" t="s">
        <v>74</v>
      </c>
      <c r="BH1042" t="s">
        <v>74</v>
      </c>
      <c r="BI1042">
        <v>7</v>
      </c>
      <c r="BJ1042" t="s">
        <v>400</v>
      </c>
      <c r="BK1042" t="s">
        <v>182</v>
      </c>
      <c r="BL1042" t="s">
        <v>375</v>
      </c>
      <c r="BM1042" t="s">
        <v>19601</v>
      </c>
      <c r="BN1042">
        <v>29208476</v>
      </c>
      <c r="BO1042" t="s">
        <v>74</v>
      </c>
      <c r="BP1042" t="s">
        <v>74</v>
      </c>
      <c r="BQ1042" t="s">
        <v>74</v>
      </c>
      <c r="BR1042" t="s">
        <v>105</v>
      </c>
      <c r="BS1042" t="s">
        <v>19602</v>
      </c>
      <c r="BT1042" t="str">
        <f>HYPERLINK("https%3A%2F%2Fwww.webofscience.com%2Fwos%2Fwoscc%2Ffull-record%2FWOS:000424716100003","View Full Record in Web of Science")</f>
        <v>View Full Record in Web of Science</v>
      </c>
    </row>
    <row r="1043" spans="1:72" x14ac:dyDescent="0.25">
      <c r="A1043" t="s">
        <v>72</v>
      </c>
      <c r="B1043" t="s">
        <v>19603</v>
      </c>
      <c r="C1043" t="s">
        <v>74</v>
      </c>
      <c r="D1043" t="s">
        <v>74</v>
      </c>
      <c r="E1043" t="s">
        <v>74</v>
      </c>
      <c r="F1043" t="s">
        <v>19604</v>
      </c>
      <c r="G1043" t="s">
        <v>74</v>
      </c>
      <c r="H1043" t="s">
        <v>74</v>
      </c>
      <c r="I1043" t="s">
        <v>19605</v>
      </c>
      <c r="J1043" t="s">
        <v>214</v>
      </c>
      <c r="K1043" t="s">
        <v>74</v>
      </c>
      <c r="L1043" t="s">
        <v>74</v>
      </c>
      <c r="M1043" t="s">
        <v>78</v>
      </c>
      <c r="N1043" t="s">
        <v>79</v>
      </c>
      <c r="O1043" t="s">
        <v>74</v>
      </c>
      <c r="P1043" t="s">
        <v>74</v>
      </c>
      <c r="Q1043" t="s">
        <v>74</v>
      </c>
      <c r="R1043" t="s">
        <v>74</v>
      </c>
      <c r="S1043" t="s">
        <v>74</v>
      </c>
      <c r="T1043" t="s">
        <v>19606</v>
      </c>
      <c r="U1043" t="s">
        <v>19607</v>
      </c>
      <c r="V1043" t="s">
        <v>19608</v>
      </c>
      <c r="W1043" t="s">
        <v>19609</v>
      </c>
      <c r="X1043" t="s">
        <v>10879</v>
      </c>
      <c r="Y1043" t="s">
        <v>19610</v>
      </c>
      <c r="Z1043" t="s">
        <v>19611</v>
      </c>
      <c r="AA1043" t="s">
        <v>19612</v>
      </c>
      <c r="AB1043" t="s">
        <v>19613</v>
      </c>
      <c r="AC1043" t="s">
        <v>74</v>
      </c>
      <c r="AD1043" t="s">
        <v>74</v>
      </c>
      <c r="AE1043" t="s">
        <v>74</v>
      </c>
      <c r="AF1043" t="s">
        <v>74</v>
      </c>
      <c r="AG1043">
        <v>137</v>
      </c>
      <c r="AH1043">
        <v>54</v>
      </c>
      <c r="AI1043">
        <v>60</v>
      </c>
      <c r="AJ1043">
        <v>4</v>
      </c>
      <c r="AK1043">
        <v>111</v>
      </c>
      <c r="AL1043" t="s">
        <v>226</v>
      </c>
      <c r="AM1043" t="s">
        <v>227</v>
      </c>
      <c r="AN1043" t="s">
        <v>228</v>
      </c>
      <c r="AO1043" t="s">
        <v>229</v>
      </c>
      <c r="AP1043" t="s">
        <v>230</v>
      </c>
      <c r="AQ1043" t="s">
        <v>74</v>
      </c>
      <c r="AR1043" t="s">
        <v>231</v>
      </c>
      <c r="AS1043" t="s">
        <v>232</v>
      </c>
      <c r="AT1043" t="s">
        <v>351</v>
      </c>
      <c r="AU1043">
        <v>2018</v>
      </c>
      <c r="AV1043">
        <v>99</v>
      </c>
      <c r="AW1043">
        <v>2</v>
      </c>
      <c r="AX1043" t="s">
        <v>74</v>
      </c>
      <c r="AY1043" t="s">
        <v>74</v>
      </c>
      <c r="AZ1043" t="s">
        <v>74</v>
      </c>
      <c r="BA1043" t="s">
        <v>74</v>
      </c>
      <c r="BB1043">
        <v>367</v>
      </c>
      <c r="BC1043">
        <v>382</v>
      </c>
      <c r="BD1043" t="s">
        <v>74</v>
      </c>
      <c r="BE1043" t="s">
        <v>19614</v>
      </c>
      <c r="BF1043" t="str">
        <f>HYPERLINK("http://dx.doi.org/10.1016/j.apmr.2017.06.014","http://dx.doi.org/10.1016/j.apmr.2017.06.014")</f>
        <v>http://dx.doi.org/10.1016/j.apmr.2017.06.014</v>
      </c>
      <c r="BG1043" t="s">
        <v>74</v>
      </c>
      <c r="BH1043" t="s">
        <v>74</v>
      </c>
      <c r="BI1043">
        <v>16</v>
      </c>
      <c r="BJ1043" t="s">
        <v>236</v>
      </c>
      <c r="BK1043" t="s">
        <v>102</v>
      </c>
      <c r="BL1043" t="s">
        <v>236</v>
      </c>
      <c r="BM1043" t="s">
        <v>19615</v>
      </c>
      <c r="BN1043">
        <v>28734936</v>
      </c>
      <c r="BO1043" t="s">
        <v>74</v>
      </c>
      <c r="BP1043" t="s">
        <v>74</v>
      </c>
      <c r="BQ1043" t="s">
        <v>74</v>
      </c>
      <c r="BR1043" t="s">
        <v>105</v>
      </c>
      <c r="BS1043" t="s">
        <v>19616</v>
      </c>
      <c r="BT1043" t="str">
        <f>HYPERLINK("https%3A%2F%2Fwww.webofscience.com%2Fwos%2Fwoscc%2Ffull-record%2FWOS:000424069800019","View Full Record in Web of Science")</f>
        <v>View Full Record in Web of Science</v>
      </c>
    </row>
    <row r="1044" spans="1:72" x14ac:dyDescent="0.25">
      <c r="A1044" t="s">
        <v>72</v>
      </c>
      <c r="B1044" t="s">
        <v>19617</v>
      </c>
      <c r="C1044" t="s">
        <v>74</v>
      </c>
      <c r="D1044" t="s">
        <v>74</v>
      </c>
      <c r="E1044" t="s">
        <v>74</v>
      </c>
      <c r="F1044" t="s">
        <v>19618</v>
      </c>
      <c r="G1044" t="s">
        <v>74</v>
      </c>
      <c r="H1044" t="s">
        <v>74</v>
      </c>
      <c r="I1044" t="s">
        <v>19619</v>
      </c>
      <c r="J1044" t="s">
        <v>19620</v>
      </c>
      <c r="K1044" t="s">
        <v>74</v>
      </c>
      <c r="L1044" t="s">
        <v>74</v>
      </c>
      <c r="M1044" t="s">
        <v>6869</v>
      </c>
      <c r="N1044" t="s">
        <v>79</v>
      </c>
      <c r="O1044" t="s">
        <v>74</v>
      </c>
      <c r="P1044" t="s">
        <v>74</v>
      </c>
      <c r="Q1044" t="s">
        <v>74</v>
      </c>
      <c r="R1044" t="s">
        <v>74</v>
      </c>
      <c r="S1044" t="s">
        <v>74</v>
      </c>
      <c r="T1044" t="s">
        <v>19621</v>
      </c>
      <c r="U1044" t="s">
        <v>19622</v>
      </c>
      <c r="V1044" t="s">
        <v>19623</v>
      </c>
      <c r="W1044" t="s">
        <v>19624</v>
      </c>
      <c r="X1044" t="s">
        <v>74</v>
      </c>
      <c r="Y1044" t="s">
        <v>19625</v>
      </c>
      <c r="Z1044" t="s">
        <v>19626</v>
      </c>
      <c r="AA1044" t="s">
        <v>19627</v>
      </c>
      <c r="AB1044" t="s">
        <v>19628</v>
      </c>
      <c r="AC1044" t="s">
        <v>74</v>
      </c>
      <c r="AD1044" t="s">
        <v>74</v>
      </c>
      <c r="AE1044" t="s">
        <v>74</v>
      </c>
      <c r="AF1044" t="s">
        <v>74</v>
      </c>
      <c r="AG1044">
        <v>48</v>
      </c>
      <c r="AH1044">
        <v>1</v>
      </c>
      <c r="AI1044">
        <v>1</v>
      </c>
      <c r="AJ1044">
        <v>1</v>
      </c>
      <c r="AK1044">
        <v>22</v>
      </c>
      <c r="AL1044" t="s">
        <v>19629</v>
      </c>
      <c r="AM1044" t="s">
        <v>6880</v>
      </c>
      <c r="AN1044" t="s">
        <v>19630</v>
      </c>
      <c r="AO1044" t="s">
        <v>19631</v>
      </c>
      <c r="AP1044" t="s">
        <v>74</v>
      </c>
      <c r="AQ1044" t="s">
        <v>74</v>
      </c>
      <c r="AR1044" t="s">
        <v>19632</v>
      </c>
      <c r="AS1044" t="s">
        <v>19633</v>
      </c>
      <c r="AT1044" t="s">
        <v>11478</v>
      </c>
      <c r="AU1044">
        <v>2018</v>
      </c>
      <c r="AV1044">
        <v>71</v>
      </c>
      <c r="AW1044" t="s">
        <v>13829</v>
      </c>
      <c r="AX1044" t="s">
        <v>74</v>
      </c>
      <c r="AY1044" t="s">
        <v>74</v>
      </c>
      <c r="AZ1044" t="s">
        <v>74</v>
      </c>
      <c r="BA1044" t="s">
        <v>74</v>
      </c>
      <c r="BB1044">
        <v>7</v>
      </c>
      <c r="BC1044">
        <v>14</v>
      </c>
      <c r="BD1044" t="s">
        <v>74</v>
      </c>
      <c r="BE1044" t="s">
        <v>19634</v>
      </c>
      <c r="BF1044" t="str">
        <f>HYPERLINK("http://dx.doi.org/10.18071/isz.71.0007","http://dx.doi.org/10.18071/isz.71.0007")</f>
        <v>http://dx.doi.org/10.18071/isz.71.0007</v>
      </c>
      <c r="BG1044" t="s">
        <v>74</v>
      </c>
      <c r="BH1044" t="s">
        <v>74</v>
      </c>
      <c r="BI1044">
        <v>8</v>
      </c>
      <c r="BJ1044" t="s">
        <v>400</v>
      </c>
      <c r="BK1044" t="s">
        <v>182</v>
      </c>
      <c r="BL1044" t="s">
        <v>375</v>
      </c>
      <c r="BM1044" t="s">
        <v>19635</v>
      </c>
      <c r="BN1044">
        <v>29465895</v>
      </c>
      <c r="BO1044" t="s">
        <v>74</v>
      </c>
      <c r="BP1044" t="s">
        <v>74</v>
      </c>
      <c r="BQ1044" t="s">
        <v>74</v>
      </c>
      <c r="BR1044" t="s">
        <v>105</v>
      </c>
      <c r="BS1044" t="s">
        <v>19636</v>
      </c>
      <c r="BT1044" t="str">
        <f>HYPERLINK("https%3A%2F%2Fwww.webofscience.com%2Fwos%2Fwoscc%2Ffull-record%2FWOS:000424181400001","View Full Record in Web of Science")</f>
        <v>View Full Record in Web of Science</v>
      </c>
    </row>
    <row r="1045" spans="1:72" x14ac:dyDescent="0.25">
      <c r="A1045" t="s">
        <v>72</v>
      </c>
      <c r="B1045" t="s">
        <v>19637</v>
      </c>
      <c r="C1045" t="s">
        <v>74</v>
      </c>
      <c r="D1045" t="s">
        <v>74</v>
      </c>
      <c r="E1045" t="s">
        <v>74</v>
      </c>
      <c r="F1045" t="s">
        <v>19638</v>
      </c>
      <c r="G1045" t="s">
        <v>74</v>
      </c>
      <c r="H1045" t="s">
        <v>74</v>
      </c>
      <c r="I1045" t="s">
        <v>19639</v>
      </c>
      <c r="J1045" t="s">
        <v>17268</v>
      </c>
      <c r="K1045" t="s">
        <v>74</v>
      </c>
      <c r="L1045" t="s">
        <v>74</v>
      </c>
      <c r="M1045" t="s">
        <v>2023</v>
      </c>
      <c r="N1045" t="s">
        <v>79</v>
      </c>
      <c r="O1045" t="s">
        <v>74</v>
      </c>
      <c r="P1045" t="s">
        <v>74</v>
      </c>
      <c r="Q1045" t="s">
        <v>74</v>
      </c>
      <c r="R1045" t="s">
        <v>74</v>
      </c>
      <c r="S1045" t="s">
        <v>74</v>
      </c>
      <c r="T1045" t="s">
        <v>19640</v>
      </c>
      <c r="U1045" t="s">
        <v>19641</v>
      </c>
      <c r="V1045" t="s">
        <v>19642</v>
      </c>
      <c r="W1045" t="s">
        <v>19643</v>
      </c>
      <c r="X1045" t="s">
        <v>6714</v>
      </c>
      <c r="Y1045" t="s">
        <v>19644</v>
      </c>
      <c r="Z1045" t="s">
        <v>19645</v>
      </c>
      <c r="AA1045" t="s">
        <v>19646</v>
      </c>
      <c r="AB1045" t="s">
        <v>19647</v>
      </c>
      <c r="AC1045" t="s">
        <v>74</v>
      </c>
      <c r="AD1045" t="s">
        <v>74</v>
      </c>
      <c r="AE1045" t="s">
        <v>74</v>
      </c>
      <c r="AF1045" t="s">
        <v>74</v>
      </c>
      <c r="AG1045">
        <v>77</v>
      </c>
      <c r="AH1045">
        <v>2</v>
      </c>
      <c r="AI1045">
        <v>3</v>
      </c>
      <c r="AJ1045">
        <v>0</v>
      </c>
      <c r="AK1045">
        <v>26</v>
      </c>
      <c r="AL1045" t="s">
        <v>17268</v>
      </c>
      <c r="AM1045" t="s">
        <v>17278</v>
      </c>
      <c r="AN1045" t="s">
        <v>17279</v>
      </c>
      <c r="AO1045" t="s">
        <v>17280</v>
      </c>
      <c r="AP1045" t="s">
        <v>17281</v>
      </c>
      <c r="AQ1045" t="s">
        <v>74</v>
      </c>
      <c r="AR1045" t="s">
        <v>17282</v>
      </c>
      <c r="AS1045" t="s">
        <v>17283</v>
      </c>
      <c r="AT1045" t="s">
        <v>8587</v>
      </c>
      <c r="AU1045">
        <v>2018</v>
      </c>
      <c r="AV1045">
        <v>66</v>
      </c>
      <c r="AW1045">
        <v>2</v>
      </c>
      <c r="AX1045" t="s">
        <v>74</v>
      </c>
      <c r="AY1045" t="s">
        <v>74</v>
      </c>
      <c r="AZ1045" t="s">
        <v>74</v>
      </c>
      <c r="BA1045" t="s">
        <v>74</v>
      </c>
      <c r="BB1045">
        <v>35</v>
      </c>
      <c r="BC1045">
        <v>44</v>
      </c>
      <c r="BD1045" t="s">
        <v>74</v>
      </c>
      <c r="BE1045" t="s">
        <v>19648</v>
      </c>
      <c r="BF1045" t="str">
        <f>HYPERLINK("http://dx.doi.org/10.33588/rn.6602.2017315","http://dx.doi.org/10.33588/rn.6602.2017315")</f>
        <v>http://dx.doi.org/10.33588/rn.6602.2017315</v>
      </c>
      <c r="BG1045" t="s">
        <v>74</v>
      </c>
      <c r="BH1045" t="s">
        <v>74</v>
      </c>
      <c r="BI1045">
        <v>10</v>
      </c>
      <c r="BJ1045" t="s">
        <v>541</v>
      </c>
      <c r="BK1045" t="s">
        <v>102</v>
      </c>
      <c r="BL1045" t="s">
        <v>375</v>
      </c>
      <c r="BM1045" t="s">
        <v>19649</v>
      </c>
      <c r="BN1045">
        <v>29323399</v>
      </c>
      <c r="BO1045" t="s">
        <v>74</v>
      </c>
      <c r="BP1045" t="s">
        <v>74</v>
      </c>
      <c r="BQ1045" t="s">
        <v>74</v>
      </c>
      <c r="BR1045" t="s">
        <v>105</v>
      </c>
      <c r="BS1045" t="s">
        <v>19650</v>
      </c>
      <c r="BT1045" t="str">
        <f>HYPERLINK("https%3A%2F%2Fwww.webofscience.com%2Fwos%2Fwoscc%2Ffull-record%2FWOS:000422906500001","View Full Record in Web of Science")</f>
        <v>View Full Record in Web of Science</v>
      </c>
    </row>
    <row r="1046" spans="1:72" x14ac:dyDescent="0.25">
      <c r="A1046" t="s">
        <v>72</v>
      </c>
      <c r="B1046" t="s">
        <v>19651</v>
      </c>
      <c r="C1046" t="s">
        <v>74</v>
      </c>
      <c r="D1046" t="s">
        <v>74</v>
      </c>
      <c r="E1046" t="s">
        <v>74</v>
      </c>
      <c r="F1046" t="s">
        <v>19652</v>
      </c>
      <c r="G1046" t="s">
        <v>74</v>
      </c>
      <c r="H1046" t="s">
        <v>74</v>
      </c>
      <c r="I1046" t="s">
        <v>19653</v>
      </c>
      <c r="J1046" t="s">
        <v>7912</v>
      </c>
      <c r="K1046" t="s">
        <v>74</v>
      </c>
      <c r="L1046" t="s">
        <v>74</v>
      </c>
      <c r="M1046" t="s">
        <v>78</v>
      </c>
      <c r="N1046" t="s">
        <v>79</v>
      </c>
      <c r="O1046" t="s">
        <v>74</v>
      </c>
      <c r="P1046" t="s">
        <v>74</v>
      </c>
      <c r="Q1046" t="s">
        <v>74</v>
      </c>
      <c r="R1046" t="s">
        <v>74</v>
      </c>
      <c r="S1046" t="s">
        <v>74</v>
      </c>
      <c r="T1046" t="s">
        <v>19654</v>
      </c>
      <c r="U1046" t="s">
        <v>19655</v>
      </c>
      <c r="V1046" t="s">
        <v>19656</v>
      </c>
      <c r="W1046" t="s">
        <v>19657</v>
      </c>
      <c r="X1046" t="s">
        <v>19658</v>
      </c>
      <c r="Y1046" t="s">
        <v>19659</v>
      </c>
      <c r="Z1046" t="s">
        <v>19660</v>
      </c>
      <c r="AA1046" t="s">
        <v>19661</v>
      </c>
      <c r="AB1046" t="s">
        <v>19662</v>
      </c>
      <c r="AC1046" t="s">
        <v>19663</v>
      </c>
      <c r="AD1046" t="s">
        <v>19664</v>
      </c>
      <c r="AE1046" t="s">
        <v>19665</v>
      </c>
      <c r="AF1046" t="s">
        <v>74</v>
      </c>
      <c r="AG1046">
        <v>59</v>
      </c>
      <c r="AH1046">
        <v>22</v>
      </c>
      <c r="AI1046">
        <v>29</v>
      </c>
      <c r="AJ1046">
        <v>5</v>
      </c>
      <c r="AK1046">
        <v>52</v>
      </c>
      <c r="AL1046" t="s">
        <v>92</v>
      </c>
      <c r="AM1046" t="s">
        <v>93</v>
      </c>
      <c r="AN1046" t="s">
        <v>94</v>
      </c>
      <c r="AO1046" t="s">
        <v>7922</v>
      </c>
      <c r="AP1046" t="s">
        <v>7923</v>
      </c>
      <c r="AQ1046" t="s">
        <v>74</v>
      </c>
      <c r="AR1046" t="s">
        <v>7924</v>
      </c>
      <c r="AS1046" t="s">
        <v>7925</v>
      </c>
      <c r="AT1046" t="s">
        <v>74</v>
      </c>
      <c r="AU1046">
        <v>2018</v>
      </c>
      <c r="AV1046">
        <v>25</v>
      </c>
      <c r="AW1046">
        <v>1</v>
      </c>
      <c r="AX1046" t="s">
        <v>74</v>
      </c>
      <c r="AY1046" t="s">
        <v>74</v>
      </c>
      <c r="AZ1046" t="s">
        <v>74</v>
      </c>
      <c r="BA1046" t="s">
        <v>74</v>
      </c>
      <c r="BB1046">
        <v>68</v>
      </c>
      <c r="BC1046">
        <v>81</v>
      </c>
      <c r="BD1046" t="s">
        <v>74</v>
      </c>
      <c r="BE1046" t="s">
        <v>19666</v>
      </c>
      <c r="BF1046" t="str">
        <f>HYPERLINK("http://dx.doi.org/10.1080/10749357.2017.1383712","http://dx.doi.org/10.1080/10749357.2017.1383712")</f>
        <v>http://dx.doi.org/10.1080/10749357.2017.1383712</v>
      </c>
      <c r="BG1046" t="s">
        <v>74</v>
      </c>
      <c r="BH1046" t="s">
        <v>74</v>
      </c>
      <c r="BI1046">
        <v>14</v>
      </c>
      <c r="BJ1046" t="s">
        <v>101</v>
      </c>
      <c r="BK1046" t="s">
        <v>102</v>
      </c>
      <c r="BL1046" t="s">
        <v>101</v>
      </c>
      <c r="BM1046" t="s">
        <v>19667</v>
      </c>
      <c r="BN1046">
        <v>29017429</v>
      </c>
      <c r="BO1046" t="s">
        <v>74</v>
      </c>
      <c r="BP1046" t="s">
        <v>74</v>
      </c>
      <c r="BQ1046" t="s">
        <v>74</v>
      </c>
      <c r="BR1046" t="s">
        <v>105</v>
      </c>
      <c r="BS1046" t="s">
        <v>19668</v>
      </c>
      <c r="BT1046" t="str">
        <f>HYPERLINK("https%3A%2F%2Fwww.webofscience.com%2Fwos%2Fwoscc%2Ffull-record%2FWOS:000424127300010","View Full Record in Web of Science")</f>
        <v>View Full Record in Web of Science</v>
      </c>
    </row>
    <row r="1047" spans="1:72" x14ac:dyDescent="0.25">
      <c r="A1047" t="s">
        <v>72</v>
      </c>
      <c r="B1047" t="s">
        <v>19669</v>
      </c>
      <c r="C1047" t="s">
        <v>74</v>
      </c>
      <c r="D1047" t="s">
        <v>74</v>
      </c>
      <c r="E1047" t="s">
        <v>74</v>
      </c>
      <c r="F1047" t="s">
        <v>19670</v>
      </c>
      <c r="G1047" t="s">
        <v>74</v>
      </c>
      <c r="H1047" t="s">
        <v>74</v>
      </c>
      <c r="I1047" t="s">
        <v>19671</v>
      </c>
      <c r="J1047" t="s">
        <v>243</v>
      </c>
      <c r="K1047" t="s">
        <v>74</v>
      </c>
      <c r="L1047" t="s">
        <v>74</v>
      </c>
      <c r="M1047" t="s">
        <v>78</v>
      </c>
      <c r="N1047" t="s">
        <v>79</v>
      </c>
      <c r="O1047" t="s">
        <v>74</v>
      </c>
      <c r="P1047" t="s">
        <v>74</v>
      </c>
      <c r="Q1047" t="s">
        <v>74</v>
      </c>
      <c r="R1047" t="s">
        <v>74</v>
      </c>
      <c r="S1047" t="s">
        <v>74</v>
      </c>
      <c r="T1047" t="s">
        <v>19672</v>
      </c>
      <c r="U1047" t="s">
        <v>19673</v>
      </c>
      <c r="V1047" t="s">
        <v>19674</v>
      </c>
      <c r="W1047" t="s">
        <v>19675</v>
      </c>
      <c r="X1047" t="s">
        <v>19676</v>
      </c>
      <c r="Y1047" t="s">
        <v>19677</v>
      </c>
      <c r="Z1047" t="s">
        <v>19678</v>
      </c>
      <c r="AA1047" t="s">
        <v>19679</v>
      </c>
      <c r="AB1047" t="s">
        <v>19680</v>
      </c>
      <c r="AC1047" t="s">
        <v>19681</v>
      </c>
      <c r="AD1047" t="s">
        <v>19682</v>
      </c>
      <c r="AE1047" t="s">
        <v>19683</v>
      </c>
      <c r="AF1047" t="s">
        <v>74</v>
      </c>
      <c r="AG1047">
        <v>155</v>
      </c>
      <c r="AH1047">
        <v>31</v>
      </c>
      <c r="AI1047">
        <v>35</v>
      </c>
      <c r="AJ1047">
        <v>0</v>
      </c>
      <c r="AK1047">
        <v>96</v>
      </c>
      <c r="AL1047" t="s">
        <v>253</v>
      </c>
      <c r="AM1047" t="s">
        <v>227</v>
      </c>
      <c r="AN1047" t="s">
        <v>254</v>
      </c>
      <c r="AO1047" t="s">
        <v>255</v>
      </c>
      <c r="AP1047" t="s">
        <v>256</v>
      </c>
      <c r="AQ1047" t="s">
        <v>74</v>
      </c>
      <c r="AR1047" t="s">
        <v>257</v>
      </c>
      <c r="AS1047" t="s">
        <v>258</v>
      </c>
      <c r="AT1047" t="s">
        <v>74</v>
      </c>
      <c r="AU1047">
        <v>2018</v>
      </c>
      <c r="AV1047">
        <v>13</v>
      </c>
      <c r="AW1047">
        <v>8</v>
      </c>
      <c r="AX1047" t="s">
        <v>74</v>
      </c>
      <c r="AY1047" t="s">
        <v>74</v>
      </c>
      <c r="AZ1047" t="s">
        <v>74</v>
      </c>
      <c r="BA1047" t="s">
        <v>74</v>
      </c>
      <c r="BB1047">
        <v>819</v>
      </c>
      <c r="BC1047">
        <v>834</v>
      </c>
      <c r="BD1047" t="s">
        <v>74</v>
      </c>
      <c r="BE1047" t="s">
        <v>19684</v>
      </c>
      <c r="BF1047" t="str">
        <f>HYPERLINK("http://dx.doi.org/10.1080/17483107.2018.1447611","http://dx.doi.org/10.1080/17483107.2018.1447611")</f>
        <v>http://dx.doi.org/10.1080/17483107.2018.1447611</v>
      </c>
      <c r="BG1047" t="s">
        <v>74</v>
      </c>
      <c r="BH1047" t="s">
        <v>74</v>
      </c>
      <c r="BI1047">
        <v>16</v>
      </c>
      <c r="BJ1047" t="s">
        <v>101</v>
      </c>
      <c r="BK1047" t="s">
        <v>462</v>
      </c>
      <c r="BL1047" t="s">
        <v>101</v>
      </c>
      <c r="BM1047" t="s">
        <v>19685</v>
      </c>
      <c r="BN1047">
        <v>29577779</v>
      </c>
      <c r="BO1047" t="s">
        <v>74</v>
      </c>
      <c r="BP1047" t="s">
        <v>74</v>
      </c>
      <c r="BQ1047" t="s">
        <v>74</v>
      </c>
      <c r="BR1047" t="s">
        <v>105</v>
      </c>
      <c r="BS1047" t="s">
        <v>19686</v>
      </c>
      <c r="BT1047" t="str">
        <f>HYPERLINK("https%3A%2F%2Fwww.webofscience.com%2Fwos%2Fwoscc%2Ffull-record%2FWOS:000457013200014","View Full Record in Web of Science")</f>
        <v>View Full Record in Web of Science</v>
      </c>
    </row>
    <row r="1048" spans="1:72" x14ac:dyDescent="0.25">
      <c r="A1048" t="s">
        <v>72</v>
      </c>
      <c r="B1048" t="s">
        <v>19687</v>
      </c>
      <c r="C1048" t="s">
        <v>74</v>
      </c>
      <c r="D1048" t="s">
        <v>74</v>
      </c>
      <c r="E1048" t="s">
        <v>74</v>
      </c>
      <c r="F1048" t="s">
        <v>19688</v>
      </c>
      <c r="G1048" t="s">
        <v>74</v>
      </c>
      <c r="H1048" t="s">
        <v>74</v>
      </c>
      <c r="I1048" t="s">
        <v>19689</v>
      </c>
      <c r="J1048" t="s">
        <v>19690</v>
      </c>
      <c r="K1048" t="s">
        <v>74</v>
      </c>
      <c r="L1048" t="s">
        <v>74</v>
      </c>
      <c r="M1048" t="s">
        <v>78</v>
      </c>
      <c r="N1048" t="s">
        <v>79</v>
      </c>
      <c r="O1048" t="s">
        <v>74</v>
      </c>
      <c r="P1048" t="s">
        <v>74</v>
      </c>
      <c r="Q1048" t="s">
        <v>74</v>
      </c>
      <c r="R1048" t="s">
        <v>74</v>
      </c>
      <c r="S1048" t="s">
        <v>74</v>
      </c>
      <c r="T1048" t="s">
        <v>19691</v>
      </c>
      <c r="U1048" t="s">
        <v>19692</v>
      </c>
      <c r="V1048" t="s">
        <v>19693</v>
      </c>
      <c r="W1048" t="s">
        <v>19694</v>
      </c>
      <c r="X1048" t="s">
        <v>19695</v>
      </c>
      <c r="Y1048" t="s">
        <v>19696</v>
      </c>
      <c r="Z1048" t="s">
        <v>19045</v>
      </c>
      <c r="AA1048" t="s">
        <v>74</v>
      </c>
      <c r="AB1048" t="s">
        <v>74</v>
      </c>
      <c r="AC1048" t="s">
        <v>19697</v>
      </c>
      <c r="AD1048" t="s">
        <v>19698</v>
      </c>
      <c r="AE1048" t="s">
        <v>19699</v>
      </c>
      <c r="AF1048" t="s">
        <v>74</v>
      </c>
      <c r="AG1048">
        <v>180</v>
      </c>
      <c r="AH1048">
        <v>82</v>
      </c>
      <c r="AI1048">
        <v>90</v>
      </c>
      <c r="AJ1048">
        <v>1</v>
      </c>
      <c r="AK1048">
        <v>31</v>
      </c>
      <c r="AL1048" t="s">
        <v>19700</v>
      </c>
      <c r="AM1048" t="s">
        <v>2417</v>
      </c>
      <c r="AN1048" t="s">
        <v>19701</v>
      </c>
      <c r="AO1048" t="s">
        <v>19702</v>
      </c>
      <c r="AP1048" t="s">
        <v>19703</v>
      </c>
      <c r="AQ1048" t="s">
        <v>74</v>
      </c>
      <c r="AR1048" t="s">
        <v>19704</v>
      </c>
      <c r="AS1048" t="s">
        <v>19705</v>
      </c>
      <c r="AT1048" t="s">
        <v>538</v>
      </c>
      <c r="AU1048">
        <v>2018</v>
      </c>
      <c r="AV1048">
        <v>20</v>
      </c>
      <c r="AW1048">
        <v>1</v>
      </c>
      <c r="AX1048" t="s">
        <v>74</v>
      </c>
      <c r="AY1048" t="s">
        <v>74</v>
      </c>
      <c r="AZ1048" t="s">
        <v>74</v>
      </c>
      <c r="BA1048" t="s">
        <v>74</v>
      </c>
      <c r="BB1048">
        <v>57</v>
      </c>
      <c r="BC1048">
        <v>70</v>
      </c>
      <c r="BD1048" t="s">
        <v>74</v>
      </c>
      <c r="BE1048" t="s">
        <v>19706</v>
      </c>
      <c r="BF1048" t="str">
        <f>HYPERLINK("http://dx.doi.org/10.5853/jos.2017.02796","http://dx.doi.org/10.5853/jos.2017.02796")</f>
        <v>http://dx.doi.org/10.5853/jos.2017.02796</v>
      </c>
      <c r="BG1048" t="s">
        <v>74</v>
      </c>
      <c r="BH1048" t="s">
        <v>74</v>
      </c>
      <c r="BI1048">
        <v>14</v>
      </c>
      <c r="BJ1048" t="s">
        <v>13417</v>
      </c>
      <c r="BK1048" t="s">
        <v>182</v>
      </c>
      <c r="BL1048" t="s">
        <v>13418</v>
      </c>
      <c r="BM1048" t="s">
        <v>19707</v>
      </c>
      <c r="BN1048">
        <v>29402069</v>
      </c>
      <c r="BO1048" t="s">
        <v>4568</v>
      </c>
      <c r="BP1048" t="s">
        <v>74</v>
      </c>
      <c r="BQ1048" t="s">
        <v>74</v>
      </c>
      <c r="BR1048" t="s">
        <v>105</v>
      </c>
      <c r="BS1048" t="s">
        <v>19708</v>
      </c>
      <c r="BT1048" t="str">
        <f>HYPERLINK("https%3A%2F%2Fwww.webofscience.com%2Fwos%2Fwoscc%2Ffull-record%2FWOS:000423821500006","View Full Record in Web of Science")</f>
        <v>View Full Record in Web of Science</v>
      </c>
    </row>
    <row r="1049" spans="1:72" x14ac:dyDescent="0.25">
      <c r="A1049" t="s">
        <v>72</v>
      </c>
      <c r="B1049" t="s">
        <v>19709</v>
      </c>
      <c r="C1049" t="s">
        <v>74</v>
      </c>
      <c r="D1049" t="s">
        <v>74</v>
      </c>
      <c r="E1049" t="s">
        <v>74</v>
      </c>
      <c r="F1049" t="s">
        <v>19710</v>
      </c>
      <c r="G1049" t="s">
        <v>74</v>
      </c>
      <c r="H1049" t="s">
        <v>74</v>
      </c>
      <c r="I1049" t="s">
        <v>19711</v>
      </c>
      <c r="J1049" t="s">
        <v>19712</v>
      </c>
      <c r="K1049" t="s">
        <v>74</v>
      </c>
      <c r="L1049" t="s">
        <v>74</v>
      </c>
      <c r="M1049" t="s">
        <v>78</v>
      </c>
      <c r="N1049" t="s">
        <v>79</v>
      </c>
      <c r="O1049" t="s">
        <v>74</v>
      </c>
      <c r="P1049" t="s">
        <v>74</v>
      </c>
      <c r="Q1049" t="s">
        <v>74</v>
      </c>
      <c r="R1049" t="s">
        <v>74</v>
      </c>
      <c r="S1049" t="s">
        <v>74</v>
      </c>
      <c r="T1049" t="s">
        <v>74</v>
      </c>
      <c r="U1049" t="s">
        <v>19713</v>
      </c>
      <c r="V1049" t="s">
        <v>19714</v>
      </c>
      <c r="W1049" t="s">
        <v>19715</v>
      </c>
      <c r="X1049" t="s">
        <v>19716</v>
      </c>
      <c r="Y1049" t="s">
        <v>19717</v>
      </c>
      <c r="Z1049" t="s">
        <v>19718</v>
      </c>
      <c r="AA1049" t="s">
        <v>19719</v>
      </c>
      <c r="AB1049" t="s">
        <v>19720</v>
      </c>
      <c r="AC1049" t="s">
        <v>74</v>
      </c>
      <c r="AD1049" t="s">
        <v>74</v>
      </c>
      <c r="AE1049" t="s">
        <v>74</v>
      </c>
      <c r="AF1049" t="s">
        <v>74</v>
      </c>
      <c r="AG1049">
        <v>110</v>
      </c>
      <c r="AH1049">
        <v>14</v>
      </c>
      <c r="AI1049">
        <v>15</v>
      </c>
      <c r="AJ1049">
        <v>1</v>
      </c>
      <c r="AK1049">
        <v>36</v>
      </c>
      <c r="AL1049" t="s">
        <v>367</v>
      </c>
      <c r="AM1049" t="s">
        <v>275</v>
      </c>
      <c r="AN1049" t="s">
        <v>368</v>
      </c>
      <c r="AO1049" t="s">
        <v>19721</v>
      </c>
      <c r="AP1049" t="s">
        <v>19722</v>
      </c>
      <c r="AQ1049" t="s">
        <v>74</v>
      </c>
      <c r="AR1049" t="s">
        <v>19723</v>
      </c>
      <c r="AS1049" t="s">
        <v>19724</v>
      </c>
      <c r="AT1049" t="s">
        <v>74</v>
      </c>
      <c r="AU1049">
        <v>2018</v>
      </c>
      <c r="AV1049">
        <v>2018</v>
      </c>
      <c r="AW1049" t="s">
        <v>74</v>
      </c>
      <c r="AX1049" t="s">
        <v>74</v>
      </c>
      <c r="AY1049" t="s">
        <v>74</v>
      </c>
      <c r="AZ1049" t="s">
        <v>74</v>
      </c>
      <c r="BA1049" t="s">
        <v>74</v>
      </c>
      <c r="BB1049" t="s">
        <v>74</v>
      </c>
      <c r="BC1049" t="s">
        <v>74</v>
      </c>
      <c r="BD1049">
        <v>6412318</v>
      </c>
      <c r="BE1049" t="s">
        <v>19725</v>
      </c>
      <c r="BF1049" t="str">
        <f>HYPERLINK("http://dx.doi.org/10.1155/2018/6412318","http://dx.doi.org/10.1155/2018/6412318")</f>
        <v>http://dx.doi.org/10.1155/2018/6412318</v>
      </c>
      <c r="BG1049" t="s">
        <v>74</v>
      </c>
      <c r="BH1049" t="s">
        <v>74</v>
      </c>
      <c r="BI1049">
        <v>15</v>
      </c>
      <c r="BJ1049" t="s">
        <v>101</v>
      </c>
      <c r="BK1049" t="s">
        <v>155</v>
      </c>
      <c r="BL1049" t="s">
        <v>101</v>
      </c>
      <c r="BM1049" t="s">
        <v>19726</v>
      </c>
      <c r="BN1049">
        <v>30210873</v>
      </c>
      <c r="BO1049" t="s">
        <v>19727</v>
      </c>
      <c r="BP1049" t="s">
        <v>74</v>
      </c>
      <c r="BQ1049" t="s">
        <v>74</v>
      </c>
      <c r="BR1049" t="s">
        <v>105</v>
      </c>
      <c r="BS1049" t="s">
        <v>19728</v>
      </c>
      <c r="BT1049" t="str">
        <f>HYPERLINK("https%3A%2F%2Fwww.webofscience.com%2Fwos%2Fwoscc%2Ffull-record%2FWOS:000443678300001","View Full Record in Web of Science")</f>
        <v>View Full Record in Web of Science</v>
      </c>
    </row>
    <row r="1050" spans="1:72" x14ac:dyDescent="0.25">
      <c r="A1050" t="s">
        <v>72</v>
      </c>
      <c r="B1050" t="s">
        <v>19729</v>
      </c>
      <c r="C1050" t="s">
        <v>74</v>
      </c>
      <c r="D1050" t="s">
        <v>74</v>
      </c>
      <c r="E1050" t="s">
        <v>74</v>
      </c>
      <c r="F1050" t="s">
        <v>19730</v>
      </c>
      <c r="G1050" t="s">
        <v>74</v>
      </c>
      <c r="H1050" t="s">
        <v>74</v>
      </c>
      <c r="I1050" t="s">
        <v>19731</v>
      </c>
      <c r="J1050" t="s">
        <v>2233</v>
      </c>
      <c r="K1050" t="s">
        <v>74</v>
      </c>
      <c r="L1050" t="s">
        <v>74</v>
      </c>
      <c r="M1050" t="s">
        <v>78</v>
      </c>
      <c r="N1050" t="s">
        <v>79</v>
      </c>
      <c r="O1050" t="s">
        <v>74</v>
      </c>
      <c r="P1050" t="s">
        <v>74</v>
      </c>
      <c r="Q1050" t="s">
        <v>74</v>
      </c>
      <c r="R1050" t="s">
        <v>74</v>
      </c>
      <c r="S1050" t="s">
        <v>74</v>
      </c>
      <c r="T1050" t="s">
        <v>74</v>
      </c>
      <c r="U1050" t="s">
        <v>19732</v>
      </c>
      <c r="V1050" t="s">
        <v>19733</v>
      </c>
      <c r="W1050" t="s">
        <v>19734</v>
      </c>
      <c r="X1050" t="s">
        <v>19735</v>
      </c>
      <c r="Y1050" t="s">
        <v>19736</v>
      </c>
      <c r="Z1050" t="s">
        <v>19737</v>
      </c>
      <c r="AA1050" t="s">
        <v>74</v>
      </c>
      <c r="AB1050" t="s">
        <v>74</v>
      </c>
      <c r="AC1050" t="s">
        <v>19738</v>
      </c>
      <c r="AD1050" t="s">
        <v>19739</v>
      </c>
      <c r="AE1050" t="s">
        <v>19740</v>
      </c>
      <c r="AF1050" t="s">
        <v>74</v>
      </c>
      <c r="AG1050">
        <v>40</v>
      </c>
      <c r="AH1050">
        <v>26</v>
      </c>
      <c r="AI1050">
        <v>27</v>
      </c>
      <c r="AJ1050">
        <v>3</v>
      </c>
      <c r="AK1050">
        <v>91</v>
      </c>
      <c r="AL1050" t="s">
        <v>367</v>
      </c>
      <c r="AM1050" t="s">
        <v>275</v>
      </c>
      <c r="AN1050" t="s">
        <v>368</v>
      </c>
      <c r="AO1050" t="s">
        <v>2240</v>
      </c>
      <c r="AP1050" t="s">
        <v>2241</v>
      </c>
      <c r="AQ1050" t="s">
        <v>74</v>
      </c>
      <c r="AR1050" t="s">
        <v>2242</v>
      </c>
      <c r="AS1050" t="s">
        <v>2243</v>
      </c>
      <c r="AT1050" t="s">
        <v>74</v>
      </c>
      <c r="AU1050">
        <v>2018</v>
      </c>
      <c r="AV1050">
        <v>2018</v>
      </c>
      <c r="AW1050" t="s">
        <v>74</v>
      </c>
      <c r="AX1050" t="s">
        <v>74</v>
      </c>
      <c r="AY1050" t="s">
        <v>74</v>
      </c>
      <c r="AZ1050" t="s">
        <v>74</v>
      </c>
      <c r="BA1050" t="s">
        <v>74</v>
      </c>
      <c r="BB1050" t="s">
        <v>74</v>
      </c>
      <c r="BC1050" t="s">
        <v>74</v>
      </c>
      <c r="BD1050">
        <v>1927807</v>
      </c>
      <c r="BE1050" t="s">
        <v>19741</v>
      </c>
      <c r="BF1050" t="str">
        <f>HYPERLINK("http://dx.doi.org/10.1155/2018/1927807","http://dx.doi.org/10.1155/2018/1927807")</f>
        <v>http://dx.doi.org/10.1155/2018/1927807</v>
      </c>
      <c r="BG1050" t="s">
        <v>74</v>
      </c>
      <c r="BH1050" t="s">
        <v>74</v>
      </c>
      <c r="BI1050">
        <v>18</v>
      </c>
      <c r="BJ1050" t="s">
        <v>423</v>
      </c>
      <c r="BK1050" t="s">
        <v>102</v>
      </c>
      <c r="BL1050" t="s">
        <v>423</v>
      </c>
      <c r="BM1050" t="s">
        <v>19742</v>
      </c>
      <c r="BN1050">
        <v>29808109</v>
      </c>
      <c r="BO1050" t="s">
        <v>18243</v>
      </c>
      <c r="BP1050" t="s">
        <v>74</v>
      </c>
      <c r="BQ1050" t="s">
        <v>74</v>
      </c>
      <c r="BR1050" t="s">
        <v>105</v>
      </c>
      <c r="BS1050" t="s">
        <v>19743</v>
      </c>
      <c r="BT1050" t="str">
        <f>HYPERLINK("https%3A%2F%2Fwww.webofscience.com%2Fwos%2Fwoscc%2Ffull-record%2FWOS:000430224800001","View Full Record in Web of Science")</f>
        <v>View Full Record in Web of Science</v>
      </c>
    </row>
    <row r="1051" spans="1:72" x14ac:dyDescent="0.25">
      <c r="A1051" t="s">
        <v>72</v>
      </c>
      <c r="B1051" t="s">
        <v>19744</v>
      </c>
      <c r="C1051" t="s">
        <v>74</v>
      </c>
      <c r="D1051" t="s">
        <v>74</v>
      </c>
      <c r="E1051" t="s">
        <v>74</v>
      </c>
      <c r="F1051" t="s">
        <v>19745</v>
      </c>
      <c r="G1051" t="s">
        <v>74</v>
      </c>
      <c r="H1051" t="s">
        <v>74</v>
      </c>
      <c r="I1051" t="s">
        <v>19746</v>
      </c>
      <c r="J1051" t="s">
        <v>3053</v>
      </c>
      <c r="K1051" t="s">
        <v>74</v>
      </c>
      <c r="L1051" t="s">
        <v>74</v>
      </c>
      <c r="M1051" t="s">
        <v>78</v>
      </c>
      <c r="N1051" t="s">
        <v>79</v>
      </c>
      <c r="O1051" t="s">
        <v>74</v>
      </c>
      <c r="P1051" t="s">
        <v>74</v>
      </c>
      <c r="Q1051" t="s">
        <v>74</v>
      </c>
      <c r="R1051" t="s">
        <v>74</v>
      </c>
      <c r="S1051" t="s">
        <v>74</v>
      </c>
      <c r="T1051" t="s">
        <v>19747</v>
      </c>
      <c r="U1051" t="s">
        <v>19748</v>
      </c>
      <c r="V1051" t="s">
        <v>19749</v>
      </c>
      <c r="W1051" t="s">
        <v>19750</v>
      </c>
      <c r="X1051" t="s">
        <v>19751</v>
      </c>
      <c r="Y1051" t="s">
        <v>19752</v>
      </c>
      <c r="Z1051" t="s">
        <v>19753</v>
      </c>
      <c r="AA1051" t="s">
        <v>74</v>
      </c>
      <c r="AB1051" t="s">
        <v>19754</v>
      </c>
      <c r="AC1051" t="s">
        <v>74</v>
      </c>
      <c r="AD1051" t="s">
        <v>74</v>
      </c>
      <c r="AE1051" t="s">
        <v>74</v>
      </c>
      <c r="AF1051" t="s">
        <v>74</v>
      </c>
      <c r="AG1051">
        <v>61</v>
      </c>
      <c r="AH1051">
        <v>20</v>
      </c>
      <c r="AI1051">
        <v>21</v>
      </c>
      <c r="AJ1051">
        <v>1</v>
      </c>
      <c r="AK1051">
        <v>12</v>
      </c>
      <c r="AL1051" t="s">
        <v>92</v>
      </c>
      <c r="AM1051" t="s">
        <v>93</v>
      </c>
      <c r="AN1051" t="s">
        <v>94</v>
      </c>
      <c r="AO1051" t="s">
        <v>3066</v>
      </c>
      <c r="AP1051" t="s">
        <v>3067</v>
      </c>
      <c r="AQ1051" t="s">
        <v>74</v>
      </c>
      <c r="AR1051" t="s">
        <v>3068</v>
      </c>
      <c r="AS1051" t="s">
        <v>3069</v>
      </c>
      <c r="AT1051" t="s">
        <v>74</v>
      </c>
      <c r="AU1051">
        <v>2018</v>
      </c>
      <c r="AV1051">
        <v>41</v>
      </c>
      <c r="AW1051">
        <v>5</v>
      </c>
      <c r="AX1051" t="s">
        <v>74</v>
      </c>
      <c r="AY1051" t="s">
        <v>74</v>
      </c>
      <c r="AZ1051" t="s">
        <v>74</v>
      </c>
      <c r="BA1051" t="s">
        <v>74</v>
      </c>
      <c r="BB1051">
        <v>529</v>
      </c>
      <c r="BC1051">
        <v>543</v>
      </c>
      <c r="BD1051" t="s">
        <v>74</v>
      </c>
      <c r="BE1051" t="s">
        <v>19755</v>
      </c>
      <c r="BF1051" t="str">
        <f>HYPERLINK("http://dx.doi.org/10.1080/10790268.2018.1426236","http://dx.doi.org/10.1080/10790268.2018.1426236")</f>
        <v>http://dx.doi.org/10.1080/10790268.2018.1426236</v>
      </c>
      <c r="BG1051" t="s">
        <v>74</v>
      </c>
      <c r="BH1051" t="s">
        <v>74</v>
      </c>
      <c r="BI1051">
        <v>15</v>
      </c>
      <c r="BJ1051" t="s">
        <v>541</v>
      </c>
      <c r="BK1051" t="s">
        <v>182</v>
      </c>
      <c r="BL1051" t="s">
        <v>375</v>
      </c>
      <c r="BM1051" t="s">
        <v>19756</v>
      </c>
      <c r="BN1051">
        <v>29400988</v>
      </c>
      <c r="BO1051" t="s">
        <v>19757</v>
      </c>
      <c r="BP1051" t="s">
        <v>74</v>
      </c>
      <c r="BQ1051" t="s">
        <v>74</v>
      </c>
      <c r="BR1051" t="s">
        <v>105</v>
      </c>
      <c r="BS1051" t="s">
        <v>19758</v>
      </c>
      <c r="BT1051" t="str">
        <f>HYPERLINK("https%3A%2F%2Fwww.webofscience.com%2Fwos%2Fwoscc%2Ffull-record%2FWOS:000442371900005","View Full Record in Web of Science")</f>
        <v>View Full Record in Web of Science</v>
      </c>
    </row>
    <row r="1052" spans="1:72" x14ac:dyDescent="0.25">
      <c r="A1052" t="s">
        <v>72</v>
      </c>
      <c r="B1052" t="s">
        <v>19759</v>
      </c>
      <c r="C1052" t="s">
        <v>74</v>
      </c>
      <c r="D1052" t="s">
        <v>74</v>
      </c>
      <c r="E1052" t="s">
        <v>74</v>
      </c>
      <c r="F1052" t="s">
        <v>19760</v>
      </c>
      <c r="G1052" t="s">
        <v>74</v>
      </c>
      <c r="H1052" t="s">
        <v>74</v>
      </c>
      <c r="I1052" t="s">
        <v>19761</v>
      </c>
      <c r="J1052" t="s">
        <v>19762</v>
      </c>
      <c r="K1052" t="s">
        <v>74</v>
      </c>
      <c r="L1052" t="s">
        <v>74</v>
      </c>
      <c r="M1052" t="s">
        <v>78</v>
      </c>
      <c r="N1052" t="s">
        <v>79</v>
      </c>
      <c r="O1052" t="s">
        <v>74</v>
      </c>
      <c r="P1052" t="s">
        <v>74</v>
      </c>
      <c r="Q1052" t="s">
        <v>74</v>
      </c>
      <c r="R1052" t="s">
        <v>74</v>
      </c>
      <c r="S1052" t="s">
        <v>74</v>
      </c>
      <c r="T1052" t="s">
        <v>19763</v>
      </c>
      <c r="U1052" t="s">
        <v>19764</v>
      </c>
      <c r="V1052" t="s">
        <v>19765</v>
      </c>
      <c r="W1052" t="s">
        <v>19766</v>
      </c>
      <c r="X1052" t="s">
        <v>19767</v>
      </c>
      <c r="Y1052" t="s">
        <v>19768</v>
      </c>
      <c r="Z1052" t="s">
        <v>19769</v>
      </c>
      <c r="AA1052" t="s">
        <v>74</v>
      </c>
      <c r="AB1052" t="s">
        <v>74</v>
      </c>
      <c r="AC1052" t="s">
        <v>74</v>
      </c>
      <c r="AD1052" t="s">
        <v>74</v>
      </c>
      <c r="AE1052" t="s">
        <v>74</v>
      </c>
      <c r="AF1052" t="s">
        <v>74</v>
      </c>
      <c r="AG1052">
        <v>59</v>
      </c>
      <c r="AH1052">
        <v>36</v>
      </c>
      <c r="AI1052">
        <v>38</v>
      </c>
      <c r="AJ1052">
        <v>0</v>
      </c>
      <c r="AK1052">
        <v>18</v>
      </c>
      <c r="AL1052" t="s">
        <v>346</v>
      </c>
      <c r="AM1052" t="s">
        <v>227</v>
      </c>
      <c r="AN1052" t="s">
        <v>347</v>
      </c>
      <c r="AO1052" t="s">
        <v>19770</v>
      </c>
      <c r="AP1052" t="s">
        <v>19771</v>
      </c>
      <c r="AQ1052" t="s">
        <v>74</v>
      </c>
      <c r="AR1052" t="s">
        <v>19772</v>
      </c>
      <c r="AS1052" t="s">
        <v>19773</v>
      </c>
      <c r="AT1052" t="s">
        <v>538</v>
      </c>
      <c r="AU1052">
        <v>2018</v>
      </c>
      <c r="AV1052">
        <v>30</v>
      </c>
      <c r="AW1052">
        <v>1</v>
      </c>
      <c r="AX1052" t="s">
        <v>74</v>
      </c>
      <c r="AY1052" t="s">
        <v>74</v>
      </c>
      <c r="AZ1052" t="s">
        <v>74</v>
      </c>
      <c r="BA1052" t="s">
        <v>74</v>
      </c>
      <c r="BB1052">
        <v>2</v>
      </c>
      <c r="BC1052">
        <v>8</v>
      </c>
      <c r="BD1052" t="s">
        <v>74</v>
      </c>
      <c r="BE1052" t="s">
        <v>19774</v>
      </c>
      <c r="BF1052" t="str">
        <f>HYPERLINK("http://dx.doi.org/10.1097/PEP.0000000000000458","http://dx.doi.org/10.1097/PEP.0000000000000458")</f>
        <v>http://dx.doi.org/10.1097/PEP.0000000000000458</v>
      </c>
      <c r="BG1052" t="s">
        <v>74</v>
      </c>
      <c r="BH1052" t="s">
        <v>74</v>
      </c>
      <c r="BI1052">
        <v>7</v>
      </c>
      <c r="BJ1052" t="s">
        <v>962</v>
      </c>
      <c r="BK1052" t="s">
        <v>102</v>
      </c>
      <c r="BL1052" t="s">
        <v>962</v>
      </c>
      <c r="BM1052" t="s">
        <v>19775</v>
      </c>
      <c r="BN1052">
        <v>29252826</v>
      </c>
      <c r="BO1052" t="s">
        <v>74</v>
      </c>
      <c r="BP1052" t="s">
        <v>74</v>
      </c>
      <c r="BQ1052" t="s">
        <v>74</v>
      </c>
      <c r="BR1052" t="s">
        <v>105</v>
      </c>
      <c r="BS1052" t="s">
        <v>19776</v>
      </c>
      <c r="BT1052" t="str">
        <f>HYPERLINK("https%3A%2F%2Fwww.webofscience.com%2Fwos%2Fwoscc%2Ffull-record%2FWOS:000437717700003","View Full Record in Web of Science")</f>
        <v>View Full Record in Web of Science</v>
      </c>
    </row>
    <row r="1053" spans="1:72" x14ac:dyDescent="0.25">
      <c r="A1053" t="s">
        <v>72</v>
      </c>
      <c r="B1053" t="s">
        <v>19777</v>
      </c>
      <c r="C1053" t="s">
        <v>74</v>
      </c>
      <c r="D1053" t="s">
        <v>74</v>
      </c>
      <c r="E1053" t="s">
        <v>74</v>
      </c>
      <c r="F1053" t="s">
        <v>19778</v>
      </c>
      <c r="G1053" t="s">
        <v>74</v>
      </c>
      <c r="H1053" t="s">
        <v>74</v>
      </c>
      <c r="I1053" t="s">
        <v>19779</v>
      </c>
      <c r="J1053" t="s">
        <v>19055</v>
      </c>
      <c r="K1053" t="s">
        <v>74</v>
      </c>
      <c r="L1053" t="s">
        <v>74</v>
      </c>
      <c r="M1053" t="s">
        <v>78</v>
      </c>
      <c r="N1053" t="s">
        <v>79</v>
      </c>
      <c r="O1053" t="s">
        <v>74</v>
      </c>
      <c r="P1053" t="s">
        <v>74</v>
      </c>
      <c r="Q1053" t="s">
        <v>74</v>
      </c>
      <c r="R1053" t="s">
        <v>74</v>
      </c>
      <c r="S1053" t="s">
        <v>74</v>
      </c>
      <c r="T1053" t="s">
        <v>74</v>
      </c>
      <c r="U1053" t="s">
        <v>19780</v>
      </c>
      <c r="V1053" t="s">
        <v>19781</v>
      </c>
      <c r="W1053" t="s">
        <v>19782</v>
      </c>
      <c r="X1053" t="s">
        <v>19783</v>
      </c>
      <c r="Y1053" t="s">
        <v>19784</v>
      </c>
      <c r="Z1053" t="s">
        <v>19785</v>
      </c>
      <c r="AA1053" t="s">
        <v>19786</v>
      </c>
      <c r="AB1053" t="s">
        <v>19787</v>
      </c>
      <c r="AC1053" t="s">
        <v>19788</v>
      </c>
      <c r="AD1053" t="s">
        <v>19789</v>
      </c>
      <c r="AE1053" t="s">
        <v>19790</v>
      </c>
      <c r="AF1053" t="s">
        <v>74</v>
      </c>
      <c r="AG1053">
        <v>166</v>
      </c>
      <c r="AH1053">
        <v>231</v>
      </c>
      <c r="AI1053">
        <v>262</v>
      </c>
      <c r="AJ1053">
        <v>16</v>
      </c>
      <c r="AK1053">
        <v>254</v>
      </c>
      <c r="AL1053" t="s">
        <v>19067</v>
      </c>
      <c r="AM1053" t="s">
        <v>173</v>
      </c>
      <c r="AN1053" t="s">
        <v>19068</v>
      </c>
      <c r="AO1053" t="s">
        <v>19069</v>
      </c>
      <c r="AP1053" t="s">
        <v>19070</v>
      </c>
      <c r="AQ1053" t="s">
        <v>74</v>
      </c>
      <c r="AR1053" t="s">
        <v>19071</v>
      </c>
      <c r="AS1053" t="s">
        <v>19072</v>
      </c>
      <c r="AT1053" t="s">
        <v>538</v>
      </c>
      <c r="AU1053">
        <v>2018</v>
      </c>
      <c r="AV1053">
        <v>70</v>
      </c>
      <c r="AW1053">
        <v>1</v>
      </c>
      <c r="AX1053" t="s">
        <v>74</v>
      </c>
      <c r="AY1053" t="s">
        <v>74</v>
      </c>
      <c r="AZ1053" t="s">
        <v>74</v>
      </c>
      <c r="BA1053" t="s">
        <v>74</v>
      </c>
      <c r="BB1053" t="s">
        <v>74</v>
      </c>
      <c r="BC1053" t="s">
        <v>74</v>
      </c>
      <c r="BD1053">
        <v>10804</v>
      </c>
      <c r="BE1053" t="s">
        <v>19791</v>
      </c>
      <c r="BF1053" t="str">
        <f>HYPERLINK("http://dx.doi.org/10.1115/1.4039145","http://dx.doi.org/10.1115/1.4039145")</f>
        <v>http://dx.doi.org/10.1115/1.4039145</v>
      </c>
      <c r="BG1053" t="s">
        <v>74</v>
      </c>
      <c r="BH1053" t="s">
        <v>74</v>
      </c>
      <c r="BI1053">
        <v>19</v>
      </c>
      <c r="BJ1053" t="s">
        <v>19074</v>
      </c>
      <c r="BK1053" t="s">
        <v>102</v>
      </c>
      <c r="BL1053" t="s">
        <v>19074</v>
      </c>
      <c r="BM1053" t="s">
        <v>19792</v>
      </c>
      <c r="BN1053" t="s">
        <v>74</v>
      </c>
      <c r="BO1053" t="s">
        <v>19793</v>
      </c>
      <c r="BP1053" t="s">
        <v>74</v>
      </c>
      <c r="BQ1053" t="s">
        <v>74</v>
      </c>
      <c r="BR1053" t="s">
        <v>105</v>
      </c>
      <c r="BS1053" t="s">
        <v>19794</v>
      </c>
      <c r="BT1053" t="str">
        <f>HYPERLINK("https%3A%2F%2Fwww.webofscience.com%2Fwos%2Fwoscc%2Ffull-record%2FWOS:000429464000005","View Full Record in Web of Science")</f>
        <v>View Full Record in Web of Science</v>
      </c>
    </row>
    <row r="1054" spans="1:72" x14ac:dyDescent="0.25">
      <c r="A1054" t="s">
        <v>72</v>
      </c>
      <c r="B1054" t="s">
        <v>19795</v>
      </c>
      <c r="C1054" t="s">
        <v>74</v>
      </c>
      <c r="D1054" t="s">
        <v>74</v>
      </c>
      <c r="E1054" t="s">
        <v>74</v>
      </c>
      <c r="F1054" t="s">
        <v>19796</v>
      </c>
      <c r="G1054" t="s">
        <v>74</v>
      </c>
      <c r="H1054" t="s">
        <v>74</v>
      </c>
      <c r="I1054" t="s">
        <v>19797</v>
      </c>
      <c r="J1054" t="s">
        <v>3906</v>
      </c>
      <c r="K1054" t="s">
        <v>74</v>
      </c>
      <c r="L1054" t="s">
        <v>74</v>
      </c>
      <c r="M1054" t="s">
        <v>78</v>
      </c>
      <c r="N1054" t="s">
        <v>79</v>
      </c>
      <c r="O1054" t="s">
        <v>74</v>
      </c>
      <c r="P1054" t="s">
        <v>74</v>
      </c>
      <c r="Q1054" t="s">
        <v>74</v>
      </c>
      <c r="R1054" t="s">
        <v>74</v>
      </c>
      <c r="S1054" t="s">
        <v>74</v>
      </c>
      <c r="T1054" t="s">
        <v>74</v>
      </c>
      <c r="U1054" t="s">
        <v>19798</v>
      </c>
      <c r="V1054" t="s">
        <v>19799</v>
      </c>
      <c r="W1054" t="s">
        <v>19800</v>
      </c>
      <c r="X1054" t="s">
        <v>19801</v>
      </c>
      <c r="Y1054" t="s">
        <v>19802</v>
      </c>
      <c r="Z1054" t="s">
        <v>4147</v>
      </c>
      <c r="AA1054" t="s">
        <v>19803</v>
      </c>
      <c r="AB1054" t="s">
        <v>1884</v>
      </c>
      <c r="AC1054" t="s">
        <v>74</v>
      </c>
      <c r="AD1054" t="s">
        <v>74</v>
      </c>
      <c r="AE1054" t="s">
        <v>74</v>
      </c>
      <c r="AF1054" t="s">
        <v>74</v>
      </c>
      <c r="AG1054">
        <v>131</v>
      </c>
      <c r="AH1054">
        <v>155</v>
      </c>
      <c r="AI1054">
        <v>163</v>
      </c>
      <c r="AJ1054">
        <v>5</v>
      </c>
      <c r="AK1054">
        <v>67</v>
      </c>
      <c r="AL1054" t="s">
        <v>297</v>
      </c>
      <c r="AM1054" t="s">
        <v>298</v>
      </c>
      <c r="AN1054" t="s">
        <v>299</v>
      </c>
      <c r="AO1054" t="s">
        <v>3917</v>
      </c>
      <c r="AP1054" t="s">
        <v>3918</v>
      </c>
      <c r="AQ1054" t="s">
        <v>74</v>
      </c>
      <c r="AR1054" t="s">
        <v>3919</v>
      </c>
      <c r="AS1054" t="s">
        <v>3920</v>
      </c>
      <c r="AT1054" t="s">
        <v>74</v>
      </c>
      <c r="AU1054">
        <v>2018</v>
      </c>
      <c r="AV1054" t="s">
        <v>74</v>
      </c>
      <c r="AW1054">
        <v>9</v>
      </c>
      <c r="AX1054" t="s">
        <v>74</v>
      </c>
      <c r="AY1054" t="s">
        <v>74</v>
      </c>
      <c r="AZ1054" t="s">
        <v>74</v>
      </c>
      <c r="BA1054" t="s">
        <v>74</v>
      </c>
      <c r="BB1054" t="s">
        <v>74</v>
      </c>
      <c r="BC1054" t="s">
        <v>74</v>
      </c>
      <c r="BD1054" t="s">
        <v>19804</v>
      </c>
      <c r="BE1054" t="s">
        <v>19805</v>
      </c>
      <c r="BF1054" t="str">
        <f>HYPERLINK("http://dx.doi.org/10.1002/14651858.CD006876.pub5","http://dx.doi.org/10.1002/14651858.CD006876.pub5")</f>
        <v>http://dx.doi.org/10.1002/14651858.CD006876.pub5</v>
      </c>
      <c r="BG1054" t="s">
        <v>74</v>
      </c>
      <c r="BH1054" t="s">
        <v>74</v>
      </c>
      <c r="BI1054">
        <v>155</v>
      </c>
      <c r="BJ1054" t="s">
        <v>128</v>
      </c>
      <c r="BK1054" t="s">
        <v>102</v>
      </c>
      <c r="BL1054" t="s">
        <v>129</v>
      </c>
      <c r="BM1054" t="s">
        <v>19806</v>
      </c>
      <c r="BN1054">
        <v>30175845</v>
      </c>
      <c r="BO1054" t="s">
        <v>2246</v>
      </c>
      <c r="BP1054" t="s">
        <v>74</v>
      </c>
      <c r="BQ1054" t="s">
        <v>74</v>
      </c>
      <c r="BR1054" t="s">
        <v>105</v>
      </c>
      <c r="BS1054" t="s">
        <v>19807</v>
      </c>
      <c r="BT1054" t="str">
        <f>HYPERLINK("https%3A%2F%2Fwww.webofscience.com%2Fwos%2Fwoscc%2Ffull-record%2FWOS:000446302100026","View Full Record in Web of Science")</f>
        <v>View Full Record in Web of Science</v>
      </c>
    </row>
    <row r="1055" spans="1:72" x14ac:dyDescent="0.25">
      <c r="A1055" t="s">
        <v>72</v>
      </c>
      <c r="B1055" t="s">
        <v>19808</v>
      </c>
      <c r="C1055" t="s">
        <v>74</v>
      </c>
      <c r="D1055" t="s">
        <v>74</v>
      </c>
      <c r="E1055" t="s">
        <v>74</v>
      </c>
      <c r="F1055" t="s">
        <v>19809</v>
      </c>
      <c r="G1055" t="s">
        <v>74</v>
      </c>
      <c r="H1055" t="s">
        <v>74</v>
      </c>
      <c r="I1055" t="s">
        <v>19810</v>
      </c>
      <c r="J1055" t="s">
        <v>2233</v>
      </c>
      <c r="K1055" t="s">
        <v>74</v>
      </c>
      <c r="L1055" t="s">
        <v>74</v>
      </c>
      <c r="M1055" t="s">
        <v>78</v>
      </c>
      <c r="N1055" t="s">
        <v>79</v>
      </c>
      <c r="O1055" t="s">
        <v>74</v>
      </c>
      <c r="P1055" t="s">
        <v>74</v>
      </c>
      <c r="Q1055" t="s">
        <v>74</v>
      </c>
      <c r="R1055" t="s">
        <v>74</v>
      </c>
      <c r="S1055" t="s">
        <v>74</v>
      </c>
      <c r="T1055" t="s">
        <v>74</v>
      </c>
      <c r="U1055" t="s">
        <v>19811</v>
      </c>
      <c r="V1055" t="s">
        <v>19812</v>
      </c>
      <c r="W1055" t="s">
        <v>19813</v>
      </c>
      <c r="X1055" t="s">
        <v>19814</v>
      </c>
      <c r="Y1055" t="s">
        <v>19815</v>
      </c>
      <c r="Z1055" t="s">
        <v>19816</v>
      </c>
      <c r="AA1055" t="s">
        <v>19817</v>
      </c>
      <c r="AB1055" t="s">
        <v>19818</v>
      </c>
      <c r="AC1055" t="s">
        <v>19819</v>
      </c>
      <c r="AD1055" t="s">
        <v>19819</v>
      </c>
      <c r="AE1055" t="s">
        <v>19820</v>
      </c>
      <c r="AF1055" t="s">
        <v>74</v>
      </c>
      <c r="AG1055">
        <v>34</v>
      </c>
      <c r="AH1055">
        <v>26</v>
      </c>
      <c r="AI1055">
        <v>29</v>
      </c>
      <c r="AJ1055">
        <v>9</v>
      </c>
      <c r="AK1055">
        <v>121</v>
      </c>
      <c r="AL1055" t="s">
        <v>367</v>
      </c>
      <c r="AM1055" t="s">
        <v>275</v>
      </c>
      <c r="AN1055" t="s">
        <v>368</v>
      </c>
      <c r="AO1055" t="s">
        <v>2240</v>
      </c>
      <c r="AP1055" t="s">
        <v>2241</v>
      </c>
      <c r="AQ1055" t="s">
        <v>74</v>
      </c>
      <c r="AR1055" t="s">
        <v>2242</v>
      </c>
      <c r="AS1055" t="s">
        <v>2243</v>
      </c>
      <c r="AT1055" t="s">
        <v>74</v>
      </c>
      <c r="AU1055">
        <v>2018</v>
      </c>
      <c r="AV1055">
        <v>2018</v>
      </c>
      <c r="AW1055" t="s">
        <v>74</v>
      </c>
      <c r="AX1055" t="s">
        <v>74</v>
      </c>
      <c r="AY1055" t="s">
        <v>74</v>
      </c>
      <c r="AZ1055" t="s">
        <v>74</v>
      </c>
      <c r="BA1055" t="s">
        <v>74</v>
      </c>
      <c r="BB1055" t="s">
        <v>74</v>
      </c>
      <c r="BC1055" t="s">
        <v>74</v>
      </c>
      <c r="BD1055">
        <v>1534247</v>
      </c>
      <c r="BE1055" t="s">
        <v>19821</v>
      </c>
      <c r="BF1055" t="str">
        <f>HYPERLINK("http://dx.doi.org/10.1155/2018/1534247","http://dx.doi.org/10.1155/2018/1534247")</f>
        <v>http://dx.doi.org/10.1155/2018/1534247</v>
      </c>
      <c r="BG1055" t="s">
        <v>74</v>
      </c>
      <c r="BH1055" t="s">
        <v>74</v>
      </c>
      <c r="BI1055">
        <v>9</v>
      </c>
      <c r="BJ1055" t="s">
        <v>423</v>
      </c>
      <c r="BK1055" t="s">
        <v>182</v>
      </c>
      <c r="BL1055" t="s">
        <v>423</v>
      </c>
      <c r="BM1055" t="s">
        <v>19822</v>
      </c>
      <c r="BN1055">
        <v>29736230</v>
      </c>
      <c r="BO1055" t="s">
        <v>1871</v>
      </c>
      <c r="BP1055" t="s">
        <v>74</v>
      </c>
      <c r="BQ1055" t="s">
        <v>74</v>
      </c>
      <c r="BR1055" t="s">
        <v>105</v>
      </c>
      <c r="BS1055" t="s">
        <v>19823</v>
      </c>
      <c r="BT1055" t="str">
        <f>HYPERLINK("https%3A%2F%2Fwww.webofscience.com%2Fwos%2Fwoscc%2Ffull-record%2FWOS:000428380800001","View Full Record in Web of Science")</f>
        <v>View Full Record in Web of Science</v>
      </c>
    </row>
    <row r="1056" spans="1:72" x14ac:dyDescent="0.25">
      <c r="A1056" t="s">
        <v>72</v>
      </c>
      <c r="B1056" t="s">
        <v>19824</v>
      </c>
      <c r="C1056" t="s">
        <v>74</v>
      </c>
      <c r="D1056" t="s">
        <v>74</v>
      </c>
      <c r="E1056" t="s">
        <v>74</v>
      </c>
      <c r="F1056" t="s">
        <v>19825</v>
      </c>
      <c r="G1056" t="s">
        <v>74</v>
      </c>
      <c r="H1056" t="s">
        <v>74</v>
      </c>
      <c r="I1056" t="s">
        <v>19826</v>
      </c>
      <c r="J1056" t="s">
        <v>2233</v>
      </c>
      <c r="K1056" t="s">
        <v>74</v>
      </c>
      <c r="L1056" t="s">
        <v>74</v>
      </c>
      <c r="M1056" t="s">
        <v>78</v>
      </c>
      <c r="N1056" t="s">
        <v>79</v>
      </c>
      <c r="O1056" t="s">
        <v>74</v>
      </c>
      <c r="P1056" t="s">
        <v>74</v>
      </c>
      <c r="Q1056" t="s">
        <v>74</v>
      </c>
      <c r="R1056" t="s">
        <v>74</v>
      </c>
      <c r="S1056" t="s">
        <v>74</v>
      </c>
      <c r="T1056" t="s">
        <v>74</v>
      </c>
      <c r="U1056" t="s">
        <v>19827</v>
      </c>
      <c r="V1056" t="s">
        <v>19828</v>
      </c>
      <c r="W1056" t="s">
        <v>19829</v>
      </c>
      <c r="X1056" t="s">
        <v>18837</v>
      </c>
      <c r="Y1056" t="s">
        <v>19830</v>
      </c>
      <c r="Z1056" t="s">
        <v>2098</v>
      </c>
      <c r="AA1056" t="s">
        <v>19831</v>
      </c>
      <c r="AB1056" t="s">
        <v>19832</v>
      </c>
      <c r="AC1056" t="s">
        <v>19833</v>
      </c>
      <c r="AD1056" t="s">
        <v>19834</v>
      </c>
      <c r="AE1056" t="s">
        <v>19835</v>
      </c>
      <c r="AF1056" t="s">
        <v>74</v>
      </c>
      <c r="AG1056">
        <v>103</v>
      </c>
      <c r="AH1056">
        <v>51</v>
      </c>
      <c r="AI1056">
        <v>52</v>
      </c>
      <c r="AJ1056">
        <v>0</v>
      </c>
      <c r="AK1056">
        <v>31</v>
      </c>
      <c r="AL1056" t="s">
        <v>367</v>
      </c>
      <c r="AM1056" t="s">
        <v>275</v>
      </c>
      <c r="AN1056" t="s">
        <v>368</v>
      </c>
      <c r="AO1056" t="s">
        <v>2240</v>
      </c>
      <c r="AP1056" t="s">
        <v>2241</v>
      </c>
      <c r="AQ1056" t="s">
        <v>74</v>
      </c>
      <c r="AR1056" t="s">
        <v>2242</v>
      </c>
      <c r="AS1056" t="s">
        <v>2243</v>
      </c>
      <c r="AT1056" t="s">
        <v>74</v>
      </c>
      <c r="AU1056">
        <v>2018</v>
      </c>
      <c r="AV1056">
        <v>2018</v>
      </c>
      <c r="AW1056" t="s">
        <v>74</v>
      </c>
      <c r="AX1056" t="s">
        <v>74</v>
      </c>
      <c r="AY1056" t="s">
        <v>74</v>
      </c>
      <c r="AZ1056" t="s">
        <v>74</v>
      </c>
      <c r="BA1056" t="s">
        <v>74</v>
      </c>
      <c r="BB1056" t="s">
        <v>74</v>
      </c>
      <c r="BC1056" t="s">
        <v>74</v>
      </c>
      <c r="BD1056">
        <v>9758939</v>
      </c>
      <c r="BE1056" t="s">
        <v>19836</v>
      </c>
      <c r="BF1056" t="str">
        <f>HYPERLINK("http://dx.doi.org/10.1155/2018/9758939","http://dx.doi.org/10.1155/2018/9758939")</f>
        <v>http://dx.doi.org/10.1155/2018/9758939</v>
      </c>
      <c r="BG1056" t="s">
        <v>74</v>
      </c>
      <c r="BH1056" t="s">
        <v>74</v>
      </c>
      <c r="BI1056">
        <v>19</v>
      </c>
      <c r="BJ1056" t="s">
        <v>423</v>
      </c>
      <c r="BK1056" t="s">
        <v>102</v>
      </c>
      <c r="BL1056" t="s">
        <v>423</v>
      </c>
      <c r="BM1056" t="s">
        <v>19837</v>
      </c>
      <c r="BN1056">
        <v>29707189</v>
      </c>
      <c r="BO1056" t="s">
        <v>19838</v>
      </c>
      <c r="BP1056" t="s">
        <v>74</v>
      </c>
      <c r="BQ1056" t="s">
        <v>74</v>
      </c>
      <c r="BR1056" t="s">
        <v>105</v>
      </c>
      <c r="BS1056" t="s">
        <v>19839</v>
      </c>
      <c r="BT1056" t="str">
        <f>HYPERLINK("https%3A%2F%2Fwww.webofscience.com%2Fwos%2Fwoscc%2Ffull-record%2FWOS:000430226400001","View Full Record in Web of Science")</f>
        <v>View Full Record in Web of Science</v>
      </c>
    </row>
    <row r="1057" spans="1:72" x14ac:dyDescent="0.25">
      <c r="A1057" t="s">
        <v>72</v>
      </c>
      <c r="B1057" t="s">
        <v>19840</v>
      </c>
      <c r="C1057" t="s">
        <v>74</v>
      </c>
      <c r="D1057" t="s">
        <v>74</v>
      </c>
      <c r="E1057" t="s">
        <v>74</v>
      </c>
      <c r="F1057" t="s">
        <v>19841</v>
      </c>
      <c r="G1057" t="s">
        <v>74</v>
      </c>
      <c r="H1057" t="s">
        <v>74</v>
      </c>
      <c r="I1057" t="s">
        <v>19842</v>
      </c>
      <c r="J1057" t="s">
        <v>243</v>
      </c>
      <c r="K1057" t="s">
        <v>74</v>
      </c>
      <c r="L1057" t="s">
        <v>74</v>
      </c>
      <c r="M1057" t="s">
        <v>78</v>
      </c>
      <c r="N1057" t="s">
        <v>79</v>
      </c>
      <c r="O1057" t="s">
        <v>74</v>
      </c>
      <c r="P1057" t="s">
        <v>74</v>
      </c>
      <c r="Q1057" t="s">
        <v>74</v>
      </c>
      <c r="R1057" t="s">
        <v>74</v>
      </c>
      <c r="S1057" t="s">
        <v>74</v>
      </c>
      <c r="T1057" t="s">
        <v>19843</v>
      </c>
      <c r="U1057" t="s">
        <v>19844</v>
      </c>
      <c r="V1057" t="s">
        <v>19845</v>
      </c>
      <c r="W1057" t="s">
        <v>19846</v>
      </c>
      <c r="X1057" t="s">
        <v>19847</v>
      </c>
      <c r="Y1057" t="s">
        <v>19848</v>
      </c>
      <c r="Z1057" t="s">
        <v>19849</v>
      </c>
      <c r="AA1057" t="s">
        <v>19850</v>
      </c>
      <c r="AB1057" t="s">
        <v>19851</v>
      </c>
      <c r="AC1057" t="s">
        <v>19852</v>
      </c>
      <c r="AD1057" t="s">
        <v>19853</v>
      </c>
      <c r="AE1057" t="s">
        <v>19854</v>
      </c>
      <c r="AF1057" t="s">
        <v>74</v>
      </c>
      <c r="AG1057">
        <v>78</v>
      </c>
      <c r="AH1057">
        <v>26</v>
      </c>
      <c r="AI1057">
        <v>31</v>
      </c>
      <c r="AJ1057">
        <v>4</v>
      </c>
      <c r="AK1057">
        <v>46</v>
      </c>
      <c r="AL1057" t="s">
        <v>253</v>
      </c>
      <c r="AM1057" t="s">
        <v>227</v>
      </c>
      <c r="AN1057" t="s">
        <v>254</v>
      </c>
      <c r="AO1057" t="s">
        <v>255</v>
      </c>
      <c r="AP1057" t="s">
        <v>256</v>
      </c>
      <c r="AQ1057" t="s">
        <v>74</v>
      </c>
      <c r="AR1057" t="s">
        <v>257</v>
      </c>
      <c r="AS1057" t="s">
        <v>258</v>
      </c>
      <c r="AT1057" t="s">
        <v>74</v>
      </c>
      <c r="AU1057">
        <v>2018</v>
      </c>
      <c r="AV1057">
        <v>13</v>
      </c>
      <c r="AW1057">
        <v>7</v>
      </c>
      <c r="AX1057" t="s">
        <v>74</v>
      </c>
      <c r="AY1057" t="s">
        <v>74</v>
      </c>
      <c r="AZ1057" t="s">
        <v>74</v>
      </c>
      <c r="BA1057" t="s">
        <v>74</v>
      </c>
      <c r="BB1057">
        <v>704</v>
      </c>
      <c r="BC1057">
        <v>715</v>
      </c>
      <c r="BD1057" t="s">
        <v>74</v>
      </c>
      <c r="BE1057" t="s">
        <v>19855</v>
      </c>
      <c r="BF1057" t="str">
        <f>HYPERLINK("http://dx.doi.org/10.1080/17483107.2018.1425747","http://dx.doi.org/10.1080/17483107.2018.1425747")</f>
        <v>http://dx.doi.org/10.1080/17483107.2018.1425747</v>
      </c>
      <c r="BG1057" t="s">
        <v>74</v>
      </c>
      <c r="BH1057" t="s">
        <v>74</v>
      </c>
      <c r="BI1057">
        <v>12</v>
      </c>
      <c r="BJ1057" t="s">
        <v>101</v>
      </c>
      <c r="BK1057" t="s">
        <v>462</v>
      </c>
      <c r="BL1057" t="s">
        <v>101</v>
      </c>
      <c r="BM1057" t="s">
        <v>4138</v>
      </c>
      <c r="BN1057">
        <v>29334467</v>
      </c>
      <c r="BO1057" t="s">
        <v>74</v>
      </c>
      <c r="BP1057" t="s">
        <v>74</v>
      </c>
      <c r="BQ1057" t="s">
        <v>74</v>
      </c>
      <c r="BR1057" t="s">
        <v>105</v>
      </c>
      <c r="BS1057" t="s">
        <v>19856</v>
      </c>
      <c r="BT1057" t="str">
        <f>HYPERLINK("https%3A%2F%2Fwww.webofscience.com%2Fwos%2Fwoscc%2Ffull-record%2FWOS:000442740900011","View Full Record in Web of Science")</f>
        <v>View Full Record in Web of Science</v>
      </c>
    </row>
    <row r="1058" spans="1:72" x14ac:dyDescent="0.25">
      <c r="A1058" t="s">
        <v>72</v>
      </c>
      <c r="B1058" t="s">
        <v>19857</v>
      </c>
      <c r="C1058" t="s">
        <v>74</v>
      </c>
      <c r="D1058" t="s">
        <v>74</v>
      </c>
      <c r="E1058" t="s">
        <v>74</v>
      </c>
      <c r="F1058" t="s">
        <v>19858</v>
      </c>
      <c r="G1058" t="s">
        <v>74</v>
      </c>
      <c r="H1058" t="s">
        <v>74</v>
      </c>
      <c r="I1058" t="s">
        <v>19859</v>
      </c>
      <c r="J1058" t="s">
        <v>13641</v>
      </c>
      <c r="K1058" t="s">
        <v>74</v>
      </c>
      <c r="L1058" t="s">
        <v>74</v>
      </c>
      <c r="M1058" t="s">
        <v>78</v>
      </c>
      <c r="N1058" t="s">
        <v>79</v>
      </c>
      <c r="O1058" t="s">
        <v>74</v>
      </c>
      <c r="P1058" t="s">
        <v>74</v>
      </c>
      <c r="Q1058" t="s">
        <v>74</v>
      </c>
      <c r="R1058" t="s">
        <v>74</v>
      </c>
      <c r="S1058" t="s">
        <v>74</v>
      </c>
      <c r="T1058" t="s">
        <v>74</v>
      </c>
      <c r="U1058" t="s">
        <v>19860</v>
      </c>
      <c r="V1058" t="s">
        <v>19861</v>
      </c>
      <c r="W1058" t="s">
        <v>19862</v>
      </c>
      <c r="X1058" t="s">
        <v>19863</v>
      </c>
      <c r="Y1058" t="s">
        <v>19864</v>
      </c>
      <c r="Z1058" t="s">
        <v>19865</v>
      </c>
      <c r="AA1058" t="s">
        <v>74</v>
      </c>
      <c r="AB1058" t="s">
        <v>19866</v>
      </c>
      <c r="AC1058" t="s">
        <v>19867</v>
      </c>
      <c r="AD1058" t="s">
        <v>19867</v>
      </c>
      <c r="AE1058" t="s">
        <v>19868</v>
      </c>
      <c r="AF1058" t="s">
        <v>74</v>
      </c>
      <c r="AG1058">
        <v>138</v>
      </c>
      <c r="AH1058">
        <v>78</v>
      </c>
      <c r="AI1058">
        <v>85</v>
      </c>
      <c r="AJ1058">
        <v>2</v>
      </c>
      <c r="AK1058">
        <v>37</v>
      </c>
      <c r="AL1058" t="s">
        <v>367</v>
      </c>
      <c r="AM1058" t="s">
        <v>275</v>
      </c>
      <c r="AN1058" t="s">
        <v>368</v>
      </c>
      <c r="AO1058" t="s">
        <v>13652</v>
      </c>
      <c r="AP1058" t="s">
        <v>13653</v>
      </c>
      <c r="AQ1058" t="s">
        <v>74</v>
      </c>
      <c r="AR1058" t="s">
        <v>13654</v>
      </c>
      <c r="AS1058" t="s">
        <v>13655</v>
      </c>
      <c r="AT1058" t="s">
        <v>74</v>
      </c>
      <c r="AU1058">
        <v>2018</v>
      </c>
      <c r="AV1058">
        <v>2018</v>
      </c>
      <c r="AW1058" t="s">
        <v>74</v>
      </c>
      <c r="AX1058" t="s">
        <v>74</v>
      </c>
      <c r="AY1058" t="s">
        <v>74</v>
      </c>
      <c r="AZ1058" t="s">
        <v>74</v>
      </c>
      <c r="BA1058" t="s">
        <v>74</v>
      </c>
      <c r="BB1058" t="s">
        <v>74</v>
      </c>
      <c r="BC1058" t="s">
        <v>74</v>
      </c>
      <c r="BD1058">
        <v>3615368</v>
      </c>
      <c r="BE1058" t="s">
        <v>19869</v>
      </c>
      <c r="BF1058" t="str">
        <f>HYPERLINK("http://dx.doi.org/10.1155/2018/3615368","http://dx.doi.org/10.1155/2018/3615368")</f>
        <v>http://dx.doi.org/10.1155/2018/3615368</v>
      </c>
      <c r="BG1058" t="s">
        <v>74</v>
      </c>
      <c r="BH1058" t="s">
        <v>74</v>
      </c>
      <c r="BI1058">
        <v>15</v>
      </c>
      <c r="BJ1058" t="s">
        <v>1937</v>
      </c>
      <c r="BK1058" t="s">
        <v>182</v>
      </c>
      <c r="BL1058" t="s">
        <v>1938</v>
      </c>
      <c r="BM1058" t="s">
        <v>19870</v>
      </c>
      <c r="BN1058">
        <v>29849756</v>
      </c>
      <c r="BO1058" t="s">
        <v>4568</v>
      </c>
      <c r="BP1058" t="s">
        <v>74</v>
      </c>
      <c r="BQ1058" t="s">
        <v>74</v>
      </c>
      <c r="BR1058" t="s">
        <v>105</v>
      </c>
      <c r="BS1058" t="s">
        <v>19871</v>
      </c>
      <c r="BT1058" t="str">
        <f>HYPERLINK("https%3A%2F%2Fwww.webofscience.com%2Fwos%2Fwoscc%2Ffull-record%2FWOS:000431614100001","View Full Record in Web of Science")</f>
        <v>View Full Record in Web of Science</v>
      </c>
    </row>
    <row r="1059" spans="1:72" x14ac:dyDescent="0.25">
      <c r="A1059" t="s">
        <v>72</v>
      </c>
      <c r="B1059" t="s">
        <v>19872</v>
      </c>
      <c r="C1059" t="s">
        <v>74</v>
      </c>
      <c r="D1059" t="s">
        <v>74</v>
      </c>
      <c r="E1059" t="s">
        <v>74</v>
      </c>
      <c r="F1059" t="s">
        <v>19873</v>
      </c>
      <c r="G1059" t="s">
        <v>74</v>
      </c>
      <c r="H1059" t="s">
        <v>74</v>
      </c>
      <c r="I1059" t="s">
        <v>19874</v>
      </c>
      <c r="J1059" t="s">
        <v>19875</v>
      </c>
      <c r="K1059" t="s">
        <v>74</v>
      </c>
      <c r="L1059" t="s">
        <v>74</v>
      </c>
      <c r="M1059" t="s">
        <v>78</v>
      </c>
      <c r="N1059" t="s">
        <v>79</v>
      </c>
      <c r="O1059" t="s">
        <v>74</v>
      </c>
      <c r="P1059" t="s">
        <v>74</v>
      </c>
      <c r="Q1059" t="s">
        <v>74</v>
      </c>
      <c r="R1059" t="s">
        <v>74</v>
      </c>
      <c r="S1059" t="s">
        <v>74</v>
      </c>
      <c r="T1059" t="s">
        <v>19876</v>
      </c>
      <c r="U1059" t="s">
        <v>19877</v>
      </c>
      <c r="V1059" t="s">
        <v>19878</v>
      </c>
      <c r="W1059" t="s">
        <v>19879</v>
      </c>
      <c r="X1059" t="s">
        <v>19880</v>
      </c>
      <c r="Y1059" t="s">
        <v>19881</v>
      </c>
      <c r="Z1059" t="s">
        <v>19882</v>
      </c>
      <c r="AA1059" t="s">
        <v>19883</v>
      </c>
      <c r="AB1059" t="s">
        <v>19884</v>
      </c>
      <c r="AC1059" t="s">
        <v>19885</v>
      </c>
      <c r="AD1059" t="s">
        <v>19885</v>
      </c>
      <c r="AE1059" t="s">
        <v>19886</v>
      </c>
      <c r="AF1059" t="s">
        <v>74</v>
      </c>
      <c r="AG1059">
        <v>88</v>
      </c>
      <c r="AH1059">
        <v>71</v>
      </c>
      <c r="AI1059">
        <v>77</v>
      </c>
      <c r="AJ1059">
        <v>1</v>
      </c>
      <c r="AK1059">
        <v>31</v>
      </c>
      <c r="AL1059" t="s">
        <v>172</v>
      </c>
      <c r="AM1059" t="s">
        <v>173</v>
      </c>
      <c r="AN1059" t="s">
        <v>174</v>
      </c>
      <c r="AO1059" t="s">
        <v>19887</v>
      </c>
      <c r="AP1059" t="s">
        <v>19888</v>
      </c>
      <c r="AQ1059" t="s">
        <v>74</v>
      </c>
      <c r="AR1059" t="s">
        <v>19889</v>
      </c>
      <c r="AS1059" t="s">
        <v>19890</v>
      </c>
      <c r="AT1059" t="s">
        <v>74</v>
      </c>
      <c r="AU1059">
        <v>2018</v>
      </c>
      <c r="AV1059">
        <v>4</v>
      </c>
      <c r="AW1059" t="s">
        <v>74</v>
      </c>
      <c r="AX1059" t="s">
        <v>74</v>
      </c>
      <c r="AY1059" t="s">
        <v>74</v>
      </c>
      <c r="AZ1059" t="s">
        <v>74</v>
      </c>
      <c r="BA1059" t="s">
        <v>74</v>
      </c>
      <c r="BB1059" t="s">
        <v>74</v>
      </c>
      <c r="BC1059" t="s">
        <v>74</v>
      </c>
      <c r="BD1059">
        <v>53</v>
      </c>
      <c r="BE1059" t="s">
        <v>19891</v>
      </c>
      <c r="BF1059" t="str">
        <f>HYPERLINK("http://dx.doi.org/10.1186/s40798-018-0167-7","http://dx.doi.org/10.1186/s40798-018-0167-7")</f>
        <v>http://dx.doi.org/10.1186/s40798-018-0167-7</v>
      </c>
      <c r="BG1059" t="s">
        <v>74</v>
      </c>
      <c r="BH1059" t="s">
        <v>74</v>
      </c>
      <c r="BI1059">
        <v>22</v>
      </c>
      <c r="BJ1059" t="s">
        <v>19892</v>
      </c>
      <c r="BK1059" t="s">
        <v>182</v>
      </c>
      <c r="BL1059" t="s">
        <v>19892</v>
      </c>
      <c r="BM1059" t="s">
        <v>19893</v>
      </c>
      <c r="BN1059">
        <v>30499058</v>
      </c>
      <c r="BO1059" t="s">
        <v>131</v>
      </c>
      <c r="BP1059" t="s">
        <v>74</v>
      </c>
      <c r="BQ1059" t="s">
        <v>74</v>
      </c>
      <c r="BR1059" t="s">
        <v>105</v>
      </c>
      <c r="BS1059" t="s">
        <v>19894</v>
      </c>
      <c r="BT1059" t="str">
        <f>HYPERLINK("https%3A%2F%2Fwww.webofscience.com%2Fwos%2Fwoscc%2Ffull-record%2FWOS:000514831000053","View Full Record in Web of Science")</f>
        <v>View Full Record in Web of Science</v>
      </c>
    </row>
    <row r="1060" spans="1:72" x14ac:dyDescent="0.25">
      <c r="A1060" t="s">
        <v>72</v>
      </c>
      <c r="B1060" t="s">
        <v>19895</v>
      </c>
      <c r="C1060" t="s">
        <v>74</v>
      </c>
      <c r="D1060" t="s">
        <v>74</v>
      </c>
      <c r="E1060" t="s">
        <v>74</v>
      </c>
      <c r="F1060" t="s">
        <v>19896</v>
      </c>
      <c r="G1060" t="s">
        <v>74</v>
      </c>
      <c r="H1060" t="s">
        <v>74</v>
      </c>
      <c r="I1060" t="s">
        <v>19897</v>
      </c>
      <c r="J1060" t="s">
        <v>6967</v>
      </c>
      <c r="K1060" t="s">
        <v>74</v>
      </c>
      <c r="L1060" t="s">
        <v>74</v>
      </c>
      <c r="M1060" t="s">
        <v>78</v>
      </c>
      <c r="N1060" t="s">
        <v>79</v>
      </c>
      <c r="O1060" t="s">
        <v>74</v>
      </c>
      <c r="P1060" t="s">
        <v>74</v>
      </c>
      <c r="Q1060" t="s">
        <v>74</v>
      </c>
      <c r="R1060" t="s">
        <v>74</v>
      </c>
      <c r="S1060" t="s">
        <v>74</v>
      </c>
      <c r="T1060" t="s">
        <v>19898</v>
      </c>
      <c r="U1060" t="s">
        <v>19899</v>
      </c>
      <c r="V1060" t="s">
        <v>19900</v>
      </c>
      <c r="W1060" t="s">
        <v>19901</v>
      </c>
      <c r="X1060" t="s">
        <v>19902</v>
      </c>
      <c r="Y1060" t="s">
        <v>19903</v>
      </c>
      <c r="Z1060" t="s">
        <v>19904</v>
      </c>
      <c r="AA1060" t="s">
        <v>74</v>
      </c>
      <c r="AB1060" t="s">
        <v>74</v>
      </c>
      <c r="AC1060" t="s">
        <v>74</v>
      </c>
      <c r="AD1060" t="s">
        <v>74</v>
      </c>
      <c r="AE1060" t="s">
        <v>74</v>
      </c>
      <c r="AF1060" t="s">
        <v>74</v>
      </c>
      <c r="AG1060">
        <v>41</v>
      </c>
      <c r="AH1060">
        <v>71</v>
      </c>
      <c r="AI1060">
        <v>85</v>
      </c>
      <c r="AJ1060">
        <v>1</v>
      </c>
      <c r="AK1060">
        <v>59</v>
      </c>
      <c r="AL1060" t="s">
        <v>9434</v>
      </c>
      <c r="AM1060" t="s">
        <v>1606</v>
      </c>
      <c r="AN1060" t="s">
        <v>9435</v>
      </c>
      <c r="AO1060" t="s">
        <v>6979</v>
      </c>
      <c r="AP1060" t="s">
        <v>6980</v>
      </c>
      <c r="AQ1060" t="s">
        <v>74</v>
      </c>
      <c r="AR1060" t="s">
        <v>6967</v>
      </c>
      <c r="AS1060" t="s">
        <v>6981</v>
      </c>
      <c r="AT1060" t="s">
        <v>74</v>
      </c>
      <c r="AU1060">
        <v>2018</v>
      </c>
      <c r="AV1060">
        <v>43</v>
      </c>
      <c r="AW1060">
        <v>1</v>
      </c>
      <c r="AX1060" t="s">
        <v>74</v>
      </c>
      <c r="AY1060" t="s">
        <v>74</v>
      </c>
      <c r="AZ1060" t="s">
        <v>74</v>
      </c>
      <c r="BA1060" t="s">
        <v>74</v>
      </c>
      <c r="BB1060">
        <v>99</v>
      </c>
      <c r="BC1060">
        <v>110</v>
      </c>
      <c r="BD1060" t="s">
        <v>74</v>
      </c>
      <c r="BE1060" t="s">
        <v>19905</v>
      </c>
      <c r="BF1060" t="str">
        <f>HYPERLINK("http://dx.doi.org/10.3233/NRE-172408","http://dx.doi.org/10.3233/NRE-172408")</f>
        <v>http://dx.doi.org/10.3233/NRE-172408</v>
      </c>
      <c r="BG1060" t="s">
        <v>74</v>
      </c>
      <c r="BH1060" t="s">
        <v>74</v>
      </c>
      <c r="BI1060">
        <v>12</v>
      </c>
      <c r="BJ1060" t="s">
        <v>1049</v>
      </c>
      <c r="BK1060" t="s">
        <v>102</v>
      </c>
      <c r="BL1060" t="s">
        <v>1050</v>
      </c>
      <c r="BM1060" t="s">
        <v>19906</v>
      </c>
      <c r="BN1060">
        <v>30056437</v>
      </c>
      <c r="BO1060" t="s">
        <v>74</v>
      </c>
      <c r="BP1060" t="s">
        <v>74</v>
      </c>
      <c r="BQ1060" t="s">
        <v>74</v>
      </c>
      <c r="BR1060" t="s">
        <v>105</v>
      </c>
      <c r="BS1060" t="s">
        <v>19907</v>
      </c>
      <c r="BT1060" t="str">
        <f>HYPERLINK("https%3A%2F%2Fwww.webofscience.com%2Fwos%2Fwoscc%2Ffull-record%2FWOS:000440049700009","View Full Record in Web of Science")</f>
        <v>View Full Record in Web of Science</v>
      </c>
    </row>
    <row r="1061" spans="1:72" x14ac:dyDescent="0.25">
      <c r="A1061" t="s">
        <v>72</v>
      </c>
      <c r="B1061" t="s">
        <v>19908</v>
      </c>
      <c r="C1061" t="s">
        <v>74</v>
      </c>
      <c r="D1061" t="s">
        <v>74</v>
      </c>
      <c r="E1061" t="s">
        <v>74</v>
      </c>
      <c r="F1061" t="s">
        <v>19909</v>
      </c>
      <c r="G1061" t="s">
        <v>74</v>
      </c>
      <c r="H1061" t="s">
        <v>74</v>
      </c>
      <c r="I1061" t="s">
        <v>19910</v>
      </c>
      <c r="J1061" t="s">
        <v>2233</v>
      </c>
      <c r="K1061" t="s">
        <v>74</v>
      </c>
      <c r="L1061" t="s">
        <v>74</v>
      </c>
      <c r="M1061" t="s">
        <v>78</v>
      </c>
      <c r="N1061" t="s">
        <v>79</v>
      </c>
      <c r="O1061" t="s">
        <v>74</v>
      </c>
      <c r="P1061" t="s">
        <v>74</v>
      </c>
      <c r="Q1061" t="s">
        <v>74</v>
      </c>
      <c r="R1061" t="s">
        <v>74</v>
      </c>
      <c r="S1061" t="s">
        <v>74</v>
      </c>
      <c r="T1061" t="s">
        <v>74</v>
      </c>
      <c r="U1061" t="s">
        <v>19911</v>
      </c>
      <c r="V1061" t="s">
        <v>19912</v>
      </c>
      <c r="W1061" t="s">
        <v>19913</v>
      </c>
      <c r="X1061" t="s">
        <v>19914</v>
      </c>
      <c r="Y1061" t="s">
        <v>19915</v>
      </c>
      <c r="Z1061" t="s">
        <v>19916</v>
      </c>
      <c r="AA1061" t="s">
        <v>19917</v>
      </c>
      <c r="AB1061" t="s">
        <v>19918</v>
      </c>
      <c r="AC1061" t="s">
        <v>74</v>
      </c>
      <c r="AD1061" t="s">
        <v>74</v>
      </c>
      <c r="AE1061" t="s">
        <v>74</v>
      </c>
      <c r="AF1061" t="s">
        <v>74</v>
      </c>
      <c r="AG1061">
        <v>71</v>
      </c>
      <c r="AH1061">
        <v>23</v>
      </c>
      <c r="AI1061">
        <v>28</v>
      </c>
      <c r="AJ1061">
        <v>6</v>
      </c>
      <c r="AK1061">
        <v>62</v>
      </c>
      <c r="AL1061" t="s">
        <v>367</v>
      </c>
      <c r="AM1061" t="s">
        <v>275</v>
      </c>
      <c r="AN1061" t="s">
        <v>368</v>
      </c>
      <c r="AO1061" t="s">
        <v>2240</v>
      </c>
      <c r="AP1061" t="s">
        <v>2241</v>
      </c>
      <c r="AQ1061" t="s">
        <v>74</v>
      </c>
      <c r="AR1061" t="s">
        <v>2242</v>
      </c>
      <c r="AS1061" t="s">
        <v>2243</v>
      </c>
      <c r="AT1061" t="s">
        <v>74</v>
      </c>
      <c r="AU1061">
        <v>2018</v>
      </c>
      <c r="AV1061">
        <v>2018</v>
      </c>
      <c r="AW1061" t="s">
        <v>74</v>
      </c>
      <c r="AX1061" t="s">
        <v>74</v>
      </c>
      <c r="AY1061" t="s">
        <v>74</v>
      </c>
      <c r="AZ1061" t="s">
        <v>74</v>
      </c>
      <c r="BA1061" t="s">
        <v>74</v>
      </c>
      <c r="BB1061" t="s">
        <v>74</v>
      </c>
      <c r="BC1061" t="s">
        <v>74</v>
      </c>
      <c r="BD1061">
        <v>2858294</v>
      </c>
      <c r="BE1061" t="s">
        <v>19919</v>
      </c>
      <c r="BF1061" t="str">
        <f>HYPERLINK("http://dx.doi.org/10.1155/2018/2858294","http://dx.doi.org/10.1155/2018/2858294")</f>
        <v>http://dx.doi.org/10.1155/2018/2858294</v>
      </c>
      <c r="BG1061" t="s">
        <v>74</v>
      </c>
      <c r="BH1061" t="s">
        <v>74</v>
      </c>
      <c r="BI1061">
        <v>12</v>
      </c>
      <c r="BJ1061" t="s">
        <v>423</v>
      </c>
      <c r="BK1061" t="s">
        <v>102</v>
      </c>
      <c r="BL1061" t="s">
        <v>423</v>
      </c>
      <c r="BM1061" t="s">
        <v>19920</v>
      </c>
      <c r="BN1061">
        <v>29675142</v>
      </c>
      <c r="BO1061" t="s">
        <v>238</v>
      </c>
      <c r="BP1061" t="s">
        <v>74</v>
      </c>
      <c r="BQ1061" t="s">
        <v>74</v>
      </c>
      <c r="BR1061" t="s">
        <v>105</v>
      </c>
      <c r="BS1061" t="s">
        <v>19921</v>
      </c>
      <c r="BT1061" t="str">
        <f>HYPERLINK("https%3A%2F%2Fwww.webofscience.com%2Fwos%2Fwoscc%2Ffull-record%2FWOS:000426771100001","View Full Record in Web of Science")</f>
        <v>View Full Record in Web of Science</v>
      </c>
    </row>
    <row r="1062" spans="1:72" x14ac:dyDescent="0.25">
      <c r="A1062" t="s">
        <v>72</v>
      </c>
      <c r="B1062" t="s">
        <v>19922</v>
      </c>
      <c r="C1062" t="s">
        <v>74</v>
      </c>
      <c r="D1062" t="s">
        <v>74</v>
      </c>
      <c r="E1062" t="s">
        <v>74</v>
      </c>
      <c r="F1062" t="s">
        <v>19923</v>
      </c>
      <c r="G1062" t="s">
        <v>74</v>
      </c>
      <c r="H1062" t="s">
        <v>74</v>
      </c>
      <c r="I1062" t="s">
        <v>19924</v>
      </c>
      <c r="J1062" t="s">
        <v>19925</v>
      </c>
      <c r="K1062" t="s">
        <v>74</v>
      </c>
      <c r="L1062" t="s">
        <v>74</v>
      </c>
      <c r="M1062" t="s">
        <v>78</v>
      </c>
      <c r="N1062" t="s">
        <v>79</v>
      </c>
      <c r="O1062" t="s">
        <v>74</v>
      </c>
      <c r="P1062" t="s">
        <v>74</v>
      </c>
      <c r="Q1062" t="s">
        <v>74</v>
      </c>
      <c r="R1062" t="s">
        <v>74</v>
      </c>
      <c r="S1062" t="s">
        <v>74</v>
      </c>
      <c r="T1062" t="s">
        <v>74</v>
      </c>
      <c r="U1062" t="s">
        <v>19926</v>
      </c>
      <c r="V1062" t="s">
        <v>19927</v>
      </c>
      <c r="W1062" t="s">
        <v>19928</v>
      </c>
      <c r="X1062" t="s">
        <v>13512</v>
      </c>
      <c r="Y1062" t="s">
        <v>19929</v>
      </c>
      <c r="Z1062" t="s">
        <v>18217</v>
      </c>
      <c r="AA1062" t="s">
        <v>19930</v>
      </c>
      <c r="AB1062" t="s">
        <v>19931</v>
      </c>
      <c r="AC1062" t="s">
        <v>74</v>
      </c>
      <c r="AD1062" t="s">
        <v>74</v>
      </c>
      <c r="AE1062" t="s">
        <v>74</v>
      </c>
      <c r="AF1062" t="s">
        <v>74</v>
      </c>
      <c r="AG1062">
        <v>103</v>
      </c>
      <c r="AH1062">
        <v>23</v>
      </c>
      <c r="AI1062">
        <v>24</v>
      </c>
      <c r="AJ1062">
        <v>4</v>
      </c>
      <c r="AK1062">
        <v>79</v>
      </c>
      <c r="AL1062" t="s">
        <v>367</v>
      </c>
      <c r="AM1062" t="s">
        <v>275</v>
      </c>
      <c r="AN1062" t="s">
        <v>368</v>
      </c>
      <c r="AO1062" t="s">
        <v>19932</v>
      </c>
      <c r="AP1062" t="s">
        <v>19933</v>
      </c>
      <c r="AQ1062" t="s">
        <v>74</v>
      </c>
      <c r="AR1062" t="s">
        <v>19934</v>
      </c>
      <c r="AS1062" t="s">
        <v>19935</v>
      </c>
      <c r="AT1062" t="s">
        <v>74</v>
      </c>
      <c r="AU1062">
        <v>2018</v>
      </c>
      <c r="AV1062">
        <v>2018</v>
      </c>
      <c r="AW1062" t="s">
        <v>74</v>
      </c>
      <c r="AX1062" t="s">
        <v>74</v>
      </c>
      <c r="AY1062" t="s">
        <v>74</v>
      </c>
      <c r="AZ1062" t="s">
        <v>74</v>
      </c>
      <c r="BA1062" t="s">
        <v>74</v>
      </c>
      <c r="BB1062" t="s">
        <v>74</v>
      </c>
      <c r="BC1062" t="s">
        <v>74</v>
      </c>
      <c r="BD1062">
        <v>6737056</v>
      </c>
      <c r="BE1062" t="s">
        <v>19936</v>
      </c>
      <c r="BF1062" t="str">
        <f>HYPERLINK("http://dx.doi.org/10.1155/2018/6737056","http://dx.doi.org/10.1155/2018/6737056")</f>
        <v>http://dx.doi.org/10.1155/2018/6737056</v>
      </c>
      <c r="BG1062" t="s">
        <v>74</v>
      </c>
      <c r="BH1062" t="s">
        <v>74</v>
      </c>
      <c r="BI1062">
        <v>14</v>
      </c>
      <c r="BJ1062" t="s">
        <v>541</v>
      </c>
      <c r="BK1062" t="s">
        <v>182</v>
      </c>
      <c r="BL1062" t="s">
        <v>375</v>
      </c>
      <c r="BM1062" t="s">
        <v>19937</v>
      </c>
      <c r="BN1062">
        <v>30651892</v>
      </c>
      <c r="BO1062" t="s">
        <v>2959</v>
      </c>
      <c r="BP1062" t="s">
        <v>74</v>
      </c>
      <c r="BQ1062" t="s">
        <v>74</v>
      </c>
      <c r="BR1062" t="s">
        <v>105</v>
      </c>
      <c r="BS1062" t="s">
        <v>19938</v>
      </c>
      <c r="BT1062" t="str">
        <f>HYPERLINK("https%3A%2F%2Fwww.webofscience.com%2Fwos%2Fwoscc%2Ffull-record%2FWOS:000460302400001","View Full Record in Web of Science")</f>
        <v>View Full Record in Web of Science</v>
      </c>
    </row>
    <row r="1063" spans="1:72" x14ac:dyDescent="0.25">
      <c r="A1063" t="s">
        <v>72</v>
      </c>
      <c r="B1063" t="s">
        <v>19939</v>
      </c>
      <c r="C1063" t="s">
        <v>74</v>
      </c>
      <c r="D1063" t="s">
        <v>74</v>
      </c>
      <c r="E1063" t="s">
        <v>74</v>
      </c>
      <c r="F1063" t="s">
        <v>19940</v>
      </c>
      <c r="G1063" t="s">
        <v>74</v>
      </c>
      <c r="H1063" t="s">
        <v>74</v>
      </c>
      <c r="I1063" t="s">
        <v>19941</v>
      </c>
      <c r="J1063" t="s">
        <v>594</v>
      </c>
      <c r="K1063" t="s">
        <v>74</v>
      </c>
      <c r="L1063" t="s">
        <v>74</v>
      </c>
      <c r="M1063" t="s">
        <v>78</v>
      </c>
      <c r="N1063" t="s">
        <v>79</v>
      </c>
      <c r="O1063" t="s">
        <v>74</v>
      </c>
      <c r="P1063" t="s">
        <v>74</v>
      </c>
      <c r="Q1063" t="s">
        <v>74</v>
      </c>
      <c r="R1063" t="s">
        <v>74</v>
      </c>
      <c r="S1063" t="s">
        <v>74</v>
      </c>
      <c r="T1063" t="s">
        <v>19942</v>
      </c>
      <c r="U1063" t="s">
        <v>19943</v>
      </c>
      <c r="V1063" t="s">
        <v>19944</v>
      </c>
      <c r="W1063" t="s">
        <v>19945</v>
      </c>
      <c r="X1063" t="s">
        <v>19946</v>
      </c>
      <c r="Y1063" t="s">
        <v>19947</v>
      </c>
      <c r="Z1063" t="s">
        <v>19948</v>
      </c>
      <c r="AA1063" t="s">
        <v>19949</v>
      </c>
      <c r="AB1063" t="s">
        <v>19950</v>
      </c>
      <c r="AC1063" t="s">
        <v>74</v>
      </c>
      <c r="AD1063" t="s">
        <v>74</v>
      </c>
      <c r="AE1063" t="s">
        <v>74</v>
      </c>
      <c r="AF1063" t="s">
        <v>74</v>
      </c>
      <c r="AG1063">
        <v>49</v>
      </c>
      <c r="AH1063">
        <v>82</v>
      </c>
      <c r="AI1063">
        <v>89</v>
      </c>
      <c r="AJ1063">
        <v>0</v>
      </c>
      <c r="AK1063">
        <v>36</v>
      </c>
      <c r="AL1063" t="s">
        <v>274</v>
      </c>
      <c r="AM1063" t="s">
        <v>275</v>
      </c>
      <c r="AN1063" t="s">
        <v>276</v>
      </c>
      <c r="AO1063" t="s">
        <v>606</v>
      </c>
      <c r="AP1063" t="s">
        <v>74</v>
      </c>
      <c r="AQ1063" t="s">
        <v>74</v>
      </c>
      <c r="AR1063" t="s">
        <v>607</v>
      </c>
      <c r="AS1063" t="s">
        <v>608</v>
      </c>
      <c r="AT1063" t="s">
        <v>9591</v>
      </c>
      <c r="AU1063">
        <v>2017</v>
      </c>
      <c r="AV1063">
        <v>14</v>
      </c>
      <c r="AW1063" t="s">
        <v>74</v>
      </c>
      <c r="AX1063" t="s">
        <v>74</v>
      </c>
      <c r="AY1063" t="s">
        <v>74</v>
      </c>
      <c r="AZ1063" t="s">
        <v>74</v>
      </c>
      <c r="BA1063" t="s">
        <v>74</v>
      </c>
      <c r="BB1063" t="s">
        <v>74</v>
      </c>
      <c r="BC1063" t="s">
        <v>74</v>
      </c>
      <c r="BD1063">
        <v>126</v>
      </c>
      <c r="BE1063" t="s">
        <v>19951</v>
      </c>
      <c r="BF1063" t="str">
        <f>HYPERLINK("http://dx.doi.org/10.1186/s12984-017-0338-7","http://dx.doi.org/10.1186/s12984-017-0338-7")</f>
        <v>http://dx.doi.org/10.1186/s12984-017-0338-7</v>
      </c>
      <c r="BG1063" t="s">
        <v>74</v>
      </c>
      <c r="BH1063" t="s">
        <v>74</v>
      </c>
      <c r="BI1063">
        <v>7</v>
      </c>
      <c r="BJ1063" t="s">
        <v>611</v>
      </c>
      <c r="BK1063" t="s">
        <v>102</v>
      </c>
      <c r="BL1063" t="s">
        <v>612</v>
      </c>
      <c r="BM1063" t="s">
        <v>19952</v>
      </c>
      <c r="BN1063">
        <v>29202845</v>
      </c>
      <c r="BO1063" t="s">
        <v>355</v>
      </c>
      <c r="BP1063" t="s">
        <v>74</v>
      </c>
      <c r="BQ1063" t="s">
        <v>74</v>
      </c>
      <c r="BR1063" t="s">
        <v>105</v>
      </c>
      <c r="BS1063" t="s">
        <v>19953</v>
      </c>
      <c r="BT1063" t="str">
        <f>HYPERLINK("https%3A%2F%2Fwww.webofscience.com%2Fwos%2Fwoscc%2Ffull-record%2FWOS:000417076400001","View Full Record in Web of Science")</f>
        <v>View Full Record in Web of Science</v>
      </c>
    </row>
    <row r="1064" spans="1:72" x14ac:dyDescent="0.25">
      <c r="A1064" t="s">
        <v>72</v>
      </c>
      <c r="B1064" t="s">
        <v>19954</v>
      </c>
      <c r="C1064" t="s">
        <v>74</v>
      </c>
      <c r="D1064" t="s">
        <v>74</v>
      </c>
      <c r="E1064" t="s">
        <v>74</v>
      </c>
      <c r="F1064" t="s">
        <v>19955</v>
      </c>
      <c r="G1064" t="s">
        <v>74</v>
      </c>
      <c r="H1064" t="s">
        <v>74</v>
      </c>
      <c r="I1064" t="s">
        <v>19956</v>
      </c>
      <c r="J1064" t="s">
        <v>19957</v>
      </c>
      <c r="K1064" t="s">
        <v>74</v>
      </c>
      <c r="L1064" t="s">
        <v>74</v>
      </c>
      <c r="M1064" t="s">
        <v>78</v>
      </c>
      <c r="N1064" t="s">
        <v>79</v>
      </c>
      <c r="O1064" t="s">
        <v>74</v>
      </c>
      <c r="P1064" t="s">
        <v>74</v>
      </c>
      <c r="Q1064" t="s">
        <v>74</v>
      </c>
      <c r="R1064" t="s">
        <v>74</v>
      </c>
      <c r="S1064" t="s">
        <v>74</v>
      </c>
      <c r="T1064" t="s">
        <v>19958</v>
      </c>
      <c r="U1064" t="s">
        <v>19959</v>
      </c>
      <c r="V1064" t="s">
        <v>19960</v>
      </c>
      <c r="W1064" t="s">
        <v>19961</v>
      </c>
      <c r="X1064" t="s">
        <v>19962</v>
      </c>
      <c r="Y1064" t="s">
        <v>19963</v>
      </c>
      <c r="Z1064" t="s">
        <v>19964</v>
      </c>
      <c r="AA1064" t="s">
        <v>19965</v>
      </c>
      <c r="AB1064" t="s">
        <v>19966</v>
      </c>
      <c r="AC1064" t="s">
        <v>74</v>
      </c>
      <c r="AD1064" t="s">
        <v>74</v>
      </c>
      <c r="AE1064" t="s">
        <v>74</v>
      </c>
      <c r="AF1064" t="s">
        <v>74</v>
      </c>
      <c r="AG1064">
        <v>57</v>
      </c>
      <c r="AH1064">
        <v>161</v>
      </c>
      <c r="AI1064">
        <v>171</v>
      </c>
      <c r="AJ1064">
        <v>4</v>
      </c>
      <c r="AK1064">
        <v>126</v>
      </c>
      <c r="AL1064" t="s">
        <v>1040</v>
      </c>
      <c r="AM1064" t="s">
        <v>1041</v>
      </c>
      <c r="AN1064" t="s">
        <v>1042</v>
      </c>
      <c r="AO1064" t="s">
        <v>19967</v>
      </c>
      <c r="AP1064" t="s">
        <v>74</v>
      </c>
      <c r="AQ1064" t="s">
        <v>74</v>
      </c>
      <c r="AR1064" t="s">
        <v>19968</v>
      </c>
      <c r="AS1064" t="s">
        <v>19969</v>
      </c>
      <c r="AT1064" t="s">
        <v>9591</v>
      </c>
      <c r="AU1064">
        <v>2017</v>
      </c>
      <c r="AV1064">
        <v>14</v>
      </c>
      <c r="AW1064">
        <v>6</v>
      </c>
      <c r="AX1064" t="s">
        <v>74</v>
      </c>
      <c r="AY1064" t="s">
        <v>74</v>
      </c>
      <c r="AZ1064" t="s">
        <v>74</v>
      </c>
      <c r="BA1064" t="s">
        <v>74</v>
      </c>
      <c r="BB1064" t="s">
        <v>74</v>
      </c>
      <c r="BC1064" t="s">
        <v>74</v>
      </c>
      <c r="BD1064">
        <v>1729881417743554</v>
      </c>
      <c r="BE1064" t="s">
        <v>19970</v>
      </c>
      <c r="BF1064" t="str">
        <f>HYPERLINK("http://dx.doi.org/10.1177/1729881417743554","http://dx.doi.org/10.1177/1729881417743554")</f>
        <v>http://dx.doi.org/10.1177/1729881417743554</v>
      </c>
      <c r="BG1064" t="s">
        <v>74</v>
      </c>
      <c r="BH1064" t="s">
        <v>74</v>
      </c>
      <c r="BI1064">
        <v>27</v>
      </c>
      <c r="BJ1064" t="s">
        <v>714</v>
      </c>
      <c r="BK1064" t="s">
        <v>182</v>
      </c>
      <c r="BL1064" t="s">
        <v>714</v>
      </c>
      <c r="BM1064" t="s">
        <v>19971</v>
      </c>
      <c r="BN1064" t="s">
        <v>74</v>
      </c>
      <c r="BO1064" t="s">
        <v>355</v>
      </c>
      <c r="BP1064" t="s">
        <v>74</v>
      </c>
      <c r="BQ1064" t="s">
        <v>74</v>
      </c>
      <c r="BR1064" t="s">
        <v>105</v>
      </c>
      <c r="BS1064" t="s">
        <v>19972</v>
      </c>
      <c r="BT1064" t="str">
        <f>HYPERLINK("https%3A%2F%2Fwww.webofscience.com%2Fwos%2Fwoscc%2Ffull-record%2FWOS:000417219300001","View Full Record in Web of Science")</f>
        <v>View Full Record in Web of Science</v>
      </c>
    </row>
    <row r="1065" spans="1:72" x14ac:dyDescent="0.25">
      <c r="A1065" t="s">
        <v>72</v>
      </c>
      <c r="B1065" t="s">
        <v>19973</v>
      </c>
      <c r="C1065" t="s">
        <v>74</v>
      </c>
      <c r="D1065" t="s">
        <v>74</v>
      </c>
      <c r="E1065" t="s">
        <v>74</v>
      </c>
      <c r="F1065" t="s">
        <v>19974</v>
      </c>
      <c r="G1065" t="s">
        <v>74</v>
      </c>
      <c r="H1065" t="s">
        <v>74</v>
      </c>
      <c r="I1065" t="s">
        <v>19975</v>
      </c>
      <c r="J1065" t="s">
        <v>19976</v>
      </c>
      <c r="K1065" t="s">
        <v>74</v>
      </c>
      <c r="L1065" t="s">
        <v>74</v>
      </c>
      <c r="M1065" t="s">
        <v>78</v>
      </c>
      <c r="N1065" t="s">
        <v>79</v>
      </c>
      <c r="O1065" t="s">
        <v>74</v>
      </c>
      <c r="P1065" t="s">
        <v>74</v>
      </c>
      <c r="Q1065" t="s">
        <v>74</v>
      </c>
      <c r="R1065" t="s">
        <v>74</v>
      </c>
      <c r="S1065" t="s">
        <v>74</v>
      </c>
      <c r="T1065" t="s">
        <v>19977</v>
      </c>
      <c r="U1065" t="s">
        <v>19978</v>
      </c>
      <c r="V1065" t="s">
        <v>19979</v>
      </c>
      <c r="W1065" t="s">
        <v>19980</v>
      </c>
      <c r="X1065" t="s">
        <v>19981</v>
      </c>
      <c r="Y1065" t="s">
        <v>19982</v>
      </c>
      <c r="Z1065" t="s">
        <v>19983</v>
      </c>
      <c r="AA1065" t="s">
        <v>19984</v>
      </c>
      <c r="AB1065" t="s">
        <v>19985</v>
      </c>
      <c r="AC1065" t="s">
        <v>19986</v>
      </c>
      <c r="AD1065" t="s">
        <v>19987</v>
      </c>
      <c r="AE1065" t="s">
        <v>19988</v>
      </c>
      <c r="AF1065" t="s">
        <v>74</v>
      </c>
      <c r="AG1065">
        <v>35</v>
      </c>
      <c r="AH1065">
        <v>37</v>
      </c>
      <c r="AI1065">
        <v>38</v>
      </c>
      <c r="AJ1065">
        <v>3</v>
      </c>
      <c r="AK1065">
        <v>27</v>
      </c>
      <c r="AL1065" t="s">
        <v>557</v>
      </c>
      <c r="AM1065" t="s">
        <v>275</v>
      </c>
      <c r="AN1065" t="s">
        <v>558</v>
      </c>
      <c r="AO1065" t="s">
        <v>19989</v>
      </c>
      <c r="AP1065" t="s">
        <v>19990</v>
      </c>
      <c r="AQ1065" t="s">
        <v>74</v>
      </c>
      <c r="AR1065" t="s">
        <v>19991</v>
      </c>
      <c r="AS1065" t="s">
        <v>19992</v>
      </c>
      <c r="AT1065" t="s">
        <v>151</v>
      </c>
      <c r="AU1065">
        <v>2017</v>
      </c>
      <c r="AV1065">
        <v>45</v>
      </c>
      <c r="AW1065">
        <v>6</v>
      </c>
      <c r="AX1065" t="s">
        <v>74</v>
      </c>
      <c r="AY1065" t="s">
        <v>74</v>
      </c>
      <c r="AZ1065" t="s">
        <v>152</v>
      </c>
      <c r="BA1065" t="s">
        <v>74</v>
      </c>
      <c r="BB1065">
        <v>1831</v>
      </c>
      <c r="BC1065">
        <v>1847</v>
      </c>
      <c r="BD1065" t="s">
        <v>74</v>
      </c>
      <c r="BE1065" t="s">
        <v>19993</v>
      </c>
      <c r="BF1065" t="str">
        <f>HYPERLINK("http://dx.doi.org/10.1177/0300060516656689","http://dx.doi.org/10.1177/0300060516656689")</f>
        <v>http://dx.doi.org/10.1177/0300060516656689</v>
      </c>
      <c r="BG1065" t="s">
        <v>74</v>
      </c>
      <c r="BH1065" t="s">
        <v>74</v>
      </c>
      <c r="BI1065">
        <v>17</v>
      </c>
      <c r="BJ1065" t="s">
        <v>19994</v>
      </c>
      <c r="BK1065" t="s">
        <v>182</v>
      </c>
      <c r="BL1065" t="s">
        <v>19995</v>
      </c>
      <c r="BM1065" t="s">
        <v>19996</v>
      </c>
      <c r="BN1065">
        <v>27677300</v>
      </c>
      <c r="BO1065" t="s">
        <v>131</v>
      </c>
      <c r="BP1065" t="s">
        <v>74</v>
      </c>
      <c r="BQ1065" t="s">
        <v>74</v>
      </c>
      <c r="BR1065" t="s">
        <v>105</v>
      </c>
      <c r="BS1065" t="s">
        <v>19997</v>
      </c>
      <c r="BT1065" t="str">
        <f>HYPERLINK("https%3A%2F%2Fwww.webofscience.com%2Fwos%2Fwoscc%2Ffull-record%2FWOS:000419863400021","View Full Record in Web of Science")</f>
        <v>View Full Record in Web of Science</v>
      </c>
    </row>
    <row r="1066" spans="1:72" x14ac:dyDescent="0.25">
      <c r="A1066" t="s">
        <v>72</v>
      </c>
      <c r="B1066" t="s">
        <v>19998</v>
      </c>
      <c r="C1066" t="s">
        <v>74</v>
      </c>
      <c r="D1066" t="s">
        <v>74</v>
      </c>
      <c r="E1066" t="s">
        <v>74</v>
      </c>
      <c r="F1066" t="s">
        <v>19999</v>
      </c>
      <c r="G1066" t="s">
        <v>74</v>
      </c>
      <c r="H1066" t="s">
        <v>74</v>
      </c>
      <c r="I1066" t="s">
        <v>20000</v>
      </c>
      <c r="J1066" t="s">
        <v>10852</v>
      </c>
      <c r="K1066" t="s">
        <v>74</v>
      </c>
      <c r="L1066" t="s">
        <v>74</v>
      </c>
      <c r="M1066" t="s">
        <v>78</v>
      </c>
      <c r="N1066" t="s">
        <v>79</v>
      </c>
      <c r="O1066" t="s">
        <v>74</v>
      </c>
      <c r="P1066" t="s">
        <v>74</v>
      </c>
      <c r="Q1066" t="s">
        <v>74</v>
      </c>
      <c r="R1066" t="s">
        <v>74</v>
      </c>
      <c r="S1066" t="s">
        <v>74</v>
      </c>
      <c r="T1066" t="s">
        <v>20001</v>
      </c>
      <c r="U1066" t="s">
        <v>20002</v>
      </c>
      <c r="V1066" t="s">
        <v>20003</v>
      </c>
      <c r="W1066" t="s">
        <v>20004</v>
      </c>
      <c r="X1066" t="s">
        <v>20005</v>
      </c>
      <c r="Y1066" t="s">
        <v>20006</v>
      </c>
      <c r="Z1066" t="s">
        <v>20007</v>
      </c>
      <c r="AA1066" t="s">
        <v>20008</v>
      </c>
      <c r="AB1066" t="s">
        <v>20009</v>
      </c>
      <c r="AC1066" t="s">
        <v>20010</v>
      </c>
      <c r="AD1066" t="s">
        <v>20011</v>
      </c>
      <c r="AE1066" t="s">
        <v>20012</v>
      </c>
      <c r="AF1066" t="s">
        <v>74</v>
      </c>
      <c r="AG1066">
        <v>182</v>
      </c>
      <c r="AH1066">
        <v>31</v>
      </c>
      <c r="AI1066">
        <v>34</v>
      </c>
      <c r="AJ1066">
        <v>2</v>
      </c>
      <c r="AK1066">
        <v>23</v>
      </c>
      <c r="AL1066" t="s">
        <v>392</v>
      </c>
      <c r="AM1066" t="s">
        <v>393</v>
      </c>
      <c r="AN1066" t="s">
        <v>394</v>
      </c>
      <c r="AO1066" t="s">
        <v>74</v>
      </c>
      <c r="AP1066" t="s">
        <v>10865</v>
      </c>
      <c r="AQ1066" t="s">
        <v>74</v>
      </c>
      <c r="AR1066" t="s">
        <v>10866</v>
      </c>
      <c r="AS1066" t="s">
        <v>10867</v>
      </c>
      <c r="AT1066" t="s">
        <v>20013</v>
      </c>
      <c r="AU1066">
        <v>2017</v>
      </c>
      <c r="AV1066">
        <v>8</v>
      </c>
      <c r="AW1066" t="s">
        <v>74</v>
      </c>
      <c r="AX1066" t="s">
        <v>74</v>
      </c>
      <c r="AY1066" t="s">
        <v>74</v>
      </c>
      <c r="AZ1066" t="s">
        <v>74</v>
      </c>
      <c r="BA1066" t="s">
        <v>74</v>
      </c>
      <c r="BB1066" t="s">
        <v>74</v>
      </c>
      <c r="BC1066" t="s">
        <v>74</v>
      </c>
      <c r="BD1066">
        <v>893</v>
      </c>
      <c r="BE1066" t="s">
        <v>20014</v>
      </c>
      <c r="BF1066" t="str">
        <f>HYPERLINK("http://dx.doi.org/10.3389/fphys.2017.00893","http://dx.doi.org/10.3389/fphys.2017.00893")</f>
        <v>http://dx.doi.org/10.3389/fphys.2017.00893</v>
      </c>
      <c r="BG1066" t="s">
        <v>74</v>
      </c>
      <c r="BH1066" t="s">
        <v>74</v>
      </c>
      <c r="BI1066">
        <v>18</v>
      </c>
      <c r="BJ1066" t="s">
        <v>10869</v>
      </c>
      <c r="BK1066" t="s">
        <v>182</v>
      </c>
      <c r="BL1066" t="s">
        <v>10869</v>
      </c>
      <c r="BM1066" t="s">
        <v>20015</v>
      </c>
      <c r="BN1066">
        <v>29163225</v>
      </c>
      <c r="BO1066" t="s">
        <v>131</v>
      </c>
      <c r="BP1066" t="s">
        <v>74</v>
      </c>
      <c r="BQ1066" t="s">
        <v>74</v>
      </c>
      <c r="BR1066" t="s">
        <v>105</v>
      </c>
      <c r="BS1066" t="s">
        <v>20016</v>
      </c>
      <c r="BT1066" t="str">
        <f>HYPERLINK("https%3A%2F%2Fwww.webofscience.com%2Fwos%2Fwoscc%2Ffull-record%2FWOS:000414530900001","View Full Record in Web of Science")</f>
        <v>View Full Record in Web of Science</v>
      </c>
    </row>
    <row r="1067" spans="1:72" x14ac:dyDescent="0.25">
      <c r="A1067" t="s">
        <v>72</v>
      </c>
      <c r="B1067" t="s">
        <v>20017</v>
      </c>
      <c r="C1067" t="s">
        <v>74</v>
      </c>
      <c r="D1067" t="s">
        <v>74</v>
      </c>
      <c r="E1067" t="s">
        <v>74</v>
      </c>
      <c r="F1067" t="s">
        <v>20018</v>
      </c>
      <c r="G1067" t="s">
        <v>74</v>
      </c>
      <c r="H1067" t="s">
        <v>74</v>
      </c>
      <c r="I1067" t="s">
        <v>20019</v>
      </c>
      <c r="J1067" t="s">
        <v>214</v>
      </c>
      <c r="K1067" t="s">
        <v>74</v>
      </c>
      <c r="L1067" t="s">
        <v>74</v>
      </c>
      <c r="M1067" t="s">
        <v>78</v>
      </c>
      <c r="N1067" t="s">
        <v>79</v>
      </c>
      <c r="O1067" t="s">
        <v>74</v>
      </c>
      <c r="P1067" t="s">
        <v>74</v>
      </c>
      <c r="Q1067" t="s">
        <v>74</v>
      </c>
      <c r="R1067" t="s">
        <v>74</v>
      </c>
      <c r="S1067" t="s">
        <v>74</v>
      </c>
      <c r="T1067" t="s">
        <v>20020</v>
      </c>
      <c r="U1067" t="s">
        <v>20021</v>
      </c>
      <c r="V1067" t="s">
        <v>20022</v>
      </c>
      <c r="W1067" t="s">
        <v>20023</v>
      </c>
      <c r="X1067" t="s">
        <v>20024</v>
      </c>
      <c r="Y1067" t="s">
        <v>20025</v>
      </c>
      <c r="Z1067" t="s">
        <v>20026</v>
      </c>
      <c r="AA1067" t="s">
        <v>20027</v>
      </c>
      <c r="AB1067" t="s">
        <v>20028</v>
      </c>
      <c r="AC1067" t="s">
        <v>20029</v>
      </c>
      <c r="AD1067" t="s">
        <v>20030</v>
      </c>
      <c r="AE1067" t="s">
        <v>20031</v>
      </c>
      <c r="AF1067" t="s">
        <v>74</v>
      </c>
      <c r="AG1067">
        <v>70</v>
      </c>
      <c r="AH1067">
        <v>57</v>
      </c>
      <c r="AI1067">
        <v>69</v>
      </c>
      <c r="AJ1067">
        <v>1</v>
      </c>
      <c r="AK1067">
        <v>39</v>
      </c>
      <c r="AL1067" t="s">
        <v>226</v>
      </c>
      <c r="AM1067" t="s">
        <v>227</v>
      </c>
      <c r="AN1067" t="s">
        <v>228</v>
      </c>
      <c r="AO1067" t="s">
        <v>229</v>
      </c>
      <c r="AP1067" t="s">
        <v>230</v>
      </c>
      <c r="AQ1067" t="s">
        <v>74</v>
      </c>
      <c r="AR1067" t="s">
        <v>231</v>
      </c>
      <c r="AS1067" t="s">
        <v>232</v>
      </c>
      <c r="AT1067" t="s">
        <v>126</v>
      </c>
      <c r="AU1067">
        <v>2017</v>
      </c>
      <c r="AV1067">
        <v>98</v>
      </c>
      <c r="AW1067">
        <v>11</v>
      </c>
      <c r="AX1067" t="s">
        <v>74</v>
      </c>
      <c r="AY1067" t="s">
        <v>74</v>
      </c>
      <c r="AZ1067" t="s">
        <v>74</v>
      </c>
      <c r="BA1067" t="s">
        <v>74</v>
      </c>
      <c r="BB1067">
        <v>2332</v>
      </c>
      <c r="BC1067">
        <v>2344</v>
      </c>
      <c r="BD1067" t="s">
        <v>74</v>
      </c>
      <c r="BE1067" t="s">
        <v>20032</v>
      </c>
      <c r="BF1067" t="str">
        <f>HYPERLINK("http://dx.doi.org/10.1016/j.apmr.2017.06.018","http://dx.doi.org/10.1016/j.apmr.2017.06.018")</f>
        <v>http://dx.doi.org/10.1016/j.apmr.2017.06.018</v>
      </c>
      <c r="BG1067" t="s">
        <v>74</v>
      </c>
      <c r="BH1067" t="s">
        <v>74</v>
      </c>
      <c r="BI1067">
        <v>13</v>
      </c>
      <c r="BJ1067" t="s">
        <v>236</v>
      </c>
      <c r="BK1067" t="s">
        <v>102</v>
      </c>
      <c r="BL1067" t="s">
        <v>236</v>
      </c>
      <c r="BM1067" t="s">
        <v>1291</v>
      </c>
      <c r="BN1067">
        <v>28751254</v>
      </c>
      <c r="BO1067" t="s">
        <v>74</v>
      </c>
      <c r="BP1067" t="s">
        <v>74</v>
      </c>
      <c r="BQ1067" t="s">
        <v>74</v>
      </c>
      <c r="BR1067" t="s">
        <v>105</v>
      </c>
      <c r="BS1067" t="s">
        <v>20033</v>
      </c>
      <c r="BT1067" t="str">
        <f>HYPERLINK("https%3A%2F%2Fwww.webofscience.com%2Fwos%2Fwoscc%2Ffull-record%2FWOS:000414275500028","View Full Record in Web of Science")</f>
        <v>View Full Record in Web of Science</v>
      </c>
    </row>
    <row r="1068" spans="1:72" x14ac:dyDescent="0.25">
      <c r="A1068" t="s">
        <v>72</v>
      </c>
      <c r="B1068" t="s">
        <v>20034</v>
      </c>
      <c r="C1068" t="s">
        <v>74</v>
      </c>
      <c r="D1068" t="s">
        <v>74</v>
      </c>
      <c r="E1068" t="s">
        <v>74</v>
      </c>
      <c r="F1068" t="s">
        <v>20035</v>
      </c>
      <c r="G1068" t="s">
        <v>74</v>
      </c>
      <c r="H1068" t="s">
        <v>74</v>
      </c>
      <c r="I1068" t="s">
        <v>20036</v>
      </c>
      <c r="J1068" t="s">
        <v>2091</v>
      </c>
      <c r="K1068" t="s">
        <v>74</v>
      </c>
      <c r="L1068" t="s">
        <v>74</v>
      </c>
      <c r="M1068" t="s">
        <v>78</v>
      </c>
      <c r="N1068" t="s">
        <v>79</v>
      </c>
      <c r="O1068" t="s">
        <v>74</v>
      </c>
      <c r="P1068" t="s">
        <v>74</v>
      </c>
      <c r="Q1068" t="s">
        <v>74</v>
      </c>
      <c r="R1068" t="s">
        <v>74</v>
      </c>
      <c r="S1068" t="s">
        <v>74</v>
      </c>
      <c r="T1068" t="s">
        <v>20037</v>
      </c>
      <c r="U1068" t="s">
        <v>20038</v>
      </c>
      <c r="V1068" t="s">
        <v>20039</v>
      </c>
      <c r="W1068" t="s">
        <v>20040</v>
      </c>
      <c r="X1068" t="s">
        <v>20041</v>
      </c>
      <c r="Y1068" t="s">
        <v>20042</v>
      </c>
      <c r="Z1068" t="s">
        <v>20043</v>
      </c>
      <c r="AA1068" t="s">
        <v>20044</v>
      </c>
      <c r="AB1068" t="s">
        <v>20045</v>
      </c>
      <c r="AC1068" t="s">
        <v>20046</v>
      </c>
      <c r="AD1068" t="s">
        <v>20047</v>
      </c>
      <c r="AE1068" t="s">
        <v>20048</v>
      </c>
      <c r="AF1068" t="s">
        <v>74</v>
      </c>
      <c r="AG1068">
        <v>77</v>
      </c>
      <c r="AH1068">
        <v>27</v>
      </c>
      <c r="AI1068">
        <v>27</v>
      </c>
      <c r="AJ1068">
        <v>22</v>
      </c>
      <c r="AK1068">
        <v>216</v>
      </c>
      <c r="AL1068" t="s">
        <v>120</v>
      </c>
      <c r="AM1068" t="s">
        <v>121</v>
      </c>
      <c r="AN1068" t="s">
        <v>122</v>
      </c>
      <c r="AO1068" t="s">
        <v>74</v>
      </c>
      <c r="AP1068" t="s">
        <v>2104</v>
      </c>
      <c r="AQ1068" t="s">
        <v>74</v>
      </c>
      <c r="AR1068" t="s">
        <v>2105</v>
      </c>
      <c r="AS1068" t="s">
        <v>2106</v>
      </c>
      <c r="AT1068" t="s">
        <v>126</v>
      </c>
      <c r="AU1068">
        <v>2017</v>
      </c>
      <c r="AV1068">
        <v>7</v>
      </c>
      <c r="AW1068">
        <v>11</v>
      </c>
      <c r="AX1068" t="s">
        <v>74</v>
      </c>
      <c r="AY1068" t="s">
        <v>74</v>
      </c>
      <c r="AZ1068" t="s">
        <v>74</v>
      </c>
      <c r="BA1068" t="s">
        <v>74</v>
      </c>
      <c r="BB1068" t="s">
        <v>74</v>
      </c>
      <c r="BC1068" t="s">
        <v>74</v>
      </c>
      <c r="BD1068">
        <v>1182</v>
      </c>
      <c r="BE1068" t="s">
        <v>20049</v>
      </c>
      <c r="BF1068" t="str">
        <f>HYPERLINK("http://dx.doi.org/10.3390/app7111182","http://dx.doi.org/10.3390/app7111182")</f>
        <v>http://dx.doi.org/10.3390/app7111182</v>
      </c>
      <c r="BG1068" t="s">
        <v>74</v>
      </c>
      <c r="BH1068" t="s">
        <v>74</v>
      </c>
      <c r="BI1068">
        <v>18</v>
      </c>
      <c r="BJ1068" t="s">
        <v>2109</v>
      </c>
      <c r="BK1068" t="s">
        <v>182</v>
      </c>
      <c r="BL1068" t="s">
        <v>2110</v>
      </c>
      <c r="BM1068" t="s">
        <v>20050</v>
      </c>
      <c r="BN1068" t="s">
        <v>74</v>
      </c>
      <c r="BO1068" t="s">
        <v>1374</v>
      </c>
      <c r="BP1068" t="s">
        <v>74</v>
      </c>
      <c r="BQ1068" t="s">
        <v>74</v>
      </c>
      <c r="BR1068" t="s">
        <v>105</v>
      </c>
      <c r="BS1068" t="s">
        <v>20051</v>
      </c>
      <c r="BT1068" t="str">
        <f>HYPERLINK("https%3A%2F%2Fwww.webofscience.com%2Fwos%2Fwoscc%2Ffull-record%2FWOS:000416794600081","View Full Record in Web of Science")</f>
        <v>View Full Record in Web of Science</v>
      </c>
    </row>
    <row r="1069" spans="1:72" x14ac:dyDescent="0.25">
      <c r="A1069" t="s">
        <v>72</v>
      </c>
      <c r="B1069" t="s">
        <v>20052</v>
      </c>
      <c r="C1069" t="s">
        <v>74</v>
      </c>
      <c r="D1069" t="s">
        <v>74</v>
      </c>
      <c r="E1069" t="s">
        <v>74</v>
      </c>
      <c r="F1069" t="s">
        <v>20053</v>
      </c>
      <c r="G1069" t="s">
        <v>74</v>
      </c>
      <c r="H1069" t="s">
        <v>74</v>
      </c>
      <c r="I1069" t="s">
        <v>20054</v>
      </c>
      <c r="J1069" t="s">
        <v>594</v>
      </c>
      <c r="K1069" t="s">
        <v>74</v>
      </c>
      <c r="L1069" t="s">
        <v>74</v>
      </c>
      <c r="M1069" t="s">
        <v>78</v>
      </c>
      <c r="N1069" t="s">
        <v>79</v>
      </c>
      <c r="O1069" t="s">
        <v>74</v>
      </c>
      <c r="P1069" t="s">
        <v>74</v>
      </c>
      <c r="Q1069" t="s">
        <v>74</v>
      </c>
      <c r="R1069" t="s">
        <v>74</v>
      </c>
      <c r="S1069" t="s">
        <v>74</v>
      </c>
      <c r="T1069" t="s">
        <v>20055</v>
      </c>
      <c r="U1069" t="s">
        <v>20056</v>
      </c>
      <c r="V1069" t="s">
        <v>20057</v>
      </c>
      <c r="W1069" t="s">
        <v>20058</v>
      </c>
      <c r="X1069" t="s">
        <v>20059</v>
      </c>
      <c r="Y1069" t="s">
        <v>20060</v>
      </c>
      <c r="Z1069" t="s">
        <v>20061</v>
      </c>
      <c r="AA1069" t="s">
        <v>1016</v>
      </c>
      <c r="AB1069" t="s">
        <v>1412</v>
      </c>
      <c r="AC1069" t="s">
        <v>74</v>
      </c>
      <c r="AD1069" t="s">
        <v>74</v>
      </c>
      <c r="AE1069" t="s">
        <v>74</v>
      </c>
      <c r="AF1069" t="s">
        <v>74</v>
      </c>
      <c r="AG1069">
        <v>84</v>
      </c>
      <c r="AH1069">
        <v>16</v>
      </c>
      <c r="AI1069">
        <v>17</v>
      </c>
      <c r="AJ1069">
        <v>2</v>
      </c>
      <c r="AK1069">
        <v>42</v>
      </c>
      <c r="AL1069" t="s">
        <v>20062</v>
      </c>
      <c r="AM1069" t="s">
        <v>275</v>
      </c>
      <c r="AN1069" t="s">
        <v>20063</v>
      </c>
      <c r="AO1069" t="s">
        <v>606</v>
      </c>
      <c r="AP1069" t="s">
        <v>74</v>
      </c>
      <c r="AQ1069" t="s">
        <v>74</v>
      </c>
      <c r="AR1069" t="s">
        <v>607</v>
      </c>
      <c r="AS1069" t="s">
        <v>608</v>
      </c>
      <c r="AT1069" t="s">
        <v>7570</v>
      </c>
      <c r="AU1069">
        <v>2017</v>
      </c>
      <c r="AV1069">
        <v>14</v>
      </c>
      <c r="AW1069" t="s">
        <v>74</v>
      </c>
      <c r="AX1069" t="s">
        <v>74</v>
      </c>
      <c r="AY1069" t="s">
        <v>74</v>
      </c>
      <c r="AZ1069" t="s">
        <v>74</v>
      </c>
      <c r="BA1069" t="s">
        <v>74</v>
      </c>
      <c r="BB1069" t="s">
        <v>74</v>
      </c>
      <c r="BC1069" t="s">
        <v>74</v>
      </c>
      <c r="BD1069">
        <v>103</v>
      </c>
      <c r="BE1069" t="s">
        <v>20064</v>
      </c>
      <c r="BF1069" t="str">
        <f>HYPERLINK("http://dx.doi.org/10.1186/s12984-017-0314-2","http://dx.doi.org/10.1186/s12984-017-0314-2")</f>
        <v>http://dx.doi.org/10.1186/s12984-017-0314-2</v>
      </c>
      <c r="BG1069" t="s">
        <v>74</v>
      </c>
      <c r="BH1069" t="s">
        <v>74</v>
      </c>
      <c r="BI1069">
        <v>10</v>
      </c>
      <c r="BJ1069" t="s">
        <v>611</v>
      </c>
      <c r="BK1069" t="s">
        <v>182</v>
      </c>
      <c r="BL1069" t="s">
        <v>612</v>
      </c>
      <c r="BM1069" t="s">
        <v>20065</v>
      </c>
      <c r="BN1069">
        <v>29020968</v>
      </c>
      <c r="BO1069" t="s">
        <v>355</v>
      </c>
      <c r="BP1069" t="s">
        <v>74</v>
      </c>
      <c r="BQ1069" t="s">
        <v>74</v>
      </c>
      <c r="BR1069" t="s">
        <v>105</v>
      </c>
      <c r="BS1069" t="s">
        <v>20066</v>
      </c>
      <c r="BT1069" t="str">
        <f>HYPERLINK("https%3A%2F%2Fwww.webofscience.com%2Fwos%2Fwoscc%2Ffull-record%2FWOS:000412899400002","View Full Record in Web of Science")</f>
        <v>View Full Record in Web of Science</v>
      </c>
    </row>
    <row r="1070" spans="1:72" x14ac:dyDescent="0.25">
      <c r="A1070" t="s">
        <v>72</v>
      </c>
      <c r="B1070" t="s">
        <v>20067</v>
      </c>
      <c r="C1070" t="s">
        <v>74</v>
      </c>
      <c r="D1070" t="s">
        <v>74</v>
      </c>
      <c r="E1070" t="s">
        <v>74</v>
      </c>
      <c r="F1070" t="s">
        <v>20068</v>
      </c>
      <c r="G1070" t="s">
        <v>74</v>
      </c>
      <c r="H1070" t="s">
        <v>74</v>
      </c>
      <c r="I1070" t="s">
        <v>20069</v>
      </c>
      <c r="J1070" t="s">
        <v>594</v>
      </c>
      <c r="K1070" t="s">
        <v>74</v>
      </c>
      <c r="L1070" t="s">
        <v>74</v>
      </c>
      <c r="M1070" t="s">
        <v>78</v>
      </c>
      <c r="N1070" t="s">
        <v>79</v>
      </c>
      <c r="O1070" t="s">
        <v>74</v>
      </c>
      <c r="P1070" t="s">
        <v>74</v>
      </c>
      <c r="Q1070" t="s">
        <v>74</v>
      </c>
      <c r="R1070" t="s">
        <v>74</v>
      </c>
      <c r="S1070" t="s">
        <v>74</v>
      </c>
      <c r="T1070" t="s">
        <v>20070</v>
      </c>
      <c r="U1070" t="s">
        <v>20071</v>
      </c>
      <c r="V1070" t="s">
        <v>20072</v>
      </c>
      <c r="W1070" t="s">
        <v>20073</v>
      </c>
      <c r="X1070" t="s">
        <v>20074</v>
      </c>
      <c r="Y1070" t="s">
        <v>20075</v>
      </c>
      <c r="Z1070" t="s">
        <v>20076</v>
      </c>
      <c r="AA1070" t="s">
        <v>74</v>
      </c>
      <c r="AB1070" t="s">
        <v>74</v>
      </c>
      <c r="AC1070" t="s">
        <v>20077</v>
      </c>
      <c r="AD1070" t="s">
        <v>20078</v>
      </c>
      <c r="AE1070" t="s">
        <v>20079</v>
      </c>
      <c r="AF1070" t="s">
        <v>74</v>
      </c>
      <c r="AG1070">
        <v>272</v>
      </c>
      <c r="AH1070">
        <v>24</v>
      </c>
      <c r="AI1070">
        <v>28</v>
      </c>
      <c r="AJ1070">
        <v>1</v>
      </c>
      <c r="AK1070">
        <v>31</v>
      </c>
      <c r="AL1070" t="s">
        <v>274</v>
      </c>
      <c r="AM1070" t="s">
        <v>275</v>
      </c>
      <c r="AN1070" t="s">
        <v>276</v>
      </c>
      <c r="AO1070" t="s">
        <v>74</v>
      </c>
      <c r="AP1070" t="s">
        <v>606</v>
      </c>
      <c r="AQ1070" t="s">
        <v>74</v>
      </c>
      <c r="AR1070" t="s">
        <v>607</v>
      </c>
      <c r="AS1070" t="s">
        <v>608</v>
      </c>
      <c r="AT1070" t="s">
        <v>20080</v>
      </c>
      <c r="AU1070">
        <v>2017</v>
      </c>
      <c r="AV1070">
        <v>14</v>
      </c>
      <c r="AW1070" t="s">
        <v>74</v>
      </c>
      <c r="AX1070" t="s">
        <v>74</v>
      </c>
      <c r="AY1070" t="s">
        <v>74</v>
      </c>
      <c r="AZ1070" t="s">
        <v>74</v>
      </c>
      <c r="BA1070" t="s">
        <v>74</v>
      </c>
      <c r="BB1070" t="s">
        <v>74</v>
      </c>
      <c r="BC1070" t="s">
        <v>74</v>
      </c>
      <c r="BD1070">
        <v>101</v>
      </c>
      <c r="BE1070" t="s">
        <v>20081</v>
      </c>
      <c r="BF1070" t="str">
        <f>HYPERLINK("http://dx.doi.org/10.1186/s12984-017-0305-3","http://dx.doi.org/10.1186/s12984-017-0305-3")</f>
        <v>http://dx.doi.org/10.1186/s12984-017-0305-3</v>
      </c>
      <c r="BG1070" t="s">
        <v>74</v>
      </c>
      <c r="BH1070" t="s">
        <v>74</v>
      </c>
      <c r="BI1070">
        <v>20</v>
      </c>
      <c r="BJ1070" t="s">
        <v>611</v>
      </c>
      <c r="BK1070" t="s">
        <v>102</v>
      </c>
      <c r="BL1070" t="s">
        <v>612</v>
      </c>
      <c r="BM1070" t="s">
        <v>20082</v>
      </c>
      <c r="BN1070">
        <v>29017508</v>
      </c>
      <c r="BO1070" t="s">
        <v>1573</v>
      </c>
      <c r="BP1070" t="s">
        <v>74</v>
      </c>
      <c r="BQ1070" t="s">
        <v>74</v>
      </c>
      <c r="BR1070" t="s">
        <v>105</v>
      </c>
      <c r="BS1070" t="s">
        <v>20083</v>
      </c>
      <c r="BT1070" t="str">
        <f>HYPERLINK("https%3A%2F%2Fwww.webofscience.com%2Fwos%2Fwoscc%2Ffull-record%2FWOS:000412659500001","View Full Record in Web of Science")</f>
        <v>View Full Record in Web of Science</v>
      </c>
    </row>
    <row r="1071" spans="1:72" x14ac:dyDescent="0.25">
      <c r="A1071" t="s">
        <v>72</v>
      </c>
      <c r="B1071" t="s">
        <v>20084</v>
      </c>
      <c r="C1071" t="s">
        <v>74</v>
      </c>
      <c r="D1071" t="s">
        <v>74</v>
      </c>
      <c r="E1071" t="s">
        <v>74</v>
      </c>
      <c r="F1071" t="s">
        <v>20085</v>
      </c>
      <c r="G1071" t="s">
        <v>74</v>
      </c>
      <c r="H1071" t="s">
        <v>74</v>
      </c>
      <c r="I1071" t="s">
        <v>20086</v>
      </c>
      <c r="J1071" t="s">
        <v>20087</v>
      </c>
      <c r="K1071" t="s">
        <v>74</v>
      </c>
      <c r="L1071" t="s">
        <v>74</v>
      </c>
      <c r="M1071" t="s">
        <v>78</v>
      </c>
      <c r="N1071" t="s">
        <v>79</v>
      </c>
      <c r="O1071" t="s">
        <v>74</v>
      </c>
      <c r="P1071" t="s">
        <v>74</v>
      </c>
      <c r="Q1071" t="s">
        <v>74</v>
      </c>
      <c r="R1071" t="s">
        <v>74</v>
      </c>
      <c r="S1071" t="s">
        <v>74</v>
      </c>
      <c r="T1071" t="s">
        <v>20088</v>
      </c>
      <c r="U1071" t="s">
        <v>20089</v>
      </c>
      <c r="V1071" t="s">
        <v>20090</v>
      </c>
      <c r="W1071" t="s">
        <v>20091</v>
      </c>
      <c r="X1071" t="s">
        <v>20092</v>
      </c>
      <c r="Y1071" t="s">
        <v>20093</v>
      </c>
      <c r="Z1071" t="s">
        <v>20094</v>
      </c>
      <c r="AA1071" t="s">
        <v>20095</v>
      </c>
      <c r="AB1071" t="s">
        <v>20096</v>
      </c>
      <c r="AC1071" t="s">
        <v>20097</v>
      </c>
      <c r="AD1071" t="s">
        <v>20098</v>
      </c>
      <c r="AE1071" t="s">
        <v>20099</v>
      </c>
      <c r="AF1071" t="s">
        <v>74</v>
      </c>
      <c r="AG1071">
        <v>47</v>
      </c>
      <c r="AH1071">
        <v>35</v>
      </c>
      <c r="AI1071">
        <v>36</v>
      </c>
      <c r="AJ1071">
        <v>0</v>
      </c>
      <c r="AK1071">
        <v>53</v>
      </c>
      <c r="AL1071" t="s">
        <v>1605</v>
      </c>
      <c r="AM1071" t="s">
        <v>1606</v>
      </c>
      <c r="AN1071" t="s">
        <v>1607</v>
      </c>
      <c r="AO1071" t="s">
        <v>20100</v>
      </c>
      <c r="AP1071" t="s">
        <v>20101</v>
      </c>
      <c r="AQ1071" t="s">
        <v>74</v>
      </c>
      <c r="AR1071" t="s">
        <v>20102</v>
      </c>
      <c r="AS1071" t="s">
        <v>20103</v>
      </c>
      <c r="AT1071" t="s">
        <v>1888</v>
      </c>
      <c r="AU1071">
        <v>2017</v>
      </c>
      <c r="AV1071">
        <v>29</v>
      </c>
      <c r="AW1071">
        <v>4</v>
      </c>
      <c r="AX1071" t="s">
        <v>74</v>
      </c>
      <c r="AY1071" t="s">
        <v>74</v>
      </c>
      <c r="AZ1071" t="s">
        <v>74</v>
      </c>
      <c r="BA1071" t="s">
        <v>74</v>
      </c>
      <c r="BB1071">
        <v>390</v>
      </c>
      <c r="BC1071">
        <v>400</v>
      </c>
      <c r="BD1071" t="s">
        <v>74</v>
      </c>
      <c r="BE1071" t="s">
        <v>20104</v>
      </c>
      <c r="BF1071" t="str">
        <f>HYPERLINK("http://dx.doi.org/10.1016/j.jksus.2017.05.012","http://dx.doi.org/10.1016/j.jksus.2017.05.012")</f>
        <v>http://dx.doi.org/10.1016/j.jksus.2017.05.012</v>
      </c>
      <c r="BG1071" t="s">
        <v>74</v>
      </c>
      <c r="BH1071" t="s">
        <v>74</v>
      </c>
      <c r="BI1071">
        <v>11</v>
      </c>
      <c r="BJ1071" t="s">
        <v>936</v>
      </c>
      <c r="BK1071" t="s">
        <v>182</v>
      </c>
      <c r="BL1071" t="s">
        <v>937</v>
      </c>
      <c r="BM1071" t="s">
        <v>20105</v>
      </c>
      <c r="BN1071" t="s">
        <v>74</v>
      </c>
      <c r="BO1071" t="s">
        <v>185</v>
      </c>
      <c r="BP1071" t="s">
        <v>74</v>
      </c>
      <c r="BQ1071" t="s">
        <v>74</v>
      </c>
      <c r="BR1071" t="s">
        <v>105</v>
      </c>
      <c r="BS1071" t="s">
        <v>20106</v>
      </c>
      <c r="BT1071" t="str">
        <f>HYPERLINK("https%3A%2F%2Fwww.webofscience.com%2Fwos%2Fwoscc%2Ffull-record%2FWOS:000417208000002","View Full Record in Web of Science")</f>
        <v>View Full Record in Web of Science</v>
      </c>
    </row>
    <row r="1072" spans="1:72" x14ac:dyDescent="0.25">
      <c r="A1072" t="s">
        <v>72</v>
      </c>
      <c r="B1072" t="s">
        <v>20107</v>
      </c>
      <c r="C1072" t="s">
        <v>74</v>
      </c>
      <c r="D1072" t="s">
        <v>74</v>
      </c>
      <c r="E1072" t="s">
        <v>74</v>
      </c>
      <c r="F1072" t="s">
        <v>20108</v>
      </c>
      <c r="G1072" t="s">
        <v>74</v>
      </c>
      <c r="H1072" t="s">
        <v>74</v>
      </c>
      <c r="I1072" t="s">
        <v>20109</v>
      </c>
      <c r="J1072" t="s">
        <v>1759</v>
      </c>
      <c r="K1072" t="s">
        <v>74</v>
      </c>
      <c r="L1072" t="s">
        <v>74</v>
      </c>
      <c r="M1072" t="s">
        <v>78</v>
      </c>
      <c r="N1072" t="s">
        <v>79</v>
      </c>
      <c r="O1072" t="s">
        <v>74</v>
      </c>
      <c r="P1072" t="s">
        <v>74</v>
      </c>
      <c r="Q1072" t="s">
        <v>74</v>
      </c>
      <c r="R1072" t="s">
        <v>74</v>
      </c>
      <c r="S1072" t="s">
        <v>74</v>
      </c>
      <c r="T1072" t="s">
        <v>20110</v>
      </c>
      <c r="U1072" t="s">
        <v>20111</v>
      </c>
      <c r="V1072" t="s">
        <v>20112</v>
      </c>
      <c r="W1072" t="s">
        <v>20113</v>
      </c>
      <c r="X1072" t="s">
        <v>74</v>
      </c>
      <c r="Y1072" t="s">
        <v>20114</v>
      </c>
      <c r="Z1072" t="s">
        <v>1766</v>
      </c>
      <c r="AA1072" t="s">
        <v>20115</v>
      </c>
      <c r="AB1072" t="s">
        <v>20116</v>
      </c>
      <c r="AC1072" t="s">
        <v>74</v>
      </c>
      <c r="AD1072" t="s">
        <v>74</v>
      </c>
      <c r="AE1072" t="s">
        <v>74</v>
      </c>
      <c r="AF1072" t="s">
        <v>74</v>
      </c>
      <c r="AG1072">
        <v>39</v>
      </c>
      <c r="AH1072">
        <v>246</v>
      </c>
      <c r="AI1072">
        <v>278</v>
      </c>
      <c r="AJ1072">
        <v>2</v>
      </c>
      <c r="AK1072">
        <v>103</v>
      </c>
      <c r="AL1072" t="s">
        <v>1769</v>
      </c>
      <c r="AM1072" t="s">
        <v>1770</v>
      </c>
      <c r="AN1072" t="s">
        <v>1771</v>
      </c>
      <c r="AO1072" t="s">
        <v>1772</v>
      </c>
      <c r="AP1072" t="s">
        <v>1773</v>
      </c>
      <c r="AQ1072" t="s">
        <v>74</v>
      </c>
      <c r="AR1072" t="s">
        <v>1774</v>
      </c>
      <c r="AS1072" t="s">
        <v>1775</v>
      </c>
      <c r="AT1072" t="s">
        <v>420</v>
      </c>
      <c r="AU1072">
        <v>2017</v>
      </c>
      <c r="AV1072">
        <v>38</v>
      </c>
      <c r="AW1072">
        <v>9</v>
      </c>
      <c r="AX1072" t="s">
        <v>74</v>
      </c>
      <c r="AY1072" t="s">
        <v>74</v>
      </c>
      <c r="AZ1072" t="s">
        <v>74</v>
      </c>
      <c r="BA1072" t="s">
        <v>74</v>
      </c>
      <c r="BB1072">
        <v>1561</v>
      </c>
      <c r="BC1072">
        <v>1569</v>
      </c>
      <c r="BD1072" t="s">
        <v>74</v>
      </c>
      <c r="BE1072" t="s">
        <v>20117</v>
      </c>
      <c r="BF1072" t="str">
        <f>HYPERLINK("http://dx.doi.org/10.1007/s10072-017-2995-5","http://dx.doi.org/10.1007/s10072-017-2995-5")</f>
        <v>http://dx.doi.org/10.1007/s10072-017-2995-5</v>
      </c>
      <c r="BG1072" t="s">
        <v>74</v>
      </c>
      <c r="BH1072" t="s">
        <v>74</v>
      </c>
      <c r="BI1072">
        <v>9</v>
      </c>
      <c r="BJ1072" t="s">
        <v>400</v>
      </c>
      <c r="BK1072" t="s">
        <v>102</v>
      </c>
      <c r="BL1072" t="s">
        <v>375</v>
      </c>
      <c r="BM1072" t="s">
        <v>20118</v>
      </c>
      <c r="BN1072">
        <v>28540536</v>
      </c>
      <c r="BO1072" t="s">
        <v>74</v>
      </c>
      <c r="BP1072" t="s">
        <v>74</v>
      </c>
      <c r="BQ1072" t="s">
        <v>74</v>
      </c>
      <c r="BR1072" t="s">
        <v>105</v>
      </c>
      <c r="BS1072" t="s">
        <v>20119</v>
      </c>
      <c r="BT1072" t="str">
        <f>HYPERLINK("https%3A%2F%2Fwww.webofscience.com%2Fwos%2Fwoscc%2Ffull-record%2FWOS:000409295900002","View Full Record in Web of Science")</f>
        <v>View Full Record in Web of Science</v>
      </c>
    </row>
    <row r="1073" spans="1:72" x14ac:dyDescent="0.25">
      <c r="A1073" t="s">
        <v>72</v>
      </c>
      <c r="B1073" t="s">
        <v>20120</v>
      </c>
      <c r="C1073" t="s">
        <v>74</v>
      </c>
      <c r="D1073" t="s">
        <v>74</v>
      </c>
      <c r="E1073" t="s">
        <v>74</v>
      </c>
      <c r="F1073" t="s">
        <v>20121</v>
      </c>
      <c r="G1073" t="s">
        <v>74</v>
      </c>
      <c r="H1073" t="s">
        <v>74</v>
      </c>
      <c r="I1073" t="s">
        <v>20122</v>
      </c>
      <c r="J1073" t="s">
        <v>20123</v>
      </c>
      <c r="K1073" t="s">
        <v>74</v>
      </c>
      <c r="L1073" t="s">
        <v>74</v>
      </c>
      <c r="M1073" t="s">
        <v>78</v>
      </c>
      <c r="N1073" t="s">
        <v>79</v>
      </c>
      <c r="O1073" t="s">
        <v>74</v>
      </c>
      <c r="P1073" t="s">
        <v>74</v>
      </c>
      <c r="Q1073" t="s">
        <v>74</v>
      </c>
      <c r="R1073" t="s">
        <v>74</v>
      </c>
      <c r="S1073" t="s">
        <v>74</v>
      </c>
      <c r="T1073" t="s">
        <v>20124</v>
      </c>
      <c r="U1073" t="s">
        <v>20125</v>
      </c>
      <c r="V1073" t="s">
        <v>20126</v>
      </c>
      <c r="W1073" t="s">
        <v>20127</v>
      </c>
      <c r="X1073" t="s">
        <v>20128</v>
      </c>
      <c r="Y1073" t="s">
        <v>20129</v>
      </c>
      <c r="Z1073" t="s">
        <v>20130</v>
      </c>
      <c r="AA1073" t="s">
        <v>20131</v>
      </c>
      <c r="AB1073" t="s">
        <v>20132</v>
      </c>
      <c r="AC1073" t="s">
        <v>74</v>
      </c>
      <c r="AD1073" t="s">
        <v>74</v>
      </c>
      <c r="AE1073" t="s">
        <v>74</v>
      </c>
      <c r="AF1073" t="s">
        <v>74</v>
      </c>
      <c r="AG1073">
        <v>83</v>
      </c>
      <c r="AH1073">
        <v>7</v>
      </c>
      <c r="AI1073">
        <v>7</v>
      </c>
      <c r="AJ1073">
        <v>0</v>
      </c>
      <c r="AK1073">
        <v>10</v>
      </c>
      <c r="AL1073" t="s">
        <v>20133</v>
      </c>
      <c r="AM1073" t="s">
        <v>9302</v>
      </c>
      <c r="AN1073" t="s">
        <v>20134</v>
      </c>
      <c r="AO1073" t="s">
        <v>20135</v>
      </c>
      <c r="AP1073" t="s">
        <v>20136</v>
      </c>
      <c r="AQ1073" t="s">
        <v>74</v>
      </c>
      <c r="AR1073" t="s">
        <v>20137</v>
      </c>
      <c r="AS1073" t="s">
        <v>20138</v>
      </c>
      <c r="AT1073" t="s">
        <v>420</v>
      </c>
      <c r="AU1073">
        <v>2017</v>
      </c>
      <c r="AV1073">
        <v>79</v>
      </c>
      <c r="AW1073">
        <v>6</v>
      </c>
      <c r="AX1073" t="s">
        <v>74</v>
      </c>
      <c r="AY1073" t="s">
        <v>74</v>
      </c>
      <c r="AZ1073" t="s">
        <v>74</v>
      </c>
      <c r="BA1073" t="s">
        <v>74</v>
      </c>
      <c r="BB1073">
        <v>9</v>
      </c>
      <c r="BC1073">
        <v>21</v>
      </c>
      <c r="BD1073" t="s">
        <v>74</v>
      </c>
      <c r="BE1073" t="s">
        <v>74</v>
      </c>
      <c r="BF1073" t="s">
        <v>74</v>
      </c>
      <c r="BG1073" t="s">
        <v>74</v>
      </c>
      <c r="BH1073" t="s">
        <v>74</v>
      </c>
      <c r="BI1073">
        <v>13</v>
      </c>
      <c r="BJ1073" t="s">
        <v>1202</v>
      </c>
      <c r="BK1073" t="s">
        <v>155</v>
      </c>
      <c r="BL1073" t="s">
        <v>183</v>
      </c>
      <c r="BM1073" t="s">
        <v>20139</v>
      </c>
      <c r="BN1073" t="s">
        <v>74</v>
      </c>
      <c r="BO1073" t="s">
        <v>74</v>
      </c>
      <c r="BP1073" t="s">
        <v>74</v>
      </c>
      <c r="BQ1073" t="s">
        <v>74</v>
      </c>
      <c r="BR1073" t="s">
        <v>105</v>
      </c>
      <c r="BS1073" t="s">
        <v>20140</v>
      </c>
      <c r="BT1073" t="str">
        <f>HYPERLINK("https%3A%2F%2Fwww.webofscience.com%2Fwos%2Fwoscc%2Ffull-record%2FWOS:000418507000002","View Full Record in Web of Science")</f>
        <v>View Full Record in Web of Science</v>
      </c>
    </row>
    <row r="1074" spans="1:72" x14ac:dyDescent="0.25">
      <c r="A1074" t="s">
        <v>72</v>
      </c>
      <c r="B1074" t="s">
        <v>20141</v>
      </c>
      <c r="C1074" t="s">
        <v>74</v>
      </c>
      <c r="D1074" t="s">
        <v>74</v>
      </c>
      <c r="E1074" t="s">
        <v>74</v>
      </c>
      <c r="F1074" t="s">
        <v>20142</v>
      </c>
      <c r="G1074" t="s">
        <v>74</v>
      </c>
      <c r="H1074" t="s">
        <v>74</v>
      </c>
      <c r="I1074" t="s">
        <v>20143</v>
      </c>
      <c r="J1074" t="s">
        <v>2641</v>
      </c>
      <c r="K1074" t="s">
        <v>74</v>
      </c>
      <c r="L1074" t="s">
        <v>74</v>
      </c>
      <c r="M1074" t="s">
        <v>78</v>
      </c>
      <c r="N1074" t="s">
        <v>79</v>
      </c>
      <c r="O1074" t="s">
        <v>74</v>
      </c>
      <c r="P1074" t="s">
        <v>74</v>
      </c>
      <c r="Q1074" t="s">
        <v>74</v>
      </c>
      <c r="R1074" t="s">
        <v>74</v>
      </c>
      <c r="S1074" t="s">
        <v>74</v>
      </c>
      <c r="T1074" t="s">
        <v>20144</v>
      </c>
      <c r="U1074" t="s">
        <v>20145</v>
      </c>
      <c r="V1074" t="s">
        <v>20146</v>
      </c>
      <c r="W1074" t="s">
        <v>20147</v>
      </c>
      <c r="X1074" t="s">
        <v>20148</v>
      </c>
      <c r="Y1074" t="s">
        <v>20149</v>
      </c>
      <c r="Z1074" t="s">
        <v>20150</v>
      </c>
      <c r="AA1074" t="s">
        <v>20151</v>
      </c>
      <c r="AB1074" t="s">
        <v>20152</v>
      </c>
      <c r="AC1074" t="s">
        <v>20153</v>
      </c>
      <c r="AD1074" t="s">
        <v>20154</v>
      </c>
      <c r="AE1074" t="s">
        <v>20155</v>
      </c>
      <c r="AF1074" t="s">
        <v>74</v>
      </c>
      <c r="AG1074">
        <v>148</v>
      </c>
      <c r="AH1074">
        <v>21</v>
      </c>
      <c r="AI1074">
        <v>25</v>
      </c>
      <c r="AJ1074">
        <v>2</v>
      </c>
      <c r="AK1074">
        <v>75</v>
      </c>
      <c r="AL1074" t="s">
        <v>1605</v>
      </c>
      <c r="AM1074" t="s">
        <v>1606</v>
      </c>
      <c r="AN1074" t="s">
        <v>1607</v>
      </c>
      <c r="AO1074" t="s">
        <v>2651</v>
      </c>
      <c r="AP1074" t="s">
        <v>2652</v>
      </c>
      <c r="AQ1074" t="s">
        <v>74</v>
      </c>
      <c r="AR1074" t="s">
        <v>2653</v>
      </c>
      <c r="AS1074" t="s">
        <v>2654</v>
      </c>
      <c r="AT1074" t="s">
        <v>420</v>
      </c>
      <c r="AU1074">
        <v>2017</v>
      </c>
      <c r="AV1074">
        <v>95</v>
      </c>
      <c r="AW1074" t="s">
        <v>74</v>
      </c>
      <c r="AX1074" t="s">
        <v>74</v>
      </c>
      <c r="AY1074" t="s">
        <v>74</v>
      </c>
      <c r="AZ1074" t="s">
        <v>74</v>
      </c>
      <c r="BA1074" t="s">
        <v>74</v>
      </c>
      <c r="BB1074">
        <v>160</v>
      </c>
      <c r="BC1074">
        <v>180</v>
      </c>
      <c r="BD1074" t="s">
        <v>74</v>
      </c>
      <c r="BE1074" t="s">
        <v>20156</v>
      </c>
      <c r="BF1074" t="str">
        <f>HYPERLINK("http://dx.doi.org/10.1016/j.robot.2017.06.009","http://dx.doi.org/10.1016/j.robot.2017.06.009")</f>
        <v>http://dx.doi.org/10.1016/j.robot.2017.06.009</v>
      </c>
      <c r="BG1074" t="s">
        <v>74</v>
      </c>
      <c r="BH1074" t="s">
        <v>74</v>
      </c>
      <c r="BI1074">
        <v>21</v>
      </c>
      <c r="BJ1074" t="s">
        <v>2657</v>
      </c>
      <c r="BK1074" t="s">
        <v>182</v>
      </c>
      <c r="BL1074" t="s">
        <v>2658</v>
      </c>
      <c r="BM1074" t="s">
        <v>20157</v>
      </c>
      <c r="BN1074" t="s">
        <v>74</v>
      </c>
      <c r="BO1074" t="s">
        <v>74</v>
      </c>
      <c r="BP1074" t="s">
        <v>74</v>
      </c>
      <c r="BQ1074" t="s">
        <v>74</v>
      </c>
      <c r="BR1074" t="s">
        <v>105</v>
      </c>
      <c r="BS1074" t="s">
        <v>20158</v>
      </c>
      <c r="BT1074" t="str">
        <f>HYPERLINK("https%3A%2F%2Fwww.webofscience.com%2Fwos%2Fwoscc%2Ffull-record%2FWOS:000411167900012","View Full Record in Web of Science")</f>
        <v>View Full Record in Web of Science</v>
      </c>
    </row>
    <row r="1075" spans="1:72" x14ac:dyDescent="0.25">
      <c r="A1075" t="s">
        <v>72</v>
      </c>
      <c r="B1075" t="s">
        <v>20159</v>
      </c>
      <c r="C1075" t="s">
        <v>74</v>
      </c>
      <c r="D1075" t="s">
        <v>74</v>
      </c>
      <c r="E1075" t="s">
        <v>74</v>
      </c>
      <c r="F1075" t="s">
        <v>20160</v>
      </c>
      <c r="G1075" t="s">
        <v>74</v>
      </c>
      <c r="H1075" t="s">
        <v>74</v>
      </c>
      <c r="I1075" t="s">
        <v>20161</v>
      </c>
      <c r="J1075" t="s">
        <v>20162</v>
      </c>
      <c r="K1075" t="s">
        <v>74</v>
      </c>
      <c r="L1075" t="s">
        <v>74</v>
      </c>
      <c r="M1075" t="s">
        <v>78</v>
      </c>
      <c r="N1075" t="s">
        <v>79</v>
      </c>
      <c r="O1075" t="s">
        <v>74</v>
      </c>
      <c r="P1075" t="s">
        <v>74</v>
      </c>
      <c r="Q1075" t="s">
        <v>74</v>
      </c>
      <c r="R1075" t="s">
        <v>74</v>
      </c>
      <c r="S1075" t="s">
        <v>74</v>
      </c>
      <c r="T1075" t="s">
        <v>20163</v>
      </c>
      <c r="U1075" t="s">
        <v>20164</v>
      </c>
      <c r="V1075" t="s">
        <v>20165</v>
      </c>
      <c r="W1075" t="s">
        <v>20166</v>
      </c>
      <c r="X1075" t="s">
        <v>20167</v>
      </c>
      <c r="Y1075" t="s">
        <v>20168</v>
      </c>
      <c r="Z1075" t="s">
        <v>20169</v>
      </c>
      <c r="AA1075" t="s">
        <v>74</v>
      </c>
      <c r="AB1075" t="s">
        <v>74</v>
      </c>
      <c r="AC1075" t="s">
        <v>74</v>
      </c>
      <c r="AD1075" t="s">
        <v>74</v>
      </c>
      <c r="AE1075" t="s">
        <v>74</v>
      </c>
      <c r="AF1075" t="s">
        <v>74</v>
      </c>
      <c r="AG1075">
        <v>69</v>
      </c>
      <c r="AH1075">
        <v>22</v>
      </c>
      <c r="AI1075">
        <v>22</v>
      </c>
      <c r="AJ1075">
        <v>0</v>
      </c>
      <c r="AK1075">
        <v>7</v>
      </c>
      <c r="AL1075" t="s">
        <v>172</v>
      </c>
      <c r="AM1075" t="s">
        <v>173</v>
      </c>
      <c r="AN1075" t="s">
        <v>1885</v>
      </c>
      <c r="AO1075" t="s">
        <v>20170</v>
      </c>
      <c r="AP1075" t="s">
        <v>20171</v>
      </c>
      <c r="AQ1075" t="s">
        <v>74</v>
      </c>
      <c r="AR1075" t="s">
        <v>20172</v>
      </c>
      <c r="AS1075" t="s">
        <v>20173</v>
      </c>
      <c r="AT1075" t="s">
        <v>420</v>
      </c>
      <c r="AU1075">
        <v>2017</v>
      </c>
      <c r="AV1075">
        <v>19</v>
      </c>
      <c r="AW1075">
        <v>9</v>
      </c>
      <c r="AX1075" t="s">
        <v>74</v>
      </c>
      <c r="AY1075" t="s">
        <v>74</v>
      </c>
      <c r="AZ1075" t="s">
        <v>74</v>
      </c>
      <c r="BA1075" t="s">
        <v>74</v>
      </c>
      <c r="BB1075" t="s">
        <v>74</v>
      </c>
      <c r="BC1075" t="s">
        <v>74</v>
      </c>
      <c r="BD1075">
        <v>85</v>
      </c>
      <c r="BE1075" t="s">
        <v>20174</v>
      </c>
      <c r="BF1075" t="str">
        <f>HYPERLINK("http://dx.doi.org/10.1007/s11886-017-0895-1","http://dx.doi.org/10.1007/s11886-017-0895-1")</f>
        <v>http://dx.doi.org/10.1007/s11886-017-0895-1</v>
      </c>
      <c r="BG1075" t="s">
        <v>74</v>
      </c>
      <c r="BH1075" t="s">
        <v>74</v>
      </c>
      <c r="BI1075">
        <v>8</v>
      </c>
      <c r="BJ1075" t="s">
        <v>4950</v>
      </c>
      <c r="BK1075" t="s">
        <v>182</v>
      </c>
      <c r="BL1075" t="s">
        <v>4951</v>
      </c>
      <c r="BM1075" t="s">
        <v>20175</v>
      </c>
      <c r="BN1075">
        <v>28785990</v>
      </c>
      <c r="BO1075" t="s">
        <v>74</v>
      </c>
      <c r="BP1075" t="s">
        <v>74</v>
      </c>
      <c r="BQ1075" t="s">
        <v>74</v>
      </c>
      <c r="BR1075" t="s">
        <v>105</v>
      </c>
      <c r="BS1075" t="s">
        <v>20176</v>
      </c>
      <c r="BT1075" t="str">
        <f>HYPERLINK("https%3A%2F%2Fwww.webofscience.com%2Fwos%2Fwoscc%2Ffull-record%2FWOS:000408768600011","View Full Record in Web of Science")</f>
        <v>View Full Record in Web of Science</v>
      </c>
    </row>
    <row r="1076" spans="1:72" x14ac:dyDescent="0.25">
      <c r="A1076" t="s">
        <v>72</v>
      </c>
      <c r="B1076" t="s">
        <v>20177</v>
      </c>
      <c r="C1076" t="s">
        <v>74</v>
      </c>
      <c r="D1076" t="s">
        <v>74</v>
      </c>
      <c r="E1076" t="s">
        <v>74</v>
      </c>
      <c r="F1076" t="s">
        <v>20178</v>
      </c>
      <c r="G1076" t="s">
        <v>74</v>
      </c>
      <c r="H1076" t="s">
        <v>74</v>
      </c>
      <c r="I1076" t="s">
        <v>20179</v>
      </c>
      <c r="J1076" t="s">
        <v>594</v>
      </c>
      <c r="K1076" t="s">
        <v>74</v>
      </c>
      <c r="L1076" t="s">
        <v>74</v>
      </c>
      <c r="M1076" t="s">
        <v>78</v>
      </c>
      <c r="N1076" t="s">
        <v>79</v>
      </c>
      <c r="O1076" t="s">
        <v>74</v>
      </c>
      <c r="P1076" t="s">
        <v>74</v>
      </c>
      <c r="Q1076" t="s">
        <v>74</v>
      </c>
      <c r="R1076" t="s">
        <v>74</v>
      </c>
      <c r="S1076" t="s">
        <v>74</v>
      </c>
      <c r="T1076" t="s">
        <v>20180</v>
      </c>
      <c r="U1076" t="s">
        <v>20181</v>
      </c>
      <c r="V1076" t="s">
        <v>20182</v>
      </c>
      <c r="W1076" t="s">
        <v>20183</v>
      </c>
      <c r="X1076" t="s">
        <v>20184</v>
      </c>
      <c r="Y1076" t="s">
        <v>20185</v>
      </c>
      <c r="Z1076" t="s">
        <v>20186</v>
      </c>
      <c r="AA1076" t="s">
        <v>20187</v>
      </c>
      <c r="AB1076" t="s">
        <v>20188</v>
      </c>
      <c r="AC1076" t="s">
        <v>20189</v>
      </c>
      <c r="AD1076" t="s">
        <v>20190</v>
      </c>
      <c r="AE1076" t="s">
        <v>20191</v>
      </c>
      <c r="AF1076" t="s">
        <v>74</v>
      </c>
      <c r="AG1076">
        <v>109</v>
      </c>
      <c r="AH1076">
        <v>32</v>
      </c>
      <c r="AI1076">
        <v>34</v>
      </c>
      <c r="AJ1076">
        <v>0</v>
      </c>
      <c r="AK1076">
        <v>42</v>
      </c>
      <c r="AL1076" t="s">
        <v>274</v>
      </c>
      <c r="AM1076" t="s">
        <v>275</v>
      </c>
      <c r="AN1076" t="s">
        <v>276</v>
      </c>
      <c r="AO1076" t="s">
        <v>74</v>
      </c>
      <c r="AP1076" t="s">
        <v>606</v>
      </c>
      <c r="AQ1076" t="s">
        <v>74</v>
      </c>
      <c r="AR1076" t="s">
        <v>607</v>
      </c>
      <c r="AS1076" t="s">
        <v>608</v>
      </c>
      <c r="AT1076" t="s">
        <v>19381</v>
      </c>
      <c r="AU1076">
        <v>2017</v>
      </c>
      <c r="AV1076">
        <v>14</v>
      </c>
      <c r="AW1076" t="s">
        <v>74</v>
      </c>
      <c r="AX1076" t="s">
        <v>74</v>
      </c>
      <c r="AY1076" t="s">
        <v>74</v>
      </c>
      <c r="AZ1076" t="s">
        <v>74</v>
      </c>
      <c r="BA1076" t="s">
        <v>74</v>
      </c>
      <c r="BB1076" t="s">
        <v>74</v>
      </c>
      <c r="BC1076" t="s">
        <v>74</v>
      </c>
      <c r="BD1076">
        <v>80</v>
      </c>
      <c r="BE1076" t="s">
        <v>20192</v>
      </c>
      <c r="BF1076" t="str">
        <f>HYPERLINK("http://dx.doi.org/10.1186/s12984-017-0273-7","http://dx.doi.org/10.1186/s12984-017-0273-7")</f>
        <v>http://dx.doi.org/10.1186/s12984-017-0273-7</v>
      </c>
      <c r="BG1076" t="s">
        <v>74</v>
      </c>
      <c r="BH1076" t="s">
        <v>74</v>
      </c>
      <c r="BI1076">
        <v>19</v>
      </c>
      <c r="BJ1076" t="s">
        <v>611</v>
      </c>
      <c r="BK1076" t="s">
        <v>102</v>
      </c>
      <c r="BL1076" t="s">
        <v>612</v>
      </c>
      <c r="BM1076" t="s">
        <v>20193</v>
      </c>
      <c r="BN1076">
        <v>28806995</v>
      </c>
      <c r="BO1076" t="s">
        <v>355</v>
      </c>
      <c r="BP1076" t="s">
        <v>74</v>
      </c>
      <c r="BQ1076" t="s">
        <v>74</v>
      </c>
      <c r="BR1076" t="s">
        <v>105</v>
      </c>
      <c r="BS1076" t="s">
        <v>20194</v>
      </c>
      <c r="BT1076" t="str">
        <f>HYPERLINK("https%3A%2F%2Fwww.webofscience.com%2Fwos%2Fwoscc%2Ffull-record%2FWOS:000407836600001","View Full Record in Web of Science")</f>
        <v>View Full Record in Web of Science</v>
      </c>
    </row>
    <row r="1077" spans="1:72" x14ac:dyDescent="0.25">
      <c r="A1077" t="s">
        <v>72</v>
      </c>
      <c r="B1077" t="s">
        <v>20195</v>
      </c>
      <c r="C1077" t="s">
        <v>74</v>
      </c>
      <c r="D1077" t="s">
        <v>74</v>
      </c>
      <c r="E1077" t="s">
        <v>74</v>
      </c>
      <c r="F1077" t="s">
        <v>20196</v>
      </c>
      <c r="G1077" t="s">
        <v>74</v>
      </c>
      <c r="H1077" t="s">
        <v>74</v>
      </c>
      <c r="I1077" t="s">
        <v>20197</v>
      </c>
      <c r="J1077" t="s">
        <v>20198</v>
      </c>
      <c r="K1077" t="s">
        <v>74</v>
      </c>
      <c r="L1077" t="s">
        <v>74</v>
      </c>
      <c r="M1077" t="s">
        <v>78</v>
      </c>
      <c r="N1077" t="s">
        <v>79</v>
      </c>
      <c r="O1077" t="s">
        <v>74</v>
      </c>
      <c r="P1077" t="s">
        <v>74</v>
      </c>
      <c r="Q1077" t="s">
        <v>74</v>
      </c>
      <c r="R1077" t="s">
        <v>74</v>
      </c>
      <c r="S1077" t="s">
        <v>74</v>
      </c>
      <c r="T1077" t="s">
        <v>20199</v>
      </c>
      <c r="U1077" t="s">
        <v>20200</v>
      </c>
      <c r="V1077" t="s">
        <v>20201</v>
      </c>
      <c r="W1077" t="s">
        <v>20202</v>
      </c>
      <c r="X1077" t="s">
        <v>74</v>
      </c>
      <c r="Y1077" t="s">
        <v>20203</v>
      </c>
      <c r="Z1077" t="s">
        <v>20204</v>
      </c>
      <c r="AA1077" t="s">
        <v>20205</v>
      </c>
      <c r="AB1077" t="s">
        <v>20206</v>
      </c>
      <c r="AC1077" t="s">
        <v>74</v>
      </c>
      <c r="AD1077" t="s">
        <v>74</v>
      </c>
      <c r="AE1077" t="s">
        <v>74</v>
      </c>
      <c r="AF1077" t="s">
        <v>74</v>
      </c>
      <c r="AG1077">
        <v>204</v>
      </c>
      <c r="AH1077">
        <v>28</v>
      </c>
      <c r="AI1077">
        <v>30</v>
      </c>
      <c r="AJ1077">
        <v>1</v>
      </c>
      <c r="AK1077">
        <v>33</v>
      </c>
      <c r="AL1077" t="s">
        <v>836</v>
      </c>
      <c r="AM1077" t="s">
        <v>532</v>
      </c>
      <c r="AN1077" t="s">
        <v>837</v>
      </c>
      <c r="AO1077" t="s">
        <v>20207</v>
      </c>
      <c r="AP1077" t="s">
        <v>20208</v>
      </c>
      <c r="AQ1077" t="s">
        <v>74</v>
      </c>
      <c r="AR1077" t="s">
        <v>20209</v>
      </c>
      <c r="AS1077" t="s">
        <v>20210</v>
      </c>
      <c r="AT1077" t="s">
        <v>634</v>
      </c>
      <c r="AU1077">
        <v>2017</v>
      </c>
      <c r="AV1077">
        <v>75</v>
      </c>
      <c r="AW1077" t="s">
        <v>74</v>
      </c>
      <c r="AX1077" t="s">
        <v>74</v>
      </c>
      <c r="AY1077" t="s">
        <v>74</v>
      </c>
      <c r="AZ1077" t="s">
        <v>74</v>
      </c>
      <c r="BA1077" t="s">
        <v>74</v>
      </c>
      <c r="BB1077">
        <v>106</v>
      </c>
      <c r="BC1077">
        <v>122</v>
      </c>
      <c r="BD1077" t="s">
        <v>74</v>
      </c>
      <c r="BE1077" t="s">
        <v>20211</v>
      </c>
      <c r="BF1077" t="str">
        <f>HYPERLINK("http://dx.doi.org/10.1016/j.rser.2016.10.055","http://dx.doi.org/10.1016/j.rser.2016.10.055")</f>
        <v>http://dx.doi.org/10.1016/j.rser.2016.10.055</v>
      </c>
      <c r="BG1077" t="s">
        <v>74</v>
      </c>
      <c r="BH1077" t="s">
        <v>74</v>
      </c>
      <c r="BI1077">
        <v>17</v>
      </c>
      <c r="BJ1077" t="s">
        <v>20212</v>
      </c>
      <c r="BK1077" t="s">
        <v>182</v>
      </c>
      <c r="BL1077" t="s">
        <v>20213</v>
      </c>
      <c r="BM1077" t="s">
        <v>20214</v>
      </c>
      <c r="BN1077" t="s">
        <v>74</v>
      </c>
      <c r="BO1077" t="s">
        <v>74</v>
      </c>
      <c r="BP1077" t="s">
        <v>74</v>
      </c>
      <c r="BQ1077" t="s">
        <v>74</v>
      </c>
      <c r="BR1077" t="s">
        <v>105</v>
      </c>
      <c r="BS1077" t="s">
        <v>20215</v>
      </c>
      <c r="BT1077" t="str">
        <f>HYPERLINK("https%3A%2F%2Fwww.webofscience.com%2Fwos%2Fwoscc%2Ffull-record%2FWOS:000401395000010","View Full Record in Web of Science")</f>
        <v>View Full Record in Web of Science</v>
      </c>
    </row>
    <row r="1078" spans="1:72" x14ac:dyDescent="0.25">
      <c r="A1078" t="s">
        <v>72</v>
      </c>
      <c r="B1078" t="s">
        <v>20216</v>
      </c>
      <c r="C1078" t="s">
        <v>74</v>
      </c>
      <c r="D1078" t="s">
        <v>74</v>
      </c>
      <c r="E1078" t="s">
        <v>74</v>
      </c>
      <c r="F1078" t="s">
        <v>20217</v>
      </c>
      <c r="G1078" t="s">
        <v>74</v>
      </c>
      <c r="H1078" t="s">
        <v>74</v>
      </c>
      <c r="I1078" t="s">
        <v>20218</v>
      </c>
      <c r="J1078" t="s">
        <v>20219</v>
      </c>
      <c r="K1078" t="s">
        <v>74</v>
      </c>
      <c r="L1078" t="s">
        <v>74</v>
      </c>
      <c r="M1078" t="s">
        <v>16260</v>
      </c>
      <c r="N1078" t="s">
        <v>79</v>
      </c>
      <c r="O1078" t="s">
        <v>74</v>
      </c>
      <c r="P1078" t="s">
        <v>74</v>
      </c>
      <c r="Q1078" t="s">
        <v>74</v>
      </c>
      <c r="R1078" t="s">
        <v>74</v>
      </c>
      <c r="S1078" t="s">
        <v>74</v>
      </c>
      <c r="T1078" t="s">
        <v>20220</v>
      </c>
      <c r="U1078" t="s">
        <v>20221</v>
      </c>
      <c r="V1078" t="s">
        <v>20222</v>
      </c>
      <c r="W1078" t="s">
        <v>20223</v>
      </c>
      <c r="X1078" t="s">
        <v>20224</v>
      </c>
      <c r="Y1078" t="s">
        <v>20225</v>
      </c>
      <c r="Z1078" t="s">
        <v>20226</v>
      </c>
      <c r="AA1078" t="s">
        <v>20227</v>
      </c>
      <c r="AB1078" t="s">
        <v>74</v>
      </c>
      <c r="AC1078" t="s">
        <v>74</v>
      </c>
      <c r="AD1078" t="s">
        <v>74</v>
      </c>
      <c r="AE1078" t="s">
        <v>74</v>
      </c>
      <c r="AF1078" t="s">
        <v>74</v>
      </c>
      <c r="AG1078">
        <v>98</v>
      </c>
      <c r="AH1078">
        <v>4</v>
      </c>
      <c r="AI1078">
        <v>5</v>
      </c>
      <c r="AJ1078">
        <v>2</v>
      </c>
      <c r="AK1078">
        <v>31</v>
      </c>
      <c r="AL1078" t="s">
        <v>20228</v>
      </c>
      <c r="AM1078" t="s">
        <v>16271</v>
      </c>
      <c r="AN1078" t="s">
        <v>20229</v>
      </c>
      <c r="AO1078" t="s">
        <v>20230</v>
      </c>
      <c r="AP1078" t="s">
        <v>74</v>
      </c>
      <c r="AQ1078" t="s">
        <v>74</v>
      </c>
      <c r="AR1078" t="s">
        <v>20231</v>
      </c>
      <c r="AS1078" t="s">
        <v>20232</v>
      </c>
      <c r="AT1078" t="s">
        <v>20233</v>
      </c>
      <c r="AU1078">
        <v>2017</v>
      </c>
      <c r="AV1078">
        <v>67</v>
      </c>
      <c r="AW1078">
        <v>4</v>
      </c>
      <c r="AX1078" t="s">
        <v>74</v>
      </c>
      <c r="AY1078" t="s">
        <v>74</v>
      </c>
      <c r="AZ1078" t="s">
        <v>74</v>
      </c>
      <c r="BA1078" t="s">
        <v>74</v>
      </c>
      <c r="BB1078">
        <v>394</v>
      </c>
      <c r="BC1078">
        <v>413</v>
      </c>
      <c r="BD1078" t="s">
        <v>74</v>
      </c>
      <c r="BE1078" t="s">
        <v>20234</v>
      </c>
      <c r="BF1078" t="str">
        <f>HYPERLINK("http://dx.doi.org/10.7868/S004446771704-0017","http://dx.doi.org/10.7868/S004446771704-0017")</f>
        <v>http://dx.doi.org/10.7868/S004446771704-0017</v>
      </c>
      <c r="BG1078" t="s">
        <v>74</v>
      </c>
      <c r="BH1078" t="s">
        <v>74</v>
      </c>
      <c r="BI1078">
        <v>20</v>
      </c>
      <c r="BJ1078" t="s">
        <v>20235</v>
      </c>
      <c r="BK1078" t="s">
        <v>102</v>
      </c>
      <c r="BL1078" t="s">
        <v>20236</v>
      </c>
      <c r="BM1078" t="s">
        <v>20237</v>
      </c>
      <c r="BN1078" t="s">
        <v>74</v>
      </c>
      <c r="BO1078" t="s">
        <v>74</v>
      </c>
      <c r="BP1078" t="s">
        <v>74</v>
      </c>
      <c r="BQ1078" t="s">
        <v>74</v>
      </c>
      <c r="BR1078" t="s">
        <v>105</v>
      </c>
      <c r="BS1078" t="s">
        <v>20238</v>
      </c>
      <c r="BT1078" t="str">
        <f>HYPERLINK("https%3A%2F%2Fwww.webofscience.com%2Fwos%2Fwoscc%2Ffull-record%2FWOS:000411654300003","View Full Record in Web of Science")</f>
        <v>View Full Record in Web of Science</v>
      </c>
    </row>
    <row r="1079" spans="1:72" x14ac:dyDescent="0.25">
      <c r="A1079" t="s">
        <v>72</v>
      </c>
      <c r="B1079" t="s">
        <v>20239</v>
      </c>
      <c r="C1079" t="s">
        <v>74</v>
      </c>
      <c r="D1079" t="s">
        <v>74</v>
      </c>
      <c r="E1079" t="s">
        <v>74</v>
      </c>
      <c r="F1079" t="s">
        <v>20240</v>
      </c>
      <c r="G1079" t="s">
        <v>74</v>
      </c>
      <c r="H1079" t="s">
        <v>74</v>
      </c>
      <c r="I1079" t="s">
        <v>20241</v>
      </c>
      <c r="J1079" t="s">
        <v>20242</v>
      </c>
      <c r="K1079" t="s">
        <v>74</v>
      </c>
      <c r="L1079" t="s">
        <v>74</v>
      </c>
      <c r="M1079" t="s">
        <v>78</v>
      </c>
      <c r="N1079" t="s">
        <v>79</v>
      </c>
      <c r="O1079" t="s">
        <v>74</v>
      </c>
      <c r="P1079" t="s">
        <v>74</v>
      </c>
      <c r="Q1079" t="s">
        <v>74</v>
      </c>
      <c r="R1079" t="s">
        <v>74</v>
      </c>
      <c r="S1079" t="s">
        <v>74</v>
      </c>
      <c r="T1079" t="s">
        <v>74</v>
      </c>
      <c r="U1079" t="s">
        <v>20243</v>
      </c>
      <c r="V1079" t="s">
        <v>20244</v>
      </c>
      <c r="W1079" t="s">
        <v>20245</v>
      </c>
      <c r="X1079" t="s">
        <v>20246</v>
      </c>
      <c r="Y1079" t="s">
        <v>20247</v>
      </c>
      <c r="Z1079" t="s">
        <v>20248</v>
      </c>
      <c r="AA1079" t="s">
        <v>74</v>
      </c>
      <c r="AB1079" t="s">
        <v>74</v>
      </c>
      <c r="AC1079" t="s">
        <v>74</v>
      </c>
      <c r="AD1079" t="s">
        <v>74</v>
      </c>
      <c r="AE1079" t="s">
        <v>74</v>
      </c>
      <c r="AF1079" t="s">
        <v>74</v>
      </c>
      <c r="AG1079">
        <v>56</v>
      </c>
      <c r="AH1079">
        <v>33</v>
      </c>
      <c r="AI1079">
        <v>37</v>
      </c>
      <c r="AJ1079">
        <v>1</v>
      </c>
      <c r="AK1079">
        <v>52</v>
      </c>
      <c r="AL1079" t="s">
        <v>20249</v>
      </c>
      <c r="AM1079" t="s">
        <v>20250</v>
      </c>
      <c r="AN1079" t="s">
        <v>20251</v>
      </c>
      <c r="AO1079" t="s">
        <v>20252</v>
      </c>
      <c r="AP1079" t="s">
        <v>20253</v>
      </c>
      <c r="AQ1079" t="s">
        <v>74</v>
      </c>
      <c r="AR1079" t="s">
        <v>20254</v>
      </c>
      <c r="AS1079" t="s">
        <v>20255</v>
      </c>
      <c r="AT1079" t="s">
        <v>20233</v>
      </c>
      <c r="AU1079">
        <v>2017</v>
      </c>
      <c r="AV1079">
        <v>10</v>
      </c>
      <c r="AW1079">
        <v>4</v>
      </c>
      <c r="AX1079" t="s">
        <v>74</v>
      </c>
      <c r="AY1079" t="s">
        <v>74</v>
      </c>
      <c r="AZ1079" t="s">
        <v>74</v>
      </c>
      <c r="BA1079" t="s">
        <v>74</v>
      </c>
      <c r="BB1079">
        <v>182</v>
      </c>
      <c r="BC1079">
        <v>195</v>
      </c>
      <c r="BD1079" t="s">
        <v>74</v>
      </c>
      <c r="BE1079" t="s">
        <v>20256</v>
      </c>
      <c r="BF1079" t="str">
        <f>HYPERLINK("http://dx.doi.org/10.3928/19404921-20170524-02","http://dx.doi.org/10.3928/19404921-20170524-02")</f>
        <v>http://dx.doi.org/10.3928/19404921-20170524-02</v>
      </c>
      <c r="BG1079" t="s">
        <v>74</v>
      </c>
      <c r="BH1079" t="s">
        <v>74</v>
      </c>
      <c r="BI1079">
        <v>14</v>
      </c>
      <c r="BJ1079" t="s">
        <v>3094</v>
      </c>
      <c r="BK1079" t="s">
        <v>102</v>
      </c>
      <c r="BL1079" t="s">
        <v>3094</v>
      </c>
      <c r="BM1079" t="s">
        <v>20257</v>
      </c>
      <c r="BN1079">
        <v>28556875</v>
      </c>
      <c r="BO1079" t="s">
        <v>74</v>
      </c>
      <c r="BP1079" t="s">
        <v>74</v>
      </c>
      <c r="BQ1079" t="s">
        <v>74</v>
      </c>
      <c r="BR1079" t="s">
        <v>105</v>
      </c>
      <c r="BS1079" t="s">
        <v>20258</v>
      </c>
      <c r="BT1079" t="str">
        <f>HYPERLINK("https%3A%2F%2Fwww.webofscience.com%2Fwos%2Fwoscc%2Ffull-record%2FWOS:000407275900005","View Full Record in Web of Science")</f>
        <v>View Full Record in Web of Science</v>
      </c>
    </row>
    <row r="1080" spans="1:72" x14ac:dyDescent="0.25">
      <c r="A1080" t="s">
        <v>72</v>
      </c>
      <c r="B1080" t="s">
        <v>20259</v>
      </c>
      <c r="C1080" t="s">
        <v>74</v>
      </c>
      <c r="D1080" t="s">
        <v>74</v>
      </c>
      <c r="E1080" t="s">
        <v>74</v>
      </c>
      <c r="F1080" t="s">
        <v>20260</v>
      </c>
      <c r="G1080" t="s">
        <v>74</v>
      </c>
      <c r="H1080" t="s">
        <v>74</v>
      </c>
      <c r="I1080" t="s">
        <v>20261</v>
      </c>
      <c r="J1080" t="s">
        <v>18090</v>
      </c>
      <c r="K1080" t="s">
        <v>74</v>
      </c>
      <c r="L1080" t="s">
        <v>74</v>
      </c>
      <c r="M1080" t="s">
        <v>78</v>
      </c>
      <c r="N1080" t="s">
        <v>79</v>
      </c>
      <c r="O1080" t="s">
        <v>74</v>
      </c>
      <c r="P1080" t="s">
        <v>74</v>
      </c>
      <c r="Q1080" t="s">
        <v>74</v>
      </c>
      <c r="R1080" t="s">
        <v>74</v>
      </c>
      <c r="S1080" t="s">
        <v>74</v>
      </c>
      <c r="T1080" t="s">
        <v>20262</v>
      </c>
      <c r="U1080" t="s">
        <v>20263</v>
      </c>
      <c r="V1080" t="s">
        <v>20264</v>
      </c>
      <c r="W1080" t="s">
        <v>20265</v>
      </c>
      <c r="X1080" t="s">
        <v>20266</v>
      </c>
      <c r="Y1080" t="s">
        <v>20267</v>
      </c>
      <c r="Z1080" t="s">
        <v>20268</v>
      </c>
      <c r="AA1080" t="s">
        <v>74</v>
      </c>
      <c r="AB1080" t="s">
        <v>74</v>
      </c>
      <c r="AC1080" t="s">
        <v>74</v>
      </c>
      <c r="AD1080" t="s">
        <v>74</v>
      </c>
      <c r="AE1080" t="s">
        <v>74</v>
      </c>
      <c r="AF1080" t="s">
        <v>74</v>
      </c>
      <c r="AG1080">
        <v>47</v>
      </c>
      <c r="AH1080">
        <v>21</v>
      </c>
      <c r="AI1080">
        <v>21</v>
      </c>
      <c r="AJ1080">
        <v>1</v>
      </c>
      <c r="AK1080">
        <v>6</v>
      </c>
      <c r="AL1080" t="s">
        <v>18099</v>
      </c>
      <c r="AM1080" t="s">
        <v>275</v>
      </c>
      <c r="AN1080" t="s">
        <v>18100</v>
      </c>
      <c r="AO1080" t="s">
        <v>18101</v>
      </c>
      <c r="AP1080" t="s">
        <v>74</v>
      </c>
      <c r="AQ1080" t="s">
        <v>74</v>
      </c>
      <c r="AR1080" t="s">
        <v>18102</v>
      </c>
      <c r="AS1080" t="s">
        <v>18103</v>
      </c>
      <c r="AT1080" t="s">
        <v>1734</v>
      </c>
      <c r="AU1080">
        <v>2017</v>
      </c>
      <c r="AV1080">
        <v>2</v>
      </c>
      <c r="AW1080">
        <v>7</v>
      </c>
      <c r="AX1080" t="s">
        <v>74</v>
      </c>
      <c r="AY1080" t="s">
        <v>74</v>
      </c>
      <c r="AZ1080" t="s">
        <v>74</v>
      </c>
      <c r="BA1080" t="s">
        <v>74</v>
      </c>
      <c r="BB1080">
        <v>317</v>
      </c>
      <c r="BC1080">
        <v>323</v>
      </c>
      <c r="BD1080" t="s">
        <v>74</v>
      </c>
      <c r="BE1080" t="s">
        <v>20269</v>
      </c>
      <c r="BF1080" t="str">
        <f>HYPERLINK("http://dx.doi.org/10.1302/2058-5241.2.160087","http://dx.doi.org/10.1302/2058-5241.2.160087")</f>
        <v>http://dx.doi.org/10.1302/2058-5241.2.160087</v>
      </c>
      <c r="BG1080" t="s">
        <v>74</v>
      </c>
      <c r="BH1080" t="s">
        <v>74</v>
      </c>
      <c r="BI1080">
        <v>7</v>
      </c>
      <c r="BJ1080" t="s">
        <v>443</v>
      </c>
      <c r="BK1080" t="s">
        <v>182</v>
      </c>
      <c r="BL1080" t="s">
        <v>443</v>
      </c>
      <c r="BM1080" t="s">
        <v>20270</v>
      </c>
      <c r="BN1080">
        <v>28828180</v>
      </c>
      <c r="BO1080" t="s">
        <v>355</v>
      </c>
      <c r="BP1080" t="s">
        <v>74</v>
      </c>
      <c r="BQ1080" t="s">
        <v>74</v>
      </c>
      <c r="BR1080" t="s">
        <v>105</v>
      </c>
      <c r="BS1080" t="s">
        <v>20271</v>
      </c>
      <c r="BT1080" t="str">
        <f>HYPERLINK("https%3A%2F%2Fwww.webofscience.com%2Fwos%2Fwoscc%2Ffull-record%2FWOS:000419976300002","View Full Record in Web of Science")</f>
        <v>View Full Record in Web of Science</v>
      </c>
    </row>
    <row r="1081" spans="1:72" x14ac:dyDescent="0.25">
      <c r="A1081" t="s">
        <v>72</v>
      </c>
      <c r="B1081" t="s">
        <v>20272</v>
      </c>
      <c r="C1081" t="s">
        <v>74</v>
      </c>
      <c r="D1081" t="s">
        <v>74</v>
      </c>
      <c r="E1081" t="s">
        <v>74</v>
      </c>
      <c r="F1081" t="s">
        <v>20273</v>
      </c>
      <c r="G1081" t="s">
        <v>74</v>
      </c>
      <c r="H1081" t="s">
        <v>74</v>
      </c>
      <c r="I1081" t="s">
        <v>20274</v>
      </c>
      <c r="J1081" t="s">
        <v>20275</v>
      </c>
      <c r="K1081" t="s">
        <v>74</v>
      </c>
      <c r="L1081" t="s">
        <v>74</v>
      </c>
      <c r="M1081" t="s">
        <v>78</v>
      </c>
      <c r="N1081" t="s">
        <v>79</v>
      </c>
      <c r="O1081" t="s">
        <v>74</v>
      </c>
      <c r="P1081" t="s">
        <v>74</v>
      </c>
      <c r="Q1081" t="s">
        <v>74</v>
      </c>
      <c r="R1081" t="s">
        <v>74</v>
      </c>
      <c r="S1081" t="s">
        <v>74</v>
      </c>
      <c r="T1081" t="s">
        <v>20276</v>
      </c>
      <c r="U1081" t="s">
        <v>20277</v>
      </c>
      <c r="V1081" t="s">
        <v>20278</v>
      </c>
      <c r="W1081" t="s">
        <v>20279</v>
      </c>
      <c r="X1081" t="s">
        <v>74</v>
      </c>
      <c r="Y1081" t="s">
        <v>20280</v>
      </c>
      <c r="Z1081" t="s">
        <v>20281</v>
      </c>
      <c r="AA1081" t="s">
        <v>20282</v>
      </c>
      <c r="AB1081" t="s">
        <v>74</v>
      </c>
      <c r="AC1081" t="s">
        <v>74</v>
      </c>
      <c r="AD1081" t="s">
        <v>74</v>
      </c>
      <c r="AE1081" t="s">
        <v>74</v>
      </c>
      <c r="AF1081" t="s">
        <v>74</v>
      </c>
      <c r="AG1081">
        <v>27</v>
      </c>
      <c r="AH1081">
        <v>8</v>
      </c>
      <c r="AI1081">
        <v>9</v>
      </c>
      <c r="AJ1081">
        <v>0</v>
      </c>
      <c r="AK1081">
        <v>1</v>
      </c>
      <c r="AL1081" t="s">
        <v>4915</v>
      </c>
      <c r="AM1081" t="s">
        <v>532</v>
      </c>
      <c r="AN1081" t="s">
        <v>4916</v>
      </c>
      <c r="AO1081" t="s">
        <v>20283</v>
      </c>
      <c r="AP1081" t="s">
        <v>20284</v>
      </c>
      <c r="AQ1081" t="s">
        <v>74</v>
      </c>
      <c r="AR1081" t="s">
        <v>20285</v>
      </c>
      <c r="AS1081" t="s">
        <v>20286</v>
      </c>
      <c r="AT1081" t="s">
        <v>1734</v>
      </c>
      <c r="AU1081">
        <v>2017</v>
      </c>
      <c r="AV1081">
        <v>5</v>
      </c>
      <c r="AW1081">
        <v>3</v>
      </c>
      <c r="AX1081" t="s">
        <v>74</v>
      </c>
      <c r="AY1081" t="s">
        <v>74</v>
      </c>
      <c r="AZ1081" t="s">
        <v>74</v>
      </c>
      <c r="BA1081" t="s">
        <v>74</v>
      </c>
      <c r="BB1081">
        <v>359</v>
      </c>
      <c r="BC1081">
        <v>374</v>
      </c>
      <c r="BD1081" t="s">
        <v>74</v>
      </c>
      <c r="BE1081" t="s">
        <v>20287</v>
      </c>
      <c r="BF1081" t="str">
        <f>HYPERLINK("http://dx.doi.org/10.1016/j.sxmr.2017.03.002","http://dx.doi.org/10.1016/j.sxmr.2017.03.002")</f>
        <v>http://dx.doi.org/10.1016/j.sxmr.2017.03.002</v>
      </c>
      <c r="BG1081" t="s">
        <v>74</v>
      </c>
      <c r="BH1081" t="s">
        <v>74</v>
      </c>
      <c r="BI1081">
        <v>16</v>
      </c>
      <c r="BJ1081" t="s">
        <v>2739</v>
      </c>
      <c r="BK1081" t="s">
        <v>155</v>
      </c>
      <c r="BL1081" t="s">
        <v>2739</v>
      </c>
      <c r="BM1081" t="s">
        <v>20288</v>
      </c>
      <c r="BN1081">
        <v>28372960</v>
      </c>
      <c r="BO1081" t="s">
        <v>74</v>
      </c>
      <c r="BP1081" t="s">
        <v>74</v>
      </c>
      <c r="BQ1081" t="s">
        <v>74</v>
      </c>
      <c r="BR1081" t="s">
        <v>105</v>
      </c>
      <c r="BS1081" t="s">
        <v>20289</v>
      </c>
      <c r="BT1081" t="str">
        <f>HYPERLINK("https%3A%2F%2Fwww.webofscience.com%2Fwos%2Fwoscc%2Ffull-record%2FWOS:000508836600010","View Full Record in Web of Science")</f>
        <v>View Full Record in Web of Science</v>
      </c>
    </row>
    <row r="1082" spans="1:72" x14ac:dyDescent="0.25">
      <c r="A1082" t="s">
        <v>72</v>
      </c>
      <c r="B1082" t="s">
        <v>20290</v>
      </c>
      <c r="C1082" t="s">
        <v>74</v>
      </c>
      <c r="D1082" t="s">
        <v>74</v>
      </c>
      <c r="E1082" t="s">
        <v>74</v>
      </c>
      <c r="F1082" t="s">
        <v>20291</v>
      </c>
      <c r="G1082" t="s">
        <v>74</v>
      </c>
      <c r="H1082" t="s">
        <v>74</v>
      </c>
      <c r="I1082" t="s">
        <v>20292</v>
      </c>
      <c r="J1082" t="s">
        <v>20293</v>
      </c>
      <c r="K1082" t="s">
        <v>74</v>
      </c>
      <c r="L1082" t="s">
        <v>74</v>
      </c>
      <c r="M1082" t="s">
        <v>78</v>
      </c>
      <c r="N1082" t="s">
        <v>79</v>
      </c>
      <c r="O1082" t="s">
        <v>74</v>
      </c>
      <c r="P1082" t="s">
        <v>74</v>
      </c>
      <c r="Q1082" t="s">
        <v>74</v>
      </c>
      <c r="R1082" t="s">
        <v>74</v>
      </c>
      <c r="S1082" t="s">
        <v>74</v>
      </c>
      <c r="T1082" t="s">
        <v>20294</v>
      </c>
      <c r="U1082" t="s">
        <v>20295</v>
      </c>
      <c r="V1082" t="s">
        <v>20296</v>
      </c>
      <c r="W1082" t="s">
        <v>20297</v>
      </c>
      <c r="X1082" t="s">
        <v>20298</v>
      </c>
      <c r="Y1082" t="s">
        <v>20299</v>
      </c>
      <c r="Z1082" t="s">
        <v>20300</v>
      </c>
      <c r="AA1082" t="s">
        <v>20301</v>
      </c>
      <c r="AB1082" t="s">
        <v>20302</v>
      </c>
      <c r="AC1082" t="s">
        <v>20303</v>
      </c>
      <c r="AD1082" t="s">
        <v>20303</v>
      </c>
      <c r="AE1082" t="s">
        <v>20304</v>
      </c>
      <c r="AF1082" t="s">
        <v>74</v>
      </c>
      <c r="AG1082">
        <v>54</v>
      </c>
      <c r="AH1082">
        <v>18</v>
      </c>
      <c r="AI1082">
        <v>18</v>
      </c>
      <c r="AJ1082">
        <v>0</v>
      </c>
      <c r="AK1082">
        <v>18</v>
      </c>
      <c r="AL1082" t="s">
        <v>346</v>
      </c>
      <c r="AM1082" t="s">
        <v>227</v>
      </c>
      <c r="AN1082" t="s">
        <v>347</v>
      </c>
      <c r="AO1082" t="s">
        <v>20305</v>
      </c>
      <c r="AP1082" t="s">
        <v>20306</v>
      </c>
      <c r="AQ1082" t="s">
        <v>74</v>
      </c>
      <c r="AR1082" t="s">
        <v>20307</v>
      </c>
      <c r="AS1082" t="s">
        <v>20308</v>
      </c>
      <c r="AT1082" t="s">
        <v>1734</v>
      </c>
      <c r="AU1082">
        <v>2017</v>
      </c>
      <c r="AV1082">
        <v>27</v>
      </c>
      <c r="AW1082">
        <v>4</v>
      </c>
      <c r="AX1082" t="s">
        <v>74</v>
      </c>
      <c r="AY1082" t="s">
        <v>74</v>
      </c>
      <c r="AZ1082" t="s">
        <v>74</v>
      </c>
      <c r="BA1082" t="s">
        <v>74</v>
      </c>
      <c r="BB1082">
        <v>342</v>
      </c>
      <c r="BC1082">
        <v>347</v>
      </c>
      <c r="BD1082" t="s">
        <v>74</v>
      </c>
      <c r="BE1082" t="s">
        <v>20309</v>
      </c>
      <c r="BF1082" t="str">
        <f>HYPERLINK("http://dx.doi.org/10.1097/MOU.0000000000000408","http://dx.doi.org/10.1097/MOU.0000000000000408")</f>
        <v>http://dx.doi.org/10.1097/MOU.0000000000000408</v>
      </c>
      <c r="BG1082" t="s">
        <v>74</v>
      </c>
      <c r="BH1082" t="s">
        <v>74</v>
      </c>
      <c r="BI1082">
        <v>6</v>
      </c>
      <c r="BJ1082" t="s">
        <v>2739</v>
      </c>
      <c r="BK1082" t="s">
        <v>182</v>
      </c>
      <c r="BL1082" t="s">
        <v>2739</v>
      </c>
      <c r="BM1082" t="s">
        <v>20310</v>
      </c>
      <c r="BN1082">
        <v>28445190</v>
      </c>
      <c r="BO1082" t="s">
        <v>74</v>
      </c>
      <c r="BP1082" t="s">
        <v>74</v>
      </c>
      <c r="BQ1082" t="s">
        <v>74</v>
      </c>
      <c r="BR1082" t="s">
        <v>105</v>
      </c>
      <c r="BS1082" t="s">
        <v>20311</v>
      </c>
      <c r="BT1082" t="str">
        <f>HYPERLINK("https%3A%2F%2Fwww.webofscience.com%2Fwos%2Fwoscc%2Ffull-record%2FWOS:000402555900006","View Full Record in Web of Science")</f>
        <v>View Full Record in Web of Science</v>
      </c>
    </row>
    <row r="1083" spans="1:72" x14ac:dyDescent="0.25">
      <c r="A1083" t="s">
        <v>72</v>
      </c>
      <c r="B1083" t="s">
        <v>20312</v>
      </c>
      <c r="C1083" t="s">
        <v>74</v>
      </c>
      <c r="D1083" t="s">
        <v>74</v>
      </c>
      <c r="E1083" t="s">
        <v>74</v>
      </c>
      <c r="F1083" t="s">
        <v>20313</v>
      </c>
      <c r="G1083" t="s">
        <v>74</v>
      </c>
      <c r="H1083" t="s">
        <v>74</v>
      </c>
      <c r="I1083" t="s">
        <v>20314</v>
      </c>
      <c r="J1083" t="s">
        <v>468</v>
      </c>
      <c r="K1083" t="s">
        <v>74</v>
      </c>
      <c r="L1083" t="s">
        <v>74</v>
      </c>
      <c r="M1083" t="s">
        <v>78</v>
      </c>
      <c r="N1083" t="s">
        <v>79</v>
      </c>
      <c r="O1083" t="s">
        <v>74</v>
      </c>
      <c r="P1083" t="s">
        <v>74</v>
      </c>
      <c r="Q1083" t="s">
        <v>74</v>
      </c>
      <c r="R1083" t="s">
        <v>74</v>
      </c>
      <c r="S1083" t="s">
        <v>74</v>
      </c>
      <c r="T1083" t="s">
        <v>20315</v>
      </c>
      <c r="U1083" t="s">
        <v>20316</v>
      </c>
      <c r="V1083" t="s">
        <v>20317</v>
      </c>
      <c r="W1083" t="s">
        <v>20318</v>
      </c>
      <c r="X1083" t="s">
        <v>20319</v>
      </c>
      <c r="Y1083" t="s">
        <v>20320</v>
      </c>
      <c r="Z1083" t="s">
        <v>20321</v>
      </c>
      <c r="AA1083" t="s">
        <v>20322</v>
      </c>
      <c r="AB1083" t="s">
        <v>20323</v>
      </c>
      <c r="AC1083" t="s">
        <v>20324</v>
      </c>
      <c r="AD1083" t="s">
        <v>20325</v>
      </c>
      <c r="AE1083" t="s">
        <v>20326</v>
      </c>
      <c r="AF1083" t="s">
        <v>74</v>
      </c>
      <c r="AG1083">
        <v>73</v>
      </c>
      <c r="AH1083">
        <v>37</v>
      </c>
      <c r="AI1083">
        <v>45</v>
      </c>
      <c r="AJ1083">
        <v>3</v>
      </c>
      <c r="AK1083">
        <v>83</v>
      </c>
      <c r="AL1083" t="s">
        <v>480</v>
      </c>
      <c r="AM1083" t="s">
        <v>481</v>
      </c>
      <c r="AN1083" t="s">
        <v>482</v>
      </c>
      <c r="AO1083" t="s">
        <v>483</v>
      </c>
      <c r="AP1083" t="s">
        <v>484</v>
      </c>
      <c r="AQ1083" t="s">
        <v>74</v>
      </c>
      <c r="AR1083" t="s">
        <v>485</v>
      </c>
      <c r="AS1083" t="s">
        <v>486</v>
      </c>
      <c r="AT1083" t="s">
        <v>1070</v>
      </c>
      <c r="AU1083">
        <v>2017</v>
      </c>
      <c r="AV1083">
        <v>49</v>
      </c>
      <c r="AW1083">
        <v>6</v>
      </c>
      <c r="AX1083" t="s">
        <v>74</v>
      </c>
      <c r="AY1083" t="s">
        <v>74</v>
      </c>
      <c r="AZ1083" t="s">
        <v>74</v>
      </c>
      <c r="BA1083" t="s">
        <v>74</v>
      </c>
      <c r="BB1083">
        <v>449</v>
      </c>
      <c r="BC1083">
        <v>460</v>
      </c>
      <c r="BD1083" t="s">
        <v>74</v>
      </c>
      <c r="BE1083" t="s">
        <v>20327</v>
      </c>
      <c r="BF1083" t="str">
        <f>HYPERLINK("http://dx.doi.org/10.2340/16501977-2229","http://dx.doi.org/10.2340/16501977-2229")</f>
        <v>http://dx.doi.org/10.2340/16501977-2229</v>
      </c>
      <c r="BG1083" t="s">
        <v>74</v>
      </c>
      <c r="BH1083" t="s">
        <v>74</v>
      </c>
      <c r="BI1083">
        <v>12</v>
      </c>
      <c r="BJ1083" t="s">
        <v>236</v>
      </c>
      <c r="BK1083" t="s">
        <v>182</v>
      </c>
      <c r="BL1083" t="s">
        <v>236</v>
      </c>
      <c r="BM1083" t="s">
        <v>20328</v>
      </c>
      <c r="BN1083">
        <v>28597018</v>
      </c>
      <c r="BO1083" t="s">
        <v>20329</v>
      </c>
      <c r="BP1083" t="s">
        <v>74</v>
      </c>
      <c r="BQ1083" t="s">
        <v>74</v>
      </c>
      <c r="BR1083" t="s">
        <v>105</v>
      </c>
      <c r="BS1083" t="s">
        <v>20330</v>
      </c>
      <c r="BT1083" t="str">
        <f>HYPERLINK("https%3A%2F%2Fwww.webofscience.com%2Fwos%2Fwoscc%2Ffull-record%2FWOS:000404843000001","View Full Record in Web of Science")</f>
        <v>View Full Record in Web of Science</v>
      </c>
    </row>
    <row r="1084" spans="1:72" x14ac:dyDescent="0.25">
      <c r="A1084" t="s">
        <v>72</v>
      </c>
      <c r="B1084" t="s">
        <v>20331</v>
      </c>
      <c r="C1084" t="s">
        <v>74</v>
      </c>
      <c r="D1084" t="s">
        <v>74</v>
      </c>
      <c r="E1084" t="s">
        <v>74</v>
      </c>
      <c r="F1084" t="s">
        <v>20332</v>
      </c>
      <c r="G1084" t="s">
        <v>74</v>
      </c>
      <c r="H1084" t="s">
        <v>74</v>
      </c>
      <c r="I1084" t="s">
        <v>20333</v>
      </c>
      <c r="J1084" t="s">
        <v>2198</v>
      </c>
      <c r="K1084" t="s">
        <v>74</v>
      </c>
      <c r="L1084" t="s">
        <v>74</v>
      </c>
      <c r="M1084" t="s">
        <v>78</v>
      </c>
      <c r="N1084" t="s">
        <v>79</v>
      </c>
      <c r="O1084" t="s">
        <v>74</v>
      </c>
      <c r="P1084" t="s">
        <v>74</v>
      </c>
      <c r="Q1084" t="s">
        <v>74</v>
      </c>
      <c r="R1084" t="s">
        <v>74</v>
      </c>
      <c r="S1084" t="s">
        <v>74</v>
      </c>
      <c r="T1084" t="s">
        <v>20334</v>
      </c>
      <c r="U1084" t="s">
        <v>20335</v>
      </c>
      <c r="V1084" t="s">
        <v>20336</v>
      </c>
      <c r="W1084" t="s">
        <v>20337</v>
      </c>
      <c r="X1084" t="s">
        <v>13365</v>
      </c>
      <c r="Y1084" t="s">
        <v>20338</v>
      </c>
      <c r="Z1084" t="s">
        <v>20339</v>
      </c>
      <c r="AA1084" t="s">
        <v>20340</v>
      </c>
      <c r="AB1084" t="s">
        <v>20341</v>
      </c>
      <c r="AC1084" t="s">
        <v>20342</v>
      </c>
      <c r="AD1084" t="s">
        <v>20343</v>
      </c>
      <c r="AE1084" t="s">
        <v>20344</v>
      </c>
      <c r="AF1084" t="s">
        <v>74</v>
      </c>
      <c r="AG1084">
        <v>67</v>
      </c>
      <c r="AH1084">
        <v>34</v>
      </c>
      <c r="AI1084">
        <v>38</v>
      </c>
      <c r="AJ1084">
        <v>2</v>
      </c>
      <c r="AK1084">
        <v>34</v>
      </c>
      <c r="AL1084" t="s">
        <v>392</v>
      </c>
      <c r="AM1084" t="s">
        <v>393</v>
      </c>
      <c r="AN1084" t="s">
        <v>394</v>
      </c>
      <c r="AO1084" t="s">
        <v>2206</v>
      </c>
      <c r="AP1084" t="s">
        <v>74</v>
      </c>
      <c r="AQ1084" t="s">
        <v>74</v>
      </c>
      <c r="AR1084" t="s">
        <v>2207</v>
      </c>
      <c r="AS1084" t="s">
        <v>2208</v>
      </c>
      <c r="AT1084" t="s">
        <v>20345</v>
      </c>
      <c r="AU1084">
        <v>2017</v>
      </c>
      <c r="AV1084">
        <v>11</v>
      </c>
      <c r="AW1084" t="s">
        <v>74</v>
      </c>
      <c r="AX1084" t="s">
        <v>74</v>
      </c>
      <c r="AY1084" t="s">
        <v>74</v>
      </c>
      <c r="AZ1084" t="s">
        <v>74</v>
      </c>
      <c r="BA1084" t="s">
        <v>74</v>
      </c>
      <c r="BB1084" t="s">
        <v>74</v>
      </c>
      <c r="BC1084" t="s">
        <v>74</v>
      </c>
      <c r="BD1084">
        <v>268</v>
      </c>
      <c r="BE1084" t="s">
        <v>20346</v>
      </c>
      <c r="BF1084" t="str">
        <f>HYPERLINK("http://dx.doi.org/10.3389/fnhum.2017.00268","http://dx.doi.org/10.3389/fnhum.2017.00268")</f>
        <v>http://dx.doi.org/10.3389/fnhum.2017.00268</v>
      </c>
      <c r="BG1084" t="s">
        <v>74</v>
      </c>
      <c r="BH1084" t="s">
        <v>74</v>
      </c>
      <c r="BI1084">
        <v>14</v>
      </c>
      <c r="BJ1084" t="s">
        <v>2211</v>
      </c>
      <c r="BK1084" t="s">
        <v>182</v>
      </c>
      <c r="BL1084" t="s">
        <v>2212</v>
      </c>
      <c r="BM1084" t="s">
        <v>20347</v>
      </c>
      <c r="BN1084">
        <v>28588467</v>
      </c>
      <c r="BO1084" t="s">
        <v>355</v>
      </c>
      <c r="BP1084" t="s">
        <v>74</v>
      </c>
      <c r="BQ1084" t="s">
        <v>74</v>
      </c>
      <c r="BR1084" t="s">
        <v>105</v>
      </c>
      <c r="BS1084" t="s">
        <v>20348</v>
      </c>
      <c r="BT1084" t="str">
        <f>HYPERLINK("https%3A%2F%2Fwww.webofscience.com%2Fwos%2Fwoscc%2Ffull-record%2FWOS:000401867400001","View Full Record in Web of Science")</f>
        <v>View Full Record in Web of Science</v>
      </c>
    </row>
    <row r="1085" spans="1:72" x14ac:dyDescent="0.25">
      <c r="A1085" t="s">
        <v>72</v>
      </c>
      <c r="B1085" t="s">
        <v>20349</v>
      </c>
      <c r="C1085" t="s">
        <v>74</v>
      </c>
      <c r="D1085" t="s">
        <v>74</v>
      </c>
      <c r="E1085" t="s">
        <v>74</v>
      </c>
      <c r="F1085" t="s">
        <v>20350</v>
      </c>
      <c r="G1085" t="s">
        <v>74</v>
      </c>
      <c r="H1085" t="s">
        <v>74</v>
      </c>
      <c r="I1085" t="s">
        <v>20351</v>
      </c>
      <c r="J1085" t="s">
        <v>8472</v>
      </c>
      <c r="K1085" t="s">
        <v>74</v>
      </c>
      <c r="L1085" t="s">
        <v>74</v>
      </c>
      <c r="M1085" t="s">
        <v>78</v>
      </c>
      <c r="N1085" t="s">
        <v>79</v>
      </c>
      <c r="O1085" t="s">
        <v>74</v>
      </c>
      <c r="P1085" t="s">
        <v>74</v>
      </c>
      <c r="Q1085" t="s">
        <v>74</v>
      </c>
      <c r="R1085" t="s">
        <v>74</v>
      </c>
      <c r="S1085" t="s">
        <v>74</v>
      </c>
      <c r="T1085" t="s">
        <v>20352</v>
      </c>
      <c r="U1085" t="s">
        <v>20353</v>
      </c>
      <c r="V1085" t="s">
        <v>20354</v>
      </c>
      <c r="W1085" t="s">
        <v>20355</v>
      </c>
      <c r="X1085" t="s">
        <v>20356</v>
      </c>
      <c r="Y1085" t="s">
        <v>20357</v>
      </c>
      <c r="Z1085" t="s">
        <v>20358</v>
      </c>
      <c r="AA1085" t="s">
        <v>20359</v>
      </c>
      <c r="AB1085" t="s">
        <v>20360</v>
      </c>
      <c r="AC1085" t="s">
        <v>20361</v>
      </c>
      <c r="AD1085" t="s">
        <v>20362</v>
      </c>
      <c r="AE1085" t="s">
        <v>20363</v>
      </c>
      <c r="AF1085" t="s">
        <v>74</v>
      </c>
      <c r="AG1085">
        <v>68</v>
      </c>
      <c r="AH1085">
        <v>63</v>
      </c>
      <c r="AI1085">
        <v>64</v>
      </c>
      <c r="AJ1085">
        <v>7</v>
      </c>
      <c r="AK1085">
        <v>139</v>
      </c>
      <c r="AL1085" t="s">
        <v>1114</v>
      </c>
      <c r="AM1085" t="s">
        <v>1115</v>
      </c>
      <c r="AN1085" t="s">
        <v>1116</v>
      </c>
      <c r="AO1085" t="s">
        <v>8485</v>
      </c>
      <c r="AP1085" t="s">
        <v>8486</v>
      </c>
      <c r="AQ1085" t="s">
        <v>74</v>
      </c>
      <c r="AR1085" t="s">
        <v>8487</v>
      </c>
      <c r="AS1085" t="s">
        <v>8488</v>
      </c>
      <c r="AT1085" t="s">
        <v>6472</v>
      </c>
      <c r="AU1085">
        <v>2017</v>
      </c>
      <c r="AV1085">
        <v>17</v>
      </c>
      <c r="AW1085">
        <v>7</v>
      </c>
      <c r="AX1085" t="s">
        <v>74</v>
      </c>
      <c r="AY1085" t="s">
        <v>74</v>
      </c>
      <c r="AZ1085" t="s">
        <v>74</v>
      </c>
      <c r="BA1085" t="s">
        <v>74</v>
      </c>
      <c r="BB1085">
        <v>1952</v>
      </c>
      <c r="BC1085">
        <v>1963</v>
      </c>
      <c r="BD1085" t="s">
        <v>74</v>
      </c>
      <c r="BE1085" t="s">
        <v>20364</v>
      </c>
      <c r="BF1085" t="str">
        <f>HYPERLINK("http://dx.doi.org/10.1109/JSEN.2017.2654489","http://dx.doi.org/10.1109/JSEN.2017.2654489")</f>
        <v>http://dx.doi.org/10.1109/JSEN.2017.2654489</v>
      </c>
      <c r="BG1085" t="s">
        <v>74</v>
      </c>
      <c r="BH1085" t="s">
        <v>74</v>
      </c>
      <c r="BI1085">
        <v>12</v>
      </c>
      <c r="BJ1085" t="s">
        <v>8491</v>
      </c>
      <c r="BK1085" t="s">
        <v>182</v>
      </c>
      <c r="BL1085" t="s">
        <v>8492</v>
      </c>
      <c r="BM1085" t="s">
        <v>20365</v>
      </c>
      <c r="BN1085">
        <v>28652857</v>
      </c>
      <c r="BO1085" t="s">
        <v>3048</v>
      </c>
      <c r="BP1085" t="s">
        <v>74</v>
      </c>
      <c r="BQ1085" t="s">
        <v>74</v>
      </c>
      <c r="BR1085" t="s">
        <v>105</v>
      </c>
      <c r="BS1085" t="s">
        <v>20366</v>
      </c>
      <c r="BT1085" t="str">
        <f>HYPERLINK("https%3A%2F%2Fwww.webofscience.com%2Fwos%2Fwoscc%2Ffull-record%2FWOS:000397600000001","View Full Record in Web of Science")</f>
        <v>View Full Record in Web of Science</v>
      </c>
    </row>
    <row r="1086" spans="1:72" x14ac:dyDescent="0.25">
      <c r="A1086" t="s">
        <v>72</v>
      </c>
      <c r="B1086" t="s">
        <v>20367</v>
      </c>
      <c r="C1086" t="s">
        <v>74</v>
      </c>
      <c r="D1086" t="s">
        <v>74</v>
      </c>
      <c r="E1086" t="s">
        <v>74</v>
      </c>
      <c r="F1086" t="s">
        <v>20368</v>
      </c>
      <c r="G1086" t="s">
        <v>74</v>
      </c>
      <c r="H1086" t="s">
        <v>74</v>
      </c>
      <c r="I1086" t="s">
        <v>20369</v>
      </c>
      <c r="J1086" t="s">
        <v>20370</v>
      </c>
      <c r="K1086" t="s">
        <v>74</v>
      </c>
      <c r="L1086" t="s">
        <v>74</v>
      </c>
      <c r="M1086" t="s">
        <v>78</v>
      </c>
      <c r="N1086" t="s">
        <v>79</v>
      </c>
      <c r="O1086" t="s">
        <v>74</v>
      </c>
      <c r="P1086" t="s">
        <v>74</v>
      </c>
      <c r="Q1086" t="s">
        <v>74</v>
      </c>
      <c r="R1086" t="s">
        <v>74</v>
      </c>
      <c r="S1086" t="s">
        <v>74</v>
      </c>
      <c r="T1086" t="s">
        <v>20371</v>
      </c>
      <c r="U1086" t="s">
        <v>20372</v>
      </c>
      <c r="V1086" t="s">
        <v>20373</v>
      </c>
      <c r="W1086" t="s">
        <v>20374</v>
      </c>
      <c r="X1086" t="s">
        <v>20375</v>
      </c>
      <c r="Y1086" t="s">
        <v>20376</v>
      </c>
      <c r="Z1086" t="s">
        <v>20377</v>
      </c>
      <c r="AA1086" t="s">
        <v>20378</v>
      </c>
      <c r="AB1086" t="s">
        <v>20379</v>
      </c>
      <c r="AC1086" t="s">
        <v>20380</v>
      </c>
      <c r="AD1086" t="s">
        <v>20381</v>
      </c>
      <c r="AE1086" t="s">
        <v>20382</v>
      </c>
      <c r="AF1086" t="s">
        <v>74</v>
      </c>
      <c r="AG1086">
        <v>253</v>
      </c>
      <c r="AH1086">
        <v>159</v>
      </c>
      <c r="AI1086">
        <v>176</v>
      </c>
      <c r="AJ1086">
        <v>0</v>
      </c>
      <c r="AK1086">
        <v>57</v>
      </c>
      <c r="AL1086" t="s">
        <v>392</v>
      </c>
      <c r="AM1086" t="s">
        <v>393</v>
      </c>
      <c r="AN1086" t="s">
        <v>394</v>
      </c>
      <c r="AO1086" t="s">
        <v>20383</v>
      </c>
      <c r="AP1086" t="s">
        <v>74</v>
      </c>
      <c r="AQ1086" t="s">
        <v>74</v>
      </c>
      <c r="AR1086" t="s">
        <v>20384</v>
      </c>
      <c r="AS1086" t="s">
        <v>20385</v>
      </c>
      <c r="AT1086" t="s">
        <v>17948</v>
      </c>
      <c r="AU1086">
        <v>2017</v>
      </c>
      <c r="AV1086">
        <v>11</v>
      </c>
      <c r="AW1086" t="s">
        <v>74</v>
      </c>
      <c r="AX1086" t="s">
        <v>74</v>
      </c>
      <c r="AY1086" t="s">
        <v>74</v>
      </c>
      <c r="AZ1086" t="s">
        <v>74</v>
      </c>
      <c r="BA1086" t="s">
        <v>74</v>
      </c>
      <c r="BB1086" t="s">
        <v>74</v>
      </c>
      <c r="BC1086" t="s">
        <v>74</v>
      </c>
      <c r="BD1086">
        <v>76</v>
      </c>
      <c r="BE1086" t="s">
        <v>20386</v>
      </c>
      <c r="BF1086" t="str">
        <f>HYPERLINK("http://dx.doi.org/10.3389/fncel.2017.00076","http://dx.doi.org/10.3389/fncel.2017.00076")</f>
        <v>http://dx.doi.org/10.3389/fncel.2017.00076</v>
      </c>
      <c r="BG1086" t="s">
        <v>74</v>
      </c>
      <c r="BH1086" t="s">
        <v>74</v>
      </c>
      <c r="BI1086">
        <v>22</v>
      </c>
      <c r="BJ1086" t="s">
        <v>374</v>
      </c>
      <c r="BK1086" t="s">
        <v>102</v>
      </c>
      <c r="BL1086" t="s">
        <v>375</v>
      </c>
      <c r="BM1086" t="s">
        <v>20387</v>
      </c>
      <c r="BN1086">
        <v>28360842</v>
      </c>
      <c r="BO1086" t="s">
        <v>355</v>
      </c>
      <c r="BP1086" t="s">
        <v>74</v>
      </c>
      <c r="BQ1086" t="s">
        <v>74</v>
      </c>
      <c r="BR1086" t="s">
        <v>105</v>
      </c>
      <c r="BS1086" t="s">
        <v>20388</v>
      </c>
      <c r="BT1086" t="str">
        <f>HYPERLINK("https%3A%2F%2Fwww.webofscience.com%2Fwos%2Fwoscc%2Ffull-record%2FWOS:000396199900001","View Full Record in Web of Science")</f>
        <v>View Full Record in Web of Science</v>
      </c>
    </row>
    <row r="1087" spans="1:72" x14ac:dyDescent="0.25">
      <c r="A1087" t="s">
        <v>72</v>
      </c>
      <c r="B1087" t="s">
        <v>20389</v>
      </c>
      <c r="C1087" t="s">
        <v>74</v>
      </c>
      <c r="D1087" t="s">
        <v>74</v>
      </c>
      <c r="E1087" t="s">
        <v>74</v>
      </c>
      <c r="F1087" t="s">
        <v>20390</v>
      </c>
      <c r="G1087" t="s">
        <v>74</v>
      </c>
      <c r="H1087" t="s">
        <v>74</v>
      </c>
      <c r="I1087" t="s">
        <v>20391</v>
      </c>
      <c r="J1087" t="s">
        <v>16896</v>
      </c>
      <c r="K1087" t="s">
        <v>74</v>
      </c>
      <c r="L1087" t="s">
        <v>74</v>
      </c>
      <c r="M1087" t="s">
        <v>78</v>
      </c>
      <c r="N1087" t="s">
        <v>79</v>
      </c>
      <c r="O1087" t="s">
        <v>74</v>
      </c>
      <c r="P1087" t="s">
        <v>74</v>
      </c>
      <c r="Q1087" t="s">
        <v>74</v>
      </c>
      <c r="R1087" t="s">
        <v>74</v>
      </c>
      <c r="S1087" t="s">
        <v>74</v>
      </c>
      <c r="T1087" t="s">
        <v>20392</v>
      </c>
      <c r="U1087" t="s">
        <v>20393</v>
      </c>
      <c r="V1087" t="s">
        <v>20394</v>
      </c>
      <c r="W1087" t="s">
        <v>20395</v>
      </c>
      <c r="X1087" t="s">
        <v>1285</v>
      </c>
      <c r="Y1087" t="s">
        <v>20396</v>
      </c>
      <c r="Z1087" t="s">
        <v>20397</v>
      </c>
      <c r="AA1087" t="s">
        <v>74</v>
      </c>
      <c r="AB1087" t="s">
        <v>20398</v>
      </c>
      <c r="AC1087" t="s">
        <v>74</v>
      </c>
      <c r="AD1087" t="s">
        <v>74</v>
      </c>
      <c r="AE1087" t="s">
        <v>74</v>
      </c>
      <c r="AF1087" t="s">
        <v>74</v>
      </c>
      <c r="AG1087">
        <v>43</v>
      </c>
      <c r="AH1087">
        <v>46</v>
      </c>
      <c r="AI1087">
        <v>50</v>
      </c>
      <c r="AJ1087">
        <v>0</v>
      </c>
      <c r="AK1087">
        <v>28</v>
      </c>
      <c r="AL1087" t="s">
        <v>346</v>
      </c>
      <c r="AM1087" t="s">
        <v>227</v>
      </c>
      <c r="AN1087" t="s">
        <v>347</v>
      </c>
      <c r="AO1087" t="s">
        <v>16908</v>
      </c>
      <c r="AP1087" t="s">
        <v>16909</v>
      </c>
      <c r="AQ1087" t="s">
        <v>74</v>
      </c>
      <c r="AR1087" t="s">
        <v>16910</v>
      </c>
      <c r="AS1087" t="s">
        <v>16911</v>
      </c>
      <c r="AT1087" t="s">
        <v>1471</v>
      </c>
      <c r="AU1087">
        <v>2017</v>
      </c>
      <c r="AV1087">
        <v>40</v>
      </c>
      <c r="AW1087">
        <v>1</v>
      </c>
      <c r="AX1087" t="s">
        <v>74</v>
      </c>
      <c r="AY1087" t="s">
        <v>74</v>
      </c>
      <c r="AZ1087" t="s">
        <v>74</v>
      </c>
      <c r="BA1087" t="s">
        <v>74</v>
      </c>
      <c r="BB1087">
        <v>19</v>
      </c>
      <c r="BC1087">
        <v>28</v>
      </c>
      <c r="BD1087" t="s">
        <v>74</v>
      </c>
      <c r="BE1087" t="s">
        <v>20399</v>
      </c>
      <c r="BF1087" t="str">
        <f>HYPERLINK("http://dx.doi.org/10.1097/MRR.0000000000000204","http://dx.doi.org/10.1097/MRR.0000000000000204")</f>
        <v>http://dx.doi.org/10.1097/MRR.0000000000000204</v>
      </c>
      <c r="BG1087" t="s">
        <v>74</v>
      </c>
      <c r="BH1087" t="s">
        <v>74</v>
      </c>
      <c r="BI1087">
        <v>10</v>
      </c>
      <c r="BJ1087" t="s">
        <v>101</v>
      </c>
      <c r="BK1087" t="s">
        <v>102</v>
      </c>
      <c r="BL1087" t="s">
        <v>101</v>
      </c>
      <c r="BM1087" t="s">
        <v>20400</v>
      </c>
      <c r="BN1087">
        <v>27926617</v>
      </c>
      <c r="BO1087" t="s">
        <v>74</v>
      </c>
      <c r="BP1087" t="s">
        <v>74</v>
      </c>
      <c r="BQ1087" t="s">
        <v>74</v>
      </c>
      <c r="BR1087" t="s">
        <v>105</v>
      </c>
      <c r="BS1087" t="s">
        <v>20401</v>
      </c>
      <c r="BT1087" t="str">
        <f>HYPERLINK("https%3A%2F%2Fwww.webofscience.com%2Fwos%2Fwoscc%2Ffull-record%2FWOS:000394460600003","View Full Record in Web of Science")</f>
        <v>View Full Record in Web of Science</v>
      </c>
    </row>
    <row r="1088" spans="1:72" x14ac:dyDescent="0.25">
      <c r="A1088" t="s">
        <v>72</v>
      </c>
      <c r="B1088" t="s">
        <v>20402</v>
      </c>
      <c r="C1088" t="s">
        <v>74</v>
      </c>
      <c r="D1088" t="s">
        <v>74</v>
      </c>
      <c r="E1088" t="s">
        <v>74</v>
      </c>
      <c r="F1088" t="s">
        <v>20403</v>
      </c>
      <c r="G1088" t="s">
        <v>74</v>
      </c>
      <c r="H1088" t="s">
        <v>74</v>
      </c>
      <c r="I1088" t="s">
        <v>20404</v>
      </c>
      <c r="J1088" t="s">
        <v>20405</v>
      </c>
      <c r="K1088" t="s">
        <v>74</v>
      </c>
      <c r="L1088" t="s">
        <v>74</v>
      </c>
      <c r="M1088" t="s">
        <v>78</v>
      </c>
      <c r="N1088" t="s">
        <v>79</v>
      </c>
      <c r="O1088" t="s">
        <v>74</v>
      </c>
      <c r="P1088" t="s">
        <v>74</v>
      </c>
      <c r="Q1088" t="s">
        <v>74</v>
      </c>
      <c r="R1088" t="s">
        <v>74</v>
      </c>
      <c r="S1088" t="s">
        <v>74</v>
      </c>
      <c r="T1088" t="s">
        <v>20406</v>
      </c>
      <c r="U1088" t="s">
        <v>20407</v>
      </c>
      <c r="V1088" t="s">
        <v>20408</v>
      </c>
      <c r="W1088" t="s">
        <v>20409</v>
      </c>
      <c r="X1088" t="s">
        <v>20410</v>
      </c>
      <c r="Y1088" t="s">
        <v>20411</v>
      </c>
      <c r="Z1088" t="s">
        <v>20412</v>
      </c>
      <c r="AA1088" t="s">
        <v>74</v>
      </c>
      <c r="AB1088" t="s">
        <v>74</v>
      </c>
      <c r="AC1088" t="s">
        <v>20413</v>
      </c>
      <c r="AD1088" t="s">
        <v>20414</v>
      </c>
      <c r="AE1088" t="s">
        <v>20415</v>
      </c>
      <c r="AF1088" t="s">
        <v>74</v>
      </c>
      <c r="AG1088">
        <v>108</v>
      </c>
      <c r="AH1088">
        <v>463</v>
      </c>
      <c r="AI1088">
        <v>513</v>
      </c>
      <c r="AJ1088">
        <v>62</v>
      </c>
      <c r="AK1088">
        <v>1051</v>
      </c>
      <c r="AL1088" t="s">
        <v>20416</v>
      </c>
      <c r="AM1088" t="s">
        <v>20417</v>
      </c>
      <c r="AN1088" t="s">
        <v>20418</v>
      </c>
      <c r="AO1088" t="s">
        <v>20419</v>
      </c>
      <c r="AP1088" t="s">
        <v>20420</v>
      </c>
      <c r="AQ1088" t="s">
        <v>74</v>
      </c>
      <c r="AR1088" t="s">
        <v>20421</v>
      </c>
      <c r="AS1088" t="s">
        <v>20422</v>
      </c>
      <c r="AT1088" t="s">
        <v>351</v>
      </c>
      <c r="AU1088">
        <v>2017</v>
      </c>
      <c r="AV1088">
        <v>15</v>
      </c>
      <c r="AW1088">
        <v>1</v>
      </c>
      <c r="AX1088" t="s">
        <v>74</v>
      </c>
      <c r="AY1088" t="s">
        <v>74</v>
      </c>
      <c r="AZ1088" t="s">
        <v>74</v>
      </c>
      <c r="BA1088" t="s">
        <v>74</v>
      </c>
      <c r="BB1088">
        <v>3</v>
      </c>
      <c r="BC1088">
        <v>15</v>
      </c>
      <c r="BD1088" t="s">
        <v>74</v>
      </c>
      <c r="BE1088" t="s">
        <v>20423</v>
      </c>
      <c r="BF1088" t="str">
        <f>HYPERLINK("http://dx.doi.org/10.1007/s12555-016-0462-3","http://dx.doi.org/10.1007/s12555-016-0462-3")</f>
        <v>http://dx.doi.org/10.1007/s12555-016-0462-3</v>
      </c>
      <c r="BG1088" t="s">
        <v>74</v>
      </c>
      <c r="BH1088" t="s">
        <v>74</v>
      </c>
      <c r="BI1088">
        <v>13</v>
      </c>
      <c r="BJ1088" t="s">
        <v>7020</v>
      </c>
      <c r="BK1088" t="s">
        <v>182</v>
      </c>
      <c r="BL1088" t="s">
        <v>7020</v>
      </c>
      <c r="BM1088" t="s">
        <v>20424</v>
      </c>
      <c r="BN1088" t="s">
        <v>74</v>
      </c>
      <c r="BO1088" t="s">
        <v>74</v>
      </c>
      <c r="BP1088" t="s">
        <v>869</v>
      </c>
      <c r="BQ1088" t="s">
        <v>870</v>
      </c>
      <c r="BR1088" t="s">
        <v>105</v>
      </c>
      <c r="BS1088" t="s">
        <v>20425</v>
      </c>
      <c r="BT1088" t="str">
        <f>HYPERLINK("https%3A%2F%2Fwww.webofscience.com%2Fwos%2Fwoscc%2Ffull-record%2FWOS:000393707600002","View Full Record in Web of Science")</f>
        <v>View Full Record in Web of Science</v>
      </c>
    </row>
    <row r="1089" spans="1:72" x14ac:dyDescent="0.25">
      <c r="A1089" t="s">
        <v>72</v>
      </c>
      <c r="B1089" t="s">
        <v>20426</v>
      </c>
      <c r="C1089" t="s">
        <v>74</v>
      </c>
      <c r="D1089" t="s">
        <v>74</v>
      </c>
      <c r="E1089" t="s">
        <v>74</v>
      </c>
      <c r="F1089" t="s">
        <v>20427</v>
      </c>
      <c r="G1089" t="s">
        <v>74</v>
      </c>
      <c r="H1089" t="s">
        <v>74</v>
      </c>
      <c r="I1089" t="s">
        <v>20428</v>
      </c>
      <c r="J1089" t="s">
        <v>1032</v>
      </c>
      <c r="K1089" t="s">
        <v>74</v>
      </c>
      <c r="L1089" t="s">
        <v>74</v>
      </c>
      <c r="M1089" t="s">
        <v>78</v>
      </c>
      <c r="N1089" t="s">
        <v>79</v>
      </c>
      <c r="O1089" t="s">
        <v>74</v>
      </c>
      <c r="P1089" t="s">
        <v>74</v>
      </c>
      <c r="Q1089" t="s">
        <v>74</v>
      </c>
      <c r="R1089" t="s">
        <v>74</v>
      </c>
      <c r="S1089" t="s">
        <v>74</v>
      </c>
      <c r="T1089" t="s">
        <v>20429</v>
      </c>
      <c r="U1089" t="s">
        <v>20430</v>
      </c>
      <c r="V1089" t="s">
        <v>20431</v>
      </c>
      <c r="W1089" t="s">
        <v>20432</v>
      </c>
      <c r="X1089" t="s">
        <v>20433</v>
      </c>
      <c r="Y1089" t="s">
        <v>20434</v>
      </c>
      <c r="Z1089" t="s">
        <v>20435</v>
      </c>
      <c r="AA1089" t="s">
        <v>20436</v>
      </c>
      <c r="AB1089" t="s">
        <v>20437</v>
      </c>
      <c r="AC1089" t="s">
        <v>20438</v>
      </c>
      <c r="AD1089" t="s">
        <v>20439</v>
      </c>
      <c r="AE1089" t="s">
        <v>20440</v>
      </c>
      <c r="AF1089" t="s">
        <v>74</v>
      </c>
      <c r="AG1089">
        <v>100</v>
      </c>
      <c r="AH1089">
        <v>387</v>
      </c>
      <c r="AI1089">
        <v>423</v>
      </c>
      <c r="AJ1089">
        <v>13</v>
      </c>
      <c r="AK1089">
        <v>288</v>
      </c>
      <c r="AL1089" t="s">
        <v>1040</v>
      </c>
      <c r="AM1089" t="s">
        <v>1041</v>
      </c>
      <c r="AN1089" t="s">
        <v>1042</v>
      </c>
      <c r="AO1089" t="s">
        <v>1043</v>
      </c>
      <c r="AP1089" t="s">
        <v>1044</v>
      </c>
      <c r="AQ1089" t="s">
        <v>74</v>
      </c>
      <c r="AR1089" t="s">
        <v>1045</v>
      </c>
      <c r="AS1089" t="s">
        <v>1046</v>
      </c>
      <c r="AT1089" t="s">
        <v>351</v>
      </c>
      <c r="AU1089">
        <v>2017</v>
      </c>
      <c r="AV1089">
        <v>31</v>
      </c>
      <c r="AW1089">
        <v>2</v>
      </c>
      <c r="AX1089" t="s">
        <v>74</v>
      </c>
      <c r="AY1089" t="s">
        <v>74</v>
      </c>
      <c r="AZ1089" t="s">
        <v>74</v>
      </c>
      <c r="BA1089" t="s">
        <v>74</v>
      </c>
      <c r="BB1089">
        <v>107</v>
      </c>
      <c r="BC1089">
        <v>121</v>
      </c>
      <c r="BD1089" t="s">
        <v>74</v>
      </c>
      <c r="BE1089" t="s">
        <v>20441</v>
      </c>
      <c r="BF1089" t="str">
        <f>HYPERLINK("http://dx.doi.org/10.1177/1545968316666957","http://dx.doi.org/10.1177/1545968316666957")</f>
        <v>http://dx.doi.org/10.1177/1545968316666957</v>
      </c>
      <c r="BG1089" t="s">
        <v>74</v>
      </c>
      <c r="BH1089" t="s">
        <v>74</v>
      </c>
      <c r="BI1089">
        <v>15</v>
      </c>
      <c r="BJ1089" t="s">
        <v>1049</v>
      </c>
      <c r="BK1089" t="s">
        <v>102</v>
      </c>
      <c r="BL1089" t="s">
        <v>1050</v>
      </c>
      <c r="BM1089" t="s">
        <v>20442</v>
      </c>
      <c r="BN1089">
        <v>27597165</v>
      </c>
      <c r="BO1089" t="s">
        <v>74</v>
      </c>
      <c r="BP1089" t="s">
        <v>869</v>
      </c>
      <c r="BQ1089" t="s">
        <v>870</v>
      </c>
      <c r="BR1089" t="s">
        <v>105</v>
      </c>
      <c r="BS1089" t="s">
        <v>20443</v>
      </c>
      <c r="BT1089" t="str">
        <f>HYPERLINK("https%3A%2F%2Fwww.webofscience.com%2Fwos%2Fwoscc%2Ffull-record%2FWOS:000396920000001","View Full Record in Web of Science")</f>
        <v>View Full Record in Web of Science</v>
      </c>
    </row>
    <row r="1090" spans="1:72" x14ac:dyDescent="0.25">
      <c r="A1090" t="s">
        <v>72</v>
      </c>
      <c r="B1090" t="s">
        <v>20444</v>
      </c>
      <c r="C1090" t="s">
        <v>74</v>
      </c>
      <c r="D1090" t="s">
        <v>74</v>
      </c>
      <c r="E1090" t="s">
        <v>74</v>
      </c>
      <c r="F1090" t="s">
        <v>20445</v>
      </c>
      <c r="G1090" t="s">
        <v>74</v>
      </c>
      <c r="H1090" t="s">
        <v>74</v>
      </c>
      <c r="I1090" t="s">
        <v>20446</v>
      </c>
      <c r="J1090" t="s">
        <v>243</v>
      </c>
      <c r="K1090" t="s">
        <v>74</v>
      </c>
      <c r="L1090" t="s">
        <v>74</v>
      </c>
      <c r="M1090" t="s">
        <v>78</v>
      </c>
      <c r="N1090" t="s">
        <v>79</v>
      </c>
      <c r="O1090" t="s">
        <v>74</v>
      </c>
      <c r="P1090" t="s">
        <v>74</v>
      </c>
      <c r="Q1090" t="s">
        <v>74</v>
      </c>
      <c r="R1090" t="s">
        <v>74</v>
      </c>
      <c r="S1090" t="s">
        <v>74</v>
      </c>
      <c r="T1090" t="s">
        <v>20447</v>
      </c>
      <c r="U1090" t="s">
        <v>20448</v>
      </c>
      <c r="V1090" t="s">
        <v>20449</v>
      </c>
      <c r="W1090" t="s">
        <v>20450</v>
      </c>
      <c r="X1090" t="s">
        <v>20451</v>
      </c>
      <c r="Y1090" t="s">
        <v>20452</v>
      </c>
      <c r="Z1090" t="s">
        <v>20453</v>
      </c>
      <c r="AA1090" t="s">
        <v>74</v>
      </c>
      <c r="AB1090" t="s">
        <v>74</v>
      </c>
      <c r="AC1090" t="s">
        <v>74</v>
      </c>
      <c r="AD1090" t="s">
        <v>74</v>
      </c>
      <c r="AE1090" t="s">
        <v>74</v>
      </c>
      <c r="AF1090" t="s">
        <v>74</v>
      </c>
      <c r="AG1090">
        <v>85</v>
      </c>
      <c r="AH1090">
        <v>15</v>
      </c>
      <c r="AI1090">
        <v>16</v>
      </c>
      <c r="AJ1090">
        <v>1</v>
      </c>
      <c r="AK1090">
        <v>21</v>
      </c>
      <c r="AL1090" t="s">
        <v>253</v>
      </c>
      <c r="AM1090" t="s">
        <v>227</v>
      </c>
      <c r="AN1090" t="s">
        <v>254</v>
      </c>
      <c r="AO1090" t="s">
        <v>255</v>
      </c>
      <c r="AP1090" t="s">
        <v>256</v>
      </c>
      <c r="AQ1090" t="s">
        <v>74</v>
      </c>
      <c r="AR1090" t="s">
        <v>257</v>
      </c>
      <c r="AS1090" t="s">
        <v>258</v>
      </c>
      <c r="AT1090" t="s">
        <v>74</v>
      </c>
      <c r="AU1090">
        <v>2017</v>
      </c>
      <c r="AV1090">
        <v>12</v>
      </c>
      <c r="AW1090">
        <v>8</v>
      </c>
      <c r="AX1090" t="s">
        <v>74</v>
      </c>
      <c r="AY1090" t="s">
        <v>74</v>
      </c>
      <c r="AZ1090" t="s">
        <v>74</v>
      </c>
      <c r="BA1090" t="s">
        <v>74</v>
      </c>
      <c r="BB1090">
        <v>765</v>
      </c>
      <c r="BC1090">
        <v>771</v>
      </c>
      <c r="BD1090" t="s">
        <v>74</v>
      </c>
      <c r="BE1090" t="s">
        <v>20454</v>
      </c>
      <c r="BF1090" t="str">
        <f>HYPERLINK("http://dx.doi.org/10.1080/17483107.2016.1269211","http://dx.doi.org/10.1080/17483107.2016.1269211")</f>
        <v>http://dx.doi.org/10.1080/17483107.2016.1269211</v>
      </c>
      <c r="BG1090" t="s">
        <v>74</v>
      </c>
      <c r="BH1090" t="s">
        <v>74</v>
      </c>
      <c r="BI1090">
        <v>7</v>
      </c>
      <c r="BJ1090" t="s">
        <v>101</v>
      </c>
      <c r="BK1090" t="s">
        <v>155</v>
      </c>
      <c r="BL1090" t="s">
        <v>101</v>
      </c>
      <c r="BM1090" t="s">
        <v>20455</v>
      </c>
      <c r="BN1090">
        <v>28035841</v>
      </c>
      <c r="BO1090" t="s">
        <v>74</v>
      </c>
      <c r="BP1090" t="s">
        <v>74</v>
      </c>
      <c r="BQ1090" t="s">
        <v>74</v>
      </c>
      <c r="BR1090" t="s">
        <v>105</v>
      </c>
      <c r="BS1090" t="s">
        <v>20456</v>
      </c>
      <c r="BT1090" t="str">
        <f>HYPERLINK("https%3A%2F%2Fwww.webofscience.com%2Fwos%2Fwoscc%2Ffull-record%2FWOS:000418495700001","View Full Record in Web of Science")</f>
        <v>View Full Record in Web of Science</v>
      </c>
    </row>
    <row r="1091" spans="1:72" x14ac:dyDescent="0.25">
      <c r="A1091" t="s">
        <v>72</v>
      </c>
      <c r="B1091" t="s">
        <v>20457</v>
      </c>
      <c r="C1091" t="s">
        <v>74</v>
      </c>
      <c r="D1091" t="s">
        <v>74</v>
      </c>
      <c r="E1091" t="s">
        <v>74</v>
      </c>
      <c r="F1091" t="s">
        <v>20458</v>
      </c>
      <c r="G1091" t="s">
        <v>74</v>
      </c>
      <c r="H1091" t="s">
        <v>74</v>
      </c>
      <c r="I1091" t="s">
        <v>20459</v>
      </c>
      <c r="J1091" t="s">
        <v>9533</v>
      </c>
      <c r="K1091" t="s">
        <v>74</v>
      </c>
      <c r="L1091" t="s">
        <v>74</v>
      </c>
      <c r="M1091" t="s">
        <v>78</v>
      </c>
      <c r="N1091" t="s">
        <v>79</v>
      </c>
      <c r="O1091" t="s">
        <v>74</v>
      </c>
      <c r="P1091" t="s">
        <v>74</v>
      </c>
      <c r="Q1091" t="s">
        <v>74</v>
      </c>
      <c r="R1091" t="s">
        <v>74</v>
      </c>
      <c r="S1091" t="s">
        <v>74</v>
      </c>
      <c r="T1091" t="s">
        <v>20460</v>
      </c>
      <c r="U1091" t="s">
        <v>20461</v>
      </c>
      <c r="V1091" t="s">
        <v>20462</v>
      </c>
      <c r="W1091" t="s">
        <v>20463</v>
      </c>
      <c r="X1091" t="s">
        <v>20464</v>
      </c>
      <c r="Y1091" t="s">
        <v>20465</v>
      </c>
      <c r="Z1091" t="s">
        <v>20466</v>
      </c>
      <c r="AA1091" t="s">
        <v>20467</v>
      </c>
      <c r="AB1091" t="s">
        <v>20468</v>
      </c>
      <c r="AC1091" t="s">
        <v>20469</v>
      </c>
      <c r="AD1091" t="s">
        <v>20469</v>
      </c>
      <c r="AE1091" t="s">
        <v>20470</v>
      </c>
      <c r="AF1091" t="s">
        <v>74</v>
      </c>
      <c r="AG1091">
        <v>74</v>
      </c>
      <c r="AH1091">
        <v>107</v>
      </c>
      <c r="AI1091">
        <v>112</v>
      </c>
      <c r="AJ1091">
        <v>1</v>
      </c>
      <c r="AK1091">
        <v>51</v>
      </c>
      <c r="AL1091" t="s">
        <v>3456</v>
      </c>
      <c r="AM1091" t="s">
        <v>3457</v>
      </c>
      <c r="AN1091" t="s">
        <v>3458</v>
      </c>
      <c r="AO1091" t="s">
        <v>9541</v>
      </c>
      <c r="AP1091" t="s">
        <v>74</v>
      </c>
      <c r="AQ1091" t="s">
        <v>74</v>
      </c>
      <c r="AR1091" t="s">
        <v>9542</v>
      </c>
      <c r="AS1091" t="s">
        <v>9543</v>
      </c>
      <c r="AT1091" t="s">
        <v>74</v>
      </c>
      <c r="AU1091">
        <v>2017</v>
      </c>
      <c r="AV1091">
        <v>10</v>
      </c>
      <c r="AW1091" t="s">
        <v>74</v>
      </c>
      <c r="AX1091" t="s">
        <v>74</v>
      </c>
      <c r="AY1091" t="s">
        <v>74</v>
      </c>
      <c r="AZ1091" t="s">
        <v>74</v>
      </c>
      <c r="BA1091" t="s">
        <v>74</v>
      </c>
      <c r="BB1091">
        <v>89</v>
      </c>
      <c r="BC1091">
        <v>107</v>
      </c>
      <c r="BD1091" t="s">
        <v>74</v>
      </c>
      <c r="BE1091" t="s">
        <v>20471</v>
      </c>
      <c r="BF1091" t="str">
        <f>HYPERLINK("http://dx.doi.org/10.2147/MDER.S107134","http://dx.doi.org/10.2147/MDER.S107134")</f>
        <v>http://dx.doi.org/10.2147/MDER.S107134</v>
      </c>
      <c r="BG1091" t="s">
        <v>74</v>
      </c>
      <c r="BH1091" t="s">
        <v>74</v>
      </c>
      <c r="BI1091">
        <v>19</v>
      </c>
      <c r="BJ1091" t="s">
        <v>282</v>
      </c>
      <c r="BK1091" t="s">
        <v>155</v>
      </c>
      <c r="BL1091" t="s">
        <v>183</v>
      </c>
      <c r="BM1091" t="s">
        <v>20472</v>
      </c>
      <c r="BN1091">
        <v>28533700</v>
      </c>
      <c r="BO1091" t="s">
        <v>5437</v>
      </c>
      <c r="BP1091" t="s">
        <v>74</v>
      </c>
      <c r="BQ1091" t="s">
        <v>74</v>
      </c>
      <c r="BR1091" t="s">
        <v>105</v>
      </c>
      <c r="BS1091" t="s">
        <v>20473</v>
      </c>
      <c r="BT1091" t="str">
        <f>HYPERLINK("https%3A%2F%2Fwww.webofscience.com%2Fwos%2Fwoscc%2Ffull-record%2FWOS:000400940700001","View Full Record in Web of Science")</f>
        <v>View Full Record in Web of Science</v>
      </c>
    </row>
    <row r="1092" spans="1:72" x14ac:dyDescent="0.25">
      <c r="A1092" t="s">
        <v>72</v>
      </c>
      <c r="B1092" t="s">
        <v>20474</v>
      </c>
      <c r="C1092" t="s">
        <v>74</v>
      </c>
      <c r="D1092" t="s">
        <v>74</v>
      </c>
      <c r="E1092" t="s">
        <v>74</v>
      </c>
      <c r="F1092" t="s">
        <v>20475</v>
      </c>
      <c r="G1092" t="s">
        <v>74</v>
      </c>
      <c r="H1092" t="s">
        <v>74</v>
      </c>
      <c r="I1092" t="s">
        <v>20476</v>
      </c>
      <c r="J1092" t="s">
        <v>20477</v>
      </c>
      <c r="K1092" t="s">
        <v>74</v>
      </c>
      <c r="L1092" t="s">
        <v>74</v>
      </c>
      <c r="M1092" t="s">
        <v>78</v>
      </c>
      <c r="N1092" t="s">
        <v>79</v>
      </c>
      <c r="O1092" t="s">
        <v>74</v>
      </c>
      <c r="P1092" t="s">
        <v>74</v>
      </c>
      <c r="Q1092" t="s">
        <v>74</v>
      </c>
      <c r="R1092" t="s">
        <v>74</v>
      </c>
      <c r="S1092" t="s">
        <v>74</v>
      </c>
      <c r="T1092" t="s">
        <v>20478</v>
      </c>
      <c r="U1092" t="s">
        <v>20479</v>
      </c>
      <c r="V1092" t="s">
        <v>20480</v>
      </c>
      <c r="W1092" t="s">
        <v>74</v>
      </c>
      <c r="X1092" t="s">
        <v>74</v>
      </c>
      <c r="Y1092" t="s">
        <v>74</v>
      </c>
      <c r="Z1092" t="s">
        <v>20481</v>
      </c>
      <c r="AA1092" t="s">
        <v>20482</v>
      </c>
      <c r="AB1092" t="s">
        <v>20483</v>
      </c>
      <c r="AC1092" t="s">
        <v>20484</v>
      </c>
      <c r="AD1092" t="s">
        <v>20485</v>
      </c>
      <c r="AE1092" t="s">
        <v>20486</v>
      </c>
      <c r="AF1092" t="s">
        <v>74</v>
      </c>
      <c r="AG1092">
        <v>186</v>
      </c>
      <c r="AH1092">
        <v>25</v>
      </c>
      <c r="AI1092">
        <v>27</v>
      </c>
      <c r="AJ1092">
        <v>0</v>
      </c>
      <c r="AK1092">
        <v>11</v>
      </c>
      <c r="AL1092" t="s">
        <v>14177</v>
      </c>
      <c r="AM1092" t="s">
        <v>14178</v>
      </c>
      <c r="AN1092" t="s">
        <v>14179</v>
      </c>
      <c r="AO1092" t="s">
        <v>20487</v>
      </c>
      <c r="AP1092" t="s">
        <v>20488</v>
      </c>
      <c r="AQ1092" t="s">
        <v>74</v>
      </c>
      <c r="AR1092" t="s">
        <v>20489</v>
      </c>
      <c r="AS1092" t="s">
        <v>20490</v>
      </c>
      <c r="AT1092" t="s">
        <v>74</v>
      </c>
      <c r="AU1092">
        <v>2017</v>
      </c>
      <c r="AV1092">
        <v>23</v>
      </c>
      <c r="AW1092">
        <v>12</v>
      </c>
      <c r="AX1092" t="s">
        <v>74</v>
      </c>
      <c r="AY1092" t="s">
        <v>74</v>
      </c>
      <c r="AZ1092" t="s">
        <v>74</v>
      </c>
      <c r="BA1092" t="s">
        <v>74</v>
      </c>
      <c r="BB1092">
        <v>1805</v>
      </c>
      <c r="BC1092">
        <v>1820</v>
      </c>
      <c r="BD1092" t="s">
        <v>74</v>
      </c>
      <c r="BE1092" t="s">
        <v>20491</v>
      </c>
      <c r="BF1092" t="str">
        <f>HYPERLINK("http://dx.doi.org/10.2174/1381612822666161214144655","http://dx.doi.org/10.2174/1381612822666161214144655")</f>
        <v>http://dx.doi.org/10.2174/1381612822666161214144655</v>
      </c>
      <c r="BG1092" t="s">
        <v>74</v>
      </c>
      <c r="BH1092" t="s">
        <v>74</v>
      </c>
      <c r="BI1092">
        <v>16</v>
      </c>
      <c r="BJ1092" t="s">
        <v>2268</v>
      </c>
      <c r="BK1092" t="s">
        <v>182</v>
      </c>
      <c r="BL1092" t="s">
        <v>2268</v>
      </c>
      <c r="BM1092" t="s">
        <v>20492</v>
      </c>
      <c r="BN1092">
        <v>27981912</v>
      </c>
      <c r="BO1092" t="s">
        <v>74</v>
      </c>
      <c r="BP1092" t="s">
        <v>74</v>
      </c>
      <c r="BQ1092" t="s">
        <v>74</v>
      </c>
      <c r="BR1092" t="s">
        <v>105</v>
      </c>
      <c r="BS1092" t="s">
        <v>20493</v>
      </c>
      <c r="BT1092" t="str">
        <f>HYPERLINK("https%3A%2F%2Fwww.webofscience.com%2Fwos%2Fwoscc%2Ffull-record%2FWOS:000401433500009","View Full Record in Web of Science")</f>
        <v>View Full Record in Web of Science</v>
      </c>
    </row>
    <row r="1093" spans="1:72" x14ac:dyDescent="0.25">
      <c r="A1093" t="s">
        <v>72</v>
      </c>
      <c r="B1093" t="s">
        <v>20494</v>
      </c>
      <c r="C1093" t="s">
        <v>74</v>
      </c>
      <c r="D1093" t="s">
        <v>74</v>
      </c>
      <c r="E1093" t="s">
        <v>74</v>
      </c>
      <c r="F1093" t="s">
        <v>20495</v>
      </c>
      <c r="G1093" t="s">
        <v>74</v>
      </c>
      <c r="H1093" t="s">
        <v>74</v>
      </c>
      <c r="I1093" t="s">
        <v>20496</v>
      </c>
      <c r="J1093" t="s">
        <v>1491</v>
      </c>
      <c r="K1093" t="s">
        <v>74</v>
      </c>
      <c r="L1093" t="s">
        <v>74</v>
      </c>
      <c r="M1093" t="s">
        <v>20497</v>
      </c>
      <c r="N1093" t="s">
        <v>79</v>
      </c>
      <c r="O1093" t="s">
        <v>74</v>
      </c>
      <c r="P1093" t="s">
        <v>74</v>
      </c>
      <c r="Q1093" t="s">
        <v>74</v>
      </c>
      <c r="R1093" t="s">
        <v>74</v>
      </c>
      <c r="S1093" t="s">
        <v>74</v>
      </c>
      <c r="T1093" t="s">
        <v>20498</v>
      </c>
      <c r="U1093" t="s">
        <v>20499</v>
      </c>
      <c r="V1093" t="s">
        <v>20500</v>
      </c>
      <c r="W1093" t="s">
        <v>20501</v>
      </c>
      <c r="X1093" t="s">
        <v>20502</v>
      </c>
      <c r="Y1093" t="s">
        <v>20503</v>
      </c>
      <c r="Z1093" t="s">
        <v>20504</v>
      </c>
      <c r="AA1093" t="s">
        <v>20505</v>
      </c>
      <c r="AB1093" t="s">
        <v>20506</v>
      </c>
      <c r="AC1093" t="s">
        <v>74</v>
      </c>
      <c r="AD1093" t="s">
        <v>74</v>
      </c>
      <c r="AE1093" t="s">
        <v>74</v>
      </c>
      <c r="AF1093" t="s">
        <v>74</v>
      </c>
      <c r="AG1093">
        <v>44</v>
      </c>
      <c r="AH1093">
        <v>5</v>
      </c>
      <c r="AI1093">
        <v>5</v>
      </c>
      <c r="AJ1093">
        <v>4</v>
      </c>
      <c r="AK1093">
        <v>38</v>
      </c>
      <c r="AL1093" t="s">
        <v>1499</v>
      </c>
      <c r="AM1093" t="s">
        <v>1500</v>
      </c>
      <c r="AN1093" t="s">
        <v>1501</v>
      </c>
      <c r="AO1093" t="s">
        <v>1502</v>
      </c>
      <c r="AP1093" t="s">
        <v>1503</v>
      </c>
      <c r="AQ1093" t="s">
        <v>74</v>
      </c>
      <c r="AR1093" t="s">
        <v>1504</v>
      </c>
      <c r="AS1093" t="s">
        <v>1505</v>
      </c>
      <c r="AT1093" t="s">
        <v>74</v>
      </c>
      <c r="AU1093">
        <v>2017</v>
      </c>
      <c r="AV1093">
        <v>80</v>
      </c>
      <c r="AW1093">
        <v>5</v>
      </c>
      <c r="AX1093" t="s">
        <v>74</v>
      </c>
      <c r="AY1093" t="s">
        <v>74</v>
      </c>
      <c r="AZ1093" t="s">
        <v>74</v>
      </c>
      <c r="BA1093" t="s">
        <v>74</v>
      </c>
      <c r="BB1093">
        <v>521</v>
      </c>
      <c r="BC1093">
        <v>526</v>
      </c>
      <c r="BD1093" t="s">
        <v>74</v>
      </c>
      <c r="BE1093" t="s">
        <v>20507</v>
      </c>
      <c r="BF1093" t="str">
        <f>HYPERLINK("http://dx.doi.org/10.14735/amcsnn2017521","http://dx.doi.org/10.14735/amcsnn2017521")</f>
        <v>http://dx.doi.org/10.14735/amcsnn2017521</v>
      </c>
      <c r="BG1093" t="s">
        <v>74</v>
      </c>
      <c r="BH1093" t="s">
        <v>74</v>
      </c>
      <c r="BI1093">
        <v>6</v>
      </c>
      <c r="BJ1093" t="s">
        <v>1507</v>
      </c>
      <c r="BK1093" t="s">
        <v>182</v>
      </c>
      <c r="BL1093" t="s">
        <v>1508</v>
      </c>
      <c r="BM1093" t="s">
        <v>20508</v>
      </c>
      <c r="BN1093" t="s">
        <v>74</v>
      </c>
      <c r="BO1093" t="s">
        <v>74</v>
      </c>
      <c r="BP1093" t="s">
        <v>74</v>
      </c>
      <c r="BQ1093" t="s">
        <v>74</v>
      </c>
      <c r="BR1093" t="s">
        <v>105</v>
      </c>
      <c r="BS1093" t="s">
        <v>20509</v>
      </c>
      <c r="BT1093" t="str">
        <f>HYPERLINK("https%3A%2F%2Fwww.webofscience.com%2Fwos%2Fwoscc%2Ffull-record%2FWOS:000412370300002","View Full Record in Web of Science")</f>
        <v>View Full Record in Web of Science</v>
      </c>
    </row>
    <row r="1094" spans="1:72" x14ac:dyDescent="0.25">
      <c r="A1094" t="s">
        <v>72</v>
      </c>
      <c r="B1094" t="s">
        <v>20510</v>
      </c>
      <c r="C1094" t="s">
        <v>74</v>
      </c>
      <c r="D1094" t="s">
        <v>74</v>
      </c>
      <c r="E1094" t="s">
        <v>74</v>
      </c>
      <c r="F1094" t="s">
        <v>20511</v>
      </c>
      <c r="G1094" t="s">
        <v>74</v>
      </c>
      <c r="H1094" t="s">
        <v>74</v>
      </c>
      <c r="I1094" t="s">
        <v>20512</v>
      </c>
      <c r="J1094" t="s">
        <v>243</v>
      </c>
      <c r="K1094" t="s">
        <v>74</v>
      </c>
      <c r="L1094" t="s">
        <v>74</v>
      </c>
      <c r="M1094" t="s">
        <v>78</v>
      </c>
      <c r="N1094" t="s">
        <v>79</v>
      </c>
      <c r="O1094" t="s">
        <v>74</v>
      </c>
      <c r="P1094" t="s">
        <v>74</v>
      </c>
      <c r="Q1094" t="s">
        <v>74</v>
      </c>
      <c r="R1094" t="s">
        <v>74</v>
      </c>
      <c r="S1094" t="s">
        <v>74</v>
      </c>
      <c r="T1094" t="s">
        <v>20513</v>
      </c>
      <c r="U1094" t="s">
        <v>20514</v>
      </c>
      <c r="V1094" t="s">
        <v>20515</v>
      </c>
      <c r="W1094" t="s">
        <v>20516</v>
      </c>
      <c r="X1094" t="s">
        <v>20517</v>
      </c>
      <c r="Y1094" t="s">
        <v>20518</v>
      </c>
      <c r="Z1094" t="s">
        <v>20519</v>
      </c>
      <c r="AA1094" t="s">
        <v>20520</v>
      </c>
      <c r="AB1094" t="s">
        <v>20521</v>
      </c>
      <c r="AC1094" t="s">
        <v>20522</v>
      </c>
      <c r="AD1094" t="s">
        <v>20523</v>
      </c>
      <c r="AE1094" t="s">
        <v>20524</v>
      </c>
      <c r="AF1094" t="s">
        <v>74</v>
      </c>
      <c r="AG1094">
        <v>47</v>
      </c>
      <c r="AH1094">
        <v>45</v>
      </c>
      <c r="AI1094">
        <v>47</v>
      </c>
      <c r="AJ1094">
        <v>1</v>
      </c>
      <c r="AK1094">
        <v>49</v>
      </c>
      <c r="AL1094" t="s">
        <v>253</v>
      </c>
      <c r="AM1094" t="s">
        <v>227</v>
      </c>
      <c r="AN1094" t="s">
        <v>254</v>
      </c>
      <c r="AO1094" t="s">
        <v>255</v>
      </c>
      <c r="AP1094" t="s">
        <v>256</v>
      </c>
      <c r="AQ1094" t="s">
        <v>74</v>
      </c>
      <c r="AR1094" t="s">
        <v>257</v>
      </c>
      <c r="AS1094" t="s">
        <v>258</v>
      </c>
      <c r="AT1094" t="s">
        <v>74</v>
      </c>
      <c r="AU1094">
        <v>2017</v>
      </c>
      <c r="AV1094">
        <v>12</v>
      </c>
      <c r="AW1094">
        <v>7</v>
      </c>
      <c r="AX1094" t="s">
        <v>74</v>
      </c>
      <c r="AY1094" t="s">
        <v>74</v>
      </c>
      <c r="AZ1094" t="s">
        <v>74</v>
      </c>
      <c r="BA1094" t="s">
        <v>74</v>
      </c>
      <c r="BB1094">
        <v>657</v>
      </c>
      <c r="BC1094">
        <v>671</v>
      </c>
      <c r="BD1094" t="s">
        <v>74</v>
      </c>
      <c r="BE1094" t="s">
        <v>20525</v>
      </c>
      <c r="BF1094" t="str">
        <f>HYPERLINK("http://dx.doi.org/10.1080/17483107.2016.1235620","http://dx.doi.org/10.1080/17483107.2016.1235620")</f>
        <v>http://dx.doi.org/10.1080/17483107.2016.1235620</v>
      </c>
      <c r="BG1094" t="s">
        <v>74</v>
      </c>
      <c r="BH1094" t="s">
        <v>74</v>
      </c>
      <c r="BI1094">
        <v>15</v>
      </c>
      <c r="BJ1094" t="s">
        <v>101</v>
      </c>
      <c r="BK1094" t="s">
        <v>155</v>
      </c>
      <c r="BL1094" t="s">
        <v>101</v>
      </c>
      <c r="BM1094" t="s">
        <v>20526</v>
      </c>
      <c r="BN1094">
        <v>27762641</v>
      </c>
      <c r="BO1094" t="s">
        <v>74</v>
      </c>
      <c r="BP1094" t="s">
        <v>74</v>
      </c>
      <c r="BQ1094" t="s">
        <v>74</v>
      </c>
      <c r="BR1094" t="s">
        <v>105</v>
      </c>
      <c r="BS1094" t="s">
        <v>20527</v>
      </c>
      <c r="BT1094" t="str">
        <f>HYPERLINK("https%3A%2F%2Fwww.webofscience.com%2Fwos%2Fwoscc%2Ffull-record%2FWOS:000418490800001","View Full Record in Web of Science")</f>
        <v>View Full Record in Web of Science</v>
      </c>
    </row>
    <row r="1095" spans="1:72" x14ac:dyDescent="0.25">
      <c r="A1095" t="s">
        <v>1531</v>
      </c>
      <c r="B1095" t="s">
        <v>20528</v>
      </c>
      <c r="C1095" t="s">
        <v>74</v>
      </c>
      <c r="D1095" t="s">
        <v>20529</v>
      </c>
      <c r="E1095" t="s">
        <v>74</v>
      </c>
      <c r="F1095" t="s">
        <v>20530</v>
      </c>
      <c r="G1095" t="s">
        <v>74</v>
      </c>
      <c r="H1095" t="s">
        <v>74</v>
      </c>
      <c r="I1095" t="s">
        <v>20531</v>
      </c>
      <c r="J1095" t="s">
        <v>20532</v>
      </c>
      <c r="K1095" t="s">
        <v>74</v>
      </c>
      <c r="L1095" t="s">
        <v>74</v>
      </c>
      <c r="M1095" t="s">
        <v>78</v>
      </c>
      <c r="N1095" t="s">
        <v>1537</v>
      </c>
      <c r="O1095" t="s">
        <v>74</v>
      </c>
      <c r="P1095" t="s">
        <v>74</v>
      </c>
      <c r="Q1095" t="s">
        <v>74</v>
      </c>
      <c r="R1095" t="s">
        <v>74</v>
      </c>
      <c r="S1095" t="s">
        <v>74</v>
      </c>
      <c r="T1095" t="s">
        <v>74</v>
      </c>
      <c r="U1095" t="s">
        <v>20533</v>
      </c>
      <c r="V1095" t="s">
        <v>74</v>
      </c>
      <c r="W1095" t="s">
        <v>20534</v>
      </c>
      <c r="X1095" t="s">
        <v>74</v>
      </c>
      <c r="Y1095" t="s">
        <v>20535</v>
      </c>
      <c r="Z1095" t="s">
        <v>74</v>
      </c>
      <c r="AA1095" t="s">
        <v>74</v>
      </c>
      <c r="AB1095" t="s">
        <v>74</v>
      </c>
      <c r="AC1095" t="s">
        <v>74</v>
      </c>
      <c r="AD1095" t="s">
        <v>74</v>
      </c>
      <c r="AE1095" t="s">
        <v>74</v>
      </c>
      <c r="AF1095" t="s">
        <v>74</v>
      </c>
      <c r="AG1095">
        <v>154</v>
      </c>
      <c r="AH1095">
        <v>6</v>
      </c>
      <c r="AI1095">
        <v>7</v>
      </c>
      <c r="AJ1095">
        <v>0</v>
      </c>
      <c r="AK1095">
        <v>2</v>
      </c>
      <c r="AL1095" t="s">
        <v>20536</v>
      </c>
      <c r="AM1095" t="s">
        <v>275</v>
      </c>
      <c r="AN1095" t="s">
        <v>20537</v>
      </c>
      <c r="AO1095" t="s">
        <v>74</v>
      </c>
      <c r="AP1095" t="s">
        <v>74</v>
      </c>
      <c r="AQ1095" t="s">
        <v>20538</v>
      </c>
      <c r="AR1095" t="s">
        <v>74</v>
      </c>
      <c r="AS1095" t="s">
        <v>74</v>
      </c>
      <c r="AT1095" t="s">
        <v>74</v>
      </c>
      <c r="AU1095">
        <v>2017</v>
      </c>
      <c r="AV1095" t="s">
        <v>74</v>
      </c>
      <c r="AW1095" t="s">
        <v>74</v>
      </c>
      <c r="AX1095" t="s">
        <v>74</v>
      </c>
      <c r="AY1095" t="s">
        <v>74</v>
      </c>
      <c r="AZ1095" t="s">
        <v>74</v>
      </c>
      <c r="BA1095" t="s">
        <v>74</v>
      </c>
      <c r="BB1095">
        <v>187</v>
      </c>
      <c r="BC1095">
        <v>216</v>
      </c>
      <c r="BD1095" t="s">
        <v>74</v>
      </c>
      <c r="BE1095" t="s">
        <v>74</v>
      </c>
      <c r="BF1095" t="s">
        <v>74</v>
      </c>
      <c r="BG1095" t="s">
        <v>74</v>
      </c>
      <c r="BH1095" t="s">
        <v>74</v>
      </c>
      <c r="BI1095">
        <v>30</v>
      </c>
      <c r="BJ1095" t="s">
        <v>20539</v>
      </c>
      <c r="BK1095" t="s">
        <v>1549</v>
      </c>
      <c r="BL1095" t="s">
        <v>20539</v>
      </c>
      <c r="BM1095" t="s">
        <v>20540</v>
      </c>
      <c r="BN1095" t="s">
        <v>74</v>
      </c>
      <c r="BO1095" t="s">
        <v>74</v>
      </c>
      <c r="BP1095" t="s">
        <v>74</v>
      </c>
      <c r="BQ1095" t="s">
        <v>74</v>
      </c>
      <c r="BR1095" t="s">
        <v>105</v>
      </c>
      <c r="BS1095" t="s">
        <v>20541</v>
      </c>
      <c r="BT1095" t="str">
        <f>HYPERLINK("https%3A%2F%2Fwww.webofscience.com%2Fwos%2Fwoscc%2Ffull-record%2FWOS:000429741100008","View Full Record in Web of Science")</f>
        <v>View Full Record in Web of Science</v>
      </c>
    </row>
    <row r="1096" spans="1:72" x14ac:dyDescent="0.25">
      <c r="A1096" t="s">
        <v>72</v>
      </c>
      <c r="B1096" t="s">
        <v>20542</v>
      </c>
      <c r="C1096" t="s">
        <v>74</v>
      </c>
      <c r="D1096" t="s">
        <v>74</v>
      </c>
      <c r="E1096" t="s">
        <v>74</v>
      </c>
      <c r="F1096" t="s">
        <v>20543</v>
      </c>
      <c r="G1096" t="s">
        <v>74</v>
      </c>
      <c r="H1096" t="s">
        <v>74</v>
      </c>
      <c r="I1096" t="s">
        <v>20544</v>
      </c>
      <c r="J1096" t="s">
        <v>288</v>
      </c>
      <c r="K1096" t="s">
        <v>74</v>
      </c>
      <c r="L1096" t="s">
        <v>74</v>
      </c>
      <c r="M1096" t="s">
        <v>78</v>
      </c>
      <c r="N1096" t="s">
        <v>79</v>
      </c>
      <c r="O1096" t="s">
        <v>74</v>
      </c>
      <c r="P1096" t="s">
        <v>74</v>
      </c>
      <c r="Q1096" t="s">
        <v>74</v>
      </c>
      <c r="R1096" t="s">
        <v>74</v>
      </c>
      <c r="S1096" t="s">
        <v>74</v>
      </c>
      <c r="T1096" t="s">
        <v>74</v>
      </c>
      <c r="U1096" t="s">
        <v>20545</v>
      </c>
      <c r="V1096" t="s">
        <v>20546</v>
      </c>
      <c r="W1096" t="s">
        <v>20547</v>
      </c>
      <c r="X1096" t="s">
        <v>20548</v>
      </c>
      <c r="Y1096" t="s">
        <v>20549</v>
      </c>
      <c r="Z1096" t="s">
        <v>19567</v>
      </c>
      <c r="AA1096" t="s">
        <v>20550</v>
      </c>
      <c r="AB1096" t="s">
        <v>20551</v>
      </c>
      <c r="AC1096" t="s">
        <v>74</v>
      </c>
      <c r="AD1096" t="s">
        <v>74</v>
      </c>
      <c r="AE1096" t="s">
        <v>74</v>
      </c>
      <c r="AF1096" t="s">
        <v>74</v>
      </c>
      <c r="AG1096">
        <v>144</v>
      </c>
      <c r="AH1096">
        <v>41</v>
      </c>
      <c r="AI1096">
        <v>45</v>
      </c>
      <c r="AJ1096">
        <v>2</v>
      </c>
      <c r="AK1096">
        <v>43</v>
      </c>
      <c r="AL1096" t="s">
        <v>367</v>
      </c>
      <c r="AM1096" t="s">
        <v>275</v>
      </c>
      <c r="AN1096" t="s">
        <v>368</v>
      </c>
      <c r="AO1096" t="s">
        <v>300</v>
      </c>
      <c r="AP1096" t="s">
        <v>301</v>
      </c>
      <c r="AQ1096" t="s">
        <v>74</v>
      </c>
      <c r="AR1096" t="s">
        <v>1868</v>
      </c>
      <c r="AS1096" t="s">
        <v>303</v>
      </c>
      <c r="AT1096" t="s">
        <v>74</v>
      </c>
      <c r="AU1096">
        <v>2017</v>
      </c>
      <c r="AV1096">
        <v>2017</v>
      </c>
      <c r="AW1096" t="s">
        <v>74</v>
      </c>
      <c r="AX1096" t="s">
        <v>74</v>
      </c>
      <c r="AY1096" t="s">
        <v>74</v>
      </c>
      <c r="AZ1096" t="s">
        <v>74</v>
      </c>
      <c r="BA1096" t="s">
        <v>74</v>
      </c>
      <c r="BB1096" t="s">
        <v>74</v>
      </c>
      <c r="BC1096" t="s">
        <v>74</v>
      </c>
      <c r="BD1096">
        <v>8905637</v>
      </c>
      <c r="BE1096" t="s">
        <v>20552</v>
      </c>
      <c r="BF1096" t="str">
        <f>HYPERLINK("http://dx.doi.org/10.1155/2017/8905637","http://dx.doi.org/10.1155/2017/8905637")</f>
        <v>http://dx.doi.org/10.1155/2017/8905637</v>
      </c>
      <c r="BG1096" t="s">
        <v>74</v>
      </c>
      <c r="BH1096" t="s">
        <v>74</v>
      </c>
      <c r="BI1096">
        <v>11</v>
      </c>
      <c r="BJ1096" t="s">
        <v>306</v>
      </c>
      <c r="BK1096" t="s">
        <v>102</v>
      </c>
      <c r="BL1096" t="s">
        <v>307</v>
      </c>
      <c r="BM1096" t="s">
        <v>20553</v>
      </c>
      <c r="BN1096">
        <v>29057269</v>
      </c>
      <c r="BO1096" t="s">
        <v>19727</v>
      </c>
      <c r="BP1096" t="s">
        <v>74</v>
      </c>
      <c r="BQ1096" t="s">
        <v>74</v>
      </c>
      <c r="BR1096" t="s">
        <v>105</v>
      </c>
      <c r="BS1096" t="s">
        <v>20554</v>
      </c>
      <c r="BT1096" t="str">
        <f>HYPERLINK("https%3A%2F%2Fwww.webofscience.com%2Fwos%2Fwoscc%2Ffull-record%2FWOS:000410605800001","View Full Record in Web of Science")</f>
        <v>View Full Record in Web of Science</v>
      </c>
    </row>
    <row r="1097" spans="1:72" x14ac:dyDescent="0.25">
      <c r="A1097" t="s">
        <v>72</v>
      </c>
      <c r="B1097" t="s">
        <v>20555</v>
      </c>
      <c r="C1097" t="s">
        <v>74</v>
      </c>
      <c r="D1097" t="s">
        <v>74</v>
      </c>
      <c r="E1097" t="s">
        <v>74</v>
      </c>
      <c r="F1097" t="s">
        <v>20556</v>
      </c>
      <c r="G1097" t="s">
        <v>74</v>
      </c>
      <c r="H1097" t="s">
        <v>74</v>
      </c>
      <c r="I1097" t="s">
        <v>20557</v>
      </c>
      <c r="J1097" t="s">
        <v>243</v>
      </c>
      <c r="K1097" t="s">
        <v>74</v>
      </c>
      <c r="L1097" t="s">
        <v>74</v>
      </c>
      <c r="M1097" t="s">
        <v>78</v>
      </c>
      <c r="N1097" t="s">
        <v>79</v>
      </c>
      <c r="O1097" t="s">
        <v>74</v>
      </c>
      <c r="P1097" t="s">
        <v>74</v>
      </c>
      <c r="Q1097" t="s">
        <v>74</v>
      </c>
      <c r="R1097" t="s">
        <v>74</v>
      </c>
      <c r="S1097" t="s">
        <v>74</v>
      </c>
      <c r="T1097" t="s">
        <v>20558</v>
      </c>
      <c r="U1097" t="s">
        <v>20559</v>
      </c>
      <c r="V1097" t="s">
        <v>20560</v>
      </c>
      <c r="W1097" t="s">
        <v>20561</v>
      </c>
      <c r="X1097" t="s">
        <v>20562</v>
      </c>
      <c r="Y1097" t="s">
        <v>20563</v>
      </c>
      <c r="Z1097" t="s">
        <v>20564</v>
      </c>
      <c r="AA1097" t="s">
        <v>20565</v>
      </c>
      <c r="AB1097" t="s">
        <v>20566</v>
      </c>
      <c r="AC1097" t="s">
        <v>20567</v>
      </c>
      <c r="AD1097" t="s">
        <v>20568</v>
      </c>
      <c r="AE1097" t="s">
        <v>20569</v>
      </c>
      <c r="AF1097" t="s">
        <v>74</v>
      </c>
      <c r="AG1097">
        <v>65</v>
      </c>
      <c r="AH1097">
        <v>36</v>
      </c>
      <c r="AI1097">
        <v>39</v>
      </c>
      <c r="AJ1097">
        <v>2</v>
      </c>
      <c r="AK1097">
        <v>39</v>
      </c>
      <c r="AL1097" t="s">
        <v>253</v>
      </c>
      <c r="AM1097" t="s">
        <v>227</v>
      </c>
      <c r="AN1097" t="s">
        <v>254</v>
      </c>
      <c r="AO1097" t="s">
        <v>255</v>
      </c>
      <c r="AP1097" t="s">
        <v>256</v>
      </c>
      <c r="AQ1097" t="s">
        <v>74</v>
      </c>
      <c r="AR1097" t="s">
        <v>257</v>
      </c>
      <c r="AS1097" t="s">
        <v>258</v>
      </c>
      <c r="AT1097" t="s">
        <v>74</v>
      </c>
      <c r="AU1097">
        <v>2017</v>
      </c>
      <c r="AV1097">
        <v>12</v>
      </c>
      <c r="AW1097">
        <v>5</v>
      </c>
      <c r="AX1097" t="s">
        <v>74</v>
      </c>
      <c r="AY1097" t="s">
        <v>74</v>
      </c>
      <c r="AZ1097" t="s">
        <v>74</v>
      </c>
      <c r="BA1097" t="s">
        <v>74</v>
      </c>
      <c r="BB1097">
        <v>429</v>
      </c>
      <c r="BC1097">
        <v>440</v>
      </c>
      <c r="BD1097" t="s">
        <v>74</v>
      </c>
      <c r="BE1097" t="s">
        <v>20570</v>
      </c>
      <c r="BF1097" t="str">
        <f>HYPERLINK("http://dx.doi.org/10.1080/17483107.2017.1318308","http://dx.doi.org/10.1080/17483107.2017.1318308")</f>
        <v>http://dx.doi.org/10.1080/17483107.2017.1318308</v>
      </c>
      <c r="BG1097" t="s">
        <v>74</v>
      </c>
      <c r="BH1097" t="s">
        <v>74</v>
      </c>
      <c r="BI1097">
        <v>12</v>
      </c>
      <c r="BJ1097" t="s">
        <v>101</v>
      </c>
      <c r="BK1097" t="s">
        <v>155</v>
      </c>
      <c r="BL1097" t="s">
        <v>101</v>
      </c>
      <c r="BM1097" t="s">
        <v>20571</v>
      </c>
      <c r="BN1097">
        <v>28440095</v>
      </c>
      <c r="BO1097" t="s">
        <v>74</v>
      </c>
      <c r="BP1097" t="s">
        <v>74</v>
      </c>
      <c r="BQ1097" t="s">
        <v>74</v>
      </c>
      <c r="BR1097" t="s">
        <v>105</v>
      </c>
      <c r="BS1097" t="s">
        <v>20572</v>
      </c>
      <c r="BT1097" t="str">
        <f>HYPERLINK("https%3A%2F%2Fwww.webofscience.com%2Fwos%2Fwoscc%2Ffull-record%2FWOS:000403392700002","View Full Record in Web of Science")</f>
        <v>View Full Record in Web of Science</v>
      </c>
    </row>
    <row r="1098" spans="1:72" x14ac:dyDescent="0.25">
      <c r="A1098" t="s">
        <v>72</v>
      </c>
      <c r="B1098" t="s">
        <v>20573</v>
      </c>
      <c r="C1098" t="s">
        <v>74</v>
      </c>
      <c r="D1098" t="s">
        <v>74</v>
      </c>
      <c r="E1098" t="s">
        <v>74</v>
      </c>
      <c r="F1098" t="s">
        <v>20574</v>
      </c>
      <c r="G1098" t="s">
        <v>74</v>
      </c>
      <c r="H1098" t="s">
        <v>74</v>
      </c>
      <c r="I1098" t="s">
        <v>20575</v>
      </c>
      <c r="J1098" t="s">
        <v>14040</v>
      </c>
      <c r="K1098" t="s">
        <v>74</v>
      </c>
      <c r="L1098" t="s">
        <v>74</v>
      </c>
      <c r="M1098" t="s">
        <v>78</v>
      </c>
      <c r="N1098" t="s">
        <v>79</v>
      </c>
      <c r="O1098" t="s">
        <v>74</v>
      </c>
      <c r="P1098" t="s">
        <v>74</v>
      </c>
      <c r="Q1098" t="s">
        <v>74</v>
      </c>
      <c r="R1098" t="s">
        <v>74</v>
      </c>
      <c r="S1098" t="s">
        <v>74</v>
      </c>
      <c r="T1098" t="s">
        <v>20576</v>
      </c>
      <c r="U1098" t="s">
        <v>20577</v>
      </c>
      <c r="V1098" t="s">
        <v>20578</v>
      </c>
      <c r="W1098" t="s">
        <v>20579</v>
      </c>
      <c r="X1098" t="s">
        <v>20580</v>
      </c>
      <c r="Y1098" t="s">
        <v>20581</v>
      </c>
      <c r="Z1098" t="s">
        <v>20582</v>
      </c>
      <c r="AA1098" t="s">
        <v>20583</v>
      </c>
      <c r="AB1098" t="s">
        <v>20584</v>
      </c>
      <c r="AC1098" t="s">
        <v>74</v>
      </c>
      <c r="AD1098" t="s">
        <v>74</v>
      </c>
      <c r="AE1098" t="s">
        <v>74</v>
      </c>
      <c r="AF1098" t="s">
        <v>74</v>
      </c>
      <c r="AG1098">
        <v>66</v>
      </c>
      <c r="AH1098">
        <v>198</v>
      </c>
      <c r="AI1098">
        <v>208</v>
      </c>
      <c r="AJ1098">
        <v>2</v>
      </c>
      <c r="AK1098">
        <v>48</v>
      </c>
      <c r="AL1098" t="s">
        <v>3456</v>
      </c>
      <c r="AM1098" t="s">
        <v>3457</v>
      </c>
      <c r="AN1098" t="s">
        <v>3458</v>
      </c>
      <c r="AO1098" t="s">
        <v>74</v>
      </c>
      <c r="AP1098" t="s">
        <v>14052</v>
      </c>
      <c r="AQ1098" t="s">
        <v>74</v>
      </c>
      <c r="AR1098" t="s">
        <v>14053</v>
      </c>
      <c r="AS1098" t="s">
        <v>14054</v>
      </c>
      <c r="AT1098" t="s">
        <v>74</v>
      </c>
      <c r="AU1098">
        <v>2017</v>
      </c>
      <c r="AV1098">
        <v>13</v>
      </c>
      <c r="AW1098" t="s">
        <v>74</v>
      </c>
      <c r="AX1098" t="s">
        <v>74</v>
      </c>
      <c r="AY1098" t="s">
        <v>74</v>
      </c>
      <c r="AZ1098" t="s">
        <v>74</v>
      </c>
      <c r="BA1098" t="s">
        <v>74</v>
      </c>
      <c r="BB1098">
        <v>1303</v>
      </c>
      <c r="BC1098">
        <v>1311</v>
      </c>
      <c r="BD1098" t="s">
        <v>74</v>
      </c>
      <c r="BE1098" t="s">
        <v>20585</v>
      </c>
      <c r="BF1098" t="str">
        <f>HYPERLINK("http://dx.doi.org/10.2147/NDT.S114102","http://dx.doi.org/10.2147/NDT.S114102")</f>
        <v>http://dx.doi.org/10.2147/NDT.S114102</v>
      </c>
      <c r="BG1098" t="s">
        <v>74</v>
      </c>
      <c r="BH1098" t="s">
        <v>74</v>
      </c>
      <c r="BI1098">
        <v>9</v>
      </c>
      <c r="BJ1098" t="s">
        <v>1890</v>
      </c>
      <c r="BK1098" t="s">
        <v>102</v>
      </c>
      <c r="BL1098" t="s">
        <v>1891</v>
      </c>
      <c r="BM1098" t="s">
        <v>20586</v>
      </c>
      <c r="BN1098">
        <v>28553117</v>
      </c>
      <c r="BO1098" t="s">
        <v>1573</v>
      </c>
      <c r="BP1098" t="s">
        <v>74</v>
      </c>
      <c r="BQ1098" t="s">
        <v>74</v>
      </c>
      <c r="BR1098" t="s">
        <v>105</v>
      </c>
      <c r="BS1098" t="s">
        <v>20587</v>
      </c>
      <c r="BT1098" t="str">
        <f>HYPERLINK("https%3A%2F%2Fwww.webofscience.com%2Fwos%2Fwoscc%2Ffull-record%2FWOS:000401277700005","View Full Record in Web of Science")</f>
        <v>View Full Record in Web of Science</v>
      </c>
    </row>
    <row r="1099" spans="1:72" x14ac:dyDescent="0.25">
      <c r="A1099" t="s">
        <v>72</v>
      </c>
      <c r="B1099" t="s">
        <v>20588</v>
      </c>
      <c r="C1099" t="s">
        <v>74</v>
      </c>
      <c r="D1099" t="s">
        <v>74</v>
      </c>
      <c r="E1099" t="s">
        <v>74</v>
      </c>
      <c r="F1099" t="s">
        <v>20589</v>
      </c>
      <c r="G1099" t="s">
        <v>74</v>
      </c>
      <c r="H1099" t="s">
        <v>74</v>
      </c>
      <c r="I1099" t="s">
        <v>20590</v>
      </c>
      <c r="J1099" t="s">
        <v>19925</v>
      </c>
      <c r="K1099" t="s">
        <v>74</v>
      </c>
      <c r="L1099" t="s">
        <v>74</v>
      </c>
      <c r="M1099" t="s">
        <v>78</v>
      </c>
      <c r="N1099" t="s">
        <v>79</v>
      </c>
      <c r="O1099" t="s">
        <v>74</v>
      </c>
      <c r="P1099" t="s">
        <v>74</v>
      </c>
      <c r="Q1099" t="s">
        <v>74</v>
      </c>
      <c r="R1099" t="s">
        <v>74</v>
      </c>
      <c r="S1099" t="s">
        <v>74</v>
      </c>
      <c r="T1099" t="s">
        <v>74</v>
      </c>
      <c r="U1099" t="s">
        <v>20591</v>
      </c>
      <c r="V1099" t="s">
        <v>20592</v>
      </c>
      <c r="W1099" t="s">
        <v>20593</v>
      </c>
      <c r="X1099" t="s">
        <v>13512</v>
      </c>
      <c r="Y1099" t="s">
        <v>20594</v>
      </c>
      <c r="Z1099" t="s">
        <v>20595</v>
      </c>
      <c r="AA1099" t="s">
        <v>20596</v>
      </c>
      <c r="AB1099" t="s">
        <v>74</v>
      </c>
      <c r="AC1099" t="s">
        <v>74</v>
      </c>
      <c r="AD1099" t="s">
        <v>74</v>
      </c>
      <c r="AE1099" t="s">
        <v>74</v>
      </c>
      <c r="AF1099" t="s">
        <v>74</v>
      </c>
      <c r="AG1099">
        <v>168</v>
      </c>
      <c r="AH1099">
        <v>129</v>
      </c>
      <c r="AI1099">
        <v>138</v>
      </c>
      <c r="AJ1099">
        <v>11</v>
      </c>
      <c r="AK1099">
        <v>124</v>
      </c>
      <c r="AL1099" t="s">
        <v>367</v>
      </c>
      <c r="AM1099" t="s">
        <v>275</v>
      </c>
      <c r="AN1099" t="s">
        <v>368</v>
      </c>
      <c r="AO1099" t="s">
        <v>19932</v>
      </c>
      <c r="AP1099" t="s">
        <v>19933</v>
      </c>
      <c r="AQ1099" t="s">
        <v>74</v>
      </c>
      <c r="AR1099" t="s">
        <v>19934</v>
      </c>
      <c r="AS1099" t="s">
        <v>19935</v>
      </c>
      <c r="AT1099" t="s">
        <v>74</v>
      </c>
      <c r="AU1099">
        <v>2017</v>
      </c>
      <c r="AV1099">
        <v>2017</v>
      </c>
      <c r="AW1099" t="s">
        <v>74</v>
      </c>
      <c r="AX1099" t="s">
        <v>74</v>
      </c>
      <c r="AY1099" t="s">
        <v>74</v>
      </c>
      <c r="AZ1099" t="s">
        <v>74</v>
      </c>
      <c r="BA1099" t="s">
        <v>74</v>
      </c>
      <c r="BB1099" t="s">
        <v>74</v>
      </c>
      <c r="BC1099" t="s">
        <v>74</v>
      </c>
      <c r="BD1099">
        <v>3908135</v>
      </c>
      <c r="BE1099" t="s">
        <v>20597</v>
      </c>
      <c r="BF1099" t="str">
        <f>HYPERLINK("http://dx.doi.org/10.1155/2017/3908135","http://dx.doi.org/10.1155/2017/3908135")</f>
        <v>http://dx.doi.org/10.1155/2017/3908135</v>
      </c>
      <c r="BG1099" t="s">
        <v>74</v>
      </c>
      <c r="BH1099" t="s">
        <v>74</v>
      </c>
      <c r="BI1099">
        <v>20</v>
      </c>
      <c r="BJ1099" t="s">
        <v>541</v>
      </c>
      <c r="BK1099" t="s">
        <v>182</v>
      </c>
      <c r="BL1099" t="s">
        <v>375</v>
      </c>
      <c r="BM1099" t="s">
        <v>20598</v>
      </c>
      <c r="BN1099">
        <v>29230081</v>
      </c>
      <c r="BO1099" t="s">
        <v>939</v>
      </c>
      <c r="BP1099" t="s">
        <v>74</v>
      </c>
      <c r="BQ1099" t="s">
        <v>74</v>
      </c>
      <c r="BR1099" t="s">
        <v>105</v>
      </c>
      <c r="BS1099" t="s">
        <v>20599</v>
      </c>
      <c r="BT1099" t="str">
        <f>HYPERLINK("https%3A%2F%2Fwww.webofscience.com%2Fwos%2Fwoscc%2Ffull-record%2FWOS:000414582300001","View Full Record in Web of Science")</f>
        <v>View Full Record in Web of Science</v>
      </c>
    </row>
    <row r="1100" spans="1:72" x14ac:dyDescent="0.25">
      <c r="A1100" t="s">
        <v>72</v>
      </c>
      <c r="B1100" t="s">
        <v>20600</v>
      </c>
      <c r="C1100" t="s">
        <v>74</v>
      </c>
      <c r="D1100" t="s">
        <v>74</v>
      </c>
      <c r="E1100" t="s">
        <v>74</v>
      </c>
      <c r="F1100" t="s">
        <v>20601</v>
      </c>
      <c r="G1100" t="s">
        <v>74</v>
      </c>
      <c r="H1100" t="s">
        <v>74</v>
      </c>
      <c r="I1100" t="s">
        <v>20602</v>
      </c>
      <c r="J1100" t="s">
        <v>19925</v>
      </c>
      <c r="K1100" t="s">
        <v>74</v>
      </c>
      <c r="L1100" t="s">
        <v>74</v>
      </c>
      <c r="M1100" t="s">
        <v>78</v>
      </c>
      <c r="N1100" t="s">
        <v>79</v>
      </c>
      <c r="O1100" t="s">
        <v>74</v>
      </c>
      <c r="P1100" t="s">
        <v>74</v>
      </c>
      <c r="Q1100" t="s">
        <v>74</v>
      </c>
      <c r="R1100" t="s">
        <v>74</v>
      </c>
      <c r="S1100" t="s">
        <v>74</v>
      </c>
      <c r="T1100" t="s">
        <v>74</v>
      </c>
      <c r="U1100" t="s">
        <v>20603</v>
      </c>
      <c r="V1100" t="s">
        <v>20604</v>
      </c>
      <c r="W1100" t="s">
        <v>20605</v>
      </c>
      <c r="X1100" t="s">
        <v>13512</v>
      </c>
      <c r="Y1100" t="s">
        <v>20606</v>
      </c>
      <c r="Z1100" t="s">
        <v>20595</v>
      </c>
      <c r="AA1100" t="s">
        <v>20596</v>
      </c>
      <c r="AB1100" t="s">
        <v>74</v>
      </c>
      <c r="AC1100" t="s">
        <v>20607</v>
      </c>
      <c r="AD1100" t="s">
        <v>20608</v>
      </c>
      <c r="AE1100" t="s">
        <v>20609</v>
      </c>
      <c r="AF1100" t="s">
        <v>74</v>
      </c>
      <c r="AG1100">
        <v>88</v>
      </c>
      <c r="AH1100">
        <v>76</v>
      </c>
      <c r="AI1100">
        <v>81</v>
      </c>
      <c r="AJ1100">
        <v>8</v>
      </c>
      <c r="AK1100">
        <v>194</v>
      </c>
      <c r="AL1100" t="s">
        <v>367</v>
      </c>
      <c r="AM1100" t="s">
        <v>275</v>
      </c>
      <c r="AN1100" t="s">
        <v>368</v>
      </c>
      <c r="AO1100" t="s">
        <v>19932</v>
      </c>
      <c r="AP1100" t="s">
        <v>19933</v>
      </c>
      <c r="AQ1100" t="s">
        <v>74</v>
      </c>
      <c r="AR1100" t="s">
        <v>19934</v>
      </c>
      <c r="AS1100" t="s">
        <v>19935</v>
      </c>
      <c r="AT1100" t="s">
        <v>74</v>
      </c>
      <c r="AU1100">
        <v>2017</v>
      </c>
      <c r="AV1100">
        <v>2017</v>
      </c>
      <c r="AW1100" t="s">
        <v>74</v>
      </c>
      <c r="AX1100" t="s">
        <v>74</v>
      </c>
      <c r="AY1100" t="s">
        <v>74</v>
      </c>
      <c r="AZ1100" t="s">
        <v>74</v>
      </c>
      <c r="BA1100" t="s">
        <v>74</v>
      </c>
      <c r="BB1100" t="s">
        <v>74</v>
      </c>
      <c r="BC1100" t="s">
        <v>74</v>
      </c>
      <c r="BD1100">
        <v>3731802</v>
      </c>
      <c r="BE1100" t="s">
        <v>20610</v>
      </c>
      <c r="BF1100" t="str">
        <f>HYPERLINK("http://dx.doi.org/10.1155/2017/3731802","http://dx.doi.org/10.1155/2017/3731802")</f>
        <v>http://dx.doi.org/10.1155/2017/3731802</v>
      </c>
      <c r="BG1100" t="s">
        <v>74</v>
      </c>
      <c r="BH1100" t="s">
        <v>74</v>
      </c>
      <c r="BI1100">
        <v>13</v>
      </c>
      <c r="BJ1100" t="s">
        <v>541</v>
      </c>
      <c r="BK1100" t="s">
        <v>182</v>
      </c>
      <c r="BL1100" t="s">
        <v>375</v>
      </c>
      <c r="BM1100" t="s">
        <v>20611</v>
      </c>
      <c r="BN1100">
        <v>28659660</v>
      </c>
      <c r="BO1100" t="s">
        <v>2959</v>
      </c>
      <c r="BP1100" t="s">
        <v>74</v>
      </c>
      <c r="BQ1100" t="s">
        <v>74</v>
      </c>
      <c r="BR1100" t="s">
        <v>105</v>
      </c>
      <c r="BS1100" t="s">
        <v>20612</v>
      </c>
      <c r="BT1100" t="str">
        <f>HYPERLINK("https%3A%2F%2Fwww.webofscience.com%2Fwos%2Fwoscc%2Ffull-record%2FWOS:000403765600001","View Full Record in Web of Science")</f>
        <v>View Full Record in Web of Science</v>
      </c>
    </row>
    <row r="1101" spans="1:72" x14ac:dyDescent="0.25">
      <c r="A1101" t="s">
        <v>72</v>
      </c>
      <c r="B1101" t="s">
        <v>20613</v>
      </c>
      <c r="C1101" t="s">
        <v>74</v>
      </c>
      <c r="D1101" t="s">
        <v>74</v>
      </c>
      <c r="E1101" t="s">
        <v>74</v>
      </c>
      <c r="F1101" t="s">
        <v>20614</v>
      </c>
      <c r="G1101" t="s">
        <v>74</v>
      </c>
      <c r="H1101" t="s">
        <v>74</v>
      </c>
      <c r="I1101" t="s">
        <v>20615</v>
      </c>
      <c r="J1101" t="s">
        <v>8757</v>
      </c>
      <c r="K1101" t="s">
        <v>74</v>
      </c>
      <c r="L1101" t="s">
        <v>74</v>
      </c>
      <c r="M1101" t="s">
        <v>78</v>
      </c>
      <c r="N1101" t="s">
        <v>79</v>
      </c>
      <c r="O1101" t="s">
        <v>74</v>
      </c>
      <c r="P1101" t="s">
        <v>74</v>
      </c>
      <c r="Q1101" t="s">
        <v>74</v>
      </c>
      <c r="R1101" t="s">
        <v>74</v>
      </c>
      <c r="S1101" t="s">
        <v>74</v>
      </c>
      <c r="T1101" t="s">
        <v>20616</v>
      </c>
      <c r="U1101" t="s">
        <v>20617</v>
      </c>
      <c r="V1101" t="s">
        <v>20618</v>
      </c>
      <c r="W1101" t="s">
        <v>20619</v>
      </c>
      <c r="X1101" t="s">
        <v>20620</v>
      </c>
      <c r="Y1101" t="s">
        <v>20621</v>
      </c>
      <c r="Z1101" t="s">
        <v>20622</v>
      </c>
      <c r="AA1101" t="s">
        <v>74</v>
      </c>
      <c r="AB1101" t="s">
        <v>20623</v>
      </c>
      <c r="AC1101" t="s">
        <v>20624</v>
      </c>
      <c r="AD1101" t="s">
        <v>20624</v>
      </c>
      <c r="AE1101" t="s">
        <v>20625</v>
      </c>
      <c r="AF1101" t="s">
        <v>74</v>
      </c>
      <c r="AG1101">
        <v>48</v>
      </c>
      <c r="AH1101">
        <v>65</v>
      </c>
      <c r="AI1101">
        <v>68</v>
      </c>
      <c r="AJ1101">
        <v>1</v>
      </c>
      <c r="AK1101">
        <v>71</v>
      </c>
      <c r="AL1101" t="s">
        <v>18491</v>
      </c>
      <c r="AM1101" t="s">
        <v>18492</v>
      </c>
      <c r="AN1101" t="s">
        <v>18493</v>
      </c>
      <c r="AO1101" t="s">
        <v>8766</v>
      </c>
      <c r="AP1101" t="s">
        <v>8767</v>
      </c>
      <c r="AQ1101" t="s">
        <v>74</v>
      </c>
      <c r="AR1101" t="s">
        <v>8768</v>
      </c>
      <c r="AS1101" t="s">
        <v>8769</v>
      </c>
      <c r="AT1101" t="s">
        <v>151</v>
      </c>
      <c r="AU1101">
        <v>2016</v>
      </c>
      <c r="AV1101">
        <v>6</v>
      </c>
      <c r="AW1101">
        <v>8</v>
      </c>
      <c r="AX1101" t="s">
        <v>74</v>
      </c>
      <c r="AY1101" t="s">
        <v>74</v>
      </c>
      <c r="AZ1101" t="s">
        <v>74</v>
      </c>
      <c r="BA1101" t="s">
        <v>74</v>
      </c>
      <c r="BB1101">
        <v>822</v>
      </c>
      <c r="BC1101">
        <v>841</v>
      </c>
      <c r="BD1101" t="s">
        <v>74</v>
      </c>
      <c r="BE1101" t="s">
        <v>20626</v>
      </c>
      <c r="BF1101" t="str">
        <f>HYPERLINK("http://dx.doi.org/10.1055/s-0036-1593805","http://dx.doi.org/10.1055/s-0036-1593805")</f>
        <v>http://dx.doi.org/10.1055/s-0036-1593805</v>
      </c>
      <c r="BG1101" t="s">
        <v>74</v>
      </c>
      <c r="BH1101" t="s">
        <v>74</v>
      </c>
      <c r="BI1101">
        <v>20</v>
      </c>
      <c r="BJ1101" t="s">
        <v>8771</v>
      </c>
      <c r="BK1101" t="s">
        <v>155</v>
      </c>
      <c r="BL1101" t="s">
        <v>8772</v>
      </c>
      <c r="BM1101" t="s">
        <v>20627</v>
      </c>
      <c r="BN1101">
        <v>27853668</v>
      </c>
      <c r="BO1101" t="s">
        <v>355</v>
      </c>
      <c r="BP1101" t="s">
        <v>74</v>
      </c>
      <c r="BQ1101" t="s">
        <v>74</v>
      </c>
      <c r="BR1101" t="s">
        <v>105</v>
      </c>
      <c r="BS1101" t="s">
        <v>20628</v>
      </c>
      <c r="BT1101" t="str">
        <f>HYPERLINK("https%3A%2F%2Fwww.webofscience.com%2Fwos%2Fwoscc%2Ffull-record%2FWOS:000388644000014","View Full Record in Web of Science")</f>
        <v>View Full Record in Web of Science</v>
      </c>
    </row>
    <row r="1102" spans="1:72" x14ac:dyDescent="0.25">
      <c r="A1102" t="s">
        <v>72</v>
      </c>
      <c r="B1102" t="s">
        <v>20629</v>
      </c>
      <c r="C1102" t="s">
        <v>74</v>
      </c>
      <c r="D1102" t="s">
        <v>74</v>
      </c>
      <c r="E1102" t="s">
        <v>74</v>
      </c>
      <c r="F1102" t="s">
        <v>20630</v>
      </c>
      <c r="G1102" t="s">
        <v>74</v>
      </c>
      <c r="H1102" t="s">
        <v>74</v>
      </c>
      <c r="I1102" t="s">
        <v>20631</v>
      </c>
      <c r="J1102" t="s">
        <v>20632</v>
      </c>
      <c r="K1102" t="s">
        <v>74</v>
      </c>
      <c r="L1102" t="s">
        <v>74</v>
      </c>
      <c r="M1102" t="s">
        <v>78</v>
      </c>
      <c r="N1102" t="s">
        <v>79</v>
      </c>
      <c r="O1102" t="s">
        <v>74</v>
      </c>
      <c r="P1102" t="s">
        <v>74</v>
      </c>
      <c r="Q1102" t="s">
        <v>74</v>
      </c>
      <c r="R1102" t="s">
        <v>74</v>
      </c>
      <c r="S1102" t="s">
        <v>74</v>
      </c>
      <c r="T1102" t="s">
        <v>20633</v>
      </c>
      <c r="U1102" t="s">
        <v>20634</v>
      </c>
      <c r="V1102" t="s">
        <v>20635</v>
      </c>
      <c r="W1102" t="s">
        <v>20636</v>
      </c>
      <c r="X1102" t="s">
        <v>20637</v>
      </c>
      <c r="Y1102" t="s">
        <v>20638</v>
      </c>
      <c r="Z1102" t="s">
        <v>20639</v>
      </c>
      <c r="AA1102" t="s">
        <v>20640</v>
      </c>
      <c r="AB1102" t="s">
        <v>20641</v>
      </c>
      <c r="AC1102" t="s">
        <v>20642</v>
      </c>
      <c r="AD1102" t="s">
        <v>20643</v>
      </c>
      <c r="AE1102" t="s">
        <v>20644</v>
      </c>
      <c r="AF1102" t="s">
        <v>74</v>
      </c>
      <c r="AG1102">
        <v>114</v>
      </c>
      <c r="AH1102">
        <v>12</v>
      </c>
      <c r="AI1102">
        <v>13</v>
      </c>
      <c r="AJ1102">
        <v>0</v>
      </c>
      <c r="AK1102">
        <v>2</v>
      </c>
      <c r="AL1102" t="s">
        <v>20645</v>
      </c>
      <c r="AM1102" t="s">
        <v>20646</v>
      </c>
      <c r="AN1102" t="s">
        <v>20647</v>
      </c>
      <c r="AO1102" t="s">
        <v>20648</v>
      </c>
      <c r="AP1102" t="s">
        <v>74</v>
      </c>
      <c r="AQ1102" t="s">
        <v>74</v>
      </c>
      <c r="AR1102" t="s">
        <v>20649</v>
      </c>
      <c r="AS1102" t="s">
        <v>20650</v>
      </c>
      <c r="AT1102" t="s">
        <v>151</v>
      </c>
      <c r="AU1102">
        <v>2016</v>
      </c>
      <c r="AV1102">
        <v>3</v>
      </c>
      <c r="AW1102">
        <v>4</v>
      </c>
      <c r="AX1102" t="s">
        <v>74</v>
      </c>
      <c r="AY1102" t="s">
        <v>74</v>
      </c>
      <c r="AZ1102" t="s">
        <v>74</v>
      </c>
      <c r="BA1102" t="s">
        <v>74</v>
      </c>
      <c r="BB1102">
        <v>3</v>
      </c>
      <c r="BC1102">
        <v>28</v>
      </c>
      <c r="BD1102" t="s">
        <v>74</v>
      </c>
      <c r="BE1102" t="s">
        <v>20651</v>
      </c>
      <c r="BF1102" t="str">
        <f>HYPERLINK("http://dx.doi.org/10.17083/ijsg.v3i4.134","http://dx.doi.org/10.17083/ijsg.v3i4.134")</f>
        <v>http://dx.doi.org/10.17083/ijsg.v3i4.134</v>
      </c>
      <c r="BG1102" t="s">
        <v>74</v>
      </c>
      <c r="BH1102" t="s">
        <v>74</v>
      </c>
      <c r="BI1102">
        <v>26</v>
      </c>
      <c r="BJ1102" t="s">
        <v>12358</v>
      </c>
      <c r="BK1102" t="s">
        <v>155</v>
      </c>
      <c r="BL1102" t="s">
        <v>12358</v>
      </c>
      <c r="BM1102" t="s">
        <v>20652</v>
      </c>
      <c r="BN1102" t="s">
        <v>74</v>
      </c>
      <c r="BO1102" t="s">
        <v>131</v>
      </c>
      <c r="BP1102" t="s">
        <v>74</v>
      </c>
      <c r="BQ1102" t="s">
        <v>74</v>
      </c>
      <c r="BR1102" t="s">
        <v>105</v>
      </c>
      <c r="BS1102" t="s">
        <v>20653</v>
      </c>
      <c r="BT1102" t="str">
        <f>HYPERLINK("https%3A%2F%2Fwww.webofscience.com%2Fwos%2Fwoscc%2Ffull-record%2FWOS:000391064600002","View Full Record in Web of Science")</f>
        <v>View Full Record in Web of Science</v>
      </c>
    </row>
    <row r="1103" spans="1:72" x14ac:dyDescent="0.25">
      <c r="A1103" t="s">
        <v>72</v>
      </c>
      <c r="B1103" t="s">
        <v>20654</v>
      </c>
      <c r="C1103" t="s">
        <v>74</v>
      </c>
      <c r="D1103" t="s">
        <v>74</v>
      </c>
      <c r="E1103" t="s">
        <v>74</v>
      </c>
      <c r="F1103" t="s">
        <v>20655</v>
      </c>
      <c r="G1103" t="s">
        <v>74</v>
      </c>
      <c r="H1103" t="s">
        <v>74</v>
      </c>
      <c r="I1103" t="s">
        <v>20656</v>
      </c>
      <c r="J1103" t="s">
        <v>2584</v>
      </c>
      <c r="K1103" t="s">
        <v>74</v>
      </c>
      <c r="L1103" t="s">
        <v>74</v>
      </c>
      <c r="M1103" t="s">
        <v>78</v>
      </c>
      <c r="N1103" t="s">
        <v>79</v>
      </c>
      <c r="O1103" t="s">
        <v>74</v>
      </c>
      <c r="P1103" t="s">
        <v>74</v>
      </c>
      <c r="Q1103" t="s">
        <v>74</v>
      </c>
      <c r="R1103" t="s">
        <v>74</v>
      </c>
      <c r="S1103" t="s">
        <v>74</v>
      </c>
      <c r="T1103" t="s">
        <v>20657</v>
      </c>
      <c r="U1103" t="s">
        <v>20658</v>
      </c>
      <c r="V1103" t="s">
        <v>20659</v>
      </c>
      <c r="W1103" t="s">
        <v>20660</v>
      </c>
      <c r="X1103" t="s">
        <v>20661</v>
      </c>
      <c r="Y1103" t="s">
        <v>20662</v>
      </c>
      <c r="Z1103" t="s">
        <v>20663</v>
      </c>
      <c r="AA1103" t="s">
        <v>20664</v>
      </c>
      <c r="AB1103" t="s">
        <v>20665</v>
      </c>
      <c r="AC1103" t="s">
        <v>20666</v>
      </c>
      <c r="AD1103" t="s">
        <v>20666</v>
      </c>
      <c r="AE1103" t="s">
        <v>20667</v>
      </c>
      <c r="AF1103" t="s">
        <v>74</v>
      </c>
      <c r="AG1103">
        <v>221</v>
      </c>
      <c r="AH1103">
        <v>56</v>
      </c>
      <c r="AI1103">
        <v>64</v>
      </c>
      <c r="AJ1103">
        <v>12</v>
      </c>
      <c r="AK1103">
        <v>205</v>
      </c>
      <c r="AL1103" t="s">
        <v>2596</v>
      </c>
      <c r="AM1103" t="s">
        <v>2597</v>
      </c>
      <c r="AN1103" t="s">
        <v>2598</v>
      </c>
      <c r="AO1103" t="s">
        <v>2599</v>
      </c>
      <c r="AP1103" t="s">
        <v>2600</v>
      </c>
      <c r="AQ1103" t="s">
        <v>74</v>
      </c>
      <c r="AR1103" t="s">
        <v>2601</v>
      </c>
      <c r="AS1103" t="s">
        <v>2602</v>
      </c>
      <c r="AT1103" t="s">
        <v>126</v>
      </c>
      <c r="AU1103">
        <v>2016</v>
      </c>
      <c r="AV1103">
        <v>16</v>
      </c>
      <c r="AW1103">
        <v>7</v>
      </c>
      <c r="AX1103" t="s">
        <v>74</v>
      </c>
      <c r="AY1103" t="s">
        <v>74</v>
      </c>
      <c r="AZ1103" t="s">
        <v>74</v>
      </c>
      <c r="BA1103" t="s">
        <v>74</v>
      </c>
      <c r="BB1103" t="s">
        <v>74</v>
      </c>
      <c r="BC1103" t="s">
        <v>74</v>
      </c>
      <c r="BD1103">
        <v>1630003</v>
      </c>
      <c r="BE1103" t="s">
        <v>20668</v>
      </c>
      <c r="BF1103" t="str">
        <f>HYPERLINK("http://dx.doi.org/10.1142/S0219519416300039","http://dx.doi.org/10.1142/S0219519416300039")</f>
        <v>http://dx.doi.org/10.1142/S0219519416300039</v>
      </c>
      <c r="BG1103" t="s">
        <v>74</v>
      </c>
      <c r="BH1103" t="s">
        <v>74</v>
      </c>
      <c r="BI1103">
        <v>45</v>
      </c>
      <c r="BJ1103" t="s">
        <v>2604</v>
      </c>
      <c r="BK1103" t="s">
        <v>182</v>
      </c>
      <c r="BL1103" t="s">
        <v>2605</v>
      </c>
      <c r="BM1103" t="s">
        <v>20669</v>
      </c>
      <c r="BN1103" t="s">
        <v>74</v>
      </c>
      <c r="BO1103" t="s">
        <v>74</v>
      </c>
      <c r="BP1103" t="s">
        <v>74</v>
      </c>
      <c r="BQ1103" t="s">
        <v>74</v>
      </c>
      <c r="BR1103" t="s">
        <v>105</v>
      </c>
      <c r="BS1103" t="s">
        <v>20670</v>
      </c>
      <c r="BT1103" t="str">
        <f>HYPERLINK("https%3A%2F%2Fwww.webofscience.com%2Fwos%2Fwoscc%2Ffull-record%2FWOS:000388109700002","View Full Record in Web of Science")</f>
        <v>View Full Record in Web of Science</v>
      </c>
    </row>
    <row r="1104" spans="1:72" x14ac:dyDescent="0.25">
      <c r="A1104" t="s">
        <v>72</v>
      </c>
      <c r="B1104" t="s">
        <v>20671</v>
      </c>
      <c r="C1104" t="s">
        <v>74</v>
      </c>
      <c r="D1104" t="s">
        <v>74</v>
      </c>
      <c r="E1104" t="s">
        <v>74</v>
      </c>
      <c r="F1104" t="s">
        <v>20672</v>
      </c>
      <c r="G1104" t="s">
        <v>74</v>
      </c>
      <c r="H1104" t="s">
        <v>74</v>
      </c>
      <c r="I1104" t="s">
        <v>20673</v>
      </c>
      <c r="J1104" t="s">
        <v>1674</v>
      </c>
      <c r="K1104" t="s">
        <v>74</v>
      </c>
      <c r="L1104" t="s">
        <v>74</v>
      </c>
      <c r="M1104" t="s">
        <v>78</v>
      </c>
      <c r="N1104" t="s">
        <v>79</v>
      </c>
      <c r="O1104" t="s">
        <v>74</v>
      </c>
      <c r="P1104" t="s">
        <v>74</v>
      </c>
      <c r="Q1104" t="s">
        <v>74</v>
      </c>
      <c r="R1104" t="s">
        <v>74</v>
      </c>
      <c r="S1104" t="s">
        <v>74</v>
      </c>
      <c r="T1104" t="s">
        <v>20674</v>
      </c>
      <c r="U1104" t="s">
        <v>20675</v>
      </c>
      <c r="V1104" t="s">
        <v>20676</v>
      </c>
      <c r="W1104" t="s">
        <v>20677</v>
      </c>
      <c r="X1104" t="s">
        <v>20678</v>
      </c>
      <c r="Y1104" t="s">
        <v>20679</v>
      </c>
      <c r="Z1104" t="s">
        <v>20680</v>
      </c>
      <c r="AA1104" t="s">
        <v>20681</v>
      </c>
      <c r="AB1104" t="s">
        <v>20682</v>
      </c>
      <c r="AC1104" t="s">
        <v>20683</v>
      </c>
      <c r="AD1104" t="s">
        <v>20684</v>
      </c>
      <c r="AE1104" t="s">
        <v>20685</v>
      </c>
      <c r="AF1104" t="s">
        <v>74</v>
      </c>
      <c r="AG1104">
        <v>53</v>
      </c>
      <c r="AH1104">
        <v>64</v>
      </c>
      <c r="AI1104">
        <v>67</v>
      </c>
      <c r="AJ1104">
        <v>1</v>
      </c>
      <c r="AK1104">
        <v>50</v>
      </c>
      <c r="AL1104" t="s">
        <v>531</v>
      </c>
      <c r="AM1104" t="s">
        <v>532</v>
      </c>
      <c r="AN1104" t="s">
        <v>533</v>
      </c>
      <c r="AO1104" t="s">
        <v>1687</v>
      </c>
      <c r="AP1104" t="s">
        <v>1688</v>
      </c>
      <c r="AQ1104" t="s">
        <v>74</v>
      </c>
      <c r="AR1104" t="s">
        <v>1689</v>
      </c>
      <c r="AS1104" t="s">
        <v>1690</v>
      </c>
      <c r="AT1104" t="s">
        <v>126</v>
      </c>
      <c r="AU1104">
        <v>2016</v>
      </c>
      <c r="AV1104">
        <v>38</v>
      </c>
      <c r="AW1104">
        <v>11</v>
      </c>
      <c r="AX1104" t="s">
        <v>74</v>
      </c>
      <c r="AY1104" t="s">
        <v>74</v>
      </c>
      <c r="AZ1104" t="s">
        <v>152</v>
      </c>
      <c r="BA1104" t="s">
        <v>74</v>
      </c>
      <c r="BB1104">
        <v>1279</v>
      </c>
      <c r="BC1104">
        <v>1288</v>
      </c>
      <c r="BD1104" t="s">
        <v>74</v>
      </c>
      <c r="BE1104" t="s">
        <v>20686</v>
      </c>
      <c r="BF1104" t="str">
        <f>HYPERLINK("http://dx.doi.org/10.1016/j.medengphy.2016.09.001","http://dx.doi.org/10.1016/j.medengphy.2016.09.001")</f>
        <v>http://dx.doi.org/10.1016/j.medengphy.2016.09.001</v>
      </c>
      <c r="BG1104" t="s">
        <v>74</v>
      </c>
      <c r="BH1104" t="s">
        <v>74</v>
      </c>
      <c r="BI1104">
        <v>10</v>
      </c>
      <c r="BJ1104" t="s">
        <v>282</v>
      </c>
      <c r="BK1104" t="s">
        <v>102</v>
      </c>
      <c r="BL1104" t="s">
        <v>183</v>
      </c>
      <c r="BM1104" t="s">
        <v>20687</v>
      </c>
      <c r="BN1104">
        <v>27692878</v>
      </c>
      <c r="BO1104" t="s">
        <v>74</v>
      </c>
      <c r="BP1104" t="s">
        <v>74</v>
      </c>
      <c r="BQ1104" t="s">
        <v>74</v>
      </c>
      <c r="BR1104" t="s">
        <v>105</v>
      </c>
      <c r="BS1104" t="s">
        <v>20688</v>
      </c>
      <c r="BT1104" t="str">
        <f>HYPERLINK("https%3A%2F%2Fwww.webofscience.com%2Fwos%2Fwoscc%2Ffull-record%2FWOS:000387197800016","View Full Record in Web of Science")</f>
        <v>View Full Record in Web of Science</v>
      </c>
    </row>
    <row r="1105" spans="1:72" x14ac:dyDescent="0.25">
      <c r="A1105" t="s">
        <v>72</v>
      </c>
      <c r="B1105" t="s">
        <v>20689</v>
      </c>
      <c r="C1105" t="s">
        <v>74</v>
      </c>
      <c r="D1105" t="s">
        <v>74</v>
      </c>
      <c r="E1105" t="s">
        <v>74</v>
      </c>
      <c r="F1105" t="s">
        <v>20690</v>
      </c>
      <c r="G1105" t="s">
        <v>74</v>
      </c>
      <c r="H1105" t="s">
        <v>74</v>
      </c>
      <c r="I1105" t="s">
        <v>20691</v>
      </c>
      <c r="J1105" t="s">
        <v>20692</v>
      </c>
      <c r="K1105" t="s">
        <v>74</v>
      </c>
      <c r="L1105" t="s">
        <v>74</v>
      </c>
      <c r="M1105" t="s">
        <v>78</v>
      </c>
      <c r="N1105" t="s">
        <v>79</v>
      </c>
      <c r="O1105" t="s">
        <v>74</v>
      </c>
      <c r="P1105" t="s">
        <v>74</v>
      </c>
      <c r="Q1105" t="s">
        <v>74</v>
      </c>
      <c r="R1105" t="s">
        <v>74</v>
      </c>
      <c r="S1105" t="s">
        <v>74</v>
      </c>
      <c r="T1105" t="s">
        <v>20693</v>
      </c>
      <c r="U1105" t="s">
        <v>20694</v>
      </c>
      <c r="V1105" t="s">
        <v>20695</v>
      </c>
      <c r="W1105" t="s">
        <v>20696</v>
      </c>
      <c r="X1105" t="s">
        <v>20697</v>
      </c>
      <c r="Y1105" t="s">
        <v>20698</v>
      </c>
      <c r="Z1105" t="s">
        <v>20699</v>
      </c>
      <c r="AA1105" t="s">
        <v>20700</v>
      </c>
      <c r="AB1105" t="s">
        <v>20701</v>
      </c>
      <c r="AC1105" t="s">
        <v>74</v>
      </c>
      <c r="AD1105" t="s">
        <v>74</v>
      </c>
      <c r="AE1105" t="s">
        <v>74</v>
      </c>
      <c r="AF1105" t="s">
        <v>74</v>
      </c>
      <c r="AG1105">
        <v>98</v>
      </c>
      <c r="AH1105">
        <v>49</v>
      </c>
      <c r="AI1105">
        <v>52</v>
      </c>
      <c r="AJ1105">
        <v>0</v>
      </c>
      <c r="AK1105">
        <v>18</v>
      </c>
      <c r="AL1105" t="s">
        <v>172</v>
      </c>
      <c r="AM1105" t="s">
        <v>173</v>
      </c>
      <c r="AN1105" t="s">
        <v>174</v>
      </c>
      <c r="AO1105" t="s">
        <v>20702</v>
      </c>
      <c r="AP1105" t="s">
        <v>20703</v>
      </c>
      <c r="AQ1105" t="s">
        <v>74</v>
      </c>
      <c r="AR1105" t="s">
        <v>20704</v>
      </c>
      <c r="AS1105" t="s">
        <v>20705</v>
      </c>
      <c r="AT1105" t="s">
        <v>126</v>
      </c>
      <c r="AU1105">
        <v>2016</v>
      </c>
      <c r="AV1105">
        <v>273</v>
      </c>
      <c r="AW1105">
        <v>11</v>
      </c>
      <c r="AX1105" t="s">
        <v>74</v>
      </c>
      <c r="AY1105" t="s">
        <v>74</v>
      </c>
      <c r="AZ1105" t="s">
        <v>74</v>
      </c>
      <c r="BA1105" t="s">
        <v>74</v>
      </c>
      <c r="BB1105">
        <v>3459</v>
      </c>
      <c r="BC1105">
        <v>3475</v>
      </c>
      <c r="BD1105" t="s">
        <v>74</v>
      </c>
      <c r="BE1105" t="s">
        <v>20706</v>
      </c>
      <c r="BF1105" t="str">
        <f>HYPERLINK("http://dx.doi.org/10.1007/s00405-015-3822-3","http://dx.doi.org/10.1007/s00405-015-3822-3")</f>
        <v>http://dx.doi.org/10.1007/s00405-015-3822-3</v>
      </c>
      <c r="BG1105" t="s">
        <v>74</v>
      </c>
      <c r="BH1105" t="s">
        <v>74</v>
      </c>
      <c r="BI1105">
        <v>17</v>
      </c>
      <c r="BJ1105" t="s">
        <v>5169</v>
      </c>
      <c r="BK1105" t="s">
        <v>182</v>
      </c>
      <c r="BL1105" t="s">
        <v>5169</v>
      </c>
      <c r="BM1105" t="s">
        <v>20707</v>
      </c>
      <c r="BN1105">
        <v>26545378</v>
      </c>
      <c r="BO1105" t="s">
        <v>74</v>
      </c>
      <c r="BP1105" t="s">
        <v>74</v>
      </c>
      <c r="BQ1105" t="s">
        <v>74</v>
      </c>
      <c r="BR1105" t="s">
        <v>105</v>
      </c>
      <c r="BS1105" t="s">
        <v>20708</v>
      </c>
      <c r="BT1105" t="str">
        <f>HYPERLINK("https%3A%2F%2Fwww.webofscience.com%2Fwos%2Fwoscc%2Ffull-record%2FWOS:000385202600001","View Full Record in Web of Science")</f>
        <v>View Full Record in Web of Science</v>
      </c>
    </row>
    <row r="1106" spans="1:72" x14ac:dyDescent="0.25">
      <c r="A1106" t="s">
        <v>72</v>
      </c>
      <c r="B1106" t="s">
        <v>20709</v>
      </c>
      <c r="C1106" t="s">
        <v>74</v>
      </c>
      <c r="D1106" t="s">
        <v>74</v>
      </c>
      <c r="E1106" t="s">
        <v>74</v>
      </c>
      <c r="F1106" t="s">
        <v>20710</v>
      </c>
      <c r="G1106" t="s">
        <v>74</v>
      </c>
      <c r="H1106" t="s">
        <v>74</v>
      </c>
      <c r="I1106" t="s">
        <v>20711</v>
      </c>
      <c r="J1106" t="s">
        <v>20712</v>
      </c>
      <c r="K1106" t="s">
        <v>74</v>
      </c>
      <c r="L1106" t="s">
        <v>74</v>
      </c>
      <c r="M1106" t="s">
        <v>78</v>
      </c>
      <c r="N1106" t="s">
        <v>79</v>
      </c>
      <c r="O1106" t="s">
        <v>74</v>
      </c>
      <c r="P1106" t="s">
        <v>74</v>
      </c>
      <c r="Q1106" t="s">
        <v>74</v>
      </c>
      <c r="R1106" t="s">
        <v>74</v>
      </c>
      <c r="S1106" t="s">
        <v>74</v>
      </c>
      <c r="T1106" t="s">
        <v>20713</v>
      </c>
      <c r="U1106" t="s">
        <v>20714</v>
      </c>
      <c r="V1106" t="s">
        <v>20715</v>
      </c>
      <c r="W1106" t="s">
        <v>20716</v>
      </c>
      <c r="X1106" t="s">
        <v>19109</v>
      </c>
      <c r="Y1106" t="s">
        <v>20717</v>
      </c>
      <c r="Z1106" t="s">
        <v>20718</v>
      </c>
      <c r="AA1106" t="s">
        <v>20719</v>
      </c>
      <c r="AB1106" t="s">
        <v>20720</v>
      </c>
      <c r="AC1106" t="s">
        <v>74</v>
      </c>
      <c r="AD1106" t="s">
        <v>74</v>
      </c>
      <c r="AE1106" t="s">
        <v>74</v>
      </c>
      <c r="AF1106" t="s">
        <v>74</v>
      </c>
      <c r="AG1106">
        <v>146</v>
      </c>
      <c r="AH1106">
        <v>99</v>
      </c>
      <c r="AI1106">
        <v>107</v>
      </c>
      <c r="AJ1106">
        <v>0</v>
      </c>
      <c r="AK1106">
        <v>84</v>
      </c>
      <c r="AL1106" t="s">
        <v>1605</v>
      </c>
      <c r="AM1106" t="s">
        <v>1606</v>
      </c>
      <c r="AN1106" t="s">
        <v>1607</v>
      </c>
      <c r="AO1106" t="s">
        <v>20721</v>
      </c>
      <c r="AP1106" t="s">
        <v>20722</v>
      </c>
      <c r="AQ1106" t="s">
        <v>74</v>
      </c>
      <c r="AR1106" t="s">
        <v>20723</v>
      </c>
      <c r="AS1106" t="s">
        <v>20724</v>
      </c>
      <c r="AT1106" t="s">
        <v>126</v>
      </c>
      <c r="AU1106">
        <v>2016</v>
      </c>
      <c r="AV1106">
        <v>22</v>
      </c>
      <c r="AW1106" t="s">
        <v>74</v>
      </c>
      <c r="AX1106" t="s">
        <v>74</v>
      </c>
      <c r="AY1106" t="s">
        <v>74</v>
      </c>
      <c r="AZ1106" t="s">
        <v>74</v>
      </c>
      <c r="BA1106" t="s">
        <v>74</v>
      </c>
      <c r="BB1106">
        <v>65</v>
      </c>
      <c r="BC1106">
        <v>87</v>
      </c>
      <c r="BD1106" t="s">
        <v>74</v>
      </c>
      <c r="BE1106" t="s">
        <v>20725</v>
      </c>
      <c r="BF1106" t="str">
        <f>HYPERLINK("http://dx.doi.org/10.1016/j.cosrev.2016.09.001","http://dx.doi.org/10.1016/j.cosrev.2016.09.001")</f>
        <v>http://dx.doi.org/10.1016/j.cosrev.2016.09.001</v>
      </c>
      <c r="BG1106" t="s">
        <v>74</v>
      </c>
      <c r="BH1106" t="s">
        <v>74</v>
      </c>
      <c r="BI1106">
        <v>23</v>
      </c>
      <c r="BJ1106" t="s">
        <v>20726</v>
      </c>
      <c r="BK1106" t="s">
        <v>155</v>
      </c>
      <c r="BL1106" t="s">
        <v>6189</v>
      </c>
      <c r="BM1106" t="s">
        <v>20727</v>
      </c>
      <c r="BN1106" t="s">
        <v>74</v>
      </c>
      <c r="BO1106" t="s">
        <v>3555</v>
      </c>
      <c r="BP1106" t="s">
        <v>74</v>
      </c>
      <c r="BQ1106" t="s">
        <v>74</v>
      </c>
      <c r="BR1106" t="s">
        <v>105</v>
      </c>
      <c r="BS1106" t="s">
        <v>20728</v>
      </c>
      <c r="BT1106" t="str">
        <f>HYPERLINK("https%3A%2F%2Fwww.webofscience.com%2Fwos%2Fwoscc%2Ffull-record%2FWOS:000390872600005","View Full Record in Web of Science")</f>
        <v>View Full Record in Web of Science</v>
      </c>
    </row>
    <row r="1107" spans="1:72" x14ac:dyDescent="0.25">
      <c r="A1107" t="s">
        <v>72</v>
      </c>
      <c r="B1107" t="s">
        <v>20729</v>
      </c>
      <c r="C1107" t="s">
        <v>74</v>
      </c>
      <c r="D1107" t="s">
        <v>74</v>
      </c>
      <c r="E1107" t="s">
        <v>74</v>
      </c>
      <c r="F1107" t="s">
        <v>20730</v>
      </c>
      <c r="G1107" t="s">
        <v>74</v>
      </c>
      <c r="H1107" t="s">
        <v>74</v>
      </c>
      <c r="I1107" t="s">
        <v>20731</v>
      </c>
      <c r="J1107" t="s">
        <v>594</v>
      </c>
      <c r="K1107" t="s">
        <v>74</v>
      </c>
      <c r="L1107" t="s">
        <v>74</v>
      </c>
      <c r="M1107" t="s">
        <v>78</v>
      </c>
      <c r="N1107" t="s">
        <v>79</v>
      </c>
      <c r="O1107" t="s">
        <v>74</v>
      </c>
      <c r="P1107" t="s">
        <v>74</v>
      </c>
      <c r="Q1107" t="s">
        <v>74</v>
      </c>
      <c r="R1107" t="s">
        <v>74</v>
      </c>
      <c r="S1107" t="s">
        <v>74</v>
      </c>
      <c r="T1107" t="s">
        <v>20732</v>
      </c>
      <c r="U1107" t="s">
        <v>20733</v>
      </c>
      <c r="V1107" t="s">
        <v>20734</v>
      </c>
      <c r="W1107" t="s">
        <v>20735</v>
      </c>
      <c r="X1107" t="s">
        <v>20736</v>
      </c>
      <c r="Y1107" t="s">
        <v>20737</v>
      </c>
      <c r="Z1107" t="s">
        <v>20738</v>
      </c>
      <c r="AA1107" t="s">
        <v>20739</v>
      </c>
      <c r="AB1107" t="s">
        <v>20740</v>
      </c>
      <c r="AC1107" t="s">
        <v>20741</v>
      </c>
      <c r="AD1107" t="s">
        <v>20742</v>
      </c>
      <c r="AE1107" t="s">
        <v>20743</v>
      </c>
      <c r="AF1107" t="s">
        <v>74</v>
      </c>
      <c r="AG1107">
        <v>34</v>
      </c>
      <c r="AH1107">
        <v>66</v>
      </c>
      <c r="AI1107">
        <v>73</v>
      </c>
      <c r="AJ1107">
        <v>0</v>
      </c>
      <c r="AK1107">
        <v>24</v>
      </c>
      <c r="AL1107" t="s">
        <v>20062</v>
      </c>
      <c r="AM1107" t="s">
        <v>275</v>
      </c>
      <c r="AN1107" t="s">
        <v>20063</v>
      </c>
      <c r="AO1107" t="s">
        <v>606</v>
      </c>
      <c r="AP1107" t="s">
        <v>74</v>
      </c>
      <c r="AQ1107" t="s">
        <v>74</v>
      </c>
      <c r="AR1107" t="s">
        <v>607</v>
      </c>
      <c r="AS1107" t="s">
        <v>608</v>
      </c>
      <c r="AT1107" t="s">
        <v>20744</v>
      </c>
      <c r="AU1107">
        <v>2016</v>
      </c>
      <c r="AV1107">
        <v>13</v>
      </c>
      <c r="AW1107" t="s">
        <v>74</v>
      </c>
      <c r="AX1107" t="s">
        <v>74</v>
      </c>
      <c r="AY1107" t="s">
        <v>74</v>
      </c>
      <c r="AZ1107" t="s">
        <v>74</v>
      </c>
      <c r="BA1107" t="s">
        <v>74</v>
      </c>
      <c r="BB1107" t="s">
        <v>74</v>
      </c>
      <c r="BC1107" t="s">
        <v>74</v>
      </c>
      <c r="BD1107">
        <v>95</v>
      </c>
      <c r="BE1107" t="s">
        <v>20745</v>
      </c>
      <c r="BF1107" t="str">
        <f>HYPERLINK("http://dx.doi.org/10.1186/s12984-016-0203-0","http://dx.doi.org/10.1186/s12984-016-0203-0")</f>
        <v>http://dx.doi.org/10.1186/s12984-016-0203-0</v>
      </c>
      <c r="BG1107" t="s">
        <v>74</v>
      </c>
      <c r="BH1107" t="s">
        <v>74</v>
      </c>
      <c r="BI1107">
        <v>11</v>
      </c>
      <c r="BJ1107" t="s">
        <v>611</v>
      </c>
      <c r="BK1107" t="s">
        <v>182</v>
      </c>
      <c r="BL1107" t="s">
        <v>612</v>
      </c>
      <c r="BM1107" t="s">
        <v>20746</v>
      </c>
      <c r="BN1107">
        <v>27794362</v>
      </c>
      <c r="BO1107" t="s">
        <v>355</v>
      </c>
      <c r="BP1107" t="s">
        <v>74</v>
      </c>
      <c r="BQ1107" t="s">
        <v>74</v>
      </c>
      <c r="BR1107" t="s">
        <v>105</v>
      </c>
      <c r="BS1107" t="s">
        <v>20747</v>
      </c>
      <c r="BT1107" t="str">
        <f>HYPERLINK("https%3A%2F%2Fwww.webofscience.com%2Fwos%2Fwoscc%2Ffull-record%2FWOS:000386955200001","View Full Record in Web of Science")</f>
        <v>View Full Record in Web of Science</v>
      </c>
    </row>
    <row r="1108" spans="1:72" x14ac:dyDescent="0.25">
      <c r="A1108" t="s">
        <v>72</v>
      </c>
      <c r="B1108" t="s">
        <v>20748</v>
      </c>
      <c r="C1108" t="s">
        <v>74</v>
      </c>
      <c r="D1108" t="s">
        <v>74</v>
      </c>
      <c r="E1108" t="s">
        <v>74</v>
      </c>
      <c r="F1108" t="s">
        <v>20749</v>
      </c>
      <c r="G1108" t="s">
        <v>74</v>
      </c>
      <c r="H1108" t="s">
        <v>74</v>
      </c>
      <c r="I1108" t="s">
        <v>20750</v>
      </c>
      <c r="J1108" t="s">
        <v>20751</v>
      </c>
      <c r="K1108" t="s">
        <v>74</v>
      </c>
      <c r="L1108" t="s">
        <v>74</v>
      </c>
      <c r="M1108" t="s">
        <v>78</v>
      </c>
      <c r="N1108" t="s">
        <v>79</v>
      </c>
      <c r="O1108" t="s">
        <v>74</v>
      </c>
      <c r="P1108" t="s">
        <v>74</v>
      </c>
      <c r="Q1108" t="s">
        <v>74</v>
      </c>
      <c r="R1108" t="s">
        <v>74</v>
      </c>
      <c r="S1108" t="s">
        <v>74</v>
      </c>
      <c r="T1108" t="s">
        <v>20752</v>
      </c>
      <c r="U1108" t="s">
        <v>20753</v>
      </c>
      <c r="V1108" t="s">
        <v>20754</v>
      </c>
      <c r="W1108" t="s">
        <v>20755</v>
      </c>
      <c r="X1108" t="s">
        <v>20756</v>
      </c>
      <c r="Y1108" t="s">
        <v>20757</v>
      </c>
      <c r="Z1108" t="s">
        <v>20758</v>
      </c>
      <c r="AA1108" t="s">
        <v>74</v>
      </c>
      <c r="AB1108" t="s">
        <v>20759</v>
      </c>
      <c r="AC1108" t="s">
        <v>20760</v>
      </c>
      <c r="AD1108" t="s">
        <v>20761</v>
      </c>
      <c r="AE1108" t="s">
        <v>20762</v>
      </c>
      <c r="AF1108" t="s">
        <v>74</v>
      </c>
      <c r="AG1108">
        <v>79</v>
      </c>
      <c r="AH1108">
        <v>18</v>
      </c>
      <c r="AI1108">
        <v>25</v>
      </c>
      <c r="AJ1108">
        <v>0</v>
      </c>
      <c r="AK1108">
        <v>27</v>
      </c>
      <c r="AL1108" t="s">
        <v>1267</v>
      </c>
      <c r="AM1108" t="s">
        <v>275</v>
      </c>
      <c r="AN1108" t="s">
        <v>1268</v>
      </c>
      <c r="AO1108" t="s">
        <v>20763</v>
      </c>
      <c r="AP1108" t="s">
        <v>20764</v>
      </c>
      <c r="AQ1108" t="s">
        <v>74</v>
      </c>
      <c r="AR1108" t="s">
        <v>20765</v>
      </c>
      <c r="AS1108" t="s">
        <v>20766</v>
      </c>
      <c r="AT1108" t="s">
        <v>20767</v>
      </c>
      <c r="AU1108">
        <v>2016</v>
      </c>
      <c r="AV1108">
        <v>371</v>
      </c>
      <c r="AW1108">
        <v>1705</v>
      </c>
      <c r="AX1108" t="s">
        <v>74</v>
      </c>
      <c r="AY1108" t="s">
        <v>74</v>
      </c>
      <c r="AZ1108" t="s">
        <v>74</v>
      </c>
      <c r="BA1108" t="s">
        <v>74</v>
      </c>
      <c r="BB1108" t="s">
        <v>74</v>
      </c>
      <c r="BC1108" t="s">
        <v>74</v>
      </c>
      <c r="BD1108">
        <v>20150353</v>
      </c>
      <c r="BE1108" t="s">
        <v>20768</v>
      </c>
      <c r="BF1108" t="str">
        <f>HYPERLINK("http://dx.doi.org/10.1098/rstb.2015.0353","http://dx.doi.org/10.1098/rstb.2015.0353")</f>
        <v>http://dx.doi.org/10.1098/rstb.2015.0353</v>
      </c>
      <c r="BG1108" t="s">
        <v>74</v>
      </c>
      <c r="BH1108" t="s">
        <v>74</v>
      </c>
      <c r="BI1108">
        <v>11</v>
      </c>
      <c r="BJ1108" t="s">
        <v>6350</v>
      </c>
      <c r="BK1108" t="s">
        <v>182</v>
      </c>
      <c r="BL1108" t="s">
        <v>6351</v>
      </c>
      <c r="BM1108" t="s">
        <v>20769</v>
      </c>
      <c r="BN1108">
        <v>27574307</v>
      </c>
      <c r="BO1108" t="s">
        <v>4373</v>
      </c>
      <c r="BP1108" t="s">
        <v>74</v>
      </c>
      <c r="BQ1108" t="s">
        <v>74</v>
      </c>
      <c r="BR1108" t="s">
        <v>105</v>
      </c>
      <c r="BS1108" t="s">
        <v>20770</v>
      </c>
      <c r="BT1108" t="str">
        <f>HYPERLINK("https%3A%2F%2Fwww.webofscience.com%2Fwos%2Fwoscc%2Ffull-record%2FWOS:000383505900006","View Full Record in Web of Science")</f>
        <v>View Full Record in Web of Science</v>
      </c>
    </row>
    <row r="1109" spans="1:72" x14ac:dyDescent="0.25">
      <c r="A1109" t="s">
        <v>72</v>
      </c>
      <c r="B1109" t="s">
        <v>20771</v>
      </c>
      <c r="C1109" t="s">
        <v>74</v>
      </c>
      <c r="D1109" t="s">
        <v>74</v>
      </c>
      <c r="E1109" t="s">
        <v>74</v>
      </c>
      <c r="F1109" t="s">
        <v>20772</v>
      </c>
      <c r="G1109" t="s">
        <v>74</v>
      </c>
      <c r="H1109" t="s">
        <v>74</v>
      </c>
      <c r="I1109" t="s">
        <v>20773</v>
      </c>
      <c r="J1109" t="s">
        <v>20774</v>
      </c>
      <c r="K1109" t="s">
        <v>74</v>
      </c>
      <c r="L1109" t="s">
        <v>74</v>
      </c>
      <c r="M1109" t="s">
        <v>78</v>
      </c>
      <c r="N1109" t="s">
        <v>79</v>
      </c>
      <c r="O1109" t="s">
        <v>74</v>
      </c>
      <c r="P1109" t="s">
        <v>74</v>
      </c>
      <c r="Q1109" t="s">
        <v>74</v>
      </c>
      <c r="R1109" t="s">
        <v>74</v>
      </c>
      <c r="S1109" t="s">
        <v>74</v>
      </c>
      <c r="T1109" t="s">
        <v>20775</v>
      </c>
      <c r="U1109" t="s">
        <v>20776</v>
      </c>
      <c r="V1109" t="s">
        <v>20777</v>
      </c>
      <c r="W1109" t="s">
        <v>20778</v>
      </c>
      <c r="X1109" t="s">
        <v>20779</v>
      </c>
      <c r="Y1109" t="s">
        <v>20780</v>
      </c>
      <c r="Z1109" t="s">
        <v>20781</v>
      </c>
      <c r="AA1109" t="s">
        <v>20782</v>
      </c>
      <c r="AB1109" t="s">
        <v>20783</v>
      </c>
      <c r="AC1109" t="s">
        <v>20784</v>
      </c>
      <c r="AD1109" t="s">
        <v>20785</v>
      </c>
      <c r="AE1109" t="s">
        <v>20784</v>
      </c>
      <c r="AF1109" t="s">
        <v>74</v>
      </c>
      <c r="AG1109">
        <v>35</v>
      </c>
      <c r="AH1109">
        <v>13</v>
      </c>
      <c r="AI1109">
        <v>13</v>
      </c>
      <c r="AJ1109">
        <v>1</v>
      </c>
      <c r="AK1109">
        <v>20</v>
      </c>
      <c r="AL1109" t="s">
        <v>20786</v>
      </c>
      <c r="AM1109" t="s">
        <v>20787</v>
      </c>
      <c r="AN1109" t="s">
        <v>20788</v>
      </c>
      <c r="AO1109" t="s">
        <v>20789</v>
      </c>
      <c r="AP1109" t="s">
        <v>20790</v>
      </c>
      <c r="AQ1109" t="s">
        <v>74</v>
      </c>
      <c r="AR1109" t="s">
        <v>20791</v>
      </c>
      <c r="AS1109" t="s">
        <v>20792</v>
      </c>
      <c r="AT1109" t="s">
        <v>7199</v>
      </c>
      <c r="AU1109">
        <v>2016</v>
      </c>
      <c r="AV1109">
        <v>29</v>
      </c>
      <c r="AW1109">
        <v>4</v>
      </c>
      <c r="AX1109" t="s">
        <v>74</v>
      </c>
      <c r="AY1109" t="s">
        <v>74</v>
      </c>
      <c r="AZ1109" t="s">
        <v>74</v>
      </c>
      <c r="BA1109" t="s">
        <v>74</v>
      </c>
      <c r="BB1109">
        <v>287</v>
      </c>
      <c r="BC1109">
        <v>290</v>
      </c>
      <c r="BD1109" t="s">
        <v>74</v>
      </c>
      <c r="BE1109" t="s">
        <v>20793</v>
      </c>
      <c r="BF1109" t="str">
        <f>HYPERLINK("http://dx.doi.org/10.1590/0102-6720201600040018","http://dx.doi.org/10.1590/0102-6720201600040018")</f>
        <v>http://dx.doi.org/10.1590/0102-6720201600040018</v>
      </c>
      <c r="BG1109" t="s">
        <v>74</v>
      </c>
      <c r="BH1109" t="s">
        <v>74</v>
      </c>
      <c r="BI1109">
        <v>4</v>
      </c>
      <c r="BJ1109" t="s">
        <v>5035</v>
      </c>
      <c r="BK1109" t="s">
        <v>155</v>
      </c>
      <c r="BL1109" t="s">
        <v>5035</v>
      </c>
      <c r="BM1109" t="s">
        <v>20794</v>
      </c>
      <c r="BN1109">
        <v>28076489</v>
      </c>
      <c r="BO1109" t="s">
        <v>1573</v>
      </c>
      <c r="BP1109" t="s">
        <v>74</v>
      </c>
      <c r="BQ1109" t="s">
        <v>74</v>
      </c>
      <c r="BR1109" t="s">
        <v>105</v>
      </c>
      <c r="BS1109" t="s">
        <v>20795</v>
      </c>
      <c r="BT1109" t="str">
        <f>HYPERLINK("https%3A%2F%2Fwww.webofscience.com%2Fwos%2Fwoscc%2Ffull-record%2FWOS:000392703900018","View Full Record in Web of Science")</f>
        <v>View Full Record in Web of Science</v>
      </c>
    </row>
    <row r="1110" spans="1:72" x14ac:dyDescent="0.25">
      <c r="A1110" t="s">
        <v>72</v>
      </c>
      <c r="B1110" t="s">
        <v>20796</v>
      </c>
      <c r="C1110" t="s">
        <v>74</v>
      </c>
      <c r="D1110" t="s">
        <v>74</v>
      </c>
      <c r="E1110" t="s">
        <v>74</v>
      </c>
      <c r="F1110" t="s">
        <v>20797</v>
      </c>
      <c r="G1110" t="s">
        <v>74</v>
      </c>
      <c r="H1110" t="s">
        <v>74</v>
      </c>
      <c r="I1110" t="s">
        <v>20798</v>
      </c>
      <c r="J1110" t="s">
        <v>594</v>
      </c>
      <c r="K1110" t="s">
        <v>74</v>
      </c>
      <c r="L1110" t="s">
        <v>74</v>
      </c>
      <c r="M1110" t="s">
        <v>78</v>
      </c>
      <c r="N1110" t="s">
        <v>79</v>
      </c>
      <c r="O1110" t="s">
        <v>74</v>
      </c>
      <c r="P1110" t="s">
        <v>74</v>
      </c>
      <c r="Q1110" t="s">
        <v>74</v>
      </c>
      <c r="R1110" t="s">
        <v>74</v>
      </c>
      <c r="S1110" t="s">
        <v>74</v>
      </c>
      <c r="T1110" t="s">
        <v>20799</v>
      </c>
      <c r="U1110" t="s">
        <v>20800</v>
      </c>
      <c r="V1110" t="s">
        <v>20801</v>
      </c>
      <c r="W1110" t="s">
        <v>20802</v>
      </c>
      <c r="X1110" t="s">
        <v>20803</v>
      </c>
      <c r="Y1110" t="s">
        <v>20804</v>
      </c>
      <c r="Z1110" t="s">
        <v>20805</v>
      </c>
      <c r="AA1110" t="s">
        <v>20806</v>
      </c>
      <c r="AB1110" t="s">
        <v>20807</v>
      </c>
      <c r="AC1110" t="s">
        <v>20808</v>
      </c>
      <c r="AD1110" t="s">
        <v>20809</v>
      </c>
      <c r="AE1110" t="s">
        <v>20810</v>
      </c>
      <c r="AF1110" t="s">
        <v>74</v>
      </c>
      <c r="AG1110">
        <v>119</v>
      </c>
      <c r="AH1110">
        <v>45</v>
      </c>
      <c r="AI1110">
        <v>53</v>
      </c>
      <c r="AJ1110">
        <v>1</v>
      </c>
      <c r="AK1110">
        <v>44</v>
      </c>
      <c r="AL1110" t="s">
        <v>274</v>
      </c>
      <c r="AM1110" t="s">
        <v>275</v>
      </c>
      <c r="AN1110" t="s">
        <v>276</v>
      </c>
      <c r="AO1110" t="s">
        <v>74</v>
      </c>
      <c r="AP1110" t="s">
        <v>606</v>
      </c>
      <c r="AQ1110" t="s">
        <v>74</v>
      </c>
      <c r="AR1110" t="s">
        <v>607</v>
      </c>
      <c r="AS1110" t="s">
        <v>608</v>
      </c>
      <c r="AT1110" t="s">
        <v>12679</v>
      </c>
      <c r="AU1110">
        <v>2016</v>
      </c>
      <c r="AV1110">
        <v>13</v>
      </c>
      <c r="AW1110" t="s">
        <v>74</v>
      </c>
      <c r="AX1110" t="s">
        <v>74</v>
      </c>
      <c r="AY1110" t="s">
        <v>74</v>
      </c>
      <c r="AZ1110" t="s">
        <v>74</v>
      </c>
      <c r="BA1110" t="s">
        <v>74</v>
      </c>
      <c r="BB1110" t="s">
        <v>74</v>
      </c>
      <c r="BC1110" t="s">
        <v>74</v>
      </c>
      <c r="BD1110">
        <v>80</v>
      </c>
      <c r="BE1110" t="s">
        <v>20811</v>
      </c>
      <c r="BF1110" t="str">
        <f>HYPERLINK("http://dx.doi.org/10.1186/s12984-016-0186-x","http://dx.doi.org/10.1186/s12984-016-0186-x")</f>
        <v>http://dx.doi.org/10.1186/s12984-016-0186-x</v>
      </c>
      <c r="BG1110" t="s">
        <v>74</v>
      </c>
      <c r="BH1110" t="s">
        <v>74</v>
      </c>
      <c r="BI1110">
        <v>14</v>
      </c>
      <c r="BJ1110" t="s">
        <v>611</v>
      </c>
      <c r="BK1110" t="s">
        <v>102</v>
      </c>
      <c r="BL1110" t="s">
        <v>612</v>
      </c>
      <c r="BM1110" t="s">
        <v>20812</v>
      </c>
      <c r="BN1110">
        <v>27608923</v>
      </c>
      <c r="BO1110" t="s">
        <v>355</v>
      </c>
      <c r="BP1110" t="s">
        <v>74</v>
      </c>
      <c r="BQ1110" t="s">
        <v>74</v>
      </c>
      <c r="BR1110" t="s">
        <v>105</v>
      </c>
      <c r="BS1110" t="s">
        <v>20813</v>
      </c>
      <c r="BT1110" t="str">
        <f>HYPERLINK("https%3A%2F%2Fwww.webofscience.com%2Fwos%2Fwoscc%2Ffull-record%2FWOS:000383662100001","View Full Record in Web of Science")</f>
        <v>View Full Record in Web of Science</v>
      </c>
    </row>
    <row r="1111" spans="1:72" x14ac:dyDescent="0.25">
      <c r="A1111" t="s">
        <v>72</v>
      </c>
      <c r="B1111" t="s">
        <v>20814</v>
      </c>
      <c r="C1111" t="s">
        <v>74</v>
      </c>
      <c r="D1111" t="s">
        <v>74</v>
      </c>
      <c r="E1111" t="s">
        <v>74</v>
      </c>
      <c r="F1111" t="s">
        <v>20815</v>
      </c>
      <c r="G1111" t="s">
        <v>74</v>
      </c>
      <c r="H1111" t="s">
        <v>74</v>
      </c>
      <c r="I1111" t="s">
        <v>20816</v>
      </c>
      <c r="J1111" t="s">
        <v>20817</v>
      </c>
      <c r="K1111" t="s">
        <v>74</v>
      </c>
      <c r="L1111" t="s">
        <v>74</v>
      </c>
      <c r="M1111" t="s">
        <v>78</v>
      </c>
      <c r="N1111" t="s">
        <v>79</v>
      </c>
      <c r="O1111" t="s">
        <v>74</v>
      </c>
      <c r="P1111" t="s">
        <v>74</v>
      </c>
      <c r="Q1111" t="s">
        <v>74</v>
      </c>
      <c r="R1111" t="s">
        <v>74</v>
      </c>
      <c r="S1111" t="s">
        <v>74</v>
      </c>
      <c r="T1111" t="s">
        <v>74</v>
      </c>
      <c r="U1111" t="s">
        <v>20818</v>
      </c>
      <c r="V1111" t="s">
        <v>20819</v>
      </c>
      <c r="W1111" t="s">
        <v>20820</v>
      </c>
      <c r="X1111" t="s">
        <v>20821</v>
      </c>
      <c r="Y1111" t="s">
        <v>20822</v>
      </c>
      <c r="Z1111" t="s">
        <v>20823</v>
      </c>
      <c r="AA1111" t="s">
        <v>20824</v>
      </c>
      <c r="AB1111" t="s">
        <v>20825</v>
      </c>
      <c r="AC1111" t="s">
        <v>20826</v>
      </c>
      <c r="AD1111" t="s">
        <v>20827</v>
      </c>
      <c r="AE1111" t="s">
        <v>20828</v>
      </c>
      <c r="AF1111" t="s">
        <v>74</v>
      </c>
      <c r="AG1111">
        <v>145</v>
      </c>
      <c r="AH1111">
        <v>568</v>
      </c>
      <c r="AI1111">
        <v>609</v>
      </c>
      <c r="AJ1111">
        <v>39</v>
      </c>
      <c r="AK1111">
        <v>548</v>
      </c>
      <c r="AL1111" t="s">
        <v>18402</v>
      </c>
      <c r="AM1111" t="s">
        <v>173</v>
      </c>
      <c r="AN1111" t="s">
        <v>20829</v>
      </c>
      <c r="AO1111" t="s">
        <v>20830</v>
      </c>
      <c r="AP1111" t="s">
        <v>20831</v>
      </c>
      <c r="AQ1111" t="s">
        <v>74</v>
      </c>
      <c r="AR1111" t="s">
        <v>20832</v>
      </c>
      <c r="AS1111" t="s">
        <v>20833</v>
      </c>
      <c r="AT1111" t="s">
        <v>420</v>
      </c>
      <c r="AU1111">
        <v>2016</v>
      </c>
      <c r="AV1111">
        <v>12</v>
      </c>
      <c r="AW1111">
        <v>9</v>
      </c>
      <c r="AX1111" t="s">
        <v>74</v>
      </c>
      <c r="AY1111" t="s">
        <v>74</v>
      </c>
      <c r="AZ1111" t="s">
        <v>74</v>
      </c>
      <c r="BA1111" t="s">
        <v>74</v>
      </c>
      <c r="BB1111">
        <v>513</v>
      </c>
      <c r="BC1111">
        <v>525</v>
      </c>
      <c r="BD1111" t="s">
        <v>74</v>
      </c>
      <c r="BE1111" t="s">
        <v>20834</v>
      </c>
      <c r="BF1111" t="str">
        <f>HYPERLINK("http://dx.doi.org/10.1038/nrneurol.2016.113","http://dx.doi.org/10.1038/nrneurol.2016.113")</f>
        <v>http://dx.doi.org/10.1038/nrneurol.2016.113</v>
      </c>
      <c r="BG1111" t="s">
        <v>74</v>
      </c>
      <c r="BH1111" t="s">
        <v>74</v>
      </c>
      <c r="BI1111">
        <v>13</v>
      </c>
      <c r="BJ1111" t="s">
        <v>541</v>
      </c>
      <c r="BK1111" t="s">
        <v>102</v>
      </c>
      <c r="BL1111" t="s">
        <v>375</v>
      </c>
      <c r="BM1111" t="s">
        <v>20835</v>
      </c>
      <c r="BN1111">
        <v>27539560</v>
      </c>
      <c r="BO1111" t="s">
        <v>74</v>
      </c>
      <c r="BP1111" t="s">
        <v>869</v>
      </c>
      <c r="BQ1111" t="s">
        <v>870</v>
      </c>
      <c r="BR1111" t="s">
        <v>105</v>
      </c>
      <c r="BS1111" t="s">
        <v>20836</v>
      </c>
      <c r="BT1111" t="str">
        <f>HYPERLINK("https%3A%2F%2Fwww.webofscience.com%2Fwos%2Fwoscc%2Ffull-record%2FWOS:000382017000005","View Full Record in Web of Science")</f>
        <v>View Full Record in Web of Science</v>
      </c>
    </row>
    <row r="1112" spans="1:72" x14ac:dyDescent="0.25">
      <c r="A1112" t="s">
        <v>72</v>
      </c>
      <c r="B1112" t="s">
        <v>20837</v>
      </c>
      <c r="C1112" t="s">
        <v>74</v>
      </c>
      <c r="D1112" t="s">
        <v>74</v>
      </c>
      <c r="E1112" t="s">
        <v>74</v>
      </c>
      <c r="F1112" t="s">
        <v>20838</v>
      </c>
      <c r="G1112" t="s">
        <v>74</v>
      </c>
      <c r="H1112" t="s">
        <v>74</v>
      </c>
      <c r="I1112" t="s">
        <v>20839</v>
      </c>
      <c r="J1112" t="s">
        <v>4335</v>
      </c>
      <c r="K1112" t="s">
        <v>74</v>
      </c>
      <c r="L1112" t="s">
        <v>74</v>
      </c>
      <c r="M1112" t="s">
        <v>78</v>
      </c>
      <c r="N1112" t="s">
        <v>79</v>
      </c>
      <c r="O1112" t="s">
        <v>74</v>
      </c>
      <c r="P1112" t="s">
        <v>74</v>
      </c>
      <c r="Q1112" t="s">
        <v>74</v>
      </c>
      <c r="R1112" t="s">
        <v>74</v>
      </c>
      <c r="S1112" t="s">
        <v>74</v>
      </c>
      <c r="T1112" t="s">
        <v>20840</v>
      </c>
      <c r="U1112" t="s">
        <v>20841</v>
      </c>
      <c r="V1112" t="s">
        <v>20842</v>
      </c>
      <c r="W1112" t="s">
        <v>20843</v>
      </c>
      <c r="X1112" t="s">
        <v>20844</v>
      </c>
      <c r="Y1112" t="s">
        <v>20845</v>
      </c>
      <c r="Z1112" t="s">
        <v>20846</v>
      </c>
      <c r="AA1112" t="s">
        <v>20847</v>
      </c>
      <c r="AB1112" t="s">
        <v>20848</v>
      </c>
      <c r="AC1112" t="s">
        <v>20849</v>
      </c>
      <c r="AD1112" t="s">
        <v>20850</v>
      </c>
      <c r="AE1112" t="s">
        <v>20851</v>
      </c>
      <c r="AF1112" t="s">
        <v>74</v>
      </c>
      <c r="AG1112">
        <v>56</v>
      </c>
      <c r="AH1112">
        <v>3</v>
      </c>
      <c r="AI1112">
        <v>4</v>
      </c>
      <c r="AJ1112">
        <v>0</v>
      </c>
      <c r="AK1112">
        <v>10</v>
      </c>
      <c r="AL1112" t="s">
        <v>1957</v>
      </c>
      <c r="AM1112" t="s">
        <v>1958</v>
      </c>
      <c r="AN1112" t="s">
        <v>1959</v>
      </c>
      <c r="AO1112" t="s">
        <v>4346</v>
      </c>
      <c r="AP1112" t="s">
        <v>4347</v>
      </c>
      <c r="AQ1112" t="s">
        <v>74</v>
      </c>
      <c r="AR1112" t="s">
        <v>4348</v>
      </c>
      <c r="AS1112" t="s">
        <v>4349</v>
      </c>
      <c r="AT1112" t="s">
        <v>420</v>
      </c>
      <c r="AU1112">
        <v>2016</v>
      </c>
      <c r="AV1112">
        <v>12</v>
      </c>
      <c r="AW1112">
        <v>3</v>
      </c>
      <c r="AX1112" t="s">
        <v>74</v>
      </c>
      <c r="AY1112" t="s">
        <v>74</v>
      </c>
      <c r="AZ1112" t="s">
        <v>74</v>
      </c>
      <c r="BA1112" t="s">
        <v>74</v>
      </c>
      <c r="BB1112">
        <v>93</v>
      </c>
      <c r="BC1112">
        <v>98</v>
      </c>
      <c r="BD1112" t="s">
        <v>74</v>
      </c>
      <c r="BE1112" t="s">
        <v>20852</v>
      </c>
      <c r="BF1112" t="str">
        <f>HYPERLINK("http://dx.doi.org/10.1515/bams-2016-0010","http://dx.doi.org/10.1515/bams-2016-0010")</f>
        <v>http://dx.doi.org/10.1515/bams-2016-0010</v>
      </c>
      <c r="BG1112" t="s">
        <v>74</v>
      </c>
      <c r="BH1112" t="s">
        <v>74</v>
      </c>
      <c r="BI1112">
        <v>6</v>
      </c>
      <c r="BJ1112" t="s">
        <v>4351</v>
      </c>
      <c r="BK1112" t="s">
        <v>155</v>
      </c>
      <c r="BL1112" t="s">
        <v>4351</v>
      </c>
      <c r="BM1112" t="s">
        <v>20853</v>
      </c>
      <c r="BN1112" t="s">
        <v>74</v>
      </c>
      <c r="BO1112" t="s">
        <v>74</v>
      </c>
      <c r="BP1112" t="s">
        <v>74</v>
      </c>
      <c r="BQ1112" t="s">
        <v>74</v>
      </c>
      <c r="BR1112" t="s">
        <v>105</v>
      </c>
      <c r="BS1112" t="s">
        <v>20854</v>
      </c>
      <c r="BT1112" t="str">
        <f>HYPERLINK("https%3A%2F%2Fwww.webofscience.com%2Fwos%2Fwoscc%2Ffull-record%2FWOS:000453251800001","View Full Record in Web of Science")</f>
        <v>View Full Record in Web of Science</v>
      </c>
    </row>
    <row r="1113" spans="1:72" x14ac:dyDescent="0.25">
      <c r="A1113" t="s">
        <v>72</v>
      </c>
      <c r="B1113" t="s">
        <v>20855</v>
      </c>
      <c r="C1113" t="s">
        <v>74</v>
      </c>
      <c r="D1113" t="s">
        <v>74</v>
      </c>
      <c r="E1113" t="s">
        <v>74</v>
      </c>
      <c r="F1113" t="s">
        <v>20856</v>
      </c>
      <c r="G1113" t="s">
        <v>74</v>
      </c>
      <c r="H1113" t="s">
        <v>74</v>
      </c>
      <c r="I1113" t="s">
        <v>20857</v>
      </c>
      <c r="J1113" t="s">
        <v>1032</v>
      </c>
      <c r="K1113" t="s">
        <v>74</v>
      </c>
      <c r="L1113" t="s">
        <v>74</v>
      </c>
      <c r="M1113" t="s">
        <v>78</v>
      </c>
      <c r="N1113" t="s">
        <v>79</v>
      </c>
      <c r="O1113" t="s">
        <v>74</v>
      </c>
      <c r="P1113" t="s">
        <v>74</v>
      </c>
      <c r="Q1113" t="s">
        <v>74</v>
      </c>
      <c r="R1113" t="s">
        <v>74</v>
      </c>
      <c r="S1113" t="s">
        <v>74</v>
      </c>
      <c r="T1113" t="s">
        <v>20858</v>
      </c>
      <c r="U1113" t="s">
        <v>20859</v>
      </c>
      <c r="V1113" t="s">
        <v>20860</v>
      </c>
      <c r="W1113" t="s">
        <v>20861</v>
      </c>
      <c r="X1113" t="s">
        <v>20862</v>
      </c>
      <c r="Y1113" t="s">
        <v>20863</v>
      </c>
      <c r="Z1113" t="s">
        <v>20864</v>
      </c>
      <c r="AA1113" t="s">
        <v>74</v>
      </c>
      <c r="AB1113" t="s">
        <v>20865</v>
      </c>
      <c r="AC1113" t="s">
        <v>74</v>
      </c>
      <c r="AD1113" t="s">
        <v>74</v>
      </c>
      <c r="AE1113" t="s">
        <v>74</v>
      </c>
      <c r="AF1113" t="s">
        <v>74</v>
      </c>
      <c r="AG1113">
        <v>62</v>
      </c>
      <c r="AH1113">
        <v>77</v>
      </c>
      <c r="AI1113">
        <v>82</v>
      </c>
      <c r="AJ1113">
        <v>2</v>
      </c>
      <c r="AK1113">
        <v>80</v>
      </c>
      <c r="AL1113" t="s">
        <v>1040</v>
      </c>
      <c r="AM1113" t="s">
        <v>1041</v>
      </c>
      <c r="AN1113" t="s">
        <v>1042</v>
      </c>
      <c r="AO1113" t="s">
        <v>1043</v>
      </c>
      <c r="AP1113" t="s">
        <v>1044</v>
      </c>
      <c r="AQ1113" t="s">
        <v>74</v>
      </c>
      <c r="AR1113" t="s">
        <v>1045</v>
      </c>
      <c r="AS1113" t="s">
        <v>1046</v>
      </c>
      <c r="AT1113" t="s">
        <v>420</v>
      </c>
      <c r="AU1113">
        <v>2016</v>
      </c>
      <c r="AV1113">
        <v>30</v>
      </c>
      <c r="AW1113">
        <v>8</v>
      </c>
      <c r="AX1113" t="s">
        <v>74</v>
      </c>
      <c r="AY1113" t="s">
        <v>74</v>
      </c>
      <c r="AZ1113" t="s">
        <v>74</v>
      </c>
      <c r="BA1113" t="s">
        <v>74</v>
      </c>
      <c r="BB1113">
        <v>773</v>
      </c>
      <c r="BC1113">
        <v>793</v>
      </c>
      <c r="BD1113" t="s">
        <v>74</v>
      </c>
      <c r="BE1113" t="s">
        <v>20866</v>
      </c>
      <c r="BF1113" t="str">
        <f>HYPERLINK("http://dx.doi.org/10.1177/1545968315624785","http://dx.doi.org/10.1177/1545968315624785")</f>
        <v>http://dx.doi.org/10.1177/1545968315624785</v>
      </c>
      <c r="BG1113" t="s">
        <v>74</v>
      </c>
      <c r="BH1113" t="s">
        <v>74</v>
      </c>
      <c r="BI1113">
        <v>21</v>
      </c>
      <c r="BJ1113" t="s">
        <v>1049</v>
      </c>
      <c r="BK1113" t="s">
        <v>182</v>
      </c>
      <c r="BL1113" t="s">
        <v>1050</v>
      </c>
      <c r="BM1113" t="s">
        <v>20867</v>
      </c>
      <c r="BN1113">
        <v>26747125</v>
      </c>
      <c r="BO1113" t="s">
        <v>19793</v>
      </c>
      <c r="BP1113" t="s">
        <v>74</v>
      </c>
      <c r="BQ1113" t="s">
        <v>74</v>
      </c>
      <c r="BR1113" t="s">
        <v>105</v>
      </c>
      <c r="BS1113" t="s">
        <v>20868</v>
      </c>
      <c r="BT1113" t="str">
        <f>HYPERLINK("https%3A%2F%2Fwww.webofscience.com%2Fwos%2Fwoscc%2Ffull-record%2FWOS:000382568500008","View Full Record in Web of Science")</f>
        <v>View Full Record in Web of Science</v>
      </c>
    </row>
    <row r="1114" spans="1:72" x14ac:dyDescent="0.25">
      <c r="A1114" t="s">
        <v>72</v>
      </c>
      <c r="B1114" t="s">
        <v>20869</v>
      </c>
      <c r="C1114" t="s">
        <v>74</v>
      </c>
      <c r="D1114" t="s">
        <v>74</v>
      </c>
      <c r="E1114" t="s">
        <v>74</v>
      </c>
      <c r="F1114" t="s">
        <v>20870</v>
      </c>
      <c r="G1114" t="s">
        <v>74</v>
      </c>
      <c r="H1114" t="s">
        <v>74</v>
      </c>
      <c r="I1114" t="s">
        <v>20871</v>
      </c>
      <c r="J1114" t="s">
        <v>594</v>
      </c>
      <c r="K1114" t="s">
        <v>74</v>
      </c>
      <c r="L1114" t="s">
        <v>74</v>
      </c>
      <c r="M1114" t="s">
        <v>78</v>
      </c>
      <c r="N1114" t="s">
        <v>79</v>
      </c>
      <c r="O1114" t="s">
        <v>74</v>
      </c>
      <c r="P1114" t="s">
        <v>74</v>
      </c>
      <c r="Q1114" t="s">
        <v>74</v>
      </c>
      <c r="R1114" t="s">
        <v>74</v>
      </c>
      <c r="S1114" t="s">
        <v>74</v>
      </c>
      <c r="T1114" t="s">
        <v>20872</v>
      </c>
      <c r="U1114" t="s">
        <v>20873</v>
      </c>
      <c r="V1114" t="s">
        <v>20874</v>
      </c>
      <c r="W1114" t="s">
        <v>20875</v>
      </c>
      <c r="X1114" t="s">
        <v>20876</v>
      </c>
      <c r="Y1114" t="s">
        <v>20877</v>
      </c>
      <c r="Z1114" t="s">
        <v>20878</v>
      </c>
      <c r="AA1114" t="s">
        <v>20879</v>
      </c>
      <c r="AB1114" t="s">
        <v>20880</v>
      </c>
      <c r="AC1114" t="s">
        <v>20881</v>
      </c>
      <c r="AD1114" t="s">
        <v>20882</v>
      </c>
      <c r="AE1114" t="s">
        <v>20883</v>
      </c>
      <c r="AF1114" t="s">
        <v>74</v>
      </c>
      <c r="AG1114">
        <v>222</v>
      </c>
      <c r="AH1114">
        <v>73</v>
      </c>
      <c r="AI1114">
        <v>83</v>
      </c>
      <c r="AJ1114">
        <v>4</v>
      </c>
      <c r="AK1114">
        <v>110</v>
      </c>
      <c r="AL1114" t="s">
        <v>274</v>
      </c>
      <c r="AM1114" t="s">
        <v>275</v>
      </c>
      <c r="AN1114" t="s">
        <v>276</v>
      </c>
      <c r="AO1114" t="s">
        <v>74</v>
      </c>
      <c r="AP1114" t="s">
        <v>606</v>
      </c>
      <c r="AQ1114" t="s">
        <v>74</v>
      </c>
      <c r="AR1114" t="s">
        <v>607</v>
      </c>
      <c r="AS1114" t="s">
        <v>608</v>
      </c>
      <c r="AT1114" t="s">
        <v>4531</v>
      </c>
      <c r="AU1114">
        <v>2016</v>
      </c>
      <c r="AV1114">
        <v>13</v>
      </c>
      <c r="AW1114" t="s">
        <v>74</v>
      </c>
      <c r="AX1114" t="s">
        <v>74</v>
      </c>
      <c r="AY1114" t="s">
        <v>74</v>
      </c>
      <c r="AZ1114" t="s">
        <v>74</v>
      </c>
      <c r="BA1114" t="s">
        <v>74</v>
      </c>
      <c r="BB1114" t="s">
        <v>74</v>
      </c>
      <c r="BC1114" t="s">
        <v>74</v>
      </c>
      <c r="BD1114">
        <v>72</v>
      </c>
      <c r="BE1114" t="s">
        <v>20884</v>
      </c>
      <c r="BF1114" t="str">
        <f>HYPERLINK("http://dx.doi.org/10.1186/s12984-016-0180-3","http://dx.doi.org/10.1186/s12984-016-0180-3")</f>
        <v>http://dx.doi.org/10.1186/s12984-016-0180-3</v>
      </c>
      <c r="BG1114" t="s">
        <v>74</v>
      </c>
      <c r="BH1114" t="s">
        <v>74</v>
      </c>
      <c r="BI1114">
        <v>25</v>
      </c>
      <c r="BJ1114" t="s">
        <v>611</v>
      </c>
      <c r="BK1114" t="s">
        <v>182</v>
      </c>
      <c r="BL1114" t="s">
        <v>612</v>
      </c>
      <c r="BM1114" t="s">
        <v>20885</v>
      </c>
      <c r="BN1114">
        <v>27485106</v>
      </c>
      <c r="BO1114" t="s">
        <v>355</v>
      </c>
      <c r="BP1114" t="s">
        <v>74</v>
      </c>
      <c r="BQ1114" t="s">
        <v>74</v>
      </c>
      <c r="BR1114" t="s">
        <v>105</v>
      </c>
      <c r="BS1114" t="s">
        <v>20886</v>
      </c>
      <c r="BT1114" t="str">
        <f>HYPERLINK("https%3A%2F%2Fwww.webofscience.com%2Fwos%2Fwoscc%2Ffull-record%2FWOS:000381337500001","View Full Record in Web of Science")</f>
        <v>View Full Record in Web of Science</v>
      </c>
    </row>
    <row r="1115" spans="1:72" x14ac:dyDescent="0.25">
      <c r="A1115" t="s">
        <v>72</v>
      </c>
      <c r="B1115" t="s">
        <v>20887</v>
      </c>
      <c r="C1115" t="s">
        <v>74</v>
      </c>
      <c r="D1115" t="s">
        <v>74</v>
      </c>
      <c r="E1115" t="s">
        <v>74</v>
      </c>
      <c r="F1115" t="s">
        <v>20888</v>
      </c>
      <c r="G1115" t="s">
        <v>74</v>
      </c>
      <c r="H1115" t="s">
        <v>74</v>
      </c>
      <c r="I1115" t="s">
        <v>20889</v>
      </c>
      <c r="J1115" t="s">
        <v>18110</v>
      </c>
      <c r="K1115" t="s">
        <v>74</v>
      </c>
      <c r="L1115" t="s">
        <v>74</v>
      </c>
      <c r="M1115" t="s">
        <v>78</v>
      </c>
      <c r="N1115" t="s">
        <v>79</v>
      </c>
      <c r="O1115" t="s">
        <v>74</v>
      </c>
      <c r="P1115" t="s">
        <v>74</v>
      </c>
      <c r="Q1115" t="s">
        <v>74</v>
      </c>
      <c r="R1115" t="s">
        <v>74</v>
      </c>
      <c r="S1115" t="s">
        <v>74</v>
      </c>
      <c r="T1115" t="s">
        <v>20890</v>
      </c>
      <c r="U1115" t="s">
        <v>20891</v>
      </c>
      <c r="V1115" t="s">
        <v>20892</v>
      </c>
      <c r="W1115" t="s">
        <v>20893</v>
      </c>
      <c r="X1115" t="s">
        <v>20894</v>
      </c>
      <c r="Y1115" t="s">
        <v>20895</v>
      </c>
      <c r="Z1115" t="s">
        <v>20896</v>
      </c>
      <c r="AA1115" t="s">
        <v>20897</v>
      </c>
      <c r="AB1115" t="s">
        <v>20898</v>
      </c>
      <c r="AC1115" t="s">
        <v>20899</v>
      </c>
      <c r="AD1115" t="s">
        <v>20900</v>
      </c>
      <c r="AE1115" t="s">
        <v>20901</v>
      </c>
      <c r="AF1115" t="s">
        <v>74</v>
      </c>
      <c r="AG1115">
        <v>176</v>
      </c>
      <c r="AH1115">
        <v>179</v>
      </c>
      <c r="AI1115">
        <v>188</v>
      </c>
      <c r="AJ1115">
        <v>2</v>
      </c>
      <c r="AK1115">
        <v>125</v>
      </c>
      <c r="AL1115" t="s">
        <v>5599</v>
      </c>
      <c r="AM1115" t="s">
        <v>1606</v>
      </c>
      <c r="AN1115" t="s">
        <v>5600</v>
      </c>
      <c r="AO1115" t="s">
        <v>18123</v>
      </c>
      <c r="AP1115" t="s">
        <v>18124</v>
      </c>
      <c r="AQ1115" t="s">
        <v>74</v>
      </c>
      <c r="AR1115" t="s">
        <v>18125</v>
      </c>
      <c r="AS1115" t="s">
        <v>18126</v>
      </c>
      <c r="AT1115" t="s">
        <v>1734</v>
      </c>
      <c r="AU1115">
        <v>2016</v>
      </c>
      <c r="AV1115">
        <v>17</v>
      </c>
      <c r="AW1115" t="s">
        <v>74</v>
      </c>
      <c r="AX1115" t="s">
        <v>74</v>
      </c>
      <c r="AY1115" t="s">
        <v>74</v>
      </c>
      <c r="AZ1115" t="s">
        <v>74</v>
      </c>
      <c r="BA1115" t="s">
        <v>74</v>
      </c>
      <c r="BB1115">
        <v>1</v>
      </c>
      <c r="BC1115">
        <v>23</v>
      </c>
      <c r="BD1115" t="s">
        <v>74</v>
      </c>
      <c r="BE1115" t="s">
        <v>20902</v>
      </c>
      <c r="BF1115" t="str">
        <f>HYPERLINK("http://dx.doi.org/10.1016/j.plrev.2016.02.001","http://dx.doi.org/10.1016/j.plrev.2016.02.001")</f>
        <v>http://dx.doi.org/10.1016/j.plrev.2016.02.001</v>
      </c>
      <c r="BG1115" t="s">
        <v>74</v>
      </c>
      <c r="BH1115" t="s">
        <v>74</v>
      </c>
      <c r="BI1115">
        <v>23</v>
      </c>
      <c r="BJ1115" t="s">
        <v>18128</v>
      </c>
      <c r="BK1115" t="s">
        <v>182</v>
      </c>
      <c r="BL1115" t="s">
        <v>18129</v>
      </c>
      <c r="BM1115" t="s">
        <v>20903</v>
      </c>
      <c r="BN1115">
        <v>26923030</v>
      </c>
      <c r="BO1115" t="s">
        <v>20904</v>
      </c>
      <c r="BP1115" t="s">
        <v>74</v>
      </c>
      <c r="BQ1115" t="s">
        <v>74</v>
      </c>
      <c r="BR1115" t="s">
        <v>105</v>
      </c>
      <c r="BS1115" t="s">
        <v>20905</v>
      </c>
      <c r="BT1115" t="str">
        <f>HYPERLINK("https%3A%2F%2Fwww.webofscience.com%2Fwos%2Fwoscc%2Ffull-record%2FWOS:000381544100001","View Full Record in Web of Science")</f>
        <v>View Full Record in Web of Science</v>
      </c>
    </row>
    <row r="1116" spans="1:72" x14ac:dyDescent="0.25">
      <c r="A1116" t="s">
        <v>72</v>
      </c>
      <c r="B1116" t="s">
        <v>20906</v>
      </c>
      <c r="C1116" t="s">
        <v>74</v>
      </c>
      <c r="D1116" t="s">
        <v>74</v>
      </c>
      <c r="E1116" t="s">
        <v>74</v>
      </c>
      <c r="F1116" t="s">
        <v>20907</v>
      </c>
      <c r="G1116" t="s">
        <v>74</v>
      </c>
      <c r="H1116" t="s">
        <v>74</v>
      </c>
      <c r="I1116" t="s">
        <v>20908</v>
      </c>
      <c r="J1116" t="s">
        <v>594</v>
      </c>
      <c r="K1116" t="s">
        <v>74</v>
      </c>
      <c r="L1116" t="s">
        <v>74</v>
      </c>
      <c r="M1116" t="s">
        <v>78</v>
      </c>
      <c r="N1116" t="s">
        <v>79</v>
      </c>
      <c r="O1116" t="s">
        <v>74</v>
      </c>
      <c r="P1116" t="s">
        <v>74</v>
      </c>
      <c r="Q1116" t="s">
        <v>74</v>
      </c>
      <c r="R1116" t="s">
        <v>74</v>
      </c>
      <c r="S1116" t="s">
        <v>74</v>
      </c>
      <c r="T1116" t="s">
        <v>20909</v>
      </c>
      <c r="U1116" t="s">
        <v>20910</v>
      </c>
      <c r="V1116" t="s">
        <v>20911</v>
      </c>
      <c r="W1116" t="s">
        <v>20912</v>
      </c>
      <c r="X1116" t="s">
        <v>20913</v>
      </c>
      <c r="Y1116" t="s">
        <v>20914</v>
      </c>
      <c r="Z1116" t="s">
        <v>20915</v>
      </c>
      <c r="AA1116" t="s">
        <v>20916</v>
      </c>
      <c r="AB1116" t="s">
        <v>20917</v>
      </c>
      <c r="AC1116" t="s">
        <v>20918</v>
      </c>
      <c r="AD1116" t="s">
        <v>20919</v>
      </c>
      <c r="AE1116" t="s">
        <v>20920</v>
      </c>
      <c r="AF1116" t="s">
        <v>74</v>
      </c>
      <c r="AG1116">
        <v>345</v>
      </c>
      <c r="AH1116">
        <v>98</v>
      </c>
      <c r="AI1116">
        <v>112</v>
      </c>
      <c r="AJ1116">
        <v>1</v>
      </c>
      <c r="AK1116">
        <v>112</v>
      </c>
      <c r="AL1116" t="s">
        <v>274</v>
      </c>
      <c r="AM1116" t="s">
        <v>275</v>
      </c>
      <c r="AN1116" t="s">
        <v>276</v>
      </c>
      <c r="AO1116" t="s">
        <v>74</v>
      </c>
      <c r="AP1116" t="s">
        <v>606</v>
      </c>
      <c r="AQ1116" t="s">
        <v>74</v>
      </c>
      <c r="AR1116" t="s">
        <v>607</v>
      </c>
      <c r="AS1116" t="s">
        <v>608</v>
      </c>
      <c r="AT1116" t="s">
        <v>20921</v>
      </c>
      <c r="AU1116">
        <v>2016</v>
      </c>
      <c r="AV1116">
        <v>13</v>
      </c>
      <c r="AW1116" t="s">
        <v>74</v>
      </c>
      <c r="AX1116" t="s">
        <v>74</v>
      </c>
      <c r="AY1116" t="s">
        <v>74</v>
      </c>
      <c r="AZ1116" t="s">
        <v>74</v>
      </c>
      <c r="BA1116" t="s">
        <v>74</v>
      </c>
      <c r="BB1116" t="s">
        <v>74</v>
      </c>
      <c r="BC1116" t="s">
        <v>74</v>
      </c>
      <c r="BD1116">
        <v>62</v>
      </c>
      <c r="BE1116" t="s">
        <v>20922</v>
      </c>
      <c r="BF1116" t="str">
        <f>HYPERLINK("http://dx.doi.org/10.1186/s12984-016-0168-z","http://dx.doi.org/10.1186/s12984-016-0168-z")</f>
        <v>http://dx.doi.org/10.1186/s12984-016-0168-z</v>
      </c>
      <c r="BG1116" t="s">
        <v>74</v>
      </c>
      <c r="BH1116" t="s">
        <v>74</v>
      </c>
      <c r="BI1116">
        <v>25</v>
      </c>
      <c r="BJ1116" t="s">
        <v>611</v>
      </c>
      <c r="BK1116" t="s">
        <v>182</v>
      </c>
      <c r="BL1116" t="s">
        <v>612</v>
      </c>
      <c r="BM1116" t="s">
        <v>20923</v>
      </c>
      <c r="BN1116">
        <v>27357107</v>
      </c>
      <c r="BO1116" t="s">
        <v>131</v>
      </c>
      <c r="BP1116" t="s">
        <v>74</v>
      </c>
      <c r="BQ1116" t="s">
        <v>74</v>
      </c>
      <c r="BR1116" t="s">
        <v>105</v>
      </c>
      <c r="BS1116" t="s">
        <v>20924</v>
      </c>
      <c r="BT1116" t="str">
        <f>HYPERLINK("https%3A%2F%2Fwww.webofscience.com%2Fwos%2Fwoscc%2Ffull-record%2FWOS:000378994800001","View Full Record in Web of Science")</f>
        <v>View Full Record in Web of Science</v>
      </c>
    </row>
    <row r="1117" spans="1:72" x14ac:dyDescent="0.25">
      <c r="A1117" t="s">
        <v>72</v>
      </c>
      <c r="B1117" t="s">
        <v>20925</v>
      </c>
      <c r="C1117" t="s">
        <v>74</v>
      </c>
      <c r="D1117" t="s">
        <v>74</v>
      </c>
      <c r="E1117" t="s">
        <v>74</v>
      </c>
      <c r="F1117" t="s">
        <v>20926</v>
      </c>
      <c r="G1117" t="s">
        <v>74</v>
      </c>
      <c r="H1117" t="s">
        <v>74</v>
      </c>
      <c r="I1117" t="s">
        <v>20927</v>
      </c>
      <c r="J1117" t="s">
        <v>19957</v>
      </c>
      <c r="K1117" t="s">
        <v>74</v>
      </c>
      <c r="L1117" t="s">
        <v>74</v>
      </c>
      <c r="M1117" t="s">
        <v>78</v>
      </c>
      <c r="N1117" t="s">
        <v>79</v>
      </c>
      <c r="O1117" t="s">
        <v>74</v>
      </c>
      <c r="P1117" t="s">
        <v>74</v>
      </c>
      <c r="Q1117" t="s">
        <v>74</v>
      </c>
      <c r="R1117" t="s">
        <v>74</v>
      </c>
      <c r="S1117" t="s">
        <v>74</v>
      </c>
      <c r="T1117" t="s">
        <v>20928</v>
      </c>
      <c r="U1117" t="s">
        <v>74</v>
      </c>
      <c r="V1117" t="s">
        <v>20929</v>
      </c>
      <c r="W1117" t="s">
        <v>20930</v>
      </c>
      <c r="X1117" t="s">
        <v>20931</v>
      </c>
      <c r="Y1117" t="s">
        <v>20932</v>
      </c>
      <c r="Z1117" t="s">
        <v>20933</v>
      </c>
      <c r="AA1117" t="s">
        <v>20934</v>
      </c>
      <c r="AB1117" t="s">
        <v>20935</v>
      </c>
      <c r="AC1117" t="s">
        <v>74</v>
      </c>
      <c r="AD1117" t="s">
        <v>74</v>
      </c>
      <c r="AE1117" t="s">
        <v>74</v>
      </c>
      <c r="AF1117" t="s">
        <v>74</v>
      </c>
      <c r="AG1117">
        <v>22</v>
      </c>
      <c r="AH1117">
        <v>34</v>
      </c>
      <c r="AI1117">
        <v>40</v>
      </c>
      <c r="AJ1117">
        <v>0</v>
      </c>
      <c r="AK1117">
        <v>73</v>
      </c>
      <c r="AL1117" t="s">
        <v>1040</v>
      </c>
      <c r="AM1117" t="s">
        <v>1041</v>
      </c>
      <c r="AN1117" t="s">
        <v>1042</v>
      </c>
      <c r="AO1117" t="s">
        <v>19967</v>
      </c>
      <c r="AP1117" t="s">
        <v>74</v>
      </c>
      <c r="AQ1117" t="s">
        <v>74</v>
      </c>
      <c r="AR1117" t="s">
        <v>19968</v>
      </c>
      <c r="AS1117" t="s">
        <v>19969</v>
      </c>
      <c r="AT1117" t="s">
        <v>13157</v>
      </c>
      <c r="AU1117">
        <v>2016</v>
      </c>
      <c r="AV1117">
        <v>13</v>
      </c>
      <c r="AW1117" t="s">
        <v>74</v>
      </c>
      <c r="AX1117" t="s">
        <v>74</v>
      </c>
      <c r="AY1117" t="s">
        <v>74</v>
      </c>
      <c r="AZ1117" t="s">
        <v>74</v>
      </c>
      <c r="BA1117" t="s">
        <v>74</v>
      </c>
      <c r="BB1117" t="s">
        <v>74</v>
      </c>
      <c r="BC1117" t="s">
        <v>74</v>
      </c>
      <c r="BD1117">
        <v>135</v>
      </c>
      <c r="BE1117" t="s">
        <v>20936</v>
      </c>
      <c r="BF1117" t="str">
        <f>HYPERLINK("http://dx.doi.org/10.5772/64163","http://dx.doi.org/10.5772/64163")</f>
        <v>http://dx.doi.org/10.5772/64163</v>
      </c>
      <c r="BG1117" t="s">
        <v>74</v>
      </c>
      <c r="BH1117" t="s">
        <v>74</v>
      </c>
      <c r="BI1117">
        <v>7</v>
      </c>
      <c r="BJ1117" t="s">
        <v>714</v>
      </c>
      <c r="BK1117" t="s">
        <v>182</v>
      </c>
      <c r="BL1117" t="s">
        <v>714</v>
      </c>
      <c r="BM1117" t="s">
        <v>20937</v>
      </c>
      <c r="BN1117" t="s">
        <v>74</v>
      </c>
      <c r="BO1117" t="s">
        <v>185</v>
      </c>
      <c r="BP1117" t="s">
        <v>74</v>
      </c>
      <c r="BQ1117" t="s">
        <v>74</v>
      </c>
      <c r="BR1117" t="s">
        <v>105</v>
      </c>
      <c r="BS1117" t="s">
        <v>20938</v>
      </c>
      <c r="BT1117" t="str">
        <f>HYPERLINK("https%3A%2F%2Fwww.webofscience.com%2Fwos%2Fwoscc%2Ffull-record%2FWOS:000378274300002","View Full Record in Web of Science")</f>
        <v>View Full Record in Web of Science</v>
      </c>
    </row>
    <row r="1118" spans="1:72" x14ac:dyDescent="0.25">
      <c r="A1118" t="s">
        <v>72</v>
      </c>
      <c r="B1118" t="s">
        <v>20939</v>
      </c>
      <c r="C1118" t="s">
        <v>74</v>
      </c>
      <c r="D1118" t="s">
        <v>74</v>
      </c>
      <c r="E1118" t="s">
        <v>74</v>
      </c>
      <c r="F1118" t="s">
        <v>20940</v>
      </c>
      <c r="G1118" t="s">
        <v>74</v>
      </c>
      <c r="H1118" t="s">
        <v>74</v>
      </c>
      <c r="I1118" t="s">
        <v>20941</v>
      </c>
      <c r="J1118" t="s">
        <v>594</v>
      </c>
      <c r="K1118" t="s">
        <v>74</v>
      </c>
      <c r="L1118" t="s">
        <v>74</v>
      </c>
      <c r="M1118" t="s">
        <v>78</v>
      </c>
      <c r="N1118" t="s">
        <v>79</v>
      </c>
      <c r="O1118" t="s">
        <v>74</v>
      </c>
      <c r="P1118" t="s">
        <v>74</v>
      </c>
      <c r="Q1118" t="s">
        <v>74</v>
      </c>
      <c r="R1118" t="s">
        <v>74</v>
      </c>
      <c r="S1118" t="s">
        <v>74</v>
      </c>
      <c r="T1118" t="s">
        <v>20942</v>
      </c>
      <c r="U1118" t="s">
        <v>20943</v>
      </c>
      <c r="V1118" t="s">
        <v>20944</v>
      </c>
      <c r="W1118" t="s">
        <v>20945</v>
      </c>
      <c r="X1118" t="s">
        <v>20946</v>
      </c>
      <c r="Y1118" t="s">
        <v>20947</v>
      </c>
      <c r="Z1118" t="s">
        <v>20948</v>
      </c>
      <c r="AA1118" t="s">
        <v>74</v>
      </c>
      <c r="AB1118" t="s">
        <v>74</v>
      </c>
      <c r="AC1118" t="s">
        <v>20949</v>
      </c>
      <c r="AD1118" t="s">
        <v>20950</v>
      </c>
      <c r="AE1118" t="s">
        <v>20951</v>
      </c>
      <c r="AF1118" t="s">
        <v>74</v>
      </c>
      <c r="AG1118">
        <v>45</v>
      </c>
      <c r="AH1118">
        <v>205</v>
      </c>
      <c r="AI1118">
        <v>235</v>
      </c>
      <c r="AJ1118">
        <v>3</v>
      </c>
      <c r="AK1118">
        <v>127</v>
      </c>
      <c r="AL1118" t="s">
        <v>274</v>
      </c>
      <c r="AM1118" t="s">
        <v>275</v>
      </c>
      <c r="AN1118" t="s">
        <v>276</v>
      </c>
      <c r="AO1118" t="s">
        <v>74</v>
      </c>
      <c r="AP1118" t="s">
        <v>606</v>
      </c>
      <c r="AQ1118" t="s">
        <v>74</v>
      </c>
      <c r="AR1118" t="s">
        <v>607</v>
      </c>
      <c r="AS1118" t="s">
        <v>608</v>
      </c>
      <c r="AT1118" t="s">
        <v>20952</v>
      </c>
      <c r="AU1118">
        <v>2016</v>
      </c>
      <c r="AV1118">
        <v>13</v>
      </c>
      <c r="AW1118" t="s">
        <v>74</v>
      </c>
      <c r="AX1118" t="s">
        <v>74</v>
      </c>
      <c r="AY1118" t="s">
        <v>74</v>
      </c>
      <c r="AZ1118" t="s">
        <v>74</v>
      </c>
      <c r="BA1118" t="s">
        <v>74</v>
      </c>
      <c r="BB1118" t="s">
        <v>74</v>
      </c>
      <c r="BC1118" t="s">
        <v>74</v>
      </c>
      <c r="BD1118">
        <v>53</v>
      </c>
      <c r="BE1118" t="s">
        <v>20953</v>
      </c>
      <c r="BF1118" t="str">
        <f>HYPERLINK("http://dx.doi.org/10.1186/s12984-016-0162-5","http://dx.doi.org/10.1186/s12984-016-0162-5")</f>
        <v>http://dx.doi.org/10.1186/s12984-016-0162-5</v>
      </c>
      <c r="BG1118" t="s">
        <v>74</v>
      </c>
      <c r="BH1118" t="s">
        <v>74</v>
      </c>
      <c r="BI1118">
        <v>10</v>
      </c>
      <c r="BJ1118" t="s">
        <v>611</v>
      </c>
      <c r="BK1118" t="s">
        <v>182</v>
      </c>
      <c r="BL1118" t="s">
        <v>612</v>
      </c>
      <c r="BM1118" t="s">
        <v>20954</v>
      </c>
      <c r="BN1118">
        <v>27278136</v>
      </c>
      <c r="BO1118" t="s">
        <v>131</v>
      </c>
      <c r="BP1118" t="s">
        <v>74</v>
      </c>
      <c r="BQ1118" t="s">
        <v>74</v>
      </c>
      <c r="BR1118" t="s">
        <v>105</v>
      </c>
      <c r="BS1118" t="s">
        <v>20955</v>
      </c>
      <c r="BT1118" t="str">
        <f>HYPERLINK("https%3A%2F%2Fwww.webofscience.com%2Fwos%2Fwoscc%2Ffull-record%2FWOS:000377575500002","View Full Record in Web of Science")</f>
        <v>View Full Record in Web of Science</v>
      </c>
    </row>
    <row r="1119" spans="1:72" x14ac:dyDescent="0.25">
      <c r="A1119" t="s">
        <v>72</v>
      </c>
      <c r="B1119" t="s">
        <v>20956</v>
      </c>
      <c r="C1119" t="s">
        <v>74</v>
      </c>
      <c r="D1119" t="s">
        <v>74</v>
      </c>
      <c r="E1119" t="s">
        <v>74</v>
      </c>
      <c r="F1119" t="s">
        <v>20957</v>
      </c>
      <c r="G1119" t="s">
        <v>74</v>
      </c>
      <c r="H1119" t="s">
        <v>74</v>
      </c>
      <c r="I1119" t="s">
        <v>20958</v>
      </c>
      <c r="J1119" t="s">
        <v>8674</v>
      </c>
      <c r="K1119" t="s">
        <v>74</v>
      </c>
      <c r="L1119" t="s">
        <v>74</v>
      </c>
      <c r="M1119" t="s">
        <v>78</v>
      </c>
      <c r="N1119" t="s">
        <v>79</v>
      </c>
      <c r="O1119" t="s">
        <v>74</v>
      </c>
      <c r="P1119" t="s">
        <v>74</v>
      </c>
      <c r="Q1119" t="s">
        <v>74</v>
      </c>
      <c r="R1119" t="s">
        <v>74</v>
      </c>
      <c r="S1119" t="s">
        <v>74</v>
      </c>
      <c r="T1119" t="s">
        <v>20959</v>
      </c>
      <c r="U1119" t="s">
        <v>20960</v>
      </c>
      <c r="V1119" t="s">
        <v>20961</v>
      </c>
      <c r="W1119" t="s">
        <v>20962</v>
      </c>
      <c r="X1119" t="s">
        <v>20963</v>
      </c>
      <c r="Y1119" t="s">
        <v>20964</v>
      </c>
      <c r="Z1119" t="s">
        <v>20466</v>
      </c>
      <c r="AA1119" t="s">
        <v>20965</v>
      </c>
      <c r="AB1119" t="s">
        <v>20966</v>
      </c>
      <c r="AC1119" t="s">
        <v>20967</v>
      </c>
      <c r="AD1119" t="s">
        <v>20968</v>
      </c>
      <c r="AE1119" t="s">
        <v>20969</v>
      </c>
      <c r="AF1119" t="s">
        <v>74</v>
      </c>
      <c r="AG1119">
        <v>81</v>
      </c>
      <c r="AH1119">
        <v>130</v>
      </c>
      <c r="AI1119">
        <v>144</v>
      </c>
      <c r="AJ1119">
        <v>0</v>
      </c>
      <c r="AK1119">
        <v>107</v>
      </c>
      <c r="AL1119" t="s">
        <v>19519</v>
      </c>
      <c r="AM1119" t="s">
        <v>5928</v>
      </c>
      <c r="AN1119" t="s">
        <v>5929</v>
      </c>
      <c r="AO1119" t="s">
        <v>8683</v>
      </c>
      <c r="AP1119" t="s">
        <v>8684</v>
      </c>
      <c r="AQ1119" t="s">
        <v>74</v>
      </c>
      <c r="AR1119" t="s">
        <v>8685</v>
      </c>
      <c r="AS1119" t="s">
        <v>8686</v>
      </c>
      <c r="AT1119" t="s">
        <v>1070</v>
      </c>
      <c r="AU1119">
        <v>2016</v>
      </c>
      <c r="AV1119">
        <v>13</v>
      </c>
      <c r="AW1119">
        <v>3</v>
      </c>
      <c r="AX1119" t="s">
        <v>74</v>
      </c>
      <c r="AY1119" t="s">
        <v>74</v>
      </c>
      <c r="AZ1119" t="s">
        <v>74</v>
      </c>
      <c r="BA1119" t="s">
        <v>74</v>
      </c>
      <c r="BB1119" t="s">
        <v>74</v>
      </c>
      <c r="BC1119" t="s">
        <v>74</v>
      </c>
      <c r="BD1119">
        <v>31001</v>
      </c>
      <c r="BE1119" t="s">
        <v>20970</v>
      </c>
      <c r="BF1119" t="str">
        <f>HYPERLINK("http://dx.doi.org/10.1088/1741-2560/13/3/031001","http://dx.doi.org/10.1088/1741-2560/13/3/031001")</f>
        <v>http://dx.doi.org/10.1088/1741-2560/13/3/031001</v>
      </c>
      <c r="BG1119" t="s">
        <v>74</v>
      </c>
      <c r="BH1119" t="s">
        <v>74</v>
      </c>
      <c r="BI1119">
        <v>16</v>
      </c>
      <c r="BJ1119" t="s">
        <v>8688</v>
      </c>
      <c r="BK1119" t="s">
        <v>182</v>
      </c>
      <c r="BL1119" t="s">
        <v>8689</v>
      </c>
      <c r="BM1119" t="s">
        <v>20971</v>
      </c>
      <c r="BN1119">
        <v>27064508</v>
      </c>
      <c r="BO1119" t="s">
        <v>1052</v>
      </c>
      <c r="BP1119" t="s">
        <v>74</v>
      </c>
      <c r="BQ1119" t="s">
        <v>74</v>
      </c>
      <c r="BR1119" t="s">
        <v>105</v>
      </c>
      <c r="BS1119" t="s">
        <v>20972</v>
      </c>
      <c r="BT1119" t="str">
        <f>HYPERLINK("https%3A%2F%2Fwww.webofscience.com%2Fwos%2Fwoscc%2Ffull-record%2FWOS:000375701200001","View Full Record in Web of Science")</f>
        <v>View Full Record in Web of Science</v>
      </c>
    </row>
    <row r="1120" spans="1:72" x14ac:dyDescent="0.25">
      <c r="A1120" t="s">
        <v>72</v>
      </c>
      <c r="B1120" t="s">
        <v>20973</v>
      </c>
      <c r="C1120" t="s">
        <v>74</v>
      </c>
      <c r="D1120" t="s">
        <v>74</v>
      </c>
      <c r="E1120" t="s">
        <v>74</v>
      </c>
      <c r="F1120" t="s">
        <v>20974</v>
      </c>
      <c r="G1120" t="s">
        <v>74</v>
      </c>
      <c r="H1120" t="s">
        <v>74</v>
      </c>
      <c r="I1120" t="s">
        <v>20975</v>
      </c>
      <c r="J1120" t="s">
        <v>20976</v>
      </c>
      <c r="K1120" t="s">
        <v>74</v>
      </c>
      <c r="L1120" t="s">
        <v>74</v>
      </c>
      <c r="M1120" t="s">
        <v>78</v>
      </c>
      <c r="N1120" t="s">
        <v>79</v>
      </c>
      <c r="O1120" t="s">
        <v>74</v>
      </c>
      <c r="P1120" t="s">
        <v>74</v>
      </c>
      <c r="Q1120" t="s">
        <v>74</v>
      </c>
      <c r="R1120" t="s">
        <v>74</v>
      </c>
      <c r="S1120" t="s">
        <v>74</v>
      </c>
      <c r="T1120" t="s">
        <v>20977</v>
      </c>
      <c r="U1120" t="s">
        <v>20978</v>
      </c>
      <c r="V1120" t="s">
        <v>20979</v>
      </c>
      <c r="W1120" t="s">
        <v>20980</v>
      </c>
      <c r="X1120" t="s">
        <v>20981</v>
      </c>
      <c r="Y1120" t="s">
        <v>20982</v>
      </c>
      <c r="Z1120" t="s">
        <v>20983</v>
      </c>
      <c r="AA1120" t="s">
        <v>20984</v>
      </c>
      <c r="AB1120" t="s">
        <v>20985</v>
      </c>
      <c r="AC1120" t="s">
        <v>20986</v>
      </c>
      <c r="AD1120" t="s">
        <v>20987</v>
      </c>
      <c r="AE1120" t="s">
        <v>20988</v>
      </c>
      <c r="AF1120" t="s">
        <v>74</v>
      </c>
      <c r="AG1120">
        <v>50</v>
      </c>
      <c r="AH1120">
        <v>11</v>
      </c>
      <c r="AI1120">
        <v>11</v>
      </c>
      <c r="AJ1120">
        <v>0</v>
      </c>
      <c r="AK1120">
        <v>17</v>
      </c>
      <c r="AL1120" t="s">
        <v>346</v>
      </c>
      <c r="AM1120" t="s">
        <v>227</v>
      </c>
      <c r="AN1120" t="s">
        <v>347</v>
      </c>
      <c r="AO1120" t="s">
        <v>20989</v>
      </c>
      <c r="AP1120" t="s">
        <v>20990</v>
      </c>
      <c r="AQ1120" t="s">
        <v>74</v>
      </c>
      <c r="AR1120" t="s">
        <v>20991</v>
      </c>
      <c r="AS1120" t="s">
        <v>20992</v>
      </c>
      <c r="AT1120" t="s">
        <v>1070</v>
      </c>
      <c r="AU1120">
        <v>2016</v>
      </c>
      <c r="AV1120">
        <v>24</v>
      </c>
      <c r="AW1120">
        <v>3</v>
      </c>
      <c r="AX1120" t="s">
        <v>74</v>
      </c>
      <c r="AY1120" t="s">
        <v>74</v>
      </c>
      <c r="AZ1120" t="s">
        <v>74</v>
      </c>
      <c r="BA1120" t="s">
        <v>74</v>
      </c>
      <c r="BB1120">
        <v>208</v>
      </c>
      <c r="BC1120">
        <v>214</v>
      </c>
      <c r="BD1120" t="s">
        <v>74</v>
      </c>
      <c r="BE1120" t="s">
        <v>20993</v>
      </c>
      <c r="BF1120" t="str">
        <f>HYPERLINK("http://dx.doi.org/10.1097/MOO.0000000000000260","http://dx.doi.org/10.1097/MOO.0000000000000260")</f>
        <v>http://dx.doi.org/10.1097/MOO.0000000000000260</v>
      </c>
      <c r="BG1120" t="s">
        <v>74</v>
      </c>
      <c r="BH1120" t="s">
        <v>74</v>
      </c>
      <c r="BI1120">
        <v>7</v>
      </c>
      <c r="BJ1120" t="s">
        <v>5169</v>
      </c>
      <c r="BK1120" t="s">
        <v>182</v>
      </c>
      <c r="BL1120" t="s">
        <v>5169</v>
      </c>
      <c r="BM1120" t="s">
        <v>20994</v>
      </c>
      <c r="BN1120">
        <v>27054623</v>
      </c>
      <c r="BO1120" t="s">
        <v>74</v>
      </c>
      <c r="BP1120" t="s">
        <v>74</v>
      </c>
      <c r="BQ1120" t="s">
        <v>74</v>
      </c>
      <c r="BR1120" t="s">
        <v>105</v>
      </c>
      <c r="BS1120" t="s">
        <v>20995</v>
      </c>
      <c r="BT1120" t="str">
        <f>HYPERLINK("https%3A%2F%2Fwww.webofscience.com%2Fwos%2Fwoscc%2Ffull-record%2FWOS:000375939900006","View Full Record in Web of Science")</f>
        <v>View Full Record in Web of Science</v>
      </c>
    </row>
    <row r="1121" spans="1:72" x14ac:dyDescent="0.25">
      <c r="A1121" t="s">
        <v>72</v>
      </c>
      <c r="B1121" t="s">
        <v>20996</v>
      </c>
      <c r="C1121" t="s">
        <v>74</v>
      </c>
      <c r="D1121" t="s">
        <v>74</v>
      </c>
      <c r="E1121" t="s">
        <v>74</v>
      </c>
      <c r="F1121" t="s">
        <v>20997</v>
      </c>
      <c r="G1121" t="s">
        <v>74</v>
      </c>
      <c r="H1121" t="s">
        <v>74</v>
      </c>
      <c r="I1121" t="s">
        <v>20998</v>
      </c>
      <c r="J1121" t="s">
        <v>3219</v>
      </c>
      <c r="K1121" t="s">
        <v>74</v>
      </c>
      <c r="L1121" t="s">
        <v>74</v>
      </c>
      <c r="M1121" t="s">
        <v>78</v>
      </c>
      <c r="N1121" t="s">
        <v>79</v>
      </c>
      <c r="O1121" t="s">
        <v>74</v>
      </c>
      <c r="P1121" t="s">
        <v>74</v>
      </c>
      <c r="Q1121" t="s">
        <v>74</v>
      </c>
      <c r="R1121" t="s">
        <v>74</v>
      </c>
      <c r="S1121" t="s">
        <v>74</v>
      </c>
      <c r="T1121" t="s">
        <v>20999</v>
      </c>
      <c r="U1121" t="s">
        <v>21000</v>
      </c>
      <c r="V1121" t="s">
        <v>21001</v>
      </c>
      <c r="W1121" t="s">
        <v>21002</v>
      </c>
      <c r="X1121" t="s">
        <v>21003</v>
      </c>
      <c r="Y1121" t="s">
        <v>21004</v>
      </c>
      <c r="Z1121" t="s">
        <v>74</v>
      </c>
      <c r="AA1121" t="s">
        <v>21005</v>
      </c>
      <c r="AB1121" t="s">
        <v>21006</v>
      </c>
      <c r="AC1121" t="s">
        <v>21007</v>
      </c>
      <c r="AD1121" t="s">
        <v>21008</v>
      </c>
      <c r="AE1121" t="s">
        <v>21009</v>
      </c>
      <c r="AF1121" t="s">
        <v>74</v>
      </c>
      <c r="AG1121">
        <v>125</v>
      </c>
      <c r="AH1121">
        <v>26</v>
      </c>
      <c r="AI1121">
        <v>27</v>
      </c>
      <c r="AJ1121">
        <v>0</v>
      </c>
      <c r="AK1121">
        <v>31</v>
      </c>
      <c r="AL1121" t="s">
        <v>346</v>
      </c>
      <c r="AM1121" t="s">
        <v>227</v>
      </c>
      <c r="AN1121" t="s">
        <v>347</v>
      </c>
      <c r="AO1121" t="s">
        <v>3228</v>
      </c>
      <c r="AP1121" t="s">
        <v>3229</v>
      </c>
      <c r="AQ1121" t="s">
        <v>74</v>
      </c>
      <c r="AR1121" t="s">
        <v>3230</v>
      </c>
      <c r="AS1121" t="s">
        <v>3231</v>
      </c>
      <c r="AT1121" t="s">
        <v>1070</v>
      </c>
      <c r="AU1121">
        <v>2016</v>
      </c>
      <c r="AV1121">
        <v>95</v>
      </c>
      <c r="AW1121">
        <v>6</v>
      </c>
      <c r="AX1121" t="s">
        <v>74</v>
      </c>
      <c r="AY1121" t="s">
        <v>74</v>
      </c>
      <c r="AZ1121" t="s">
        <v>74</v>
      </c>
      <c r="BA1121" t="s">
        <v>74</v>
      </c>
      <c r="BB1121">
        <v>459</v>
      </c>
      <c r="BC1121">
        <v>474</v>
      </c>
      <c r="BD1121" t="s">
        <v>74</v>
      </c>
      <c r="BE1121" t="s">
        <v>21010</v>
      </c>
      <c r="BF1121" t="str">
        <f>HYPERLINK("http://dx.doi.org/10.1097/PHM.0000000000000438","http://dx.doi.org/10.1097/PHM.0000000000000438")</f>
        <v>http://dx.doi.org/10.1097/PHM.0000000000000438</v>
      </c>
      <c r="BG1121" t="s">
        <v>74</v>
      </c>
      <c r="BH1121" t="s">
        <v>74</v>
      </c>
      <c r="BI1121">
        <v>16</v>
      </c>
      <c r="BJ1121" t="s">
        <v>236</v>
      </c>
      <c r="BK1121" t="s">
        <v>182</v>
      </c>
      <c r="BL1121" t="s">
        <v>236</v>
      </c>
      <c r="BM1121" t="s">
        <v>21011</v>
      </c>
      <c r="BN1121">
        <v>26829074</v>
      </c>
      <c r="BO1121" t="s">
        <v>2246</v>
      </c>
      <c r="BP1121" t="s">
        <v>74</v>
      </c>
      <c r="BQ1121" t="s">
        <v>74</v>
      </c>
      <c r="BR1121" t="s">
        <v>105</v>
      </c>
      <c r="BS1121" t="s">
        <v>21012</v>
      </c>
      <c r="BT1121" t="str">
        <f>HYPERLINK("https%3A%2F%2Fwww.webofscience.com%2Fwos%2Fwoscc%2Ffull-record%2FWOS:000376561000015","View Full Record in Web of Science")</f>
        <v>View Full Record in Web of Science</v>
      </c>
    </row>
    <row r="1122" spans="1:72" x14ac:dyDescent="0.25">
      <c r="A1122" t="s">
        <v>72</v>
      </c>
      <c r="B1122" t="s">
        <v>21013</v>
      </c>
      <c r="C1122" t="s">
        <v>74</v>
      </c>
      <c r="D1122" t="s">
        <v>74</v>
      </c>
      <c r="E1122" t="s">
        <v>74</v>
      </c>
      <c r="F1122" t="s">
        <v>21014</v>
      </c>
      <c r="G1122" t="s">
        <v>74</v>
      </c>
      <c r="H1122" t="s">
        <v>74</v>
      </c>
      <c r="I1122" t="s">
        <v>21015</v>
      </c>
      <c r="J1122" t="s">
        <v>19620</v>
      </c>
      <c r="K1122" t="s">
        <v>74</v>
      </c>
      <c r="L1122" t="s">
        <v>74</v>
      </c>
      <c r="M1122" t="s">
        <v>6869</v>
      </c>
      <c r="N1122" t="s">
        <v>79</v>
      </c>
      <c r="O1122" t="s">
        <v>74</v>
      </c>
      <c r="P1122" t="s">
        <v>74</v>
      </c>
      <c r="Q1122" t="s">
        <v>74</v>
      </c>
      <c r="R1122" t="s">
        <v>74</v>
      </c>
      <c r="S1122" t="s">
        <v>74</v>
      </c>
      <c r="T1122" t="s">
        <v>21016</v>
      </c>
      <c r="U1122" t="s">
        <v>21017</v>
      </c>
      <c r="V1122" t="s">
        <v>21018</v>
      </c>
      <c r="W1122" t="s">
        <v>21019</v>
      </c>
      <c r="X1122" t="s">
        <v>21020</v>
      </c>
      <c r="Y1122" t="s">
        <v>21021</v>
      </c>
      <c r="Z1122" t="s">
        <v>21022</v>
      </c>
      <c r="AA1122" t="s">
        <v>6877</v>
      </c>
      <c r="AB1122" t="s">
        <v>6878</v>
      </c>
      <c r="AC1122" t="s">
        <v>74</v>
      </c>
      <c r="AD1122" t="s">
        <v>74</v>
      </c>
      <c r="AE1122" t="s">
        <v>74</v>
      </c>
      <c r="AF1122" t="s">
        <v>74</v>
      </c>
      <c r="AG1122">
        <v>30</v>
      </c>
      <c r="AH1122">
        <v>5</v>
      </c>
      <c r="AI1122">
        <v>6</v>
      </c>
      <c r="AJ1122">
        <v>0</v>
      </c>
      <c r="AK1122">
        <v>21</v>
      </c>
      <c r="AL1122" t="s">
        <v>19629</v>
      </c>
      <c r="AM1122" t="s">
        <v>6880</v>
      </c>
      <c r="AN1122" t="s">
        <v>19630</v>
      </c>
      <c r="AO1122" t="s">
        <v>19631</v>
      </c>
      <c r="AP1122" t="s">
        <v>21023</v>
      </c>
      <c r="AQ1122" t="s">
        <v>74</v>
      </c>
      <c r="AR1122" t="s">
        <v>19632</v>
      </c>
      <c r="AS1122" t="s">
        <v>19633</v>
      </c>
      <c r="AT1122" t="s">
        <v>8350</v>
      </c>
      <c r="AU1122">
        <v>2016</v>
      </c>
      <c r="AV1122">
        <v>69</v>
      </c>
      <c r="AW1122" t="s">
        <v>21024</v>
      </c>
      <c r="AX1122" t="s">
        <v>74</v>
      </c>
      <c r="AY1122" t="s">
        <v>74</v>
      </c>
      <c r="AZ1122" t="s">
        <v>74</v>
      </c>
      <c r="BA1122" t="s">
        <v>74</v>
      </c>
      <c r="BB1122">
        <v>148</v>
      </c>
      <c r="BC1122">
        <v>154</v>
      </c>
      <c r="BD1122" t="s">
        <v>74</v>
      </c>
      <c r="BE1122" t="s">
        <v>21025</v>
      </c>
      <c r="BF1122" t="str">
        <f>HYPERLINK("http://dx.doi.org/10.18071/isz.69.0148","http://dx.doi.org/10.18071/isz.69.0148")</f>
        <v>http://dx.doi.org/10.18071/isz.69.0148</v>
      </c>
      <c r="BG1122" t="s">
        <v>74</v>
      </c>
      <c r="BH1122" t="s">
        <v>74</v>
      </c>
      <c r="BI1122">
        <v>7</v>
      </c>
      <c r="BJ1122" t="s">
        <v>400</v>
      </c>
      <c r="BK1122" t="s">
        <v>182</v>
      </c>
      <c r="BL1122" t="s">
        <v>375</v>
      </c>
      <c r="BM1122" t="s">
        <v>21026</v>
      </c>
      <c r="BN1122">
        <v>27468604</v>
      </c>
      <c r="BO1122" t="s">
        <v>74</v>
      </c>
      <c r="BP1122" t="s">
        <v>74</v>
      </c>
      <c r="BQ1122" t="s">
        <v>74</v>
      </c>
      <c r="BR1122" t="s">
        <v>105</v>
      </c>
      <c r="BS1122" t="s">
        <v>21027</v>
      </c>
      <c r="BT1122" t="str">
        <f>HYPERLINK("https%3A%2F%2Fwww.webofscience.com%2Fwos%2Fwoscc%2Ffull-record%2FWOS:000377147500001","View Full Record in Web of Science")</f>
        <v>View Full Record in Web of Science</v>
      </c>
    </row>
    <row r="1123" spans="1:72" x14ac:dyDescent="0.25">
      <c r="A1123" t="s">
        <v>72</v>
      </c>
      <c r="B1123" t="s">
        <v>21028</v>
      </c>
      <c r="C1123" t="s">
        <v>74</v>
      </c>
      <c r="D1123" t="s">
        <v>74</v>
      </c>
      <c r="E1123" t="s">
        <v>74</v>
      </c>
      <c r="F1123" t="s">
        <v>21029</v>
      </c>
      <c r="G1123" t="s">
        <v>74</v>
      </c>
      <c r="H1123" t="s">
        <v>74</v>
      </c>
      <c r="I1123" t="s">
        <v>21030</v>
      </c>
      <c r="J1123" t="s">
        <v>594</v>
      </c>
      <c r="K1123" t="s">
        <v>74</v>
      </c>
      <c r="L1123" t="s">
        <v>74</v>
      </c>
      <c r="M1123" t="s">
        <v>78</v>
      </c>
      <c r="N1123" t="s">
        <v>79</v>
      </c>
      <c r="O1123" t="s">
        <v>74</v>
      </c>
      <c r="P1123" t="s">
        <v>74</v>
      </c>
      <c r="Q1123" t="s">
        <v>74</v>
      </c>
      <c r="R1123" t="s">
        <v>74</v>
      </c>
      <c r="S1123" t="s">
        <v>74</v>
      </c>
      <c r="T1123" t="s">
        <v>21031</v>
      </c>
      <c r="U1123" t="s">
        <v>21032</v>
      </c>
      <c r="V1123" t="s">
        <v>21033</v>
      </c>
      <c r="W1123" t="s">
        <v>21034</v>
      </c>
      <c r="X1123" t="s">
        <v>21035</v>
      </c>
      <c r="Y1123" t="s">
        <v>21036</v>
      </c>
      <c r="Z1123" t="s">
        <v>21037</v>
      </c>
      <c r="AA1123" t="s">
        <v>21038</v>
      </c>
      <c r="AB1123" t="s">
        <v>21039</v>
      </c>
      <c r="AC1123" t="s">
        <v>21040</v>
      </c>
      <c r="AD1123" t="s">
        <v>21041</v>
      </c>
      <c r="AE1123" t="s">
        <v>21042</v>
      </c>
      <c r="AF1123" t="s">
        <v>74</v>
      </c>
      <c r="AG1123">
        <v>220</v>
      </c>
      <c r="AH1123">
        <v>116</v>
      </c>
      <c r="AI1123">
        <v>132</v>
      </c>
      <c r="AJ1123">
        <v>1</v>
      </c>
      <c r="AK1123">
        <v>51</v>
      </c>
      <c r="AL1123" t="s">
        <v>274</v>
      </c>
      <c r="AM1123" t="s">
        <v>275</v>
      </c>
      <c r="AN1123" t="s">
        <v>276</v>
      </c>
      <c r="AO1123" t="s">
        <v>606</v>
      </c>
      <c r="AP1123" t="s">
        <v>74</v>
      </c>
      <c r="AQ1123" t="s">
        <v>74</v>
      </c>
      <c r="AR1123" t="s">
        <v>607</v>
      </c>
      <c r="AS1123" t="s">
        <v>608</v>
      </c>
      <c r="AT1123" t="s">
        <v>6254</v>
      </c>
      <c r="AU1123">
        <v>2016</v>
      </c>
      <c r="AV1123">
        <v>13</v>
      </c>
      <c r="AW1123" t="s">
        <v>74</v>
      </c>
      <c r="AX1123" t="s">
        <v>74</v>
      </c>
      <c r="AY1123" t="s">
        <v>74</v>
      </c>
      <c r="AZ1123" t="s">
        <v>74</v>
      </c>
      <c r="BA1123" t="s">
        <v>74</v>
      </c>
      <c r="BB1123" t="s">
        <v>74</v>
      </c>
      <c r="BC1123" t="s">
        <v>74</v>
      </c>
      <c r="BD1123">
        <v>42</v>
      </c>
      <c r="BE1123" t="s">
        <v>21043</v>
      </c>
      <c r="BF1123" t="str">
        <f>HYPERLINK("http://dx.doi.org/10.1186/s12984-016-0148-3","http://dx.doi.org/10.1186/s12984-016-0148-3")</f>
        <v>http://dx.doi.org/10.1186/s12984-016-0148-3</v>
      </c>
      <c r="BG1123" t="s">
        <v>74</v>
      </c>
      <c r="BH1123" t="s">
        <v>74</v>
      </c>
      <c r="BI1123">
        <v>25</v>
      </c>
      <c r="BJ1123" t="s">
        <v>611</v>
      </c>
      <c r="BK1123" t="s">
        <v>182</v>
      </c>
      <c r="BL1123" t="s">
        <v>612</v>
      </c>
      <c r="BM1123" t="s">
        <v>21044</v>
      </c>
      <c r="BN1123">
        <v>27130577</v>
      </c>
      <c r="BO1123" t="s">
        <v>355</v>
      </c>
      <c r="BP1123" t="s">
        <v>74</v>
      </c>
      <c r="BQ1123" t="s">
        <v>74</v>
      </c>
      <c r="BR1123" t="s">
        <v>105</v>
      </c>
      <c r="BS1123" t="s">
        <v>21045</v>
      </c>
      <c r="BT1123" t="str">
        <f>HYPERLINK("https%3A%2F%2Fwww.webofscience.com%2Fwos%2Fwoscc%2Ffull-record%2FWOS:000375471500001","View Full Record in Web of Science")</f>
        <v>View Full Record in Web of Science</v>
      </c>
    </row>
    <row r="1124" spans="1:72" x14ac:dyDescent="0.25">
      <c r="A1124" t="s">
        <v>72</v>
      </c>
      <c r="B1124" t="s">
        <v>21046</v>
      </c>
      <c r="C1124" t="s">
        <v>74</v>
      </c>
      <c r="D1124" t="s">
        <v>74</v>
      </c>
      <c r="E1124" t="s">
        <v>74</v>
      </c>
      <c r="F1124" t="s">
        <v>21047</v>
      </c>
      <c r="G1124" t="s">
        <v>74</v>
      </c>
      <c r="H1124" t="s">
        <v>74</v>
      </c>
      <c r="I1124" t="s">
        <v>21048</v>
      </c>
      <c r="J1124" t="s">
        <v>1674</v>
      </c>
      <c r="K1124" t="s">
        <v>74</v>
      </c>
      <c r="L1124" t="s">
        <v>74</v>
      </c>
      <c r="M1124" t="s">
        <v>78</v>
      </c>
      <c r="N1124" t="s">
        <v>79</v>
      </c>
      <c r="O1124" t="s">
        <v>74</v>
      </c>
      <c r="P1124" t="s">
        <v>74</v>
      </c>
      <c r="Q1124" t="s">
        <v>74</v>
      </c>
      <c r="R1124" t="s">
        <v>74</v>
      </c>
      <c r="S1124" t="s">
        <v>74</v>
      </c>
      <c r="T1124" t="s">
        <v>21049</v>
      </c>
      <c r="U1124" t="s">
        <v>21050</v>
      </c>
      <c r="V1124" t="s">
        <v>21051</v>
      </c>
      <c r="W1124" t="s">
        <v>21052</v>
      </c>
      <c r="X1124" t="s">
        <v>21053</v>
      </c>
      <c r="Y1124" t="s">
        <v>21054</v>
      </c>
      <c r="Z1124" t="s">
        <v>21055</v>
      </c>
      <c r="AA1124" t="s">
        <v>2649</v>
      </c>
      <c r="AB1124" t="s">
        <v>21056</v>
      </c>
      <c r="AC1124" t="s">
        <v>21057</v>
      </c>
      <c r="AD1124" t="s">
        <v>21057</v>
      </c>
      <c r="AE1124" t="s">
        <v>21058</v>
      </c>
      <c r="AF1124" t="s">
        <v>74</v>
      </c>
      <c r="AG1124">
        <v>150</v>
      </c>
      <c r="AH1124">
        <v>136</v>
      </c>
      <c r="AI1124">
        <v>160</v>
      </c>
      <c r="AJ1124">
        <v>7</v>
      </c>
      <c r="AK1124">
        <v>158</v>
      </c>
      <c r="AL1124" t="s">
        <v>531</v>
      </c>
      <c r="AM1124" t="s">
        <v>2343</v>
      </c>
      <c r="AN1124" t="s">
        <v>2344</v>
      </c>
      <c r="AO1124" t="s">
        <v>1687</v>
      </c>
      <c r="AP1124" t="s">
        <v>1688</v>
      </c>
      <c r="AQ1124" t="s">
        <v>74</v>
      </c>
      <c r="AR1124" t="s">
        <v>1689</v>
      </c>
      <c r="AS1124" t="s">
        <v>1690</v>
      </c>
      <c r="AT1124" t="s">
        <v>487</v>
      </c>
      <c r="AU1124">
        <v>2016</v>
      </c>
      <c r="AV1124">
        <v>38</v>
      </c>
      <c r="AW1124">
        <v>4</v>
      </c>
      <c r="AX1124" t="s">
        <v>74</v>
      </c>
      <c r="AY1124" t="s">
        <v>74</v>
      </c>
      <c r="AZ1124" t="s">
        <v>74</v>
      </c>
      <c r="BA1124" t="s">
        <v>74</v>
      </c>
      <c r="BB1124">
        <v>317</v>
      </c>
      <c r="BC1124">
        <v>325</v>
      </c>
      <c r="BD1124" t="s">
        <v>74</v>
      </c>
      <c r="BE1124" t="s">
        <v>21059</v>
      </c>
      <c r="BF1124" t="str">
        <f>HYPERLINK("http://dx.doi.org/10.1016/j.medengphy.2016.01.010","http://dx.doi.org/10.1016/j.medengphy.2016.01.010")</f>
        <v>http://dx.doi.org/10.1016/j.medengphy.2016.01.010</v>
      </c>
      <c r="BG1124" t="s">
        <v>74</v>
      </c>
      <c r="BH1124" t="s">
        <v>74</v>
      </c>
      <c r="BI1124">
        <v>9</v>
      </c>
      <c r="BJ1124" t="s">
        <v>282</v>
      </c>
      <c r="BK1124" t="s">
        <v>182</v>
      </c>
      <c r="BL1124" t="s">
        <v>183</v>
      </c>
      <c r="BM1124" t="s">
        <v>21060</v>
      </c>
      <c r="BN1124">
        <v>26923385</v>
      </c>
      <c r="BO1124" t="s">
        <v>74</v>
      </c>
      <c r="BP1124" t="s">
        <v>74</v>
      </c>
      <c r="BQ1124" t="s">
        <v>74</v>
      </c>
      <c r="BR1124" t="s">
        <v>105</v>
      </c>
      <c r="BS1124" t="s">
        <v>21061</v>
      </c>
      <c r="BT1124" t="str">
        <f>HYPERLINK("https%3A%2F%2Fwww.webofscience.com%2Fwos%2Fwoscc%2Ffull-record%2FWOS:000373546700001","View Full Record in Web of Science")</f>
        <v>View Full Record in Web of Science</v>
      </c>
    </row>
    <row r="1125" spans="1:72" x14ac:dyDescent="0.25">
      <c r="A1125" t="s">
        <v>72</v>
      </c>
      <c r="B1125" t="s">
        <v>21062</v>
      </c>
      <c r="C1125" t="s">
        <v>74</v>
      </c>
      <c r="D1125" t="s">
        <v>74</v>
      </c>
      <c r="E1125" t="s">
        <v>74</v>
      </c>
      <c r="F1125" t="s">
        <v>21063</v>
      </c>
      <c r="G1125" t="s">
        <v>74</v>
      </c>
      <c r="H1125" t="s">
        <v>74</v>
      </c>
      <c r="I1125" t="s">
        <v>21064</v>
      </c>
      <c r="J1125" t="s">
        <v>21065</v>
      </c>
      <c r="K1125" t="s">
        <v>74</v>
      </c>
      <c r="L1125" t="s">
        <v>74</v>
      </c>
      <c r="M1125" t="s">
        <v>78</v>
      </c>
      <c r="N1125" t="s">
        <v>79</v>
      </c>
      <c r="O1125" t="s">
        <v>74</v>
      </c>
      <c r="P1125" t="s">
        <v>74</v>
      </c>
      <c r="Q1125" t="s">
        <v>74</v>
      </c>
      <c r="R1125" t="s">
        <v>74</v>
      </c>
      <c r="S1125" t="s">
        <v>74</v>
      </c>
      <c r="T1125" t="s">
        <v>21066</v>
      </c>
      <c r="U1125" t="s">
        <v>21067</v>
      </c>
      <c r="V1125" t="s">
        <v>21068</v>
      </c>
      <c r="W1125" t="s">
        <v>21069</v>
      </c>
      <c r="X1125" t="s">
        <v>17590</v>
      </c>
      <c r="Y1125" t="s">
        <v>21070</v>
      </c>
      <c r="Z1125" t="s">
        <v>21071</v>
      </c>
      <c r="AA1125" t="s">
        <v>21072</v>
      </c>
      <c r="AB1125" t="s">
        <v>21073</v>
      </c>
      <c r="AC1125" t="s">
        <v>74</v>
      </c>
      <c r="AD1125" t="s">
        <v>74</v>
      </c>
      <c r="AE1125" t="s">
        <v>74</v>
      </c>
      <c r="AF1125" t="s">
        <v>74</v>
      </c>
      <c r="AG1125">
        <v>66</v>
      </c>
      <c r="AH1125">
        <v>63</v>
      </c>
      <c r="AI1125">
        <v>65</v>
      </c>
      <c r="AJ1125">
        <v>0</v>
      </c>
      <c r="AK1125">
        <v>55</v>
      </c>
      <c r="AL1125" t="s">
        <v>2529</v>
      </c>
      <c r="AM1125" t="s">
        <v>2530</v>
      </c>
      <c r="AN1125" t="s">
        <v>2531</v>
      </c>
      <c r="AO1125" t="s">
        <v>21074</v>
      </c>
      <c r="AP1125" t="s">
        <v>21075</v>
      </c>
      <c r="AQ1125" t="s">
        <v>74</v>
      </c>
      <c r="AR1125" t="s">
        <v>21076</v>
      </c>
      <c r="AS1125" t="s">
        <v>21077</v>
      </c>
      <c r="AT1125" t="s">
        <v>351</v>
      </c>
      <c r="AU1125">
        <v>2016</v>
      </c>
      <c r="AV1125">
        <v>36</v>
      </c>
      <c r="AW1125">
        <v>1</v>
      </c>
      <c r="AX1125" t="s">
        <v>74</v>
      </c>
      <c r="AY1125" t="s">
        <v>74</v>
      </c>
      <c r="AZ1125" t="s">
        <v>74</v>
      </c>
      <c r="BA1125" t="s">
        <v>74</v>
      </c>
      <c r="BB1125">
        <v>1</v>
      </c>
      <c r="BC1125">
        <v>11</v>
      </c>
      <c r="BD1125" t="s">
        <v>74</v>
      </c>
      <c r="BE1125" t="s">
        <v>21078</v>
      </c>
      <c r="BF1125" t="str">
        <f>HYPERLINK("http://dx.doi.org/10.1007/s40846-016-0115-2","http://dx.doi.org/10.1007/s40846-016-0115-2")</f>
        <v>http://dx.doi.org/10.1007/s40846-016-0115-2</v>
      </c>
      <c r="BG1125" t="s">
        <v>74</v>
      </c>
      <c r="BH1125" t="s">
        <v>74</v>
      </c>
      <c r="BI1125">
        <v>11</v>
      </c>
      <c r="BJ1125" t="s">
        <v>282</v>
      </c>
      <c r="BK1125" t="s">
        <v>182</v>
      </c>
      <c r="BL1125" t="s">
        <v>183</v>
      </c>
      <c r="BM1125" t="s">
        <v>21079</v>
      </c>
      <c r="BN1125">
        <v>27069459</v>
      </c>
      <c r="BO1125" t="s">
        <v>18243</v>
      </c>
      <c r="BP1125" t="s">
        <v>74</v>
      </c>
      <c r="BQ1125" t="s">
        <v>74</v>
      </c>
      <c r="BR1125" t="s">
        <v>105</v>
      </c>
      <c r="BS1125" t="s">
        <v>21080</v>
      </c>
      <c r="BT1125" t="str">
        <f>HYPERLINK("https%3A%2F%2Fwww.webofscience.com%2Fwos%2Fwoscc%2Ffull-record%2FWOS:000372533100001","View Full Record in Web of Science")</f>
        <v>View Full Record in Web of Science</v>
      </c>
    </row>
    <row r="1126" spans="1:72" x14ac:dyDescent="0.25">
      <c r="A1126" t="s">
        <v>72</v>
      </c>
      <c r="B1126" t="s">
        <v>21081</v>
      </c>
      <c r="C1126" t="s">
        <v>74</v>
      </c>
      <c r="D1126" t="s">
        <v>74</v>
      </c>
      <c r="E1126" t="s">
        <v>74</v>
      </c>
      <c r="F1126" t="s">
        <v>21082</v>
      </c>
      <c r="G1126" t="s">
        <v>74</v>
      </c>
      <c r="H1126" t="s">
        <v>74</v>
      </c>
      <c r="I1126" t="s">
        <v>21083</v>
      </c>
      <c r="J1126" t="s">
        <v>9915</v>
      </c>
      <c r="K1126" t="s">
        <v>74</v>
      </c>
      <c r="L1126" t="s">
        <v>74</v>
      </c>
      <c r="M1126" t="s">
        <v>78</v>
      </c>
      <c r="N1126" t="s">
        <v>79</v>
      </c>
      <c r="O1126" t="s">
        <v>74</v>
      </c>
      <c r="P1126" t="s">
        <v>74</v>
      </c>
      <c r="Q1126" t="s">
        <v>74</v>
      </c>
      <c r="R1126" t="s">
        <v>74</v>
      </c>
      <c r="S1126" t="s">
        <v>74</v>
      </c>
      <c r="T1126" t="s">
        <v>21084</v>
      </c>
      <c r="U1126" t="s">
        <v>21085</v>
      </c>
      <c r="V1126" t="s">
        <v>21086</v>
      </c>
      <c r="W1126" t="s">
        <v>21087</v>
      </c>
      <c r="X1126" t="s">
        <v>74</v>
      </c>
      <c r="Y1126" t="s">
        <v>21088</v>
      </c>
      <c r="Z1126" t="s">
        <v>21089</v>
      </c>
      <c r="AA1126" t="s">
        <v>21090</v>
      </c>
      <c r="AB1126" t="s">
        <v>74</v>
      </c>
      <c r="AC1126" t="s">
        <v>21091</v>
      </c>
      <c r="AD1126" t="s">
        <v>21092</v>
      </c>
      <c r="AE1126" t="s">
        <v>21093</v>
      </c>
      <c r="AF1126" t="s">
        <v>74</v>
      </c>
      <c r="AG1126">
        <v>52</v>
      </c>
      <c r="AH1126">
        <v>14</v>
      </c>
      <c r="AI1126">
        <v>14</v>
      </c>
      <c r="AJ1126">
        <v>5</v>
      </c>
      <c r="AK1126">
        <v>32</v>
      </c>
      <c r="AL1126" t="s">
        <v>996</v>
      </c>
      <c r="AM1126" t="s">
        <v>275</v>
      </c>
      <c r="AN1126" t="s">
        <v>997</v>
      </c>
      <c r="AO1126" t="s">
        <v>9925</v>
      </c>
      <c r="AP1126" t="s">
        <v>9926</v>
      </c>
      <c r="AQ1126" t="s">
        <v>74</v>
      </c>
      <c r="AR1126" t="s">
        <v>9927</v>
      </c>
      <c r="AS1126" t="s">
        <v>9928</v>
      </c>
      <c r="AT1126" t="s">
        <v>351</v>
      </c>
      <c r="AU1126">
        <v>2016</v>
      </c>
      <c r="AV1126">
        <v>6</v>
      </c>
      <c r="AW1126">
        <v>1</v>
      </c>
      <c r="AX1126" t="s">
        <v>74</v>
      </c>
      <c r="AY1126" t="s">
        <v>74</v>
      </c>
      <c r="AZ1126" t="s">
        <v>74</v>
      </c>
      <c r="BA1126" t="s">
        <v>74</v>
      </c>
      <c r="BB1126">
        <v>1</v>
      </c>
      <c r="BC1126">
        <v>9</v>
      </c>
      <c r="BD1126" t="s">
        <v>74</v>
      </c>
      <c r="BE1126" t="s">
        <v>21094</v>
      </c>
      <c r="BF1126" t="str">
        <f>HYPERLINK("http://dx.doi.org/10.1007/s13534-016-0211-9","http://dx.doi.org/10.1007/s13534-016-0211-9")</f>
        <v>http://dx.doi.org/10.1007/s13534-016-0211-9</v>
      </c>
      <c r="BG1126" t="s">
        <v>74</v>
      </c>
      <c r="BH1126" t="s">
        <v>74</v>
      </c>
      <c r="BI1126">
        <v>9</v>
      </c>
      <c r="BJ1126" t="s">
        <v>282</v>
      </c>
      <c r="BK1126" t="s">
        <v>155</v>
      </c>
      <c r="BL1126" t="s">
        <v>183</v>
      </c>
      <c r="BM1126" t="s">
        <v>21095</v>
      </c>
      <c r="BN1126" t="s">
        <v>74</v>
      </c>
      <c r="BO1126" t="s">
        <v>74</v>
      </c>
      <c r="BP1126" t="s">
        <v>74</v>
      </c>
      <c r="BQ1126" t="s">
        <v>74</v>
      </c>
      <c r="BR1126" t="s">
        <v>105</v>
      </c>
      <c r="BS1126" t="s">
        <v>21096</v>
      </c>
      <c r="BT1126" t="str">
        <f>HYPERLINK("https%3A%2F%2Fwww.webofscience.com%2Fwos%2Fwoscc%2Ffull-record%2FWOS:000446427700001","View Full Record in Web of Science")</f>
        <v>View Full Record in Web of Science</v>
      </c>
    </row>
    <row r="1127" spans="1:72" x14ac:dyDescent="0.25">
      <c r="A1127" t="s">
        <v>72</v>
      </c>
      <c r="B1127" t="s">
        <v>21097</v>
      </c>
      <c r="C1127" t="s">
        <v>74</v>
      </c>
      <c r="D1127" t="s">
        <v>74</v>
      </c>
      <c r="E1127" t="s">
        <v>74</v>
      </c>
      <c r="F1127" t="s">
        <v>21098</v>
      </c>
      <c r="G1127" t="s">
        <v>74</v>
      </c>
      <c r="H1127" t="s">
        <v>74</v>
      </c>
      <c r="I1127" t="s">
        <v>21099</v>
      </c>
      <c r="J1127" t="s">
        <v>21100</v>
      </c>
      <c r="K1127" t="s">
        <v>74</v>
      </c>
      <c r="L1127" t="s">
        <v>74</v>
      </c>
      <c r="M1127" t="s">
        <v>78</v>
      </c>
      <c r="N1127" t="s">
        <v>79</v>
      </c>
      <c r="O1127" t="s">
        <v>74</v>
      </c>
      <c r="P1127" t="s">
        <v>74</v>
      </c>
      <c r="Q1127" t="s">
        <v>74</v>
      </c>
      <c r="R1127" t="s">
        <v>74</v>
      </c>
      <c r="S1127" t="s">
        <v>74</v>
      </c>
      <c r="T1127" t="s">
        <v>21101</v>
      </c>
      <c r="U1127" t="s">
        <v>21102</v>
      </c>
      <c r="V1127" t="s">
        <v>21103</v>
      </c>
      <c r="W1127" t="s">
        <v>21104</v>
      </c>
      <c r="X1127" t="s">
        <v>21105</v>
      </c>
      <c r="Y1127" t="s">
        <v>21106</v>
      </c>
      <c r="Z1127" t="s">
        <v>21107</v>
      </c>
      <c r="AA1127" t="s">
        <v>74</v>
      </c>
      <c r="AB1127" t="s">
        <v>21108</v>
      </c>
      <c r="AC1127" t="s">
        <v>21109</v>
      </c>
      <c r="AD1127" t="s">
        <v>21110</v>
      </c>
      <c r="AE1127" t="s">
        <v>21111</v>
      </c>
      <c r="AF1127" t="s">
        <v>74</v>
      </c>
      <c r="AG1127">
        <v>49</v>
      </c>
      <c r="AH1127">
        <v>34</v>
      </c>
      <c r="AI1127">
        <v>37</v>
      </c>
      <c r="AJ1127">
        <v>0</v>
      </c>
      <c r="AK1127">
        <v>23</v>
      </c>
      <c r="AL1127" t="s">
        <v>253</v>
      </c>
      <c r="AM1127" t="s">
        <v>227</v>
      </c>
      <c r="AN1127" t="s">
        <v>254</v>
      </c>
      <c r="AO1127" t="s">
        <v>21112</v>
      </c>
      <c r="AP1127" t="s">
        <v>21113</v>
      </c>
      <c r="AQ1127" t="s">
        <v>74</v>
      </c>
      <c r="AR1127" t="s">
        <v>21114</v>
      </c>
      <c r="AS1127" t="s">
        <v>21115</v>
      </c>
      <c r="AT1127" t="s">
        <v>863</v>
      </c>
      <c r="AU1127">
        <v>2016</v>
      </c>
      <c r="AV1127">
        <v>19</v>
      </c>
      <c r="AW1127">
        <v>1</v>
      </c>
      <c r="AX1127" t="s">
        <v>74</v>
      </c>
      <c r="AY1127" t="s">
        <v>74</v>
      </c>
      <c r="AZ1127" t="s">
        <v>74</v>
      </c>
      <c r="BA1127" t="s">
        <v>74</v>
      </c>
      <c r="BB1127">
        <v>64</v>
      </c>
      <c r="BC1127">
        <v>71</v>
      </c>
      <c r="BD1127" t="s">
        <v>74</v>
      </c>
      <c r="BE1127" t="s">
        <v>21116</v>
      </c>
      <c r="BF1127" t="str">
        <f>HYPERLINK("http://dx.doi.org/10.3109/17518423.2014.899648","http://dx.doi.org/10.3109/17518423.2014.899648")</f>
        <v>http://dx.doi.org/10.3109/17518423.2014.899648</v>
      </c>
      <c r="BG1127" t="s">
        <v>74</v>
      </c>
      <c r="BH1127" t="s">
        <v>74</v>
      </c>
      <c r="BI1127">
        <v>8</v>
      </c>
      <c r="BJ1127" t="s">
        <v>21117</v>
      </c>
      <c r="BK1127" t="s">
        <v>182</v>
      </c>
      <c r="BL1127" t="s">
        <v>21118</v>
      </c>
      <c r="BM1127" t="s">
        <v>21119</v>
      </c>
      <c r="BN1127">
        <v>24724587</v>
      </c>
      <c r="BO1127" t="s">
        <v>74</v>
      </c>
      <c r="BP1127" t="s">
        <v>74</v>
      </c>
      <c r="BQ1127" t="s">
        <v>74</v>
      </c>
      <c r="BR1127" t="s">
        <v>105</v>
      </c>
      <c r="BS1127" t="s">
        <v>21120</v>
      </c>
      <c r="BT1127" t="str">
        <f>HYPERLINK("https%3A%2F%2Fwww.webofscience.com%2Fwos%2Fwoscc%2Ffull-record%2FWOS:000367546800009","View Full Record in Web of Science")</f>
        <v>View Full Record in Web of Science</v>
      </c>
    </row>
    <row r="1128" spans="1:72" x14ac:dyDescent="0.25">
      <c r="A1128" t="s">
        <v>72</v>
      </c>
      <c r="B1128" t="s">
        <v>20654</v>
      </c>
      <c r="C1128" t="s">
        <v>74</v>
      </c>
      <c r="D1128" t="s">
        <v>74</v>
      </c>
      <c r="E1128" t="s">
        <v>74</v>
      </c>
      <c r="F1128" t="s">
        <v>21121</v>
      </c>
      <c r="G1128" t="s">
        <v>74</v>
      </c>
      <c r="H1128" t="s">
        <v>74</v>
      </c>
      <c r="I1128" t="s">
        <v>21122</v>
      </c>
      <c r="J1128" t="s">
        <v>21123</v>
      </c>
      <c r="K1128" t="s">
        <v>74</v>
      </c>
      <c r="L1128" t="s">
        <v>74</v>
      </c>
      <c r="M1128" t="s">
        <v>78</v>
      </c>
      <c r="N1128" t="s">
        <v>79</v>
      </c>
      <c r="O1128" t="s">
        <v>74</v>
      </c>
      <c r="P1128" t="s">
        <v>74</v>
      </c>
      <c r="Q1128" t="s">
        <v>74</v>
      </c>
      <c r="R1128" t="s">
        <v>74</v>
      </c>
      <c r="S1128" t="s">
        <v>74</v>
      </c>
      <c r="T1128" t="s">
        <v>21124</v>
      </c>
      <c r="U1128" t="s">
        <v>21125</v>
      </c>
      <c r="V1128" t="s">
        <v>21126</v>
      </c>
      <c r="W1128" t="s">
        <v>21127</v>
      </c>
      <c r="X1128" t="s">
        <v>20661</v>
      </c>
      <c r="Y1128" t="s">
        <v>21128</v>
      </c>
      <c r="Z1128" t="s">
        <v>20663</v>
      </c>
      <c r="AA1128" t="s">
        <v>20664</v>
      </c>
      <c r="AB1128" t="s">
        <v>21129</v>
      </c>
      <c r="AC1128" t="s">
        <v>21130</v>
      </c>
      <c r="AD1128" t="s">
        <v>21130</v>
      </c>
      <c r="AE1128" t="s">
        <v>21131</v>
      </c>
      <c r="AF1128" t="s">
        <v>74</v>
      </c>
      <c r="AG1128">
        <v>36</v>
      </c>
      <c r="AH1128">
        <v>2</v>
      </c>
      <c r="AI1128">
        <v>2</v>
      </c>
      <c r="AJ1128">
        <v>0</v>
      </c>
      <c r="AK1128">
        <v>6</v>
      </c>
      <c r="AL1128" t="s">
        <v>21132</v>
      </c>
      <c r="AM1128" t="s">
        <v>21133</v>
      </c>
      <c r="AN1128" t="s">
        <v>21134</v>
      </c>
      <c r="AO1128" t="s">
        <v>21135</v>
      </c>
      <c r="AP1128" t="s">
        <v>21136</v>
      </c>
      <c r="AQ1128" t="s">
        <v>74</v>
      </c>
      <c r="AR1128" t="s">
        <v>21137</v>
      </c>
      <c r="AS1128" t="s">
        <v>21138</v>
      </c>
      <c r="AT1128" t="s">
        <v>74</v>
      </c>
      <c r="AU1128">
        <v>2016</v>
      </c>
      <c r="AV1128">
        <v>17</v>
      </c>
      <c r="AW1128">
        <v>1</v>
      </c>
      <c r="AX1128" t="s">
        <v>74</v>
      </c>
      <c r="AY1128" t="s">
        <v>74</v>
      </c>
      <c r="AZ1128" t="s">
        <v>74</v>
      </c>
      <c r="BA1128" t="s">
        <v>74</v>
      </c>
      <c r="BB1128">
        <v>83</v>
      </c>
      <c r="BC1128">
        <v>102</v>
      </c>
      <c r="BD1128" t="s">
        <v>74</v>
      </c>
      <c r="BE1128" t="s">
        <v>21139</v>
      </c>
      <c r="BF1128" t="str">
        <f>HYPERLINK("http://dx.doi.org/10.31436/iiumej.v17i1.571","http://dx.doi.org/10.31436/iiumej.v17i1.571")</f>
        <v>http://dx.doi.org/10.31436/iiumej.v17i1.571</v>
      </c>
      <c r="BG1128" t="s">
        <v>74</v>
      </c>
      <c r="BH1128" t="s">
        <v>74</v>
      </c>
      <c r="BI1128">
        <v>20</v>
      </c>
      <c r="BJ1128" t="s">
        <v>1202</v>
      </c>
      <c r="BK1128" t="s">
        <v>155</v>
      </c>
      <c r="BL1128" t="s">
        <v>183</v>
      </c>
      <c r="BM1128" t="s">
        <v>21140</v>
      </c>
      <c r="BN1128" t="s">
        <v>74</v>
      </c>
      <c r="BO1128" t="s">
        <v>1374</v>
      </c>
      <c r="BP1128" t="s">
        <v>74</v>
      </c>
      <c r="BQ1128" t="s">
        <v>74</v>
      </c>
      <c r="BR1128" t="s">
        <v>105</v>
      </c>
      <c r="BS1128" t="s">
        <v>21141</v>
      </c>
      <c r="BT1128" t="str">
        <f>HYPERLINK("https%3A%2F%2Fwww.webofscience.com%2Fwos%2Fwoscc%2Ffull-record%2FWOS:000388798300006","View Full Record in Web of Science")</f>
        <v>View Full Record in Web of Science</v>
      </c>
    </row>
    <row r="1129" spans="1:72" x14ac:dyDescent="0.25">
      <c r="A1129" t="s">
        <v>72</v>
      </c>
      <c r="B1129" t="s">
        <v>21142</v>
      </c>
      <c r="C1129" t="s">
        <v>74</v>
      </c>
      <c r="D1129" t="s">
        <v>74</v>
      </c>
      <c r="E1129" t="s">
        <v>74</v>
      </c>
      <c r="F1129" t="s">
        <v>21143</v>
      </c>
      <c r="G1129" t="s">
        <v>74</v>
      </c>
      <c r="H1129" t="s">
        <v>74</v>
      </c>
      <c r="I1129" t="s">
        <v>21144</v>
      </c>
      <c r="J1129" t="s">
        <v>243</v>
      </c>
      <c r="K1129" t="s">
        <v>74</v>
      </c>
      <c r="L1129" t="s">
        <v>74</v>
      </c>
      <c r="M1129" t="s">
        <v>78</v>
      </c>
      <c r="N1129" t="s">
        <v>79</v>
      </c>
      <c r="O1129" t="s">
        <v>74</v>
      </c>
      <c r="P1129" t="s">
        <v>74</v>
      </c>
      <c r="Q1129" t="s">
        <v>74</v>
      </c>
      <c r="R1129" t="s">
        <v>74</v>
      </c>
      <c r="S1129" t="s">
        <v>74</v>
      </c>
      <c r="T1129" t="s">
        <v>21145</v>
      </c>
      <c r="U1129" t="s">
        <v>21146</v>
      </c>
      <c r="V1129" t="s">
        <v>21147</v>
      </c>
      <c r="W1129" t="s">
        <v>21148</v>
      </c>
      <c r="X1129" t="s">
        <v>21149</v>
      </c>
      <c r="Y1129" t="s">
        <v>21150</v>
      </c>
      <c r="Z1129" t="s">
        <v>21151</v>
      </c>
      <c r="AA1129" t="s">
        <v>21152</v>
      </c>
      <c r="AB1129" t="s">
        <v>12501</v>
      </c>
      <c r="AC1129" t="s">
        <v>74</v>
      </c>
      <c r="AD1129" t="s">
        <v>74</v>
      </c>
      <c r="AE1129" t="s">
        <v>74</v>
      </c>
      <c r="AF1129" t="s">
        <v>74</v>
      </c>
      <c r="AG1129">
        <v>87</v>
      </c>
      <c r="AH1129">
        <v>134</v>
      </c>
      <c r="AI1129">
        <v>154</v>
      </c>
      <c r="AJ1129">
        <v>9</v>
      </c>
      <c r="AK1129">
        <v>146</v>
      </c>
      <c r="AL1129" t="s">
        <v>253</v>
      </c>
      <c r="AM1129" t="s">
        <v>227</v>
      </c>
      <c r="AN1129" t="s">
        <v>254</v>
      </c>
      <c r="AO1129" t="s">
        <v>255</v>
      </c>
      <c r="AP1129" t="s">
        <v>256</v>
      </c>
      <c r="AQ1129" t="s">
        <v>74</v>
      </c>
      <c r="AR1129" t="s">
        <v>257</v>
      </c>
      <c r="AS1129" t="s">
        <v>258</v>
      </c>
      <c r="AT1129" t="s">
        <v>74</v>
      </c>
      <c r="AU1129">
        <v>2016</v>
      </c>
      <c r="AV1129">
        <v>11</v>
      </c>
      <c r="AW1129">
        <v>4</v>
      </c>
      <c r="AX1129" t="s">
        <v>74</v>
      </c>
      <c r="AY1129" t="s">
        <v>74</v>
      </c>
      <c r="AZ1129" t="s">
        <v>74</v>
      </c>
      <c r="BA1129" t="s">
        <v>74</v>
      </c>
      <c r="BB1129">
        <v>263</v>
      </c>
      <c r="BC1129">
        <v>280</v>
      </c>
      <c r="BD1129" t="s">
        <v>74</v>
      </c>
      <c r="BE1129" t="s">
        <v>21153</v>
      </c>
      <c r="BF1129" t="str">
        <f>HYPERLINK("http://dx.doi.org/10.3109/17483107.2014.1002539","http://dx.doi.org/10.3109/17483107.2014.1002539")</f>
        <v>http://dx.doi.org/10.3109/17483107.2014.1002539</v>
      </c>
      <c r="BG1129" t="s">
        <v>74</v>
      </c>
      <c r="BH1129" t="s">
        <v>74</v>
      </c>
      <c r="BI1129">
        <v>18</v>
      </c>
      <c r="BJ1129" t="s">
        <v>101</v>
      </c>
      <c r="BK1129" t="s">
        <v>155</v>
      </c>
      <c r="BL1129" t="s">
        <v>101</v>
      </c>
      <c r="BM1129" t="s">
        <v>21154</v>
      </c>
      <c r="BN1129">
        <v>25600057</v>
      </c>
      <c r="BO1129" t="s">
        <v>74</v>
      </c>
      <c r="BP1129" t="s">
        <v>74</v>
      </c>
      <c r="BQ1129" t="s">
        <v>74</v>
      </c>
      <c r="BR1129" t="s">
        <v>105</v>
      </c>
      <c r="BS1129" t="s">
        <v>21155</v>
      </c>
      <c r="BT1129" t="str">
        <f>HYPERLINK("https%3A%2F%2Fwww.webofscience.com%2Fwos%2Fwoscc%2Ffull-record%2FWOS:000386457100001","View Full Record in Web of Science")</f>
        <v>View Full Record in Web of Science</v>
      </c>
    </row>
    <row r="1130" spans="1:72" x14ac:dyDescent="0.25">
      <c r="A1130" t="s">
        <v>72</v>
      </c>
      <c r="B1130" t="s">
        <v>21156</v>
      </c>
      <c r="C1130" t="s">
        <v>74</v>
      </c>
      <c r="D1130" t="s">
        <v>74</v>
      </c>
      <c r="E1130" t="s">
        <v>74</v>
      </c>
      <c r="F1130" t="s">
        <v>21157</v>
      </c>
      <c r="G1130" t="s">
        <v>74</v>
      </c>
      <c r="H1130" t="s">
        <v>74</v>
      </c>
      <c r="I1130" t="s">
        <v>21158</v>
      </c>
      <c r="J1130" t="s">
        <v>21159</v>
      </c>
      <c r="K1130" t="s">
        <v>74</v>
      </c>
      <c r="L1130" t="s">
        <v>74</v>
      </c>
      <c r="M1130" t="s">
        <v>78</v>
      </c>
      <c r="N1130" t="s">
        <v>79</v>
      </c>
      <c r="O1130" t="s">
        <v>74</v>
      </c>
      <c r="P1130" t="s">
        <v>74</v>
      </c>
      <c r="Q1130" t="s">
        <v>74</v>
      </c>
      <c r="R1130" t="s">
        <v>74</v>
      </c>
      <c r="S1130" t="s">
        <v>74</v>
      </c>
      <c r="T1130" t="s">
        <v>21160</v>
      </c>
      <c r="U1130" t="s">
        <v>21161</v>
      </c>
      <c r="V1130" t="s">
        <v>21162</v>
      </c>
      <c r="W1130" t="s">
        <v>21163</v>
      </c>
      <c r="X1130" t="s">
        <v>21164</v>
      </c>
      <c r="Y1130" t="s">
        <v>21165</v>
      </c>
      <c r="Z1130" t="s">
        <v>21166</v>
      </c>
      <c r="AA1130" t="s">
        <v>21167</v>
      </c>
      <c r="AB1130" t="s">
        <v>21168</v>
      </c>
      <c r="AC1130" t="s">
        <v>21169</v>
      </c>
      <c r="AD1130" t="s">
        <v>21170</v>
      </c>
      <c r="AE1130" t="s">
        <v>21171</v>
      </c>
      <c r="AF1130" t="s">
        <v>74</v>
      </c>
      <c r="AG1130">
        <v>96</v>
      </c>
      <c r="AH1130">
        <v>1</v>
      </c>
      <c r="AI1130">
        <v>2</v>
      </c>
      <c r="AJ1130">
        <v>0</v>
      </c>
      <c r="AK1130">
        <v>15</v>
      </c>
      <c r="AL1130" t="s">
        <v>21172</v>
      </c>
      <c r="AM1130" t="s">
        <v>21173</v>
      </c>
      <c r="AN1130" t="s">
        <v>21174</v>
      </c>
      <c r="AO1130" t="s">
        <v>21175</v>
      </c>
      <c r="AP1130" t="s">
        <v>74</v>
      </c>
      <c r="AQ1130" t="s">
        <v>74</v>
      </c>
      <c r="AR1130" t="s">
        <v>21176</v>
      </c>
      <c r="AS1130" t="s">
        <v>21177</v>
      </c>
      <c r="AT1130" t="s">
        <v>74</v>
      </c>
      <c r="AU1130">
        <v>2016</v>
      </c>
      <c r="AV1130">
        <v>8</v>
      </c>
      <c r="AW1130">
        <v>4</v>
      </c>
      <c r="AX1130" t="s">
        <v>74</v>
      </c>
      <c r="AY1130" t="s">
        <v>74</v>
      </c>
      <c r="AZ1130" t="s">
        <v>74</v>
      </c>
      <c r="BA1130" t="s">
        <v>74</v>
      </c>
      <c r="BB1130">
        <v>222</v>
      </c>
      <c r="BC1130">
        <v>230</v>
      </c>
      <c r="BD1130" t="s">
        <v>74</v>
      </c>
      <c r="BE1130" t="s">
        <v>21178</v>
      </c>
      <c r="BF1130" t="str">
        <f>HYPERLINK("http://dx.doi.org/10.17691/stm2016.8.4.27","http://dx.doi.org/10.17691/stm2016.8.4.27")</f>
        <v>http://dx.doi.org/10.17691/stm2016.8.4.27</v>
      </c>
      <c r="BG1130" t="s">
        <v>74</v>
      </c>
      <c r="BH1130" t="s">
        <v>74</v>
      </c>
      <c r="BI1130">
        <v>9</v>
      </c>
      <c r="BJ1130" t="s">
        <v>738</v>
      </c>
      <c r="BK1130" t="s">
        <v>155</v>
      </c>
      <c r="BL1130" t="s">
        <v>739</v>
      </c>
      <c r="BM1130" t="s">
        <v>21179</v>
      </c>
      <c r="BN1130" t="s">
        <v>74</v>
      </c>
      <c r="BO1130" t="s">
        <v>185</v>
      </c>
      <c r="BP1130" t="s">
        <v>74</v>
      </c>
      <c r="BQ1130" t="s">
        <v>74</v>
      </c>
      <c r="BR1130" t="s">
        <v>105</v>
      </c>
      <c r="BS1130" t="s">
        <v>21180</v>
      </c>
      <c r="BT1130" t="str">
        <f>HYPERLINK("https%3A%2F%2Fwww.webofscience.com%2Fwos%2Fwoscc%2Ffull-record%2FWOS:000391269500028","View Full Record in Web of Science")</f>
        <v>View Full Record in Web of Science</v>
      </c>
    </row>
    <row r="1131" spans="1:72" x14ac:dyDescent="0.25">
      <c r="A1131" t="s">
        <v>72</v>
      </c>
      <c r="B1131" t="s">
        <v>21181</v>
      </c>
      <c r="C1131" t="s">
        <v>74</v>
      </c>
      <c r="D1131" t="s">
        <v>74</v>
      </c>
      <c r="E1131" t="s">
        <v>74</v>
      </c>
      <c r="F1131" t="s">
        <v>21182</v>
      </c>
      <c r="G1131" t="s">
        <v>74</v>
      </c>
      <c r="H1131" t="s">
        <v>74</v>
      </c>
      <c r="I1131" t="s">
        <v>21183</v>
      </c>
      <c r="J1131" t="s">
        <v>2641</v>
      </c>
      <c r="K1131" t="s">
        <v>74</v>
      </c>
      <c r="L1131" t="s">
        <v>74</v>
      </c>
      <c r="M1131" t="s">
        <v>78</v>
      </c>
      <c r="N1131" t="s">
        <v>79</v>
      </c>
      <c r="O1131" t="s">
        <v>74</v>
      </c>
      <c r="P1131" t="s">
        <v>74</v>
      </c>
      <c r="Q1131" t="s">
        <v>74</v>
      </c>
      <c r="R1131" t="s">
        <v>74</v>
      </c>
      <c r="S1131" t="s">
        <v>74</v>
      </c>
      <c r="T1131" t="s">
        <v>21184</v>
      </c>
      <c r="U1131" t="s">
        <v>21185</v>
      </c>
      <c r="V1131" t="s">
        <v>21186</v>
      </c>
      <c r="W1131" t="s">
        <v>21187</v>
      </c>
      <c r="X1131" t="s">
        <v>21188</v>
      </c>
      <c r="Y1131" t="s">
        <v>21189</v>
      </c>
      <c r="Z1131" t="s">
        <v>21190</v>
      </c>
      <c r="AA1131" t="s">
        <v>21191</v>
      </c>
      <c r="AB1131" t="s">
        <v>21192</v>
      </c>
      <c r="AC1131" t="s">
        <v>21193</v>
      </c>
      <c r="AD1131" t="s">
        <v>21194</v>
      </c>
      <c r="AE1131" t="s">
        <v>21195</v>
      </c>
      <c r="AF1131" t="s">
        <v>74</v>
      </c>
      <c r="AG1131">
        <v>161</v>
      </c>
      <c r="AH1131">
        <v>341</v>
      </c>
      <c r="AI1131">
        <v>386</v>
      </c>
      <c r="AJ1131">
        <v>45</v>
      </c>
      <c r="AK1131">
        <v>611</v>
      </c>
      <c r="AL1131" t="s">
        <v>1605</v>
      </c>
      <c r="AM1131" t="s">
        <v>1606</v>
      </c>
      <c r="AN1131" t="s">
        <v>1607</v>
      </c>
      <c r="AO1131" t="s">
        <v>2651</v>
      </c>
      <c r="AP1131" t="s">
        <v>2652</v>
      </c>
      <c r="AQ1131" t="s">
        <v>74</v>
      </c>
      <c r="AR1131" t="s">
        <v>2653</v>
      </c>
      <c r="AS1131" t="s">
        <v>2654</v>
      </c>
      <c r="AT1131" t="s">
        <v>538</v>
      </c>
      <c r="AU1131">
        <v>2016</v>
      </c>
      <c r="AV1131">
        <v>75</v>
      </c>
      <c r="AW1131" t="s">
        <v>74</v>
      </c>
      <c r="AX1131" t="s">
        <v>1531</v>
      </c>
      <c r="AY1131" t="s">
        <v>74</v>
      </c>
      <c r="AZ1131" t="s">
        <v>74</v>
      </c>
      <c r="BA1131" t="s">
        <v>74</v>
      </c>
      <c r="BB1131">
        <v>203</v>
      </c>
      <c r="BC1131">
        <v>220</v>
      </c>
      <c r="BD1131" t="s">
        <v>74</v>
      </c>
      <c r="BE1131" t="s">
        <v>21196</v>
      </c>
      <c r="BF1131" t="str">
        <f>HYPERLINK("http://dx.doi.org/10.1016/j.robot.2015.10.001","http://dx.doi.org/10.1016/j.robot.2015.10.001")</f>
        <v>http://dx.doi.org/10.1016/j.robot.2015.10.001</v>
      </c>
      <c r="BG1131" t="s">
        <v>74</v>
      </c>
      <c r="BH1131" t="s">
        <v>74</v>
      </c>
      <c r="BI1131">
        <v>18</v>
      </c>
      <c r="BJ1131" t="s">
        <v>2657</v>
      </c>
      <c r="BK1131" t="s">
        <v>182</v>
      </c>
      <c r="BL1131" t="s">
        <v>2658</v>
      </c>
      <c r="BM1131" t="s">
        <v>21197</v>
      </c>
      <c r="BN1131" t="s">
        <v>74</v>
      </c>
      <c r="BO1131" t="s">
        <v>74</v>
      </c>
      <c r="BP1131" t="s">
        <v>869</v>
      </c>
      <c r="BQ1131" t="s">
        <v>870</v>
      </c>
      <c r="BR1131" t="s">
        <v>105</v>
      </c>
      <c r="BS1131" t="s">
        <v>21198</v>
      </c>
      <c r="BT1131" t="str">
        <f>HYPERLINK("https%3A%2F%2Fwww.webofscience.com%2Fwos%2Fwoscc%2Ffull-record%2FWOS:000367763400007","View Full Record in Web of Science")</f>
        <v>View Full Record in Web of Science</v>
      </c>
    </row>
    <row r="1132" spans="1:72" x14ac:dyDescent="0.25">
      <c r="A1132" t="s">
        <v>72</v>
      </c>
      <c r="B1132" t="s">
        <v>21199</v>
      </c>
      <c r="C1132" t="s">
        <v>74</v>
      </c>
      <c r="D1132" t="s">
        <v>74</v>
      </c>
      <c r="E1132" t="s">
        <v>74</v>
      </c>
      <c r="F1132" t="s">
        <v>21200</v>
      </c>
      <c r="G1132" t="s">
        <v>74</v>
      </c>
      <c r="H1132" t="s">
        <v>74</v>
      </c>
      <c r="I1132" t="s">
        <v>21201</v>
      </c>
      <c r="J1132" t="s">
        <v>2233</v>
      </c>
      <c r="K1132" t="s">
        <v>74</v>
      </c>
      <c r="L1132" t="s">
        <v>74</v>
      </c>
      <c r="M1132" t="s">
        <v>78</v>
      </c>
      <c r="N1132" t="s">
        <v>79</v>
      </c>
      <c r="O1132" t="s">
        <v>74</v>
      </c>
      <c r="P1132" t="s">
        <v>74</v>
      </c>
      <c r="Q1132" t="s">
        <v>74</v>
      </c>
      <c r="R1132" t="s">
        <v>74</v>
      </c>
      <c r="S1132" t="s">
        <v>74</v>
      </c>
      <c r="T1132" t="s">
        <v>74</v>
      </c>
      <c r="U1132" t="s">
        <v>21202</v>
      </c>
      <c r="V1132" t="s">
        <v>21203</v>
      </c>
      <c r="W1132" t="s">
        <v>21204</v>
      </c>
      <c r="X1132" t="s">
        <v>21205</v>
      </c>
      <c r="Y1132" t="s">
        <v>21206</v>
      </c>
      <c r="Z1132" t="s">
        <v>21207</v>
      </c>
      <c r="AA1132" t="s">
        <v>21208</v>
      </c>
      <c r="AB1132" t="s">
        <v>21209</v>
      </c>
      <c r="AC1132" t="s">
        <v>21210</v>
      </c>
      <c r="AD1132" t="s">
        <v>1649</v>
      </c>
      <c r="AE1132" t="s">
        <v>21211</v>
      </c>
      <c r="AF1132" t="s">
        <v>74</v>
      </c>
      <c r="AG1132">
        <v>60</v>
      </c>
      <c r="AH1132">
        <v>51</v>
      </c>
      <c r="AI1132">
        <v>56</v>
      </c>
      <c r="AJ1132">
        <v>1</v>
      </c>
      <c r="AK1132">
        <v>52</v>
      </c>
      <c r="AL1132" t="s">
        <v>367</v>
      </c>
      <c r="AM1132" t="s">
        <v>275</v>
      </c>
      <c r="AN1132" t="s">
        <v>368</v>
      </c>
      <c r="AO1132" t="s">
        <v>2240</v>
      </c>
      <c r="AP1132" t="s">
        <v>2241</v>
      </c>
      <c r="AQ1132" t="s">
        <v>74</v>
      </c>
      <c r="AR1132" t="s">
        <v>2242</v>
      </c>
      <c r="AS1132" t="s">
        <v>2243</v>
      </c>
      <c r="AT1132" t="s">
        <v>74</v>
      </c>
      <c r="AU1132">
        <v>2016</v>
      </c>
      <c r="AV1132">
        <v>2016</v>
      </c>
      <c r="AW1132" t="s">
        <v>74</v>
      </c>
      <c r="AX1132" t="s">
        <v>74</v>
      </c>
      <c r="AY1132" t="s">
        <v>74</v>
      </c>
      <c r="AZ1132" t="s">
        <v>74</v>
      </c>
      <c r="BA1132" t="s">
        <v>74</v>
      </c>
      <c r="BB1132" t="s">
        <v>74</v>
      </c>
      <c r="BC1132" t="s">
        <v>74</v>
      </c>
      <c r="BD1132">
        <v>1048964</v>
      </c>
      <c r="BE1132" t="s">
        <v>21212</v>
      </c>
      <c r="BF1132" t="str">
        <f>HYPERLINK("http://dx.doi.org/10.1155/2016/1048964","http://dx.doi.org/10.1155/2016/1048964")</f>
        <v>http://dx.doi.org/10.1155/2016/1048964</v>
      </c>
      <c r="BG1132" t="s">
        <v>74</v>
      </c>
      <c r="BH1132" t="s">
        <v>74</v>
      </c>
      <c r="BI1132">
        <v>10</v>
      </c>
      <c r="BJ1132" t="s">
        <v>423</v>
      </c>
      <c r="BK1132" t="s">
        <v>182</v>
      </c>
      <c r="BL1132" t="s">
        <v>423</v>
      </c>
      <c r="BM1132" t="s">
        <v>21213</v>
      </c>
      <c r="BN1132">
        <v>27196802</v>
      </c>
      <c r="BO1132" t="s">
        <v>2959</v>
      </c>
      <c r="BP1132" t="s">
        <v>74</v>
      </c>
      <c r="BQ1132" t="s">
        <v>74</v>
      </c>
      <c r="BR1132" t="s">
        <v>105</v>
      </c>
      <c r="BS1132" t="s">
        <v>21214</v>
      </c>
      <c r="BT1132" t="str">
        <f>HYPERLINK("https%3A%2F%2Fwww.webofscience.com%2Fwos%2Fwoscc%2Ffull-record%2FWOS:000376084300001","View Full Record in Web of Science")</f>
        <v>View Full Record in Web of Science</v>
      </c>
    </row>
    <row r="1133" spans="1:72" x14ac:dyDescent="0.25">
      <c r="A1133" t="s">
        <v>72</v>
      </c>
      <c r="B1133" t="s">
        <v>21215</v>
      </c>
      <c r="C1133" t="s">
        <v>74</v>
      </c>
      <c r="D1133" t="s">
        <v>74</v>
      </c>
      <c r="E1133" t="s">
        <v>74</v>
      </c>
      <c r="F1133" t="s">
        <v>21216</v>
      </c>
      <c r="G1133" t="s">
        <v>74</v>
      </c>
      <c r="H1133" t="s">
        <v>74</v>
      </c>
      <c r="I1133" t="s">
        <v>21217</v>
      </c>
      <c r="J1133" t="s">
        <v>21218</v>
      </c>
      <c r="K1133" t="s">
        <v>74</v>
      </c>
      <c r="L1133" t="s">
        <v>74</v>
      </c>
      <c r="M1133" t="s">
        <v>78</v>
      </c>
      <c r="N1133" t="s">
        <v>79</v>
      </c>
      <c r="O1133" t="s">
        <v>74</v>
      </c>
      <c r="P1133" t="s">
        <v>74</v>
      </c>
      <c r="Q1133" t="s">
        <v>74</v>
      </c>
      <c r="R1133" t="s">
        <v>74</v>
      </c>
      <c r="S1133" t="s">
        <v>74</v>
      </c>
      <c r="T1133" t="s">
        <v>21219</v>
      </c>
      <c r="U1133" t="s">
        <v>21220</v>
      </c>
      <c r="V1133" t="s">
        <v>21221</v>
      </c>
      <c r="W1133" t="s">
        <v>21222</v>
      </c>
      <c r="X1133" t="s">
        <v>14088</v>
      </c>
      <c r="Y1133" t="s">
        <v>21223</v>
      </c>
      <c r="Z1133" t="s">
        <v>21224</v>
      </c>
      <c r="AA1133" t="s">
        <v>74</v>
      </c>
      <c r="AB1133" t="s">
        <v>74</v>
      </c>
      <c r="AC1133" t="s">
        <v>74</v>
      </c>
      <c r="AD1133" t="s">
        <v>74</v>
      </c>
      <c r="AE1133" t="s">
        <v>74</v>
      </c>
      <c r="AF1133" t="s">
        <v>74</v>
      </c>
      <c r="AG1133">
        <v>17</v>
      </c>
      <c r="AH1133">
        <v>1</v>
      </c>
      <c r="AI1133">
        <v>1</v>
      </c>
      <c r="AJ1133">
        <v>0</v>
      </c>
      <c r="AK1133">
        <v>4</v>
      </c>
      <c r="AL1133" t="s">
        <v>21225</v>
      </c>
      <c r="AM1133" t="s">
        <v>21226</v>
      </c>
      <c r="AN1133" t="s">
        <v>21227</v>
      </c>
      <c r="AO1133" t="s">
        <v>21228</v>
      </c>
      <c r="AP1133" t="s">
        <v>21229</v>
      </c>
      <c r="AQ1133" t="s">
        <v>74</v>
      </c>
      <c r="AR1133" t="s">
        <v>21230</v>
      </c>
      <c r="AS1133" t="s">
        <v>21231</v>
      </c>
      <c r="AT1133" t="s">
        <v>74</v>
      </c>
      <c r="AU1133">
        <v>2016</v>
      </c>
      <c r="AV1133">
        <v>5</v>
      </c>
      <c r="AW1133" t="s">
        <v>74</v>
      </c>
      <c r="AX1133" t="s">
        <v>74</v>
      </c>
      <c r="AY1133">
        <v>1</v>
      </c>
      <c r="AZ1133" t="s">
        <v>152</v>
      </c>
      <c r="BA1133" t="s">
        <v>74</v>
      </c>
      <c r="BB1133">
        <v>66</v>
      </c>
      <c r="BC1133">
        <v>70</v>
      </c>
      <c r="BD1133" t="s">
        <v>74</v>
      </c>
      <c r="BE1133" t="s">
        <v>74</v>
      </c>
      <c r="BF1133" t="s">
        <v>74</v>
      </c>
      <c r="BG1133" t="s">
        <v>74</v>
      </c>
      <c r="BH1133" t="s">
        <v>74</v>
      </c>
      <c r="BI1133">
        <v>5</v>
      </c>
      <c r="BJ1133" t="s">
        <v>738</v>
      </c>
      <c r="BK1133" t="s">
        <v>155</v>
      </c>
      <c r="BL1133" t="s">
        <v>739</v>
      </c>
      <c r="BM1133" t="s">
        <v>21232</v>
      </c>
      <c r="BN1133" t="s">
        <v>74</v>
      </c>
      <c r="BO1133" t="s">
        <v>74</v>
      </c>
      <c r="BP1133" t="s">
        <v>74</v>
      </c>
      <c r="BQ1133" t="s">
        <v>74</v>
      </c>
      <c r="BR1133" t="s">
        <v>105</v>
      </c>
      <c r="BS1133" t="s">
        <v>21233</v>
      </c>
      <c r="BT1133" t="str">
        <f>HYPERLINK("https%3A%2F%2Fwww.webofscience.com%2Fwos%2Fwoscc%2Ffull-record%2FWOS:000379413000010","View Full Record in Web of Science")</f>
        <v>View Full Record in Web of Science</v>
      </c>
    </row>
    <row r="1134" spans="1:72" x14ac:dyDescent="0.25">
      <c r="A1134" t="s">
        <v>72</v>
      </c>
      <c r="B1134" t="s">
        <v>21234</v>
      </c>
      <c r="C1134" t="s">
        <v>74</v>
      </c>
      <c r="D1134" t="s">
        <v>74</v>
      </c>
      <c r="E1134" t="s">
        <v>74</v>
      </c>
      <c r="F1134" t="s">
        <v>21235</v>
      </c>
      <c r="G1134" t="s">
        <v>74</v>
      </c>
      <c r="H1134" t="s">
        <v>74</v>
      </c>
      <c r="I1134" t="s">
        <v>21236</v>
      </c>
      <c r="J1134" t="s">
        <v>21159</v>
      </c>
      <c r="K1134" t="s">
        <v>74</v>
      </c>
      <c r="L1134" t="s">
        <v>74</v>
      </c>
      <c r="M1134" t="s">
        <v>78</v>
      </c>
      <c r="N1134" t="s">
        <v>79</v>
      </c>
      <c r="O1134" t="s">
        <v>74</v>
      </c>
      <c r="P1134" t="s">
        <v>74</v>
      </c>
      <c r="Q1134" t="s">
        <v>74</v>
      </c>
      <c r="R1134" t="s">
        <v>74</v>
      </c>
      <c r="S1134" t="s">
        <v>74</v>
      </c>
      <c r="T1134" t="s">
        <v>21237</v>
      </c>
      <c r="U1134" t="s">
        <v>21238</v>
      </c>
      <c r="V1134" t="s">
        <v>21239</v>
      </c>
      <c r="W1134" t="s">
        <v>21240</v>
      </c>
      <c r="X1134" t="s">
        <v>21241</v>
      </c>
      <c r="Y1134" t="s">
        <v>21242</v>
      </c>
      <c r="Z1134" t="s">
        <v>21243</v>
      </c>
      <c r="AA1134" t="s">
        <v>21244</v>
      </c>
      <c r="AB1134" t="s">
        <v>21245</v>
      </c>
      <c r="AC1134" t="s">
        <v>21246</v>
      </c>
      <c r="AD1134" t="s">
        <v>21247</v>
      </c>
      <c r="AE1134" t="s">
        <v>21248</v>
      </c>
      <c r="AF1134" t="s">
        <v>74</v>
      </c>
      <c r="AG1134">
        <v>97</v>
      </c>
      <c r="AH1134">
        <v>1</v>
      </c>
      <c r="AI1134">
        <v>1</v>
      </c>
      <c r="AJ1134">
        <v>0</v>
      </c>
      <c r="AK1134">
        <v>16</v>
      </c>
      <c r="AL1134" t="s">
        <v>21172</v>
      </c>
      <c r="AM1134" t="s">
        <v>21173</v>
      </c>
      <c r="AN1134" t="s">
        <v>21174</v>
      </c>
      <c r="AO1134" t="s">
        <v>21175</v>
      </c>
      <c r="AP1134" t="s">
        <v>74</v>
      </c>
      <c r="AQ1134" t="s">
        <v>74</v>
      </c>
      <c r="AR1134" t="s">
        <v>21176</v>
      </c>
      <c r="AS1134" t="s">
        <v>21177</v>
      </c>
      <c r="AT1134" t="s">
        <v>74</v>
      </c>
      <c r="AU1134">
        <v>2016</v>
      </c>
      <c r="AV1134">
        <v>8</v>
      </c>
      <c r="AW1134">
        <v>4</v>
      </c>
      <c r="AX1134" t="s">
        <v>74</v>
      </c>
      <c r="AY1134" t="s">
        <v>74</v>
      </c>
      <c r="AZ1134" t="s">
        <v>74</v>
      </c>
      <c r="BA1134" t="s">
        <v>74</v>
      </c>
      <c r="BB1134">
        <v>231</v>
      </c>
      <c r="BC1134">
        <v>240</v>
      </c>
      <c r="BD1134" t="s">
        <v>74</v>
      </c>
      <c r="BE1134" t="s">
        <v>21249</v>
      </c>
      <c r="BF1134" t="str">
        <f>HYPERLINK("http://dx.doi.org/10.17691/stm2016.8.4.28","http://dx.doi.org/10.17691/stm2016.8.4.28")</f>
        <v>http://dx.doi.org/10.17691/stm2016.8.4.28</v>
      </c>
      <c r="BG1134" t="s">
        <v>74</v>
      </c>
      <c r="BH1134" t="s">
        <v>74</v>
      </c>
      <c r="BI1134">
        <v>10</v>
      </c>
      <c r="BJ1134" t="s">
        <v>738</v>
      </c>
      <c r="BK1134" t="s">
        <v>155</v>
      </c>
      <c r="BL1134" t="s">
        <v>739</v>
      </c>
      <c r="BM1134" t="s">
        <v>21179</v>
      </c>
      <c r="BN1134" t="s">
        <v>74</v>
      </c>
      <c r="BO1134" t="s">
        <v>185</v>
      </c>
      <c r="BP1134" t="s">
        <v>74</v>
      </c>
      <c r="BQ1134" t="s">
        <v>74</v>
      </c>
      <c r="BR1134" t="s">
        <v>105</v>
      </c>
      <c r="BS1134" t="s">
        <v>21250</v>
      </c>
      <c r="BT1134" t="str">
        <f>HYPERLINK("https%3A%2F%2Fwww.webofscience.com%2Fwos%2Fwoscc%2Ffull-record%2FWOS:000391269500029","View Full Record in Web of Science")</f>
        <v>View Full Record in Web of Science</v>
      </c>
    </row>
    <row r="1135" spans="1:72" x14ac:dyDescent="0.25">
      <c r="A1135" t="s">
        <v>18749</v>
      </c>
      <c r="B1135" t="s">
        <v>21251</v>
      </c>
      <c r="C1135" t="s">
        <v>21252</v>
      </c>
      <c r="D1135" t="s">
        <v>74</v>
      </c>
      <c r="E1135" t="s">
        <v>74</v>
      </c>
      <c r="F1135" t="s">
        <v>21253</v>
      </c>
      <c r="G1135" t="s">
        <v>21252</v>
      </c>
      <c r="H1135" t="s">
        <v>74</v>
      </c>
      <c r="I1135" t="s">
        <v>21254</v>
      </c>
      <c r="J1135" t="s">
        <v>21255</v>
      </c>
      <c r="K1135" t="s">
        <v>21256</v>
      </c>
      <c r="L1135" t="s">
        <v>74</v>
      </c>
      <c r="M1135" t="s">
        <v>78</v>
      </c>
      <c r="N1135" t="s">
        <v>1537</v>
      </c>
      <c r="O1135" t="s">
        <v>74</v>
      </c>
      <c r="P1135" t="s">
        <v>74</v>
      </c>
      <c r="Q1135" t="s">
        <v>74</v>
      </c>
      <c r="R1135" t="s">
        <v>74</v>
      </c>
      <c r="S1135" t="s">
        <v>74</v>
      </c>
      <c r="T1135" t="s">
        <v>74</v>
      </c>
      <c r="U1135" t="s">
        <v>21257</v>
      </c>
      <c r="V1135" t="s">
        <v>74</v>
      </c>
      <c r="W1135" t="s">
        <v>74</v>
      </c>
      <c r="X1135" t="s">
        <v>74</v>
      </c>
      <c r="Y1135" t="s">
        <v>74</v>
      </c>
      <c r="Z1135" t="s">
        <v>74</v>
      </c>
      <c r="AA1135" t="s">
        <v>21258</v>
      </c>
      <c r="AB1135" t="s">
        <v>21259</v>
      </c>
      <c r="AC1135" t="s">
        <v>74</v>
      </c>
      <c r="AD1135" t="s">
        <v>74</v>
      </c>
      <c r="AE1135" t="s">
        <v>74</v>
      </c>
      <c r="AF1135" t="s">
        <v>74</v>
      </c>
      <c r="AG1135">
        <v>95</v>
      </c>
      <c r="AH1135">
        <v>0</v>
      </c>
      <c r="AI1135">
        <v>0</v>
      </c>
      <c r="AJ1135">
        <v>0</v>
      </c>
      <c r="AK1135">
        <v>2</v>
      </c>
      <c r="AL1135" t="s">
        <v>21260</v>
      </c>
      <c r="AM1135" t="s">
        <v>1958</v>
      </c>
      <c r="AN1135" t="s">
        <v>21261</v>
      </c>
      <c r="AO1135" t="s">
        <v>21262</v>
      </c>
      <c r="AP1135" t="s">
        <v>74</v>
      </c>
      <c r="AQ1135" t="s">
        <v>21263</v>
      </c>
      <c r="AR1135" t="s">
        <v>21264</v>
      </c>
      <c r="AS1135" t="s">
        <v>74</v>
      </c>
      <c r="AT1135" t="s">
        <v>74</v>
      </c>
      <c r="AU1135">
        <v>2016</v>
      </c>
      <c r="AV1135">
        <v>108</v>
      </c>
      <c r="AW1135" t="s">
        <v>74</v>
      </c>
      <c r="AX1135" t="s">
        <v>74</v>
      </c>
      <c r="AY1135" t="s">
        <v>74</v>
      </c>
      <c r="AZ1135" t="s">
        <v>74</v>
      </c>
      <c r="BA1135" t="s">
        <v>74</v>
      </c>
      <c r="BB1135">
        <v>15</v>
      </c>
      <c r="BC1135">
        <v>44</v>
      </c>
      <c r="BD1135" t="s">
        <v>74</v>
      </c>
      <c r="BE1135" t="s">
        <v>21265</v>
      </c>
      <c r="BF1135" t="str">
        <f>HYPERLINK("http://dx.doi.org/10.1007/978-3-319-19896-5_2","http://dx.doi.org/10.1007/978-3-319-19896-5_2")</f>
        <v>http://dx.doi.org/10.1007/978-3-319-19896-5_2</v>
      </c>
      <c r="BG1135" t="s">
        <v>21266</v>
      </c>
      <c r="BH1135" t="s">
        <v>74</v>
      </c>
      <c r="BI1135">
        <v>30</v>
      </c>
      <c r="BJ1135" t="s">
        <v>20539</v>
      </c>
      <c r="BK1135" t="s">
        <v>1549</v>
      </c>
      <c r="BL1135" t="s">
        <v>20539</v>
      </c>
      <c r="BM1135" t="s">
        <v>21267</v>
      </c>
      <c r="BN1135" t="s">
        <v>74</v>
      </c>
      <c r="BO1135" t="s">
        <v>74</v>
      </c>
      <c r="BP1135" t="s">
        <v>74</v>
      </c>
      <c r="BQ1135" t="s">
        <v>74</v>
      </c>
      <c r="BR1135" t="s">
        <v>105</v>
      </c>
      <c r="BS1135" t="s">
        <v>21268</v>
      </c>
      <c r="BT1135" t="str">
        <f>HYPERLINK("https%3A%2F%2Fwww.webofscience.com%2Fwos%2Fwoscc%2Ffull-record%2FWOS:000383981400004","View Full Record in Web of Science")</f>
        <v>View Full Record in Web of Science</v>
      </c>
    </row>
    <row r="1136" spans="1:72" x14ac:dyDescent="0.25">
      <c r="A1136" t="s">
        <v>72</v>
      </c>
      <c r="B1136" t="s">
        <v>21269</v>
      </c>
      <c r="C1136" t="s">
        <v>74</v>
      </c>
      <c r="D1136" t="s">
        <v>74</v>
      </c>
      <c r="E1136" t="s">
        <v>74</v>
      </c>
      <c r="F1136" t="s">
        <v>21270</v>
      </c>
      <c r="G1136" t="s">
        <v>74</v>
      </c>
      <c r="H1136" t="s">
        <v>74</v>
      </c>
      <c r="I1136" t="s">
        <v>21271</v>
      </c>
      <c r="J1136" t="s">
        <v>21272</v>
      </c>
      <c r="K1136" t="s">
        <v>74</v>
      </c>
      <c r="L1136" t="s">
        <v>74</v>
      </c>
      <c r="M1136" t="s">
        <v>78</v>
      </c>
      <c r="N1136" t="s">
        <v>79</v>
      </c>
      <c r="O1136" t="s">
        <v>74</v>
      </c>
      <c r="P1136" t="s">
        <v>74</v>
      </c>
      <c r="Q1136" t="s">
        <v>74</v>
      </c>
      <c r="R1136" t="s">
        <v>74</v>
      </c>
      <c r="S1136" t="s">
        <v>74</v>
      </c>
      <c r="T1136" t="s">
        <v>21273</v>
      </c>
      <c r="U1136" t="s">
        <v>21274</v>
      </c>
      <c r="V1136" t="s">
        <v>21275</v>
      </c>
      <c r="W1136" t="s">
        <v>21276</v>
      </c>
      <c r="X1136" t="s">
        <v>21277</v>
      </c>
      <c r="Y1136" t="s">
        <v>21278</v>
      </c>
      <c r="Z1136" t="s">
        <v>21279</v>
      </c>
      <c r="AA1136" t="s">
        <v>21280</v>
      </c>
      <c r="AB1136" t="s">
        <v>21281</v>
      </c>
      <c r="AC1136" t="s">
        <v>21282</v>
      </c>
      <c r="AD1136" t="s">
        <v>21283</v>
      </c>
      <c r="AE1136" t="s">
        <v>21284</v>
      </c>
      <c r="AF1136" t="s">
        <v>74</v>
      </c>
      <c r="AG1136">
        <v>102</v>
      </c>
      <c r="AH1136">
        <v>118</v>
      </c>
      <c r="AI1136">
        <v>134</v>
      </c>
      <c r="AJ1136">
        <v>0</v>
      </c>
      <c r="AK1136">
        <v>96</v>
      </c>
      <c r="AL1136" t="s">
        <v>3456</v>
      </c>
      <c r="AM1136" t="s">
        <v>3457</v>
      </c>
      <c r="AN1136" t="s">
        <v>3458</v>
      </c>
      <c r="AO1136" t="s">
        <v>74</v>
      </c>
      <c r="AP1136" t="s">
        <v>21285</v>
      </c>
      <c r="AQ1136" t="s">
        <v>74</v>
      </c>
      <c r="AR1136" t="s">
        <v>21286</v>
      </c>
      <c r="AS1136" t="s">
        <v>21287</v>
      </c>
      <c r="AT1136" t="s">
        <v>74</v>
      </c>
      <c r="AU1136">
        <v>2016</v>
      </c>
      <c r="AV1136">
        <v>8</v>
      </c>
      <c r="AW1136" t="s">
        <v>74</v>
      </c>
      <c r="AX1136" t="s">
        <v>74</v>
      </c>
      <c r="AY1136" t="s">
        <v>74</v>
      </c>
      <c r="AZ1136" t="s">
        <v>74</v>
      </c>
      <c r="BA1136" t="s">
        <v>74</v>
      </c>
      <c r="BB1136">
        <v>31</v>
      </c>
      <c r="BC1136">
        <v>39</v>
      </c>
      <c r="BD1136" t="s">
        <v>74</v>
      </c>
      <c r="BE1136" t="s">
        <v>21288</v>
      </c>
      <c r="BF1136" t="str">
        <f>HYPERLINK("http://dx.doi.org/10.2147/ORR.S71468","http://dx.doi.org/10.2147/ORR.S71468")</f>
        <v>http://dx.doi.org/10.2147/ORR.S71468</v>
      </c>
      <c r="BG1136" t="s">
        <v>74</v>
      </c>
      <c r="BH1136" t="s">
        <v>74</v>
      </c>
      <c r="BI1136">
        <v>9</v>
      </c>
      <c r="BJ1136" t="s">
        <v>443</v>
      </c>
      <c r="BK1136" t="s">
        <v>155</v>
      </c>
      <c r="BL1136" t="s">
        <v>443</v>
      </c>
      <c r="BM1136" t="s">
        <v>21289</v>
      </c>
      <c r="BN1136">
        <v>30774468</v>
      </c>
      <c r="BO1136" t="s">
        <v>377</v>
      </c>
      <c r="BP1136" t="s">
        <v>74</v>
      </c>
      <c r="BQ1136" t="s">
        <v>74</v>
      </c>
      <c r="BR1136" t="s">
        <v>105</v>
      </c>
      <c r="BS1136" t="s">
        <v>21290</v>
      </c>
      <c r="BT1136" t="str">
        <f>HYPERLINK("https%3A%2F%2Fwww.webofscience.com%2Fwos%2Fwoscc%2Ffull-record%2FWOS:000386440600001","View Full Record in Web of Science")</f>
        <v>View Full Record in Web of Science</v>
      </c>
    </row>
    <row r="1137" spans="1:72" x14ac:dyDescent="0.25">
      <c r="A1137" t="s">
        <v>72</v>
      </c>
      <c r="B1137" t="s">
        <v>21291</v>
      </c>
      <c r="C1137" t="s">
        <v>74</v>
      </c>
      <c r="D1137" t="s">
        <v>74</v>
      </c>
      <c r="E1137" t="s">
        <v>74</v>
      </c>
      <c r="F1137" t="s">
        <v>21292</v>
      </c>
      <c r="G1137" t="s">
        <v>74</v>
      </c>
      <c r="H1137" t="s">
        <v>74</v>
      </c>
      <c r="I1137" t="s">
        <v>21293</v>
      </c>
      <c r="J1137" t="s">
        <v>15756</v>
      </c>
      <c r="K1137" t="s">
        <v>74</v>
      </c>
      <c r="L1137" t="s">
        <v>74</v>
      </c>
      <c r="M1137" t="s">
        <v>78</v>
      </c>
      <c r="N1137" t="s">
        <v>79</v>
      </c>
      <c r="O1137" t="s">
        <v>74</v>
      </c>
      <c r="P1137" t="s">
        <v>74</v>
      </c>
      <c r="Q1137" t="s">
        <v>74</v>
      </c>
      <c r="R1137" t="s">
        <v>74</v>
      </c>
      <c r="S1137" t="s">
        <v>74</v>
      </c>
      <c r="T1137" t="s">
        <v>21294</v>
      </c>
      <c r="U1137" t="s">
        <v>21295</v>
      </c>
      <c r="V1137" t="s">
        <v>21296</v>
      </c>
      <c r="W1137" t="s">
        <v>21297</v>
      </c>
      <c r="X1137" t="s">
        <v>74</v>
      </c>
      <c r="Y1137" t="s">
        <v>21298</v>
      </c>
      <c r="Z1137" t="s">
        <v>21299</v>
      </c>
      <c r="AA1137" t="s">
        <v>21300</v>
      </c>
      <c r="AB1137" t="s">
        <v>21301</v>
      </c>
      <c r="AC1137" t="s">
        <v>74</v>
      </c>
      <c r="AD1137" t="s">
        <v>74</v>
      </c>
      <c r="AE1137" t="s">
        <v>74</v>
      </c>
      <c r="AF1137" t="s">
        <v>74</v>
      </c>
      <c r="AG1137">
        <v>55</v>
      </c>
      <c r="AH1137">
        <v>124</v>
      </c>
      <c r="AI1137">
        <v>137</v>
      </c>
      <c r="AJ1137">
        <v>1</v>
      </c>
      <c r="AK1137">
        <v>46</v>
      </c>
      <c r="AL1137" t="s">
        <v>392</v>
      </c>
      <c r="AM1137" t="s">
        <v>393</v>
      </c>
      <c r="AN1137" t="s">
        <v>21302</v>
      </c>
      <c r="AO1137" t="s">
        <v>15769</v>
      </c>
      <c r="AP1137" t="s">
        <v>74</v>
      </c>
      <c r="AQ1137" t="s">
        <v>74</v>
      </c>
      <c r="AR1137" t="s">
        <v>15770</v>
      </c>
      <c r="AS1137" t="s">
        <v>15771</v>
      </c>
      <c r="AT1137" t="s">
        <v>5724</v>
      </c>
      <c r="AU1137">
        <v>2015</v>
      </c>
      <c r="AV1137">
        <v>9</v>
      </c>
      <c r="AW1137" t="s">
        <v>74</v>
      </c>
      <c r="AX1137" t="s">
        <v>74</v>
      </c>
      <c r="AY1137" t="s">
        <v>74</v>
      </c>
      <c r="AZ1137" t="s">
        <v>74</v>
      </c>
      <c r="BA1137" t="s">
        <v>74</v>
      </c>
      <c r="BB1137" t="s">
        <v>74</v>
      </c>
      <c r="BC1137" t="s">
        <v>74</v>
      </c>
      <c r="BD1137">
        <v>162</v>
      </c>
      <c r="BE1137" t="s">
        <v>21303</v>
      </c>
      <c r="BF1137" t="str">
        <f>HYPERLINK("http://dx.doi.org/10.3389/fnsys.2015.00162","http://dx.doi.org/10.3389/fnsys.2015.00162")</f>
        <v>http://dx.doi.org/10.3389/fnsys.2015.00162</v>
      </c>
      <c r="BG1137" t="s">
        <v>74</v>
      </c>
      <c r="BH1137" t="s">
        <v>74</v>
      </c>
      <c r="BI1137">
        <v>7</v>
      </c>
      <c r="BJ1137" t="s">
        <v>374</v>
      </c>
      <c r="BK1137" t="s">
        <v>155</v>
      </c>
      <c r="BL1137" t="s">
        <v>375</v>
      </c>
      <c r="BM1137" t="s">
        <v>21304</v>
      </c>
      <c r="BN1137">
        <v>26648850</v>
      </c>
      <c r="BO1137" t="s">
        <v>5437</v>
      </c>
      <c r="BP1137" t="s">
        <v>74</v>
      </c>
      <c r="BQ1137" t="s">
        <v>74</v>
      </c>
      <c r="BR1137" t="s">
        <v>105</v>
      </c>
      <c r="BS1137" t="s">
        <v>21305</v>
      </c>
      <c r="BT1137" t="str">
        <f>HYPERLINK("https%3A%2F%2Fwww.webofscience.com%2Fwos%2Fwoscc%2Ffull-record%2FWOS:000366818900001","View Full Record in Web of Science")</f>
        <v>View Full Record in Web of Science</v>
      </c>
    </row>
    <row r="1138" spans="1:72" x14ac:dyDescent="0.25">
      <c r="A1138" t="s">
        <v>72</v>
      </c>
      <c r="B1138" t="s">
        <v>21306</v>
      </c>
      <c r="C1138" t="s">
        <v>74</v>
      </c>
      <c r="D1138" t="s">
        <v>74</v>
      </c>
      <c r="E1138" t="s">
        <v>74</v>
      </c>
      <c r="F1138" t="s">
        <v>21307</v>
      </c>
      <c r="G1138" t="s">
        <v>74</v>
      </c>
      <c r="H1138" t="s">
        <v>21308</v>
      </c>
      <c r="I1138" t="s">
        <v>21309</v>
      </c>
      <c r="J1138" t="s">
        <v>594</v>
      </c>
      <c r="K1138" t="s">
        <v>74</v>
      </c>
      <c r="L1138" t="s">
        <v>74</v>
      </c>
      <c r="M1138" t="s">
        <v>78</v>
      </c>
      <c r="N1138" t="s">
        <v>79</v>
      </c>
      <c r="O1138" t="s">
        <v>74</v>
      </c>
      <c r="P1138" t="s">
        <v>74</v>
      </c>
      <c r="Q1138" t="s">
        <v>74</v>
      </c>
      <c r="R1138" t="s">
        <v>74</v>
      </c>
      <c r="S1138" t="s">
        <v>74</v>
      </c>
      <c r="T1138" t="s">
        <v>74</v>
      </c>
      <c r="U1138" t="s">
        <v>21310</v>
      </c>
      <c r="V1138" t="s">
        <v>21311</v>
      </c>
      <c r="W1138" t="s">
        <v>21312</v>
      </c>
      <c r="X1138" t="s">
        <v>21313</v>
      </c>
      <c r="Y1138" t="s">
        <v>21314</v>
      </c>
      <c r="Z1138" t="s">
        <v>20948</v>
      </c>
      <c r="AA1138" t="s">
        <v>21315</v>
      </c>
      <c r="AB1138" t="s">
        <v>21316</v>
      </c>
      <c r="AC1138" t="s">
        <v>21317</v>
      </c>
      <c r="AD1138" t="s">
        <v>21318</v>
      </c>
      <c r="AE1138" t="s">
        <v>21319</v>
      </c>
      <c r="AF1138" t="s">
        <v>74</v>
      </c>
      <c r="AG1138">
        <v>39</v>
      </c>
      <c r="AH1138">
        <v>158</v>
      </c>
      <c r="AI1138">
        <v>173</v>
      </c>
      <c r="AJ1138">
        <v>0</v>
      </c>
      <c r="AK1138">
        <v>49</v>
      </c>
      <c r="AL1138" t="s">
        <v>274</v>
      </c>
      <c r="AM1138" t="s">
        <v>275</v>
      </c>
      <c r="AN1138" t="s">
        <v>276</v>
      </c>
      <c r="AO1138" t="s">
        <v>74</v>
      </c>
      <c r="AP1138" t="s">
        <v>606</v>
      </c>
      <c r="AQ1138" t="s">
        <v>74</v>
      </c>
      <c r="AR1138" t="s">
        <v>607</v>
      </c>
      <c r="AS1138" t="s">
        <v>608</v>
      </c>
      <c r="AT1138" t="s">
        <v>21320</v>
      </c>
      <c r="AU1138">
        <v>2015</v>
      </c>
      <c r="AV1138">
        <v>12</v>
      </c>
      <c r="AW1138" t="s">
        <v>74</v>
      </c>
      <c r="AX1138" t="s">
        <v>74</v>
      </c>
      <c r="AY1138" t="s">
        <v>74</v>
      </c>
      <c r="AZ1138" t="s">
        <v>74</v>
      </c>
      <c r="BA1138" t="s">
        <v>74</v>
      </c>
      <c r="BB1138" t="s">
        <v>74</v>
      </c>
      <c r="BC1138" t="s">
        <v>74</v>
      </c>
      <c r="BD1138">
        <v>82</v>
      </c>
      <c r="BE1138" t="s">
        <v>21321</v>
      </c>
      <c r="BF1138" t="str">
        <f>HYPERLINK("http://dx.doi.org/10.1186/s12984-015-0074-9","http://dx.doi.org/10.1186/s12984-015-0074-9")</f>
        <v>http://dx.doi.org/10.1186/s12984-015-0074-9</v>
      </c>
      <c r="BG1138" t="s">
        <v>74</v>
      </c>
      <c r="BH1138" t="s">
        <v>74</v>
      </c>
      <c r="BI1138">
        <v>10</v>
      </c>
      <c r="BJ1138" t="s">
        <v>611</v>
      </c>
      <c r="BK1138" t="s">
        <v>182</v>
      </c>
      <c r="BL1138" t="s">
        <v>612</v>
      </c>
      <c r="BM1138" t="s">
        <v>21322</v>
      </c>
      <c r="BN1138">
        <v>26463355</v>
      </c>
      <c r="BO1138" t="s">
        <v>355</v>
      </c>
      <c r="BP1138" t="s">
        <v>74</v>
      </c>
      <c r="BQ1138" t="s">
        <v>74</v>
      </c>
      <c r="BR1138" t="s">
        <v>105</v>
      </c>
      <c r="BS1138" t="s">
        <v>21323</v>
      </c>
      <c r="BT1138" t="str">
        <f>HYPERLINK("https%3A%2F%2Fwww.webofscience.com%2Fwos%2Fwoscc%2Ffull-record%2FWOS:000362630200001","View Full Record in Web of Science")</f>
        <v>View Full Record in Web of Science</v>
      </c>
    </row>
    <row r="1139" spans="1:72" x14ac:dyDescent="0.25">
      <c r="A1139" t="s">
        <v>72</v>
      </c>
      <c r="B1139" t="s">
        <v>21324</v>
      </c>
      <c r="C1139" t="s">
        <v>74</v>
      </c>
      <c r="D1139" t="s">
        <v>74</v>
      </c>
      <c r="E1139" t="s">
        <v>74</v>
      </c>
      <c r="F1139" t="s">
        <v>21325</v>
      </c>
      <c r="G1139" t="s">
        <v>74</v>
      </c>
      <c r="H1139" t="s">
        <v>74</v>
      </c>
      <c r="I1139" t="s">
        <v>21326</v>
      </c>
      <c r="J1139" t="s">
        <v>5712</v>
      </c>
      <c r="K1139" t="s">
        <v>74</v>
      </c>
      <c r="L1139" t="s">
        <v>74</v>
      </c>
      <c r="M1139" t="s">
        <v>78</v>
      </c>
      <c r="N1139" t="s">
        <v>79</v>
      </c>
      <c r="O1139" t="s">
        <v>74</v>
      </c>
      <c r="P1139" t="s">
        <v>74</v>
      </c>
      <c r="Q1139" t="s">
        <v>74</v>
      </c>
      <c r="R1139" t="s">
        <v>74</v>
      </c>
      <c r="S1139" t="s">
        <v>74</v>
      </c>
      <c r="T1139" t="s">
        <v>21327</v>
      </c>
      <c r="U1139" t="s">
        <v>21328</v>
      </c>
      <c r="V1139" t="s">
        <v>21329</v>
      </c>
      <c r="W1139" t="s">
        <v>21330</v>
      </c>
      <c r="X1139" t="s">
        <v>21331</v>
      </c>
      <c r="Y1139" t="s">
        <v>21332</v>
      </c>
      <c r="Z1139" t="s">
        <v>21333</v>
      </c>
      <c r="AA1139" t="s">
        <v>21334</v>
      </c>
      <c r="AB1139" t="s">
        <v>21335</v>
      </c>
      <c r="AC1139" t="s">
        <v>74</v>
      </c>
      <c r="AD1139" t="s">
        <v>74</v>
      </c>
      <c r="AE1139" t="s">
        <v>74</v>
      </c>
      <c r="AF1139" t="s">
        <v>74</v>
      </c>
      <c r="AG1139">
        <v>129</v>
      </c>
      <c r="AH1139">
        <v>29</v>
      </c>
      <c r="AI1139">
        <v>29</v>
      </c>
      <c r="AJ1139">
        <v>0</v>
      </c>
      <c r="AK1139">
        <v>3</v>
      </c>
      <c r="AL1139" t="s">
        <v>5238</v>
      </c>
      <c r="AM1139" t="s">
        <v>5239</v>
      </c>
      <c r="AN1139" t="s">
        <v>5240</v>
      </c>
      <c r="AO1139" t="s">
        <v>5720</v>
      </c>
      <c r="AP1139" t="s">
        <v>5721</v>
      </c>
      <c r="AQ1139" t="s">
        <v>74</v>
      </c>
      <c r="AR1139" t="s">
        <v>5722</v>
      </c>
      <c r="AS1139" t="s">
        <v>5723</v>
      </c>
      <c r="AT1139" t="s">
        <v>634</v>
      </c>
      <c r="AU1139">
        <v>2015</v>
      </c>
      <c r="AV1139">
        <v>4</v>
      </c>
      <c r="AW1139">
        <v>4</v>
      </c>
      <c r="AX1139" t="s">
        <v>74</v>
      </c>
      <c r="AY1139" t="s">
        <v>74</v>
      </c>
      <c r="AZ1139" t="s">
        <v>74</v>
      </c>
      <c r="BA1139" t="s">
        <v>74</v>
      </c>
      <c r="BB1139">
        <v>421</v>
      </c>
      <c r="BC1139">
        <v>437</v>
      </c>
      <c r="BD1139" t="s">
        <v>74</v>
      </c>
      <c r="BE1139" t="s">
        <v>21336</v>
      </c>
      <c r="BF1139" t="str">
        <f>HYPERLINK("http://dx.doi.org/10.3978/j.issn.2223-4683.2013.09.10","http://dx.doi.org/10.3978/j.issn.2223-4683.2013.09.10")</f>
        <v>http://dx.doi.org/10.3978/j.issn.2223-4683.2013.09.10</v>
      </c>
      <c r="BG1139" t="s">
        <v>74</v>
      </c>
      <c r="BH1139" t="s">
        <v>74</v>
      </c>
      <c r="BI1139">
        <v>17</v>
      </c>
      <c r="BJ1139" t="s">
        <v>5726</v>
      </c>
      <c r="BK1139" t="s">
        <v>155</v>
      </c>
      <c r="BL1139" t="s">
        <v>5727</v>
      </c>
      <c r="BM1139" t="s">
        <v>21337</v>
      </c>
      <c r="BN1139">
        <v>26816841</v>
      </c>
      <c r="BO1139" t="s">
        <v>74</v>
      </c>
      <c r="BP1139" t="s">
        <v>74</v>
      </c>
      <c r="BQ1139" t="s">
        <v>74</v>
      </c>
      <c r="BR1139" t="s">
        <v>105</v>
      </c>
      <c r="BS1139" t="s">
        <v>21338</v>
      </c>
      <c r="BT1139" t="str">
        <f>HYPERLINK("https%3A%2F%2Fwww.webofscience.com%2Fwos%2Fwoscc%2Ffull-record%2FWOS:000219880700005","View Full Record in Web of Science")</f>
        <v>View Full Record in Web of Science</v>
      </c>
    </row>
    <row r="1140" spans="1:72" x14ac:dyDescent="0.25">
      <c r="A1140" t="s">
        <v>72</v>
      </c>
      <c r="B1140" t="s">
        <v>21339</v>
      </c>
      <c r="C1140" t="s">
        <v>74</v>
      </c>
      <c r="D1140" t="s">
        <v>74</v>
      </c>
      <c r="E1140" t="s">
        <v>74</v>
      </c>
      <c r="F1140" t="s">
        <v>21340</v>
      </c>
      <c r="G1140" t="s">
        <v>74</v>
      </c>
      <c r="H1140" t="s">
        <v>74</v>
      </c>
      <c r="I1140" t="s">
        <v>21341</v>
      </c>
      <c r="J1140" t="s">
        <v>20817</v>
      </c>
      <c r="K1140" t="s">
        <v>74</v>
      </c>
      <c r="L1140" t="s">
        <v>74</v>
      </c>
      <c r="M1140" t="s">
        <v>78</v>
      </c>
      <c r="N1140" t="s">
        <v>79</v>
      </c>
      <c r="O1140" t="s">
        <v>74</v>
      </c>
      <c r="P1140" t="s">
        <v>74</v>
      </c>
      <c r="Q1140" t="s">
        <v>74</v>
      </c>
      <c r="R1140" t="s">
        <v>74</v>
      </c>
      <c r="S1140" t="s">
        <v>74</v>
      </c>
      <c r="T1140" t="s">
        <v>74</v>
      </c>
      <c r="U1140" t="s">
        <v>21342</v>
      </c>
      <c r="V1140" t="s">
        <v>21343</v>
      </c>
      <c r="W1140" t="s">
        <v>21344</v>
      </c>
      <c r="X1140" t="s">
        <v>21345</v>
      </c>
      <c r="Y1140" t="s">
        <v>21346</v>
      </c>
      <c r="Z1140" t="s">
        <v>21347</v>
      </c>
      <c r="AA1140" t="s">
        <v>21348</v>
      </c>
      <c r="AB1140" t="s">
        <v>21349</v>
      </c>
      <c r="AC1140" t="s">
        <v>74</v>
      </c>
      <c r="AD1140" t="s">
        <v>74</v>
      </c>
      <c r="AE1140" t="s">
        <v>74</v>
      </c>
      <c r="AF1140" t="s">
        <v>74</v>
      </c>
      <c r="AG1140">
        <v>104</v>
      </c>
      <c r="AH1140">
        <v>115</v>
      </c>
      <c r="AI1140">
        <v>124</v>
      </c>
      <c r="AJ1140">
        <v>1</v>
      </c>
      <c r="AK1140">
        <v>81</v>
      </c>
      <c r="AL1140" t="s">
        <v>18402</v>
      </c>
      <c r="AM1140" t="s">
        <v>173</v>
      </c>
      <c r="AN1140" t="s">
        <v>20829</v>
      </c>
      <c r="AO1140" t="s">
        <v>20830</v>
      </c>
      <c r="AP1140" t="s">
        <v>20831</v>
      </c>
      <c r="AQ1140" t="s">
        <v>74</v>
      </c>
      <c r="AR1140" t="s">
        <v>20832</v>
      </c>
      <c r="AS1140" t="s">
        <v>20833</v>
      </c>
      <c r="AT1140" t="s">
        <v>1734</v>
      </c>
      <c r="AU1140">
        <v>2015</v>
      </c>
      <c r="AV1140">
        <v>11</v>
      </c>
      <c r="AW1140">
        <v>7</v>
      </c>
      <c r="AX1140" t="s">
        <v>74</v>
      </c>
      <c r="AY1140" t="s">
        <v>74</v>
      </c>
      <c r="AZ1140" t="s">
        <v>74</v>
      </c>
      <c r="BA1140" t="s">
        <v>74</v>
      </c>
      <c r="BB1140">
        <v>390</v>
      </c>
      <c r="BC1140">
        <v>400</v>
      </c>
      <c r="BD1140" t="s">
        <v>74</v>
      </c>
      <c r="BE1140" t="s">
        <v>21350</v>
      </c>
      <c r="BF1140" t="str">
        <f>HYPERLINK("http://dx.doi.org/10.1038/nrneurol.2015.97","http://dx.doi.org/10.1038/nrneurol.2015.97")</f>
        <v>http://dx.doi.org/10.1038/nrneurol.2015.97</v>
      </c>
      <c r="BG1140" t="s">
        <v>74</v>
      </c>
      <c r="BH1140" t="s">
        <v>74</v>
      </c>
      <c r="BI1140">
        <v>11</v>
      </c>
      <c r="BJ1140" t="s">
        <v>541</v>
      </c>
      <c r="BK1140" t="s">
        <v>182</v>
      </c>
      <c r="BL1140" t="s">
        <v>375</v>
      </c>
      <c r="BM1140" t="s">
        <v>21351</v>
      </c>
      <c r="BN1140">
        <v>26077839</v>
      </c>
      <c r="BO1140" t="s">
        <v>74</v>
      </c>
      <c r="BP1140" t="s">
        <v>74</v>
      </c>
      <c r="BQ1140" t="s">
        <v>74</v>
      </c>
      <c r="BR1140" t="s">
        <v>105</v>
      </c>
      <c r="BS1140" t="s">
        <v>21352</v>
      </c>
      <c r="BT1140" t="str">
        <f>HYPERLINK("https%3A%2F%2Fwww.webofscience.com%2Fwos%2Fwoscc%2Ffull-record%2FWOS:000357486700007","View Full Record in Web of Science")</f>
        <v>View Full Record in Web of Science</v>
      </c>
    </row>
    <row r="1141" spans="1:72" x14ac:dyDescent="0.25">
      <c r="A1141" t="s">
        <v>72</v>
      </c>
      <c r="B1141" t="s">
        <v>21353</v>
      </c>
      <c r="C1141" t="s">
        <v>74</v>
      </c>
      <c r="D1141" t="s">
        <v>74</v>
      </c>
      <c r="E1141" t="s">
        <v>74</v>
      </c>
      <c r="F1141" t="s">
        <v>21354</v>
      </c>
      <c r="G1141" t="s">
        <v>74</v>
      </c>
      <c r="H1141" t="s">
        <v>74</v>
      </c>
      <c r="I1141" t="s">
        <v>21355</v>
      </c>
      <c r="J1141" t="s">
        <v>684</v>
      </c>
      <c r="K1141" t="s">
        <v>74</v>
      </c>
      <c r="L1141" t="s">
        <v>74</v>
      </c>
      <c r="M1141" t="s">
        <v>78</v>
      </c>
      <c r="N1141" t="s">
        <v>79</v>
      </c>
      <c r="O1141" t="s">
        <v>74</v>
      </c>
      <c r="P1141" t="s">
        <v>74</v>
      </c>
      <c r="Q1141" t="s">
        <v>74</v>
      </c>
      <c r="R1141" t="s">
        <v>74</v>
      </c>
      <c r="S1141" t="s">
        <v>74</v>
      </c>
      <c r="T1141" t="s">
        <v>21356</v>
      </c>
      <c r="U1141" t="s">
        <v>21357</v>
      </c>
      <c r="V1141" t="s">
        <v>21358</v>
      </c>
      <c r="W1141" t="s">
        <v>21359</v>
      </c>
      <c r="X1141" t="s">
        <v>19361</v>
      </c>
      <c r="Y1141" t="s">
        <v>21360</v>
      </c>
      <c r="Z1141" t="s">
        <v>21361</v>
      </c>
      <c r="AA1141" t="s">
        <v>21362</v>
      </c>
      <c r="AB1141" t="s">
        <v>21363</v>
      </c>
      <c r="AC1141" t="s">
        <v>21364</v>
      </c>
      <c r="AD1141" t="s">
        <v>21365</v>
      </c>
      <c r="AE1141" t="s">
        <v>21366</v>
      </c>
      <c r="AF1141" t="s">
        <v>74</v>
      </c>
      <c r="AG1141">
        <v>97</v>
      </c>
      <c r="AH1141">
        <v>34</v>
      </c>
      <c r="AI1141">
        <v>39</v>
      </c>
      <c r="AJ1141">
        <v>8</v>
      </c>
      <c r="AK1141">
        <v>155</v>
      </c>
      <c r="AL1141" t="s">
        <v>557</v>
      </c>
      <c r="AM1141" t="s">
        <v>275</v>
      </c>
      <c r="AN1141" t="s">
        <v>558</v>
      </c>
      <c r="AO1141" t="s">
        <v>691</v>
      </c>
      <c r="AP1141" t="s">
        <v>692</v>
      </c>
      <c r="AQ1141" t="s">
        <v>74</v>
      </c>
      <c r="AR1141" t="s">
        <v>693</v>
      </c>
      <c r="AS1141" t="s">
        <v>694</v>
      </c>
      <c r="AT1141" t="s">
        <v>1070</v>
      </c>
      <c r="AU1141">
        <v>2015</v>
      </c>
      <c r="AV1141">
        <v>229</v>
      </c>
      <c r="AW1141">
        <v>6</v>
      </c>
      <c r="AX1141" t="s">
        <v>74</v>
      </c>
      <c r="AY1141" t="s">
        <v>74</v>
      </c>
      <c r="AZ1141" t="s">
        <v>74</v>
      </c>
      <c r="BA1141" t="s">
        <v>74</v>
      </c>
      <c r="BB1141">
        <v>452</v>
      </c>
      <c r="BC1141">
        <v>463</v>
      </c>
      <c r="BD1141" t="s">
        <v>74</v>
      </c>
      <c r="BE1141" t="s">
        <v>21367</v>
      </c>
      <c r="BF1141" t="str">
        <f>HYPERLINK("http://dx.doi.org/10.1177/0954411915585597","http://dx.doi.org/10.1177/0954411915585597")</f>
        <v>http://dx.doi.org/10.1177/0954411915585597</v>
      </c>
      <c r="BG1141" t="s">
        <v>74</v>
      </c>
      <c r="BH1141" t="s">
        <v>74</v>
      </c>
      <c r="BI1141">
        <v>12</v>
      </c>
      <c r="BJ1141" t="s">
        <v>282</v>
      </c>
      <c r="BK1141" t="s">
        <v>182</v>
      </c>
      <c r="BL1141" t="s">
        <v>183</v>
      </c>
      <c r="BM1141" t="s">
        <v>21368</v>
      </c>
      <c r="BN1141">
        <v>25979442</v>
      </c>
      <c r="BO1141" t="s">
        <v>74</v>
      </c>
      <c r="BP1141" t="s">
        <v>74</v>
      </c>
      <c r="BQ1141" t="s">
        <v>74</v>
      </c>
      <c r="BR1141" t="s">
        <v>105</v>
      </c>
      <c r="BS1141" t="s">
        <v>21369</v>
      </c>
      <c r="BT1141" t="str">
        <f>HYPERLINK("https%3A%2F%2Fwww.webofscience.com%2Fwos%2Fwoscc%2Ffull-record%2FWOS:000355856600004","View Full Record in Web of Science")</f>
        <v>View Full Record in Web of Science</v>
      </c>
    </row>
    <row r="1142" spans="1:72" x14ac:dyDescent="0.25">
      <c r="A1142" t="s">
        <v>72</v>
      </c>
      <c r="B1142" t="s">
        <v>21370</v>
      </c>
      <c r="C1142" t="s">
        <v>74</v>
      </c>
      <c r="D1142" t="s">
        <v>74</v>
      </c>
      <c r="E1142" t="s">
        <v>74</v>
      </c>
      <c r="F1142" t="s">
        <v>21371</v>
      </c>
      <c r="G1142" t="s">
        <v>74</v>
      </c>
      <c r="H1142" t="s">
        <v>74</v>
      </c>
      <c r="I1142" t="s">
        <v>21372</v>
      </c>
      <c r="J1142" t="s">
        <v>21373</v>
      </c>
      <c r="K1142" t="s">
        <v>74</v>
      </c>
      <c r="L1142" t="s">
        <v>74</v>
      </c>
      <c r="M1142" t="s">
        <v>21374</v>
      </c>
      <c r="N1142" t="s">
        <v>79</v>
      </c>
      <c r="O1142" t="s">
        <v>74</v>
      </c>
      <c r="P1142" t="s">
        <v>74</v>
      </c>
      <c r="Q1142" t="s">
        <v>74</v>
      </c>
      <c r="R1142" t="s">
        <v>74</v>
      </c>
      <c r="S1142" t="s">
        <v>74</v>
      </c>
      <c r="T1142" t="s">
        <v>21375</v>
      </c>
      <c r="U1142" t="s">
        <v>21376</v>
      </c>
      <c r="V1142" t="s">
        <v>21377</v>
      </c>
      <c r="W1142" t="s">
        <v>21378</v>
      </c>
      <c r="X1142" t="s">
        <v>21379</v>
      </c>
      <c r="Y1142" t="s">
        <v>21380</v>
      </c>
      <c r="Z1142" t="s">
        <v>21381</v>
      </c>
      <c r="AA1142" t="s">
        <v>21382</v>
      </c>
      <c r="AB1142" t="s">
        <v>74</v>
      </c>
      <c r="AC1142" t="s">
        <v>74</v>
      </c>
      <c r="AD1142" t="s">
        <v>74</v>
      </c>
      <c r="AE1142" t="s">
        <v>74</v>
      </c>
      <c r="AF1142" t="s">
        <v>74</v>
      </c>
      <c r="AG1142">
        <v>27</v>
      </c>
      <c r="AH1142">
        <v>1</v>
      </c>
      <c r="AI1142">
        <v>1</v>
      </c>
      <c r="AJ1142">
        <v>0</v>
      </c>
      <c r="AK1142">
        <v>13</v>
      </c>
      <c r="AL1142" t="s">
        <v>9394</v>
      </c>
      <c r="AM1142" t="s">
        <v>9395</v>
      </c>
      <c r="AN1142" t="s">
        <v>21383</v>
      </c>
      <c r="AO1142" t="s">
        <v>21384</v>
      </c>
      <c r="AP1142" t="s">
        <v>21385</v>
      </c>
      <c r="AQ1142" t="s">
        <v>74</v>
      </c>
      <c r="AR1142" t="s">
        <v>21386</v>
      </c>
      <c r="AS1142" t="s">
        <v>21387</v>
      </c>
      <c r="AT1142" t="s">
        <v>487</v>
      </c>
      <c r="AU1142">
        <v>2015</v>
      </c>
      <c r="AV1142">
        <v>61</v>
      </c>
      <c r="AW1142" t="s">
        <v>74</v>
      </c>
      <c r="AX1142" t="s">
        <v>74</v>
      </c>
      <c r="AY1142">
        <v>1</v>
      </c>
      <c r="AZ1142" t="s">
        <v>74</v>
      </c>
      <c r="BA1142" t="s">
        <v>74</v>
      </c>
      <c r="BB1142" t="s">
        <v>21388</v>
      </c>
      <c r="BC1142" t="s">
        <v>21389</v>
      </c>
      <c r="BD1142" t="s">
        <v>74</v>
      </c>
      <c r="BE1142" t="s">
        <v>21390</v>
      </c>
      <c r="BF1142" t="str">
        <f>HYPERLINK("http://dx.doi.org/10.5152/tftrd.2015.87513","http://dx.doi.org/10.5152/tftrd.2015.87513")</f>
        <v>http://dx.doi.org/10.5152/tftrd.2015.87513</v>
      </c>
      <c r="BG1142" t="s">
        <v>74</v>
      </c>
      <c r="BH1142" t="s">
        <v>74</v>
      </c>
      <c r="BI1142">
        <v>5</v>
      </c>
      <c r="BJ1142" t="s">
        <v>101</v>
      </c>
      <c r="BK1142" t="s">
        <v>182</v>
      </c>
      <c r="BL1142" t="s">
        <v>101</v>
      </c>
      <c r="BM1142" t="s">
        <v>21391</v>
      </c>
      <c r="BN1142" t="s">
        <v>74</v>
      </c>
      <c r="BO1142" t="s">
        <v>1052</v>
      </c>
      <c r="BP1142" t="s">
        <v>74</v>
      </c>
      <c r="BQ1142" t="s">
        <v>74</v>
      </c>
      <c r="BR1142" t="s">
        <v>105</v>
      </c>
      <c r="BS1142" t="s">
        <v>21392</v>
      </c>
      <c r="BT1142" t="str">
        <f>HYPERLINK("https%3A%2F%2Fwww.webofscience.com%2Fwos%2Fwoscc%2Ffull-record%2FWOS:000357335000008","View Full Record in Web of Science")</f>
        <v>View Full Record in Web of Science</v>
      </c>
    </row>
    <row r="1143" spans="1:72" x14ac:dyDescent="0.25">
      <c r="A1143" t="s">
        <v>72</v>
      </c>
      <c r="B1143" t="s">
        <v>21393</v>
      </c>
      <c r="C1143" t="s">
        <v>74</v>
      </c>
      <c r="D1143" t="s">
        <v>74</v>
      </c>
      <c r="E1143" t="s">
        <v>74</v>
      </c>
      <c r="F1143" t="s">
        <v>21394</v>
      </c>
      <c r="G1143" t="s">
        <v>74</v>
      </c>
      <c r="H1143" t="s">
        <v>74</v>
      </c>
      <c r="I1143" t="s">
        <v>21395</v>
      </c>
      <c r="J1143" t="s">
        <v>21373</v>
      </c>
      <c r="K1143" t="s">
        <v>74</v>
      </c>
      <c r="L1143" t="s">
        <v>74</v>
      </c>
      <c r="M1143" t="s">
        <v>21374</v>
      </c>
      <c r="N1143" t="s">
        <v>79</v>
      </c>
      <c r="O1143" t="s">
        <v>74</v>
      </c>
      <c r="P1143" t="s">
        <v>74</v>
      </c>
      <c r="Q1143" t="s">
        <v>74</v>
      </c>
      <c r="R1143" t="s">
        <v>74</v>
      </c>
      <c r="S1143" t="s">
        <v>74</v>
      </c>
      <c r="T1143" t="s">
        <v>21396</v>
      </c>
      <c r="U1143" t="s">
        <v>21397</v>
      </c>
      <c r="V1143" t="s">
        <v>21398</v>
      </c>
      <c r="W1143" t="s">
        <v>21399</v>
      </c>
      <c r="X1143" t="s">
        <v>21400</v>
      </c>
      <c r="Y1143" t="s">
        <v>21401</v>
      </c>
      <c r="Z1143" t="s">
        <v>21402</v>
      </c>
      <c r="AA1143" t="s">
        <v>74</v>
      </c>
      <c r="AB1143" t="s">
        <v>74</v>
      </c>
      <c r="AC1143" t="s">
        <v>74</v>
      </c>
      <c r="AD1143" t="s">
        <v>74</v>
      </c>
      <c r="AE1143" t="s">
        <v>74</v>
      </c>
      <c r="AF1143" t="s">
        <v>74</v>
      </c>
      <c r="AG1143">
        <v>42</v>
      </c>
      <c r="AH1143">
        <v>1</v>
      </c>
      <c r="AI1143">
        <v>1</v>
      </c>
      <c r="AJ1143">
        <v>2</v>
      </c>
      <c r="AK1143">
        <v>36</v>
      </c>
      <c r="AL1143" t="s">
        <v>9394</v>
      </c>
      <c r="AM1143" t="s">
        <v>9395</v>
      </c>
      <c r="AN1143" t="s">
        <v>21383</v>
      </c>
      <c r="AO1143" t="s">
        <v>21384</v>
      </c>
      <c r="AP1143" t="s">
        <v>21385</v>
      </c>
      <c r="AQ1143" t="s">
        <v>74</v>
      </c>
      <c r="AR1143" t="s">
        <v>21386</v>
      </c>
      <c r="AS1143" t="s">
        <v>21387</v>
      </c>
      <c r="AT1143" t="s">
        <v>487</v>
      </c>
      <c r="AU1143">
        <v>2015</v>
      </c>
      <c r="AV1143">
        <v>61</v>
      </c>
      <c r="AW1143" t="s">
        <v>74</v>
      </c>
      <c r="AX1143" t="s">
        <v>74</v>
      </c>
      <c r="AY1143">
        <v>1</v>
      </c>
      <c r="AZ1143" t="s">
        <v>74</v>
      </c>
      <c r="BA1143" t="s">
        <v>74</v>
      </c>
      <c r="BB1143" t="s">
        <v>21403</v>
      </c>
      <c r="BC1143" t="s">
        <v>512</v>
      </c>
      <c r="BD1143" t="s">
        <v>74</v>
      </c>
      <c r="BE1143" t="s">
        <v>21404</v>
      </c>
      <c r="BF1143" t="str">
        <f>HYPERLINK("http://dx.doi.org/10.5152/tftrd.2015.59558","http://dx.doi.org/10.5152/tftrd.2015.59558")</f>
        <v>http://dx.doi.org/10.5152/tftrd.2015.59558</v>
      </c>
      <c r="BG1143" t="s">
        <v>74</v>
      </c>
      <c r="BH1143" t="s">
        <v>74</v>
      </c>
      <c r="BI1143">
        <v>8</v>
      </c>
      <c r="BJ1143" t="s">
        <v>101</v>
      </c>
      <c r="BK1143" t="s">
        <v>182</v>
      </c>
      <c r="BL1143" t="s">
        <v>101</v>
      </c>
      <c r="BM1143" t="s">
        <v>21391</v>
      </c>
      <c r="BN1143" t="s">
        <v>74</v>
      </c>
      <c r="BO1143" t="s">
        <v>1052</v>
      </c>
      <c r="BP1143" t="s">
        <v>74</v>
      </c>
      <c r="BQ1143" t="s">
        <v>74</v>
      </c>
      <c r="BR1143" t="s">
        <v>105</v>
      </c>
      <c r="BS1143" t="s">
        <v>21405</v>
      </c>
      <c r="BT1143" t="str">
        <f>HYPERLINK("https%3A%2F%2Fwww.webofscience.com%2Fwos%2Fwoscc%2Ffull-record%2FWOS:000357335000009","View Full Record in Web of Science")</f>
        <v>View Full Record in Web of Science</v>
      </c>
    </row>
    <row r="1144" spans="1:72" x14ac:dyDescent="0.25">
      <c r="A1144" t="s">
        <v>72</v>
      </c>
      <c r="B1144" t="s">
        <v>21406</v>
      </c>
      <c r="C1144" t="s">
        <v>74</v>
      </c>
      <c r="D1144" t="s">
        <v>74</v>
      </c>
      <c r="E1144" t="s">
        <v>74</v>
      </c>
      <c r="F1144" t="s">
        <v>21407</v>
      </c>
      <c r="G1144" t="s">
        <v>74</v>
      </c>
      <c r="H1144" t="s">
        <v>74</v>
      </c>
      <c r="I1144" t="s">
        <v>21408</v>
      </c>
      <c r="J1144" t="s">
        <v>15756</v>
      </c>
      <c r="K1144" t="s">
        <v>74</v>
      </c>
      <c r="L1144" t="s">
        <v>74</v>
      </c>
      <c r="M1144" t="s">
        <v>78</v>
      </c>
      <c r="N1144" t="s">
        <v>79</v>
      </c>
      <c r="O1144" t="s">
        <v>74</v>
      </c>
      <c r="P1144" t="s">
        <v>74</v>
      </c>
      <c r="Q1144" t="s">
        <v>74</v>
      </c>
      <c r="R1144" t="s">
        <v>74</v>
      </c>
      <c r="S1144" t="s">
        <v>74</v>
      </c>
      <c r="T1144" t="s">
        <v>21409</v>
      </c>
      <c r="U1144" t="s">
        <v>21410</v>
      </c>
      <c r="V1144" t="s">
        <v>21411</v>
      </c>
      <c r="W1144" t="s">
        <v>21412</v>
      </c>
      <c r="X1144" t="s">
        <v>21413</v>
      </c>
      <c r="Y1144" t="s">
        <v>21414</v>
      </c>
      <c r="Z1144" t="s">
        <v>21415</v>
      </c>
      <c r="AA1144" t="s">
        <v>74</v>
      </c>
      <c r="AB1144" t="s">
        <v>21416</v>
      </c>
      <c r="AC1144" t="s">
        <v>74</v>
      </c>
      <c r="AD1144" t="s">
        <v>74</v>
      </c>
      <c r="AE1144" t="s">
        <v>74</v>
      </c>
      <c r="AF1144" t="s">
        <v>74</v>
      </c>
      <c r="AG1144">
        <v>45</v>
      </c>
      <c r="AH1144">
        <v>97</v>
      </c>
      <c r="AI1144">
        <v>103</v>
      </c>
      <c r="AJ1144">
        <v>1</v>
      </c>
      <c r="AK1144">
        <v>45</v>
      </c>
      <c r="AL1144" t="s">
        <v>392</v>
      </c>
      <c r="AM1144" t="s">
        <v>393</v>
      </c>
      <c r="AN1144" t="s">
        <v>394</v>
      </c>
      <c r="AO1144" t="s">
        <v>74</v>
      </c>
      <c r="AP1144" t="s">
        <v>15769</v>
      </c>
      <c r="AQ1144" t="s">
        <v>74</v>
      </c>
      <c r="AR1144" t="s">
        <v>15770</v>
      </c>
      <c r="AS1144" t="s">
        <v>15771</v>
      </c>
      <c r="AT1144" t="s">
        <v>99</v>
      </c>
      <c r="AU1144">
        <v>2015</v>
      </c>
      <c r="AV1144">
        <v>9</v>
      </c>
      <c r="AW1144" t="s">
        <v>74</v>
      </c>
      <c r="AX1144" t="s">
        <v>74</v>
      </c>
      <c r="AY1144" t="s">
        <v>74</v>
      </c>
      <c r="AZ1144" t="s">
        <v>74</v>
      </c>
      <c r="BA1144" t="s">
        <v>74</v>
      </c>
      <c r="BB1144" t="s">
        <v>74</v>
      </c>
      <c r="BC1144" t="s">
        <v>74</v>
      </c>
      <c r="BD1144">
        <v>48</v>
      </c>
      <c r="BE1144" t="s">
        <v>21417</v>
      </c>
      <c r="BF1144" t="str">
        <f>HYPERLINK("http://dx.doi.org/10.3389/fnsys.2015.00048","http://dx.doi.org/10.3389/fnsys.2015.00048")</f>
        <v>http://dx.doi.org/10.3389/fnsys.2015.00048</v>
      </c>
      <c r="BG1144" t="s">
        <v>74</v>
      </c>
      <c r="BH1144" t="s">
        <v>74</v>
      </c>
      <c r="BI1144">
        <v>10</v>
      </c>
      <c r="BJ1144" t="s">
        <v>374</v>
      </c>
      <c r="BK1144" t="s">
        <v>155</v>
      </c>
      <c r="BL1144" t="s">
        <v>375</v>
      </c>
      <c r="BM1144" t="s">
        <v>21418</v>
      </c>
      <c r="BN1144">
        <v>25859191</v>
      </c>
      <c r="BO1144" t="s">
        <v>355</v>
      </c>
      <c r="BP1144" t="s">
        <v>74</v>
      </c>
      <c r="BQ1144" t="s">
        <v>74</v>
      </c>
      <c r="BR1144" t="s">
        <v>105</v>
      </c>
      <c r="BS1144" t="s">
        <v>21419</v>
      </c>
      <c r="BT1144" t="str">
        <f>HYPERLINK("https%3A%2F%2Fwww.webofscience.com%2Fwos%2Fwoscc%2Ffull-record%2FWOS:000363675900001","View Full Record in Web of Science")</f>
        <v>View Full Record in Web of Science</v>
      </c>
    </row>
    <row r="1145" spans="1:72" x14ac:dyDescent="0.25">
      <c r="A1145" t="s">
        <v>72</v>
      </c>
      <c r="B1145" t="s">
        <v>21420</v>
      </c>
      <c r="C1145" t="s">
        <v>74</v>
      </c>
      <c r="D1145" t="s">
        <v>74</v>
      </c>
      <c r="E1145" t="s">
        <v>74</v>
      </c>
      <c r="F1145" t="s">
        <v>21421</v>
      </c>
      <c r="G1145" t="s">
        <v>74</v>
      </c>
      <c r="H1145" t="s">
        <v>74</v>
      </c>
      <c r="I1145" t="s">
        <v>21422</v>
      </c>
      <c r="J1145" t="s">
        <v>2198</v>
      </c>
      <c r="K1145" t="s">
        <v>74</v>
      </c>
      <c r="L1145" t="s">
        <v>74</v>
      </c>
      <c r="M1145" t="s">
        <v>78</v>
      </c>
      <c r="N1145" t="s">
        <v>79</v>
      </c>
      <c r="O1145" t="s">
        <v>74</v>
      </c>
      <c r="P1145" t="s">
        <v>74</v>
      </c>
      <c r="Q1145" t="s">
        <v>74</v>
      </c>
      <c r="R1145" t="s">
        <v>74</v>
      </c>
      <c r="S1145" t="s">
        <v>74</v>
      </c>
      <c r="T1145" t="s">
        <v>21423</v>
      </c>
      <c r="U1145" t="s">
        <v>21424</v>
      </c>
      <c r="V1145" t="s">
        <v>21425</v>
      </c>
      <c r="W1145" t="s">
        <v>21426</v>
      </c>
      <c r="X1145" t="s">
        <v>21427</v>
      </c>
      <c r="Y1145" t="s">
        <v>21428</v>
      </c>
      <c r="Z1145" t="s">
        <v>21429</v>
      </c>
      <c r="AA1145" t="s">
        <v>21430</v>
      </c>
      <c r="AB1145" t="s">
        <v>21431</v>
      </c>
      <c r="AC1145" t="s">
        <v>21432</v>
      </c>
      <c r="AD1145" t="s">
        <v>21433</v>
      </c>
      <c r="AE1145" t="s">
        <v>21434</v>
      </c>
      <c r="AF1145" t="s">
        <v>74</v>
      </c>
      <c r="AG1145">
        <v>97</v>
      </c>
      <c r="AH1145">
        <v>46</v>
      </c>
      <c r="AI1145">
        <v>57</v>
      </c>
      <c r="AJ1145">
        <v>0</v>
      </c>
      <c r="AK1145">
        <v>48</v>
      </c>
      <c r="AL1145" t="s">
        <v>392</v>
      </c>
      <c r="AM1145" t="s">
        <v>393</v>
      </c>
      <c r="AN1145" t="s">
        <v>394</v>
      </c>
      <c r="AO1145" t="s">
        <v>2206</v>
      </c>
      <c r="AP1145" t="s">
        <v>74</v>
      </c>
      <c r="AQ1145" t="s">
        <v>74</v>
      </c>
      <c r="AR1145" t="s">
        <v>2207</v>
      </c>
      <c r="AS1145" t="s">
        <v>2208</v>
      </c>
      <c r="AT1145" t="s">
        <v>21435</v>
      </c>
      <c r="AU1145">
        <v>2015</v>
      </c>
      <c r="AV1145">
        <v>9</v>
      </c>
      <c r="AW1145" t="s">
        <v>74</v>
      </c>
      <c r="AX1145" t="s">
        <v>74</v>
      </c>
      <c r="AY1145" t="s">
        <v>74</v>
      </c>
      <c r="AZ1145" t="s">
        <v>74</v>
      </c>
      <c r="BA1145" t="s">
        <v>74</v>
      </c>
      <c r="BB1145" t="s">
        <v>74</v>
      </c>
      <c r="BC1145" t="s">
        <v>74</v>
      </c>
      <c r="BD1145">
        <v>120</v>
      </c>
      <c r="BE1145" t="s">
        <v>21436</v>
      </c>
      <c r="BF1145" t="str">
        <f>HYPERLINK("http://dx.doi.org/10.3389/fnhum.2015.00120","http://dx.doi.org/10.3389/fnhum.2015.00120")</f>
        <v>http://dx.doi.org/10.3389/fnhum.2015.00120</v>
      </c>
      <c r="BG1145" t="s">
        <v>74</v>
      </c>
      <c r="BH1145" t="s">
        <v>74</v>
      </c>
      <c r="BI1145">
        <v>11</v>
      </c>
      <c r="BJ1145" t="s">
        <v>2211</v>
      </c>
      <c r="BK1145" t="s">
        <v>102</v>
      </c>
      <c r="BL1145" t="s">
        <v>2212</v>
      </c>
      <c r="BM1145" t="s">
        <v>21437</v>
      </c>
      <c r="BN1145">
        <v>25784872</v>
      </c>
      <c r="BO1145" t="s">
        <v>131</v>
      </c>
      <c r="BP1145" t="s">
        <v>74</v>
      </c>
      <c r="BQ1145" t="s">
        <v>74</v>
      </c>
      <c r="BR1145" t="s">
        <v>105</v>
      </c>
      <c r="BS1145" t="s">
        <v>21438</v>
      </c>
      <c r="BT1145" t="str">
        <f>HYPERLINK("https%3A%2F%2Fwww.webofscience.com%2Fwos%2Fwoscc%2Ffull-record%2FWOS:000350441600001","View Full Record in Web of Science")</f>
        <v>View Full Record in Web of Science</v>
      </c>
    </row>
    <row r="1146" spans="1:72" x14ac:dyDescent="0.25">
      <c r="A1146" t="s">
        <v>72</v>
      </c>
      <c r="B1146" t="s">
        <v>21439</v>
      </c>
      <c r="C1146" t="s">
        <v>74</v>
      </c>
      <c r="D1146" t="s">
        <v>74</v>
      </c>
      <c r="E1146" t="s">
        <v>74</v>
      </c>
      <c r="F1146" t="s">
        <v>21440</v>
      </c>
      <c r="G1146" t="s">
        <v>74</v>
      </c>
      <c r="H1146" t="s">
        <v>74</v>
      </c>
      <c r="I1146" t="s">
        <v>21441</v>
      </c>
      <c r="J1146" t="s">
        <v>2429</v>
      </c>
      <c r="K1146" t="s">
        <v>74</v>
      </c>
      <c r="L1146" t="s">
        <v>74</v>
      </c>
      <c r="M1146" t="s">
        <v>78</v>
      </c>
      <c r="N1146" t="s">
        <v>79</v>
      </c>
      <c r="O1146" t="s">
        <v>74</v>
      </c>
      <c r="P1146" t="s">
        <v>74</v>
      </c>
      <c r="Q1146" t="s">
        <v>74</v>
      </c>
      <c r="R1146" t="s">
        <v>74</v>
      </c>
      <c r="S1146" t="s">
        <v>74</v>
      </c>
      <c r="T1146" t="s">
        <v>74</v>
      </c>
      <c r="U1146" t="s">
        <v>21442</v>
      </c>
      <c r="V1146" t="s">
        <v>21443</v>
      </c>
      <c r="W1146" t="s">
        <v>21444</v>
      </c>
      <c r="X1146" t="s">
        <v>21445</v>
      </c>
      <c r="Y1146" t="s">
        <v>21446</v>
      </c>
      <c r="Z1146" t="s">
        <v>21447</v>
      </c>
      <c r="AA1146" t="s">
        <v>21448</v>
      </c>
      <c r="AB1146" t="s">
        <v>74</v>
      </c>
      <c r="AC1146" t="s">
        <v>74</v>
      </c>
      <c r="AD1146" t="s">
        <v>74</v>
      </c>
      <c r="AE1146" t="s">
        <v>74</v>
      </c>
      <c r="AF1146" t="s">
        <v>74</v>
      </c>
      <c r="AG1146">
        <v>49</v>
      </c>
      <c r="AH1146">
        <v>35</v>
      </c>
      <c r="AI1146">
        <v>39</v>
      </c>
      <c r="AJ1146">
        <v>3</v>
      </c>
      <c r="AK1146">
        <v>94</v>
      </c>
      <c r="AL1146" t="s">
        <v>557</v>
      </c>
      <c r="AM1146" t="s">
        <v>275</v>
      </c>
      <c r="AN1146" t="s">
        <v>558</v>
      </c>
      <c r="AO1146" t="s">
        <v>2440</v>
      </c>
      <c r="AP1146" t="s">
        <v>2441</v>
      </c>
      <c r="AQ1146" t="s">
        <v>74</v>
      </c>
      <c r="AR1146" t="s">
        <v>2442</v>
      </c>
      <c r="AS1146" t="s">
        <v>2443</v>
      </c>
      <c r="AT1146" t="s">
        <v>351</v>
      </c>
      <c r="AU1146">
        <v>2015</v>
      </c>
      <c r="AV1146">
        <v>7</v>
      </c>
      <c r="AW1146">
        <v>2</v>
      </c>
      <c r="AX1146" t="s">
        <v>74</v>
      </c>
      <c r="AY1146" t="s">
        <v>74</v>
      </c>
      <c r="AZ1146" t="s">
        <v>74</v>
      </c>
      <c r="BA1146" t="s">
        <v>74</v>
      </c>
      <c r="BB1146" t="s">
        <v>74</v>
      </c>
      <c r="BC1146" t="s">
        <v>74</v>
      </c>
      <c r="BD1146">
        <v>563062</v>
      </c>
      <c r="BE1146" t="s">
        <v>21449</v>
      </c>
      <c r="BF1146" t="str">
        <f>HYPERLINK("http://dx.doi.org/10.1155/2014/563062","http://dx.doi.org/10.1155/2014/563062")</f>
        <v>http://dx.doi.org/10.1155/2014/563062</v>
      </c>
      <c r="BG1146" t="s">
        <v>74</v>
      </c>
      <c r="BH1146" t="s">
        <v>74</v>
      </c>
      <c r="BI1146">
        <v>11</v>
      </c>
      <c r="BJ1146" t="s">
        <v>2445</v>
      </c>
      <c r="BK1146" t="s">
        <v>182</v>
      </c>
      <c r="BL1146" t="s">
        <v>2446</v>
      </c>
      <c r="BM1146" t="s">
        <v>21450</v>
      </c>
      <c r="BN1146" t="s">
        <v>74</v>
      </c>
      <c r="BO1146" t="s">
        <v>185</v>
      </c>
      <c r="BP1146" t="s">
        <v>74</v>
      </c>
      <c r="BQ1146" t="s">
        <v>74</v>
      </c>
      <c r="BR1146" t="s">
        <v>105</v>
      </c>
      <c r="BS1146" t="s">
        <v>21451</v>
      </c>
      <c r="BT1146" t="str">
        <f>HYPERLINK("https%3A%2F%2Fwww.webofscience.com%2Fwos%2Fwoscc%2Ffull-record%2FWOS:000354083600024","View Full Record in Web of Science")</f>
        <v>View Full Record in Web of Science</v>
      </c>
    </row>
    <row r="1147" spans="1:72" x14ac:dyDescent="0.25">
      <c r="A1147" t="s">
        <v>72</v>
      </c>
      <c r="B1147" t="s">
        <v>21452</v>
      </c>
      <c r="C1147" t="s">
        <v>74</v>
      </c>
      <c r="D1147" t="s">
        <v>74</v>
      </c>
      <c r="E1147" t="s">
        <v>74</v>
      </c>
      <c r="F1147" t="s">
        <v>21453</v>
      </c>
      <c r="G1147" t="s">
        <v>74</v>
      </c>
      <c r="H1147" t="s">
        <v>74</v>
      </c>
      <c r="I1147" t="s">
        <v>21454</v>
      </c>
      <c r="J1147" t="s">
        <v>594</v>
      </c>
      <c r="K1147" t="s">
        <v>74</v>
      </c>
      <c r="L1147" t="s">
        <v>74</v>
      </c>
      <c r="M1147" t="s">
        <v>78</v>
      </c>
      <c r="N1147" t="s">
        <v>79</v>
      </c>
      <c r="O1147" t="s">
        <v>74</v>
      </c>
      <c r="P1147" t="s">
        <v>74</v>
      </c>
      <c r="Q1147" t="s">
        <v>74</v>
      </c>
      <c r="R1147" t="s">
        <v>74</v>
      </c>
      <c r="S1147" t="s">
        <v>74</v>
      </c>
      <c r="T1147" t="s">
        <v>21455</v>
      </c>
      <c r="U1147" t="s">
        <v>21456</v>
      </c>
      <c r="V1147" t="s">
        <v>21457</v>
      </c>
      <c r="W1147" t="s">
        <v>21458</v>
      </c>
      <c r="X1147" t="s">
        <v>21459</v>
      </c>
      <c r="Y1147" t="s">
        <v>21460</v>
      </c>
      <c r="Z1147" t="s">
        <v>21461</v>
      </c>
      <c r="AA1147" t="s">
        <v>21462</v>
      </c>
      <c r="AB1147" t="s">
        <v>21463</v>
      </c>
      <c r="AC1147" t="s">
        <v>21464</v>
      </c>
      <c r="AD1147" t="s">
        <v>21465</v>
      </c>
      <c r="AE1147" t="s">
        <v>21466</v>
      </c>
      <c r="AF1147" t="s">
        <v>74</v>
      </c>
      <c r="AG1147">
        <v>241</v>
      </c>
      <c r="AH1147">
        <v>623</v>
      </c>
      <c r="AI1147">
        <v>692</v>
      </c>
      <c r="AJ1147">
        <v>45</v>
      </c>
      <c r="AK1147">
        <v>784</v>
      </c>
      <c r="AL1147" t="s">
        <v>274</v>
      </c>
      <c r="AM1147" t="s">
        <v>275</v>
      </c>
      <c r="AN1147" t="s">
        <v>276</v>
      </c>
      <c r="AO1147" t="s">
        <v>74</v>
      </c>
      <c r="AP1147" t="s">
        <v>606</v>
      </c>
      <c r="AQ1147" t="s">
        <v>74</v>
      </c>
      <c r="AR1147" t="s">
        <v>607</v>
      </c>
      <c r="AS1147" t="s">
        <v>608</v>
      </c>
      <c r="AT1147" t="s">
        <v>4078</v>
      </c>
      <c r="AU1147">
        <v>2015</v>
      </c>
      <c r="AV1147">
        <v>12</v>
      </c>
      <c r="AW1147" t="s">
        <v>74</v>
      </c>
      <c r="AX1147" t="s">
        <v>74</v>
      </c>
      <c r="AY1147" t="s">
        <v>74</v>
      </c>
      <c r="AZ1147" t="s">
        <v>74</v>
      </c>
      <c r="BA1147" t="s">
        <v>74</v>
      </c>
      <c r="BB1147" t="s">
        <v>74</v>
      </c>
      <c r="BC1147" t="s">
        <v>74</v>
      </c>
      <c r="BD1147">
        <v>1</v>
      </c>
      <c r="BE1147" t="s">
        <v>21467</v>
      </c>
      <c r="BF1147" t="str">
        <f>HYPERLINK("http://dx.doi.org/10.1186/1743-0003-12-1","http://dx.doi.org/10.1186/1743-0003-12-1")</f>
        <v>http://dx.doi.org/10.1186/1743-0003-12-1</v>
      </c>
      <c r="BG1147" t="s">
        <v>74</v>
      </c>
      <c r="BH1147" t="s">
        <v>74</v>
      </c>
      <c r="BI1147">
        <v>29</v>
      </c>
      <c r="BJ1147" t="s">
        <v>611</v>
      </c>
      <c r="BK1147" t="s">
        <v>182</v>
      </c>
      <c r="BL1147" t="s">
        <v>612</v>
      </c>
      <c r="BM1147" t="s">
        <v>21468</v>
      </c>
      <c r="BN1147">
        <v>25557982</v>
      </c>
      <c r="BO1147" t="s">
        <v>131</v>
      </c>
      <c r="BP1147" t="s">
        <v>869</v>
      </c>
      <c r="BQ1147" t="s">
        <v>870</v>
      </c>
      <c r="BR1147" t="s">
        <v>105</v>
      </c>
      <c r="BS1147" t="s">
        <v>21469</v>
      </c>
      <c r="BT1147" t="str">
        <f>HYPERLINK("https%3A%2F%2Fwww.webofscience.com%2Fwos%2Fwoscc%2Ffull-record%2FWOS:000348398600001","View Full Record in Web of Science")</f>
        <v>View Full Record in Web of Science</v>
      </c>
    </row>
    <row r="1148" spans="1:72" x14ac:dyDescent="0.25">
      <c r="A1148" t="s">
        <v>72</v>
      </c>
      <c r="B1148" t="s">
        <v>21470</v>
      </c>
      <c r="C1148" t="s">
        <v>74</v>
      </c>
      <c r="D1148" t="s">
        <v>74</v>
      </c>
      <c r="E1148" t="s">
        <v>74</v>
      </c>
      <c r="F1148" t="s">
        <v>21471</v>
      </c>
      <c r="G1148" t="s">
        <v>74</v>
      </c>
      <c r="H1148" t="s">
        <v>74</v>
      </c>
      <c r="I1148" t="s">
        <v>21472</v>
      </c>
      <c r="J1148" t="s">
        <v>21473</v>
      </c>
      <c r="K1148" t="s">
        <v>74</v>
      </c>
      <c r="L1148" t="s">
        <v>74</v>
      </c>
      <c r="M1148" t="s">
        <v>78</v>
      </c>
      <c r="N1148" t="s">
        <v>79</v>
      </c>
      <c r="O1148" t="s">
        <v>74</v>
      </c>
      <c r="P1148" t="s">
        <v>74</v>
      </c>
      <c r="Q1148" t="s">
        <v>74</v>
      </c>
      <c r="R1148" t="s">
        <v>74</v>
      </c>
      <c r="S1148" t="s">
        <v>74</v>
      </c>
      <c r="T1148" t="s">
        <v>21474</v>
      </c>
      <c r="U1148" t="s">
        <v>74</v>
      </c>
      <c r="V1148" t="s">
        <v>21475</v>
      </c>
      <c r="W1148" t="s">
        <v>21476</v>
      </c>
      <c r="X1148" t="s">
        <v>21477</v>
      </c>
      <c r="Y1148" t="s">
        <v>21478</v>
      </c>
      <c r="Z1148" t="s">
        <v>74</v>
      </c>
      <c r="AA1148" t="s">
        <v>21479</v>
      </c>
      <c r="AB1148" t="s">
        <v>21480</v>
      </c>
      <c r="AC1148" t="s">
        <v>21481</v>
      </c>
      <c r="AD1148" t="s">
        <v>21481</v>
      </c>
      <c r="AE1148" t="s">
        <v>21482</v>
      </c>
      <c r="AF1148" t="s">
        <v>74</v>
      </c>
      <c r="AG1148">
        <v>26</v>
      </c>
      <c r="AH1148">
        <v>38</v>
      </c>
      <c r="AI1148">
        <v>40</v>
      </c>
      <c r="AJ1148">
        <v>2</v>
      </c>
      <c r="AK1148">
        <v>47</v>
      </c>
      <c r="AL1148" t="s">
        <v>21483</v>
      </c>
      <c r="AM1148" t="s">
        <v>275</v>
      </c>
      <c r="AN1148" t="s">
        <v>21484</v>
      </c>
      <c r="AO1148" t="s">
        <v>21485</v>
      </c>
      <c r="AP1148" t="s">
        <v>21486</v>
      </c>
      <c r="AQ1148" t="s">
        <v>74</v>
      </c>
      <c r="AR1148" t="s">
        <v>21487</v>
      </c>
      <c r="AS1148" t="s">
        <v>21488</v>
      </c>
      <c r="AT1148" t="s">
        <v>1807</v>
      </c>
      <c r="AU1148">
        <v>2015</v>
      </c>
      <c r="AV1148">
        <v>26</v>
      </c>
      <c r="AW1148">
        <v>1</v>
      </c>
      <c r="AX1148" t="s">
        <v>74</v>
      </c>
      <c r="AY1148" t="s">
        <v>74</v>
      </c>
      <c r="AZ1148" t="s">
        <v>74</v>
      </c>
      <c r="BA1148" t="s">
        <v>74</v>
      </c>
      <c r="BB1148">
        <v>197</v>
      </c>
      <c r="BC1148">
        <v>201</v>
      </c>
      <c r="BD1148" t="s">
        <v>74</v>
      </c>
      <c r="BE1148" t="s">
        <v>74</v>
      </c>
      <c r="BF1148" t="s">
        <v>74</v>
      </c>
      <c r="BG1148" t="s">
        <v>74</v>
      </c>
      <c r="BH1148" t="s">
        <v>74</v>
      </c>
      <c r="BI1148">
        <v>5</v>
      </c>
      <c r="BJ1148" t="s">
        <v>18773</v>
      </c>
      <c r="BK1148" t="s">
        <v>182</v>
      </c>
      <c r="BL1148" t="s">
        <v>18775</v>
      </c>
      <c r="BM1148" t="s">
        <v>21489</v>
      </c>
      <c r="BN1148" t="s">
        <v>74</v>
      </c>
      <c r="BO1148" t="s">
        <v>74</v>
      </c>
      <c r="BP1148" t="s">
        <v>74</v>
      </c>
      <c r="BQ1148" t="s">
        <v>74</v>
      </c>
      <c r="BR1148" t="s">
        <v>105</v>
      </c>
      <c r="BS1148" t="s">
        <v>21490</v>
      </c>
      <c r="BT1148" t="str">
        <f>HYPERLINK("https%3A%2F%2Fwww.webofscience.com%2Fwos%2Fwoscc%2Ffull-record%2FWOS:000354637200031","View Full Record in Web of Science")</f>
        <v>View Full Record in Web of Science</v>
      </c>
    </row>
    <row r="1149" spans="1:72" x14ac:dyDescent="0.25">
      <c r="A1149" t="s">
        <v>72</v>
      </c>
      <c r="B1149" t="s">
        <v>19795</v>
      </c>
      <c r="C1149" t="s">
        <v>74</v>
      </c>
      <c r="D1149" t="s">
        <v>74</v>
      </c>
      <c r="E1149" t="s">
        <v>74</v>
      </c>
      <c r="F1149" t="s">
        <v>19796</v>
      </c>
      <c r="G1149" t="s">
        <v>74</v>
      </c>
      <c r="H1149" t="s">
        <v>74</v>
      </c>
      <c r="I1149" t="s">
        <v>19797</v>
      </c>
      <c r="J1149" t="s">
        <v>3906</v>
      </c>
      <c r="K1149" t="s">
        <v>74</v>
      </c>
      <c r="L1149" t="s">
        <v>74</v>
      </c>
      <c r="M1149" t="s">
        <v>78</v>
      </c>
      <c r="N1149" t="s">
        <v>79</v>
      </c>
      <c r="O1149" t="s">
        <v>74</v>
      </c>
      <c r="P1149" t="s">
        <v>74</v>
      </c>
      <c r="Q1149" t="s">
        <v>74</v>
      </c>
      <c r="R1149" t="s">
        <v>74</v>
      </c>
      <c r="S1149" t="s">
        <v>74</v>
      </c>
      <c r="T1149" t="s">
        <v>21491</v>
      </c>
      <c r="U1149" t="s">
        <v>21492</v>
      </c>
      <c r="V1149" t="s">
        <v>21493</v>
      </c>
      <c r="W1149" t="s">
        <v>21494</v>
      </c>
      <c r="X1149" t="s">
        <v>21495</v>
      </c>
      <c r="Y1149" t="s">
        <v>21496</v>
      </c>
      <c r="Z1149" t="s">
        <v>3911</v>
      </c>
      <c r="AA1149" t="s">
        <v>21497</v>
      </c>
      <c r="AB1149" t="s">
        <v>4149</v>
      </c>
      <c r="AC1149" t="s">
        <v>21498</v>
      </c>
      <c r="AD1149" t="s">
        <v>21498</v>
      </c>
      <c r="AE1149" t="s">
        <v>21499</v>
      </c>
      <c r="AF1149" t="s">
        <v>74</v>
      </c>
      <c r="AG1149">
        <v>112</v>
      </c>
      <c r="AH1149">
        <v>93</v>
      </c>
      <c r="AI1149">
        <v>98</v>
      </c>
      <c r="AJ1149">
        <v>4</v>
      </c>
      <c r="AK1149">
        <v>13</v>
      </c>
      <c r="AL1149" t="s">
        <v>297</v>
      </c>
      <c r="AM1149" t="s">
        <v>298</v>
      </c>
      <c r="AN1149" t="s">
        <v>299</v>
      </c>
      <c r="AO1149" t="s">
        <v>3917</v>
      </c>
      <c r="AP1149" t="s">
        <v>3918</v>
      </c>
      <c r="AQ1149" t="s">
        <v>74</v>
      </c>
      <c r="AR1149" t="s">
        <v>3919</v>
      </c>
      <c r="AS1149" t="s">
        <v>3920</v>
      </c>
      <c r="AT1149" t="s">
        <v>74</v>
      </c>
      <c r="AU1149">
        <v>2015</v>
      </c>
      <c r="AV1149" t="s">
        <v>74</v>
      </c>
      <c r="AW1149">
        <v>11</v>
      </c>
      <c r="AX1149" t="s">
        <v>74</v>
      </c>
      <c r="AY1149" t="s">
        <v>74</v>
      </c>
      <c r="AZ1149" t="s">
        <v>74</v>
      </c>
      <c r="BA1149" t="s">
        <v>74</v>
      </c>
      <c r="BB1149" t="s">
        <v>74</v>
      </c>
      <c r="BC1149" t="s">
        <v>74</v>
      </c>
      <c r="BD1149" t="s">
        <v>19804</v>
      </c>
      <c r="BE1149" t="s">
        <v>21500</v>
      </c>
      <c r="BF1149" t="str">
        <f>HYPERLINK("http://dx.doi.org/10.1002/14651858.CD006876.pub4","http://dx.doi.org/10.1002/14651858.CD006876.pub4")</f>
        <v>http://dx.doi.org/10.1002/14651858.CD006876.pub4</v>
      </c>
      <c r="BG1149" t="s">
        <v>74</v>
      </c>
      <c r="BH1149" t="s">
        <v>74</v>
      </c>
      <c r="BI1149">
        <v>128</v>
      </c>
      <c r="BJ1149" t="s">
        <v>128</v>
      </c>
      <c r="BK1149" t="s">
        <v>182</v>
      </c>
      <c r="BL1149" t="s">
        <v>129</v>
      </c>
      <c r="BM1149" t="s">
        <v>21501</v>
      </c>
      <c r="BN1149" t="s">
        <v>74</v>
      </c>
      <c r="BO1149" t="s">
        <v>2246</v>
      </c>
      <c r="BP1149" t="s">
        <v>74</v>
      </c>
      <c r="BQ1149" t="s">
        <v>74</v>
      </c>
      <c r="BR1149" t="s">
        <v>105</v>
      </c>
      <c r="BS1149" t="s">
        <v>21502</v>
      </c>
      <c r="BT1149" t="str">
        <f>HYPERLINK("https%3A%2F%2Fwww.webofscience.com%2Fwos%2Fwoscc%2Ffull-record%2FWOS:000209933700012","View Full Record in Web of Science")</f>
        <v>View Full Record in Web of Science</v>
      </c>
    </row>
    <row r="1150" spans="1:72" x14ac:dyDescent="0.25">
      <c r="A1150" t="s">
        <v>72</v>
      </c>
      <c r="B1150" t="s">
        <v>21503</v>
      </c>
      <c r="C1150" t="s">
        <v>74</v>
      </c>
      <c r="D1150" t="s">
        <v>74</v>
      </c>
      <c r="E1150" t="s">
        <v>74</v>
      </c>
      <c r="F1150" t="s">
        <v>21504</v>
      </c>
      <c r="G1150" t="s">
        <v>74</v>
      </c>
      <c r="H1150" t="s">
        <v>74</v>
      </c>
      <c r="I1150" t="s">
        <v>21505</v>
      </c>
      <c r="J1150" t="s">
        <v>21506</v>
      </c>
      <c r="K1150" t="s">
        <v>74</v>
      </c>
      <c r="L1150" t="s">
        <v>74</v>
      </c>
      <c r="M1150" t="s">
        <v>78</v>
      </c>
      <c r="N1150" t="s">
        <v>79</v>
      </c>
      <c r="O1150" t="s">
        <v>74</v>
      </c>
      <c r="P1150" t="s">
        <v>74</v>
      </c>
      <c r="Q1150" t="s">
        <v>74</v>
      </c>
      <c r="R1150" t="s">
        <v>74</v>
      </c>
      <c r="S1150" t="s">
        <v>74</v>
      </c>
      <c r="T1150" t="s">
        <v>21507</v>
      </c>
      <c r="U1150" t="s">
        <v>21508</v>
      </c>
      <c r="V1150" t="s">
        <v>21509</v>
      </c>
      <c r="W1150" t="s">
        <v>21510</v>
      </c>
      <c r="X1150" t="s">
        <v>21511</v>
      </c>
      <c r="Y1150" t="s">
        <v>21512</v>
      </c>
      <c r="Z1150" t="s">
        <v>21513</v>
      </c>
      <c r="AA1150" t="s">
        <v>21514</v>
      </c>
      <c r="AB1150" t="s">
        <v>21515</v>
      </c>
      <c r="AC1150" t="s">
        <v>21516</v>
      </c>
      <c r="AD1150" t="s">
        <v>21517</v>
      </c>
      <c r="AE1150" t="s">
        <v>21518</v>
      </c>
      <c r="AF1150" t="s">
        <v>74</v>
      </c>
      <c r="AG1150">
        <v>157</v>
      </c>
      <c r="AH1150">
        <v>168</v>
      </c>
      <c r="AI1150">
        <v>181</v>
      </c>
      <c r="AJ1150">
        <v>2</v>
      </c>
      <c r="AK1150">
        <v>169</v>
      </c>
      <c r="AL1150" t="s">
        <v>172</v>
      </c>
      <c r="AM1150" t="s">
        <v>173</v>
      </c>
      <c r="AN1150" t="s">
        <v>1885</v>
      </c>
      <c r="AO1150" t="s">
        <v>21519</v>
      </c>
      <c r="AP1150" t="s">
        <v>21520</v>
      </c>
      <c r="AQ1150" t="s">
        <v>74</v>
      </c>
      <c r="AR1150" t="s">
        <v>21521</v>
      </c>
      <c r="AS1150" t="s">
        <v>21522</v>
      </c>
      <c r="AT1150" t="s">
        <v>151</v>
      </c>
      <c r="AU1150">
        <v>2014</v>
      </c>
      <c r="AV1150">
        <v>6</v>
      </c>
      <c r="AW1150">
        <v>4</v>
      </c>
      <c r="AX1150" t="s">
        <v>74</v>
      </c>
      <c r="AY1150" t="s">
        <v>74</v>
      </c>
      <c r="AZ1150" t="s">
        <v>152</v>
      </c>
      <c r="BA1150" t="s">
        <v>74</v>
      </c>
      <c r="BB1150">
        <v>722</v>
      </c>
      <c r="BC1150">
        <v>740</v>
      </c>
      <c r="BD1150" t="s">
        <v>74</v>
      </c>
      <c r="BE1150" t="s">
        <v>21523</v>
      </c>
      <c r="BF1150" t="str">
        <f>HYPERLINK("http://dx.doi.org/10.1007/s12559-014-9276-x","http://dx.doi.org/10.1007/s12559-014-9276-x")</f>
        <v>http://dx.doi.org/10.1007/s12559-014-9276-x</v>
      </c>
      <c r="BG1150" t="s">
        <v>74</v>
      </c>
      <c r="BH1150" t="s">
        <v>74</v>
      </c>
      <c r="BI1150">
        <v>19</v>
      </c>
      <c r="BJ1150" t="s">
        <v>21524</v>
      </c>
      <c r="BK1150" t="s">
        <v>102</v>
      </c>
      <c r="BL1150" t="s">
        <v>21525</v>
      </c>
      <c r="BM1150" t="s">
        <v>21526</v>
      </c>
      <c r="BN1150" t="s">
        <v>74</v>
      </c>
      <c r="BO1150" t="s">
        <v>74</v>
      </c>
      <c r="BP1150" t="s">
        <v>74</v>
      </c>
      <c r="BQ1150" t="s">
        <v>74</v>
      </c>
      <c r="BR1150" t="s">
        <v>105</v>
      </c>
      <c r="BS1150" t="s">
        <v>21527</v>
      </c>
      <c r="BT1150" t="str">
        <f>HYPERLINK("https%3A%2F%2Fwww.webofscience.com%2Fwos%2Fwoscc%2Ffull-record%2FWOS:000345994900010","View Full Record in Web of Science")</f>
        <v>View Full Record in Web of Science</v>
      </c>
    </row>
    <row r="1151" spans="1:72" x14ac:dyDescent="0.25">
      <c r="A1151" t="s">
        <v>72</v>
      </c>
      <c r="B1151" t="s">
        <v>21528</v>
      </c>
      <c r="C1151" t="s">
        <v>74</v>
      </c>
      <c r="D1151" t="s">
        <v>74</v>
      </c>
      <c r="E1151" t="s">
        <v>74</v>
      </c>
      <c r="F1151" t="s">
        <v>21529</v>
      </c>
      <c r="G1151" t="s">
        <v>74</v>
      </c>
      <c r="H1151" t="s">
        <v>74</v>
      </c>
      <c r="I1151" t="s">
        <v>21530</v>
      </c>
      <c r="J1151" t="s">
        <v>1674</v>
      </c>
      <c r="K1151" t="s">
        <v>74</v>
      </c>
      <c r="L1151" t="s">
        <v>74</v>
      </c>
      <c r="M1151" t="s">
        <v>78</v>
      </c>
      <c r="N1151" t="s">
        <v>79</v>
      </c>
      <c r="O1151" t="s">
        <v>74</v>
      </c>
      <c r="P1151" t="s">
        <v>74</v>
      </c>
      <c r="Q1151" t="s">
        <v>74</v>
      </c>
      <c r="R1151" t="s">
        <v>74</v>
      </c>
      <c r="S1151" t="s">
        <v>74</v>
      </c>
      <c r="T1151" t="s">
        <v>21531</v>
      </c>
      <c r="U1151" t="s">
        <v>21532</v>
      </c>
      <c r="V1151" t="s">
        <v>21533</v>
      </c>
      <c r="W1151" t="s">
        <v>21534</v>
      </c>
      <c r="X1151" t="s">
        <v>21535</v>
      </c>
      <c r="Y1151" t="s">
        <v>2336</v>
      </c>
      <c r="Z1151" t="s">
        <v>21536</v>
      </c>
      <c r="AA1151" t="s">
        <v>21537</v>
      </c>
      <c r="AB1151" t="s">
        <v>21538</v>
      </c>
      <c r="AC1151" t="s">
        <v>21539</v>
      </c>
      <c r="AD1151" t="s">
        <v>21540</v>
      </c>
      <c r="AE1151" t="s">
        <v>21541</v>
      </c>
      <c r="AF1151" t="s">
        <v>74</v>
      </c>
      <c r="AG1151">
        <v>138</v>
      </c>
      <c r="AH1151">
        <v>107</v>
      </c>
      <c r="AI1151">
        <v>133</v>
      </c>
      <c r="AJ1151">
        <v>2</v>
      </c>
      <c r="AK1151">
        <v>123</v>
      </c>
      <c r="AL1151" t="s">
        <v>531</v>
      </c>
      <c r="AM1151" t="s">
        <v>532</v>
      </c>
      <c r="AN1151" t="s">
        <v>533</v>
      </c>
      <c r="AO1151" t="s">
        <v>1687</v>
      </c>
      <c r="AP1151" t="s">
        <v>1688</v>
      </c>
      <c r="AQ1151" t="s">
        <v>74</v>
      </c>
      <c r="AR1151" t="s">
        <v>1689</v>
      </c>
      <c r="AS1151" t="s">
        <v>1690</v>
      </c>
      <c r="AT1151" t="s">
        <v>151</v>
      </c>
      <c r="AU1151">
        <v>2014</v>
      </c>
      <c r="AV1151">
        <v>36</v>
      </c>
      <c r="AW1151">
        <v>12</v>
      </c>
      <c r="AX1151" t="s">
        <v>74</v>
      </c>
      <c r="AY1151" t="s">
        <v>74</v>
      </c>
      <c r="AZ1151" t="s">
        <v>74</v>
      </c>
      <c r="BA1151" t="s">
        <v>74</v>
      </c>
      <c r="BB1151">
        <v>1555</v>
      </c>
      <c r="BC1151">
        <v>1566</v>
      </c>
      <c r="BD1151" t="s">
        <v>74</v>
      </c>
      <c r="BE1151" t="s">
        <v>21542</v>
      </c>
      <c r="BF1151" t="str">
        <f>HYPERLINK("http://dx.doi.org/10.1016/j.medengphy.2014.08.005","http://dx.doi.org/10.1016/j.medengphy.2014.08.005")</f>
        <v>http://dx.doi.org/10.1016/j.medengphy.2014.08.005</v>
      </c>
      <c r="BG1151" t="s">
        <v>74</v>
      </c>
      <c r="BH1151" t="s">
        <v>74</v>
      </c>
      <c r="BI1151">
        <v>12</v>
      </c>
      <c r="BJ1151" t="s">
        <v>282</v>
      </c>
      <c r="BK1151" t="s">
        <v>182</v>
      </c>
      <c r="BL1151" t="s">
        <v>183</v>
      </c>
      <c r="BM1151" t="s">
        <v>21543</v>
      </c>
      <c r="BN1151">
        <v>25205588</v>
      </c>
      <c r="BO1151" t="s">
        <v>74</v>
      </c>
      <c r="BP1151" t="s">
        <v>74</v>
      </c>
      <c r="BQ1151" t="s">
        <v>74</v>
      </c>
      <c r="BR1151" t="s">
        <v>105</v>
      </c>
      <c r="BS1151" t="s">
        <v>21544</v>
      </c>
      <c r="BT1151" t="str">
        <f>HYPERLINK("https%3A%2F%2Fwww.webofscience.com%2Fwos%2Fwoscc%2Ffull-record%2FWOS:000347502000001","View Full Record in Web of Science")</f>
        <v>View Full Record in Web of Science</v>
      </c>
    </row>
    <row r="1152" spans="1:72" x14ac:dyDescent="0.25">
      <c r="A1152" t="s">
        <v>72</v>
      </c>
      <c r="B1152" t="s">
        <v>21545</v>
      </c>
      <c r="C1152" t="s">
        <v>74</v>
      </c>
      <c r="D1152" t="s">
        <v>74</v>
      </c>
      <c r="E1152" t="s">
        <v>74</v>
      </c>
      <c r="F1152" t="s">
        <v>21546</v>
      </c>
      <c r="G1152" t="s">
        <v>74</v>
      </c>
      <c r="H1152" t="s">
        <v>74</v>
      </c>
      <c r="I1152" t="s">
        <v>21547</v>
      </c>
      <c r="J1152" t="s">
        <v>2198</v>
      </c>
      <c r="K1152" t="s">
        <v>74</v>
      </c>
      <c r="L1152" t="s">
        <v>74</v>
      </c>
      <c r="M1152" t="s">
        <v>78</v>
      </c>
      <c r="N1152" t="s">
        <v>79</v>
      </c>
      <c r="O1152" t="s">
        <v>74</v>
      </c>
      <c r="P1152" t="s">
        <v>74</v>
      </c>
      <c r="Q1152" t="s">
        <v>74</v>
      </c>
      <c r="R1152" t="s">
        <v>74</v>
      </c>
      <c r="S1152" t="s">
        <v>74</v>
      </c>
      <c r="T1152" t="s">
        <v>21548</v>
      </c>
      <c r="U1152" t="s">
        <v>21549</v>
      </c>
      <c r="V1152" t="s">
        <v>21550</v>
      </c>
      <c r="W1152" t="s">
        <v>21551</v>
      </c>
      <c r="X1152" t="s">
        <v>21552</v>
      </c>
      <c r="Y1152" t="s">
        <v>21553</v>
      </c>
      <c r="Z1152" t="s">
        <v>14983</v>
      </c>
      <c r="AA1152" t="s">
        <v>21554</v>
      </c>
      <c r="AB1152" t="s">
        <v>21555</v>
      </c>
      <c r="AC1152" t="s">
        <v>21556</v>
      </c>
      <c r="AD1152" t="s">
        <v>21557</v>
      </c>
      <c r="AE1152" t="s">
        <v>21558</v>
      </c>
      <c r="AF1152" t="s">
        <v>74</v>
      </c>
      <c r="AG1152">
        <v>151</v>
      </c>
      <c r="AH1152">
        <v>142</v>
      </c>
      <c r="AI1152">
        <v>156</v>
      </c>
      <c r="AJ1152">
        <v>5</v>
      </c>
      <c r="AK1152">
        <v>199</v>
      </c>
      <c r="AL1152" t="s">
        <v>392</v>
      </c>
      <c r="AM1152" t="s">
        <v>393</v>
      </c>
      <c r="AN1152" t="s">
        <v>394</v>
      </c>
      <c r="AO1152" t="s">
        <v>2206</v>
      </c>
      <c r="AP1152" t="s">
        <v>74</v>
      </c>
      <c r="AQ1152" t="s">
        <v>74</v>
      </c>
      <c r="AR1152" t="s">
        <v>2207</v>
      </c>
      <c r="AS1152" t="s">
        <v>2208</v>
      </c>
      <c r="AT1152" t="s">
        <v>2486</v>
      </c>
      <c r="AU1152">
        <v>2014</v>
      </c>
      <c r="AV1152">
        <v>8</v>
      </c>
      <c r="AW1152" t="s">
        <v>74</v>
      </c>
      <c r="AX1152" t="s">
        <v>74</v>
      </c>
      <c r="AY1152" t="s">
        <v>74</v>
      </c>
      <c r="AZ1152" t="s">
        <v>74</v>
      </c>
      <c r="BA1152" t="s">
        <v>74</v>
      </c>
      <c r="BB1152" t="s">
        <v>74</v>
      </c>
      <c r="BC1152" t="s">
        <v>74</v>
      </c>
      <c r="BD1152">
        <v>947</v>
      </c>
      <c r="BE1152" t="s">
        <v>21559</v>
      </c>
      <c r="BF1152" t="str">
        <f>HYPERLINK("http://dx.doi.org/10.3389/fnhum.2014.00947","http://dx.doi.org/10.3389/fnhum.2014.00947")</f>
        <v>http://dx.doi.org/10.3389/fnhum.2014.00947</v>
      </c>
      <c r="BG1152" t="s">
        <v>74</v>
      </c>
      <c r="BH1152" t="s">
        <v>74</v>
      </c>
      <c r="BI1152">
        <v>13</v>
      </c>
      <c r="BJ1152" t="s">
        <v>2211</v>
      </c>
      <c r="BK1152" t="s">
        <v>182</v>
      </c>
      <c r="BL1152" t="s">
        <v>2212</v>
      </c>
      <c r="BM1152" t="s">
        <v>21560</v>
      </c>
      <c r="BN1152">
        <v>25520638</v>
      </c>
      <c r="BO1152" t="s">
        <v>355</v>
      </c>
      <c r="BP1152" t="s">
        <v>74</v>
      </c>
      <c r="BQ1152" t="s">
        <v>74</v>
      </c>
      <c r="BR1152" t="s">
        <v>105</v>
      </c>
      <c r="BS1152" t="s">
        <v>21561</v>
      </c>
      <c r="BT1152" t="str">
        <f>HYPERLINK("https%3A%2F%2Fwww.webofscience.com%2Fwos%2Fwoscc%2Ffull-record%2FWOS:000345557200001","View Full Record in Web of Science")</f>
        <v>View Full Record in Web of Science</v>
      </c>
    </row>
    <row r="1153" spans="1:72" x14ac:dyDescent="0.25">
      <c r="A1153" t="s">
        <v>72</v>
      </c>
      <c r="B1153" t="s">
        <v>21562</v>
      </c>
      <c r="C1153" t="s">
        <v>74</v>
      </c>
      <c r="D1153" t="s">
        <v>74</v>
      </c>
      <c r="E1153" t="s">
        <v>74</v>
      </c>
      <c r="F1153" t="s">
        <v>21563</v>
      </c>
      <c r="G1153" t="s">
        <v>74</v>
      </c>
      <c r="H1153" t="s">
        <v>74</v>
      </c>
      <c r="I1153" t="s">
        <v>21564</v>
      </c>
      <c r="J1153" t="s">
        <v>20817</v>
      </c>
      <c r="K1153" t="s">
        <v>74</v>
      </c>
      <c r="L1153" t="s">
        <v>74</v>
      </c>
      <c r="M1153" t="s">
        <v>78</v>
      </c>
      <c r="N1153" t="s">
        <v>79</v>
      </c>
      <c r="O1153" t="s">
        <v>74</v>
      </c>
      <c r="P1153" t="s">
        <v>74</v>
      </c>
      <c r="Q1153" t="s">
        <v>74</v>
      </c>
      <c r="R1153" t="s">
        <v>74</v>
      </c>
      <c r="S1153" t="s">
        <v>74</v>
      </c>
      <c r="T1153" t="s">
        <v>74</v>
      </c>
      <c r="U1153" t="s">
        <v>21565</v>
      </c>
      <c r="V1153" t="s">
        <v>21566</v>
      </c>
      <c r="W1153" t="s">
        <v>21567</v>
      </c>
      <c r="X1153" t="s">
        <v>21568</v>
      </c>
      <c r="Y1153" t="s">
        <v>21569</v>
      </c>
      <c r="Z1153" t="s">
        <v>21570</v>
      </c>
      <c r="AA1153" t="s">
        <v>21571</v>
      </c>
      <c r="AB1153" t="s">
        <v>21572</v>
      </c>
      <c r="AC1153" t="s">
        <v>74</v>
      </c>
      <c r="AD1153" t="s">
        <v>74</v>
      </c>
      <c r="AE1153" t="s">
        <v>74</v>
      </c>
      <c r="AF1153" t="s">
        <v>74</v>
      </c>
      <c r="AG1153">
        <v>176</v>
      </c>
      <c r="AH1153">
        <v>654</v>
      </c>
      <c r="AI1153">
        <v>691</v>
      </c>
      <c r="AJ1153">
        <v>19</v>
      </c>
      <c r="AK1153">
        <v>326</v>
      </c>
      <c r="AL1153" t="s">
        <v>18402</v>
      </c>
      <c r="AM1153" t="s">
        <v>173</v>
      </c>
      <c r="AN1153" t="s">
        <v>20829</v>
      </c>
      <c r="AO1153" t="s">
        <v>20830</v>
      </c>
      <c r="AP1153" t="s">
        <v>20831</v>
      </c>
      <c r="AQ1153" t="s">
        <v>74</v>
      </c>
      <c r="AR1153" t="s">
        <v>20832</v>
      </c>
      <c r="AS1153" t="s">
        <v>20833</v>
      </c>
      <c r="AT1153" t="s">
        <v>1888</v>
      </c>
      <c r="AU1153">
        <v>2014</v>
      </c>
      <c r="AV1153">
        <v>10</v>
      </c>
      <c r="AW1153">
        <v>10</v>
      </c>
      <c r="AX1153" t="s">
        <v>74</v>
      </c>
      <c r="AY1153" t="s">
        <v>74</v>
      </c>
      <c r="AZ1153" t="s">
        <v>74</v>
      </c>
      <c r="BA1153" t="s">
        <v>74</v>
      </c>
      <c r="BB1153">
        <v>597</v>
      </c>
      <c r="BC1153">
        <v>608</v>
      </c>
      <c r="BD1153" t="s">
        <v>74</v>
      </c>
      <c r="BE1153" t="s">
        <v>21573</v>
      </c>
      <c r="BF1153" t="str">
        <f>HYPERLINK("http://dx.doi.org/10.1038/nrneurol.2014.162","http://dx.doi.org/10.1038/nrneurol.2014.162")</f>
        <v>http://dx.doi.org/10.1038/nrneurol.2014.162</v>
      </c>
      <c r="BG1153" t="s">
        <v>74</v>
      </c>
      <c r="BH1153" t="s">
        <v>74</v>
      </c>
      <c r="BI1153">
        <v>12</v>
      </c>
      <c r="BJ1153" t="s">
        <v>541</v>
      </c>
      <c r="BK1153" t="s">
        <v>182</v>
      </c>
      <c r="BL1153" t="s">
        <v>375</v>
      </c>
      <c r="BM1153" t="s">
        <v>21574</v>
      </c>
      <c r="BN1153">
        <v>25201238</v>
      </c>
      <c r="BO1153" t="s">
        <v>74</v>
      </c>
      <c r="BP1153" t="s">
        <v>74</v>
      </c>
      <c r="BQ1153" t="s">
        <v>74</v>
      </c>
      <c r="BR1153" t="s">
        <v>105</v>
      </c>
      <c r="BS1153" t="s">
        <v>21575</v>
      </c>
      <c r="BT1153" t="str">
        <f>HYPERLINK("https%3A%2F%2Fwww.webofscience.com%2Fwos%2Fwoscc%2Ffull-record%2FWOS:000343420800007","View Full Record in Web of Science")</f>
        <v>View Full Record in Web of Science</v>
      </c>
    </row>
    <row r="1154" spans="1:72" x14ac:dyDescent="0.25">
      <c r="A1154" t="s">
        <v>72</v>
      </c>
      <c r="B1154" t="s">
        <v>21576</v>
      </c>
      <c r="C1154" t="s">
        <v>74</v>
      </c>
      <c r="D1154" t="s">
        <v>74</v>
      </c>
      <c r="E1154" t="s">
        <v>74</v>
      </c>
      <c r="F1154" t="s">
        <v>21577</v>
      </c>
      <c r="G1154" t="s">
        <v>74</v>
      </c>
      <c r="H1154" t="s">
        <v>74</v>
      </c>
      <c r="I1154" t="s">
        <v>21578</v>
      </c>
      <c r="J1154" t="s">
        <v>594</v>
      </c>
      <c r="K1154" t="s">
        <v>74</v>
      </c>
      <c r="L1154" t="s">
        <v>74</v>
      </c>
      <c r="M1154" t="s">
        <v>78</v>
      </c>
      <c r="N1154" t="s">
        <v>79</v>
      </c>
      <c r="O1154" t="s">
        <v>74</v>
      </c>
      <c r="P1154" t="s">
        <v>74</v>
      </c>
      <c r="Q1154" t="s">
        <v>74</v>
      </c>
      <c r="R1154" t="s">
        <v>74</v>
      </c>
      <c r="S1154" t="s">
        <v>74</v>
      </c>
      <c r="T1154" t="s">
        <v>21579</v>
      </c>
      <c r="U1154" t="s">
        <v>21580</v>
      </c>
      <c r="V1154" t="s">
        <v>21581</v>
      </c>
      <c r="W1154" t="s">
        <v>21582</v>
      </c>
      <c r="X1154" t="s">
        <v>21583</v>
      </c>
      <c r="Y1154" t="s">
        <v>21584</v>
      </c>
      <c r="Z1154" t="s">
        <v>21585</v>
      </c>
      <c r="AA1154" t="s">
        <v>21586</v>
      </c>
      <c r="AB1154" t="s">
        <v>21587</v>
      </c>
      <c r="AC1154" t="s">
        <v>21588</v>
      </c>
      <c r="AD1154" t="s">
        <v>21589</v>
      </c>
      <c r="AE1154" t="s">
        <v>21590</v>
      </c>
      <c r="AF1154" t="s">
        <v>74</v>
      </c>
      <c r="AG1154">
        <v>131</v>
      </c>
      <c r="AH1154">
        <v>188</v>
      </c>
      <c r="AI1154">
        <v>209</v>
      </c>
      <c r="AJ1154">
        <v>1</v>
      </c>
      <c r="AK1154">
        <v>138</v>
      </c>
      <c r="AL1154" t="s">
        <v>274</v>
      </c>
      <c r="AM1154" t="s">
        <v>275</v>
      </c>
      <c r="AN1154" t="s">
        <v>276</v>
      </c>
      <c r="AO1154" t="s">
        <v>74</v>
      </c>
      <c r="AP1154" t="s">
        <v>606</v>
      </c>
      <c r="AQ1154" t="s">
        <v>74</v>
      </c>
      <c r="AR1154" t="s">
        <v>607</v>
      </c>
      <c r="AS1154" t="s">
        <v>608</v>
      </c>
      <c r="AT1154" t="s">
        <v>21591</v>
      </c>
      <c r="AU1154">
        <v>2014</v>
      </c>
      <c r="AV1154">
        <v>11</v>
      </c>
      <c r="AW1154" t="s">
        <v>74</v>
      </c>
      <c r="AX1154" t="s">
        <v>74</v>
      </c>
      <c r="AY1154" t="s">
        <v>74</v>
      </c>
      <c r="AZ1154" t="s">
        <v>74</v>
      </c>
      <c r="BA1154" t="s">
        <v>74</v>
      </c>
      <c r="BB1154" t="s">
        <v>74</v>
      </c>
      <c r="BC1154" t="s">
        <v>74</v>
      </c>
      <c r="BD1154">
        <v>137</v>
      </c>
      <c r="BE1154" t="s">
        <v>21592</v>
      </c>
      <c r="BF1154" t="str">
        <f>HYPERLINK("http://dx.doi.org/10.1186/1743-0003-11-137","http://dx.doi.org/10.1186/1743-0003-11-137")</f>
        <v>http://dx.doi.org/10.1186/1743-0003-11-137</v>
      </c>
      <c r="BG1154" t="s">
        <v>74</v>
      </c>
      <c r="BH1154" t="s">
        <v>74</v>
      </c>
      <c r="BI1154">
        <v>23</v>
      </c>
      <c r="BJ1154" t="s">
        <v>611</v>
      </c>
      <c r="BK1154" t="s">
        <v>182</v>
      </c>
      <c r="BL1154" t="s">
        <v>612</v>
      </c>
      <c r="BM1154" t="s">
        <v>21593</v>
      </c>
      <c r="BN1154">
        <v>25217124</v>
      </c>
      <c r="BO1154" t="s">
        <v>355</v>
      </c>
      <c r="BP1154" t="s">
        <v>74</v>
      </c>
      <c r="BQ1154" t="s">
        <v>74</v>
      </c>
      <c r="BR1154" t="s">
        <v>105</v>
      </c>
      <c r="BS1154" t="s">
        <v>21594</v>
      </c>
      <c r="BT1154" t="str">
        <f>HYPERLINK("https%3A%2F%2Fwww.webofscience.com%2Fwos%2Fwoscc%2Ffull-record%2FWOS:000342365400001","View Full Record in Web of Science")</f>
        <v>View Full Record in Web of Science</v>
      </c>
    </row>
    <row r="1155" spans="1:72" x14ac:dyDescent="0.25">
      <c r="A1155" t="s">
        <v>72</v>
      </c>
      <c r="B1155" t="s">
        <v>21595</v>
      </c>
      <c r="C1155" t="s">
        <v>74</v>
      </c>
      <c r="D1155" t="s">
        <v>74</v>
      </c>
      <c r="E1155" t="s">
        <v>74</v>
      </c>
      <c r="F1155" t="s">
        <v>21596</v>
      </c>
      <c r="G1155" t="s">
        <v>74</v>
      </c>
      <c r="H1155" t="s">
        <v>74</v>
      </c>
      <c r="I1155" t="s">
        <v>21597</v>
      </c>
      <c r="J1155" t="s">
        <v>1231</v>
      </c>
      <c r="K1155" t="s">
        <v>74</v>
      </c>
      <c r="L1155" t="s">
        <v>74</v>
      </c>
      <c r="M1155" t="s">
        <v>78</v>
      </c>
      <c r="N1155" t="s">
        <v>79</v>
      </c>
      <c r="O1155" t="s">
        <v>74</v>
      </c>
      <c r="P1155" t="s">
        <v>74</v>
      </c>
      <c r="Q1155" t="s">
        <v>74</v>
      </c>
      <c r="R1155" t="s">
        <v>74</v>
      </c>
      <c r="S1155" t="s">
        <v>74</v>
      </c>
      <c r="T1155" t="s">
        <v>21598</v>
      </c>
      <c r="U1155" t="s">
        <v>21599</v>
      </c>
      <c r="V1155" t="s">
        <v>21600</v>
      </c>
      <c r="W1155" t="s">
        <v>21601</v>
      </c>
      <c r="X1155" t="s">
        <v>21602</v>
      </c>
      <c r="Y1155" t="s">
        <v>21603</v>
      </c>
      <c r="Z1155" t="s">
        <v>21604</v>
      </c>
      <c r="AA1155" t="s">
        <v>21605</v>
      </c>
      <c r="AB1155" t="s">
        <v>21606</v>
      </c>
      <c r="AC1155" t="s">
        <v>74</v>
      </c>
      <c r="AD1155" t="s">
        <v>74</v>
      </c>
      <c r="AE1155" t="s">
        <v>74</v>
      </c>
      <c r="AF1155" t="s">
        <v>74</v>
      </c>
      <c r="AG1155">
        <v>95</v>
      </c>
      <c r="AH1155">
        <v>154</v>
      </c>
      <c r="AI1155">
        <v>164</v>
      </c>
      <c r="AJ1155">
        <v>2</v>
      </c>
      <c r="AK1155">
        <v>31</v>
      </c>
      <c r="AL1155" t="s">
        <v>392</v>
      </c>
      <c r="AM1155" t="s">
        <v>393</v>
      </c>
      <c r="AN1155" t="s">
        <v>394</v>
      </c>
      <c r="AO1155" t="s">
        <v>1244</v>
      </c>
      <c r="AP1155" t="s">
        <v>74</v>
      </c>
      <c r="AQ1155" t="s">
        <v>74</v>
      </c>
      <c r="AR1155" t="s">
        <v>1245</v>
      </c>
      <c r="AS1155" t="s">
        <v>1246</v>
      </c>
      <c r="AT1155" t="s">
        <v>21607</v>
      </c>
      <c r="AU1155">
        <v>2014</v>
      </c>
      <c r="AV1155">
        <v>8</v>
      </c>
      <c r="AW1155" t="s">
        <v>74</v>
      </c>
      <c r="AX1155" t="s">
        <v>74</v>
      </c>
      <c r="AY1155" t="s">
        <v>74</v>
      </c>
      <c r="AZ1155" t="s">
        <v>74</v>
      </c>
      <c r="BA1155" t="s">
        <v>74</v>
      </c>
      <c r="BB1155">
        <v>1</v>
      </c>
      <c r="BC1155">
        <v>17</v>
      </c>
      <c r="BD1155" t="s">
        <v>74</v>
      </c>
      <c r="BE1155" t="s">
        <v>21608</v>
      </c>
      <c r="BF1155" t="str">
        <f>HYPERLINK("http://dx.doi.org/10.3389/fnbot.2014.00022","http://dx.doi.org/10.3389/fnbot.2014.00022")</f>
        <v>http://dx.doi.org/10.3389/fnbot.2014.00022</v>
      </c>
      <c r="BG1155" t="s">
        <v>74</v>
      </c>
      <c r="BH1155" t="s">
        <v>74</v>
      </c>
      <c r="BI1155">
        <v>17</v>
      </c>
      <c r="BJ1155" t="s">
        <v>1249</v>
      </c>
      <c r="BK1155" t="s">
        <v>182</v>
      </c>
      <c r="BL1155" t="s">
        <v>1250</v>
      </c>
      <c r="BM1155" t="s">
        <v>21609</v>
      </c>
      <c r="BN1155">
        <v>25177292</v>
      </c>
      <c r="BO1155" t="s">
        <v>11550</v>
      </c>
      <c r="BP1155" t="s">
        <v>74</v>
      </c>
      <c r="BQ1155" t="s">
        <v>74</v>
      </c>
      <c r="BR1155" t="s">
        <v>105</v>
      </c>
      <c r="BS1155" t="s">
        <v>21610</v>
      </c>
      <c r="BT1155" t="str">
        <f>HYPERLINK("https%3A%2F%2Fwww.webofscience.com%2Fwos%2Fwoscc%2Ffull-record%2FWOS:000348815300001","View Full Record in Web of Science")</f>
        <v>View Full Record in Web of Science</v>
      </c>
    </row>
    <row r="1156" spans="1:72" x14ac:dyDescent="0.25">
      <c r="A1156" t="s">
        <v>72</v>
      </c>
      <c r="B1156" t="s">
        <v>21611</v>
      </c>
      <c r="C1156" t="s">
        <v>74</v>
      </c>
      <c r="D1156" t="s">
        <v>74</v>
      </c>
      <c r="E1156" t="s">
        <v>74</v>
      </c>
      <c r="F1156" t="s">
        <v>21612</v>
      </c>
      <c r="G1156" t="s">
        <v>74</v>
      </c>
      <c r="H1156" t="s">
        <v>74</v>
      </c>
      <c r="I1156" t="s">
        <v>21613</v>
      </c>
      <c r="J1156" t="s">
        <v>2136</v>
      </c>
      <c r="K1156" t="s">
        <v>74</v>
      </c>
      <c r="L1156" t="s">
        <v>74</v>
      </c>
      <c r="M1156" t="s">
        <v>78</v>
      </c>
      <c r="N1156" t="s">
        <v>79</v>
      </c>
      <c r="O1156" t="s">
        <v>74</v>
      </c>
      <c r="P1156" t="s">
        <v>74</v>
      </c>
      <c r="Q1156" t="s">
        <v>74</v>
      </c>
      <c r="R1156" t="s">
        <v>74</v>
      </c>
      <c r="S1156" t="s">
        <v>74</v>
      </c>
      <c r="T1156" t="s">
        <v>74</v>
      </c>
      <c r="U1156" t="s">
        <v>21614</v>
      </c>
      <c r="V1156" t="s">
        <v>21615</v>
      </c>
      <c r="W1156" t="s">
        <v>21616</v>
      </c>
      <c r="X1156" t="s">
        <v>21617</v>
      </c>
      <c r="Y1156" t="s">
        <v>21618</v>
      </c>
      <c r="Z1156" t="s">
        <v>21619</v>
      </c>
      <c r="AA1156" t="s">
        <v>21620</v>
      </c>
      <c r="AB1156" t="s">
        <v>21621</v>
      </c>
      <c r="AC1156" t="s">
        <v>74</v>
      </c>
      <c r="AD1156" t="s">
        <v>74</v>
      </c>
      <c r="AE1156" t="s">
        <v>74</v>
      </c>
      <c r="AF1156" t="s">
        <v>74</v>
      </c>
      <c r="AG1156">
        <v>64</v>
      </c>
      <c r="AH1156">
        <v>66</v>
      </c>
      <c r="AI1156">
        <v>73</v>
      </c>
      <c r="AJ1156">
        <v>4</v>
      </c>
      <c r="AK1156">
        <v>49</v>
      </c>
      <c r="AL1156" t="s">
        <v>3675</v>
      </c>
      <c r="AM1156" t="s">
        <v>173</v>
      </c>
      <c r="AN1156" t="s">
        <v>19193</v>
      </c>
      <c r="AO1156" t="s">
        <v>2147</v>
      </c>
      <c r="AP1156" t="s">
        <v>2148</v>
      </c>
      <c r="AQ1156" t="s">
        <v>74</v>
      </c>
      <c r="AR1156" t="s">
        <v>2136</v>
      </c>
      <c r="AS1156" t="s">
        <v>2136</v>
      </c>
      <c r="AT1156" t="s">
        <v>634</v>
      </c>
      <c r="AU1156">
        <v>2014</v>
      </c>
      <c r="AV1156">
        <v>6</v>
      </c>
      <c r="AW1156">
        <v>8</v>
      </c>
      <c r="AX1156" t="s">
        <v>74</v>
      </c>
      <c r="AY1156" t="s">
        <v>74</v>
      </c>
      <c r="AZ1156" t="s">
        <v>74</v>
      </c>
      <c r="BA1156" t="s">
        <v>74</v>
      </c>
      <c r="BB1156">
        <v>723</v>
      </c>
      <c r="BC1156">
        <v>728</v>
      </c>
      <c r="BD1156" t="s">
        <v>74</v>
      </c>
      <c r="BE1156" t="s">
        <v>21622</v>
      </c>
      <c r="BF1156" t="str">
        <f>HYPERLINK("http://dx.doi.org/10.1016/j.pmrj.2014.01.006","http://dx.doi.org/10.1016/j.pmrj.2014.01.006")</f>
        <v>http://dx.doi.org/10.1016/j.pmrj.2014.01.006</v>
      </c>
      <c r="BG1156" t="s">
        <v>74</v>
      </c>
      <c r="BH1156" t="s">
        <v>74</v>
      </c>
      <c r="BI1156">
        <v>6</v>
      </c>
      <c r="BJ1156" t="s">
        <v>236</v>
      </c>
      <c r="BK1156" t="s">
        <v>182</v>
      </c>
      <c r="BL1156" t="s">
        <v>236</v>
      </c>
      <c r="BM1156" t="s">
        <v>21623</v>
      </c>
      <c r="BN1156">
        <v>24429072</v>
      </c>
      <c r="BO1156" t="s">
        <v>74</v>
      </c>
      <c r="BP1156" t="s">
        <v>74</v>
      </c>
      <c r="BQ1156" t="s">
        <v>74</v>
      </c>
      <c r="BR1156" t="s">
        <v>105</v>
      </c>
      <c r="BS1156" t="s">
        <v>21624</v>
      </c>
      <c r="BT1156" t="str">
        <f>HYPERLINK("https%3A%2F%2Fwww.webofscience.com%2Fwos%2Fwoscc%2Ffull-record%2FWOS:000341616800008","View Full Record in Web of Science")</f>
        <v>View Full Record in Web of Science</v>
      </c>
    </row>
    <row r="1157" spans="1:72" x14ac:dyDescent="0.25">
      <c r="A1157" t="s">
        <v>72</v>
      </c>
      <c r="B1157" t="s">
        <v>21625</v>
      </c>
      <c r="C1157" t="s">
        <v>74</v>
      </c>
      <c r="D1157" t="s">
        <v>74</v>
      </c>
      <c r="E1157" t="s">
        <v>74</v>
      </c>
      <c r="F1157" t="s">
        <v>21626</v>
      </c>
      <c r="G1157" t="s">
        <v>74</v>
      </c>
      <c r="H1157" t="s">
        <v>74</v>
      </c>
      <c r="I1157" t="s">
        <v>21627</v>
      </c>
      <c r="J1157" t="s">
        <v>21628</v>
      </c>
      <c r="K1157" t="s">
        <v>74</v>
      </c>
      <c r="L1157" t="s">
        <v>74</v>
      </c>
      <c r="M1157" t="s">
        <v>78</v>
      </c>
      <c r="N1157" t="s">
        <v>79</v>
      </c>
      <c r="O1157" t="s">
        <v>74</v>
      </c>
      <c r="P1157" t="s">
        <v>74</v>
      </c>
      <c r="Q1157" t="s">
        <v>74</v>
      </c>
      <c r="R1157" t="s">
        <v>74</v>
      </c>
      <c r="S1157" t="s">
        <v>74</v>
      </c>
      <c r="T1157" t="s">
        <v>21629</v>
      </c>
      <c r="U1157" t="s">
        <v>21630</v>
      </c>
      <c r="V1157" t="s">
        <v>21631</v>
      </c>
      <c r="W1157" t="s">
        <v>21632</v>
      </c>
      <c r="X1157" t="s">
        <v>21633</v>
      </c>
      <c r="Y1157" t="s">
        <v>21634</v>
      </c>
      <c r="Z1157" t="s">
        <v>21635</v>
      </c>
      <c r="AA1157" t="s">
        <v>251</v>
      </c>
      <c r="AB1157" t="s">
        <v>252</v>
      </c>
      <c r="AC1157" t="s">
        <v>21636</v>
      </c>
      <c r="AD1157" t="s">
        <v>21637</v>
      </c>
      <c r="AE1157" t="s">
        <v>21638</v>
      </c>
      <c r="AF1157" t="s">
        <v>74</v>
      </c>
      <c r="AG1157">
        <v>59</v>
      </c>
      <c r="AH1157">
        <v>45</v>
      </c>
      <c r="AI1157">
        <v>47</v>
      </c>
      <c r="AJ1157">
        <v>1</v>
      </c>
      <c r="AK1157">
        <v>46</v>
      </c>
      <c r="AL1157" t="s">
        <v>557</v>
      </c>
      <c r="AM1157" t="s">
        <v>275</v>
      </c>
      <c r="AN1157" t="s">
        <v>558</v>
      </c>
      <c r="AO1157" t="s">
        <v>21639</v>
      </c>
      <c r="AP1157" t="s">
        <v>21640</v>
      </c>
      <c r="AQ1157" t="s">
        <v>74</v>
      </c>
      <c r="AR1157" t="s">
        <v>21641</v>
      </c>
      <c r="AS1157" t="s">
        <v>21642</v>
      </c>
      <c r="AT1157" t="s">
        <v>634</v>
      </c>
      <c r="AU1157">
        <v>2014</v>
      </c>
      <c r="AV1157">
        <v>38</v>
      </c>
      <c r="AW1157">
        <v>4</v>
      </c>
      <c r="AX1157" t="s">
        <v>74</v>
      </c>
      <c r="AY1157" t="s">
        <v>74</v>
      </c>
      <c r="AZ1157" t="s">
        <v>74</v>
      </c>
      <c r="BA1157" t="s">
        <v>74</v>
      </c>
      <c r="BB1157">
        <v>287</v>
      </c>
      <c r="BC1157">
        <v>302</v>
      </c>
      <c r="BD1157" t="s">
        <v>74</v>
      </c>
      <c r="BE1157" t="s">
        <v>21643</v>
      </c>
      <c r="BF1157" t="str">
        <f>HYPERLINK("http://dx.doi.org/10.1177/0309364613498538","http://dx.doi.org/10.1177/0309364613498538")</f>
        <v>http://dx.doi.org/10.1177/0309364613498538</v>
      </c>
      <c r="BG1157" t="s">
        <v>74</v>
      </c>
      <c r="BH1157" t="s">
        <v>74</v>
      </c>
      <c r="BI1157">
        <v>16</v>
      </c>
      <c r="BJ1157" t="s">
        <v>3977</v>
      </c>
      <c r="BK1157" t="s">
        <v>182</v>
      </c>
      <c r="BL1157" t="s">
        <v>3977</v>
      </c>
      <c r="BM1157" t="s">
        <v>21644</v>
      </c>
      <c r="BN1157">
        <v>23950551</v>
      </c>
      <c r="BO1157" t="s">
        <v>74</v>
      </c>
      <c r="BP1157" t="s">
        <v>74</v>
      </c>
      <c r="BQ1157" t="s">
        <v>74</v>
      </c>
      <c r="BR1157" t="s">
        <v>105</v>
      </c>
      <c r="BS1157" t="s">
        <v>21645</v>
      </c>
      <c r="BT1157" t="str">
        <f>HYPERLINK("https%3A%2F%2Fwww.webofscience.com%2Fwos%2Fwoscc%2Ffull-record%2FWOS:000340159500002","View Full Record in Web of Science")</f>
        <v>View Full Record in Web of Science</v>
      </c>
    </row>
    <row r="1158" spans="1:72" x14ac:dyDescent="0.25">
      <c r="A1158" t="s">
        <v>72</v>
      </c>
      <c r="B1158" t="s">
        <v>21646</v>
      </c>
      <c r="C1158" t="s">
        <v>74</v>
      </c>
      <c r="D1158" t="s">
        <v>74</v>
      </c>
      <c r="E1158" t="s">
        <v>74</v>
      </c>
      <c r="F1158" t="s">
        <v>21647</v>
      </c>
      <c r="G1158" t="s">
        <v>74</v>
      </c>
      <c r="H1158" t="s">
        <v>74</v>
      </c>
      <c r="I1158" t="s">
        <v>21648</v>
      </c>
      <c r="J1158" t="s">
        <v>21649</v>
      </c>
      <c r="K1158" t="s">
        <v>74</v>
      </c>
      <c r="L1158" t="s">
        <v>74</v>
      </c>
      <c r="M1158" t="s">
        <v>2023</v>
      </c>
      <c r="N1158" t="s">
        <v>79</v>
      </c>
      <c r="O1158" t="s">
        <v>74</v>
      </c>
      <c r="P1158" t="s">
        <v>74</v>
      </c>
      <c r="Q1158" t="s">
        <v>74</v>
      </c>
      <c r="R1158" t="s">
        <v>74</v>
      </c>
      <c r="S1158" t="s">
        <v>74</v>
      </c>
      <c r="T1158" t="s">
        <v>21650</v>
      </c>
      <c r="U1158" t="s">
        <v>21651</v>
      </c>
      <c r="V1158" t="s">
        <v>21652</v>
      </c>
      <c r="W1158" t="s">
        <v>21653</v>
      </c>
      <c r="X1158" t="s">
        <v>21654</v>
      </c>
      <c r="Y1158" t="s">
        <v>21655</v>
      </c>
      <c r="Z1158" t="s">
        <v>21656</v>
      </c>
      <c r="AA1158" t="s">
        <v>74</v>
      </c>
      <c r="AB1158" t="s">
        <v>21657</v>
      </c>
      <c r="AC1158" t="s">
        <v>74</v>
      </c>
      <c r="AD1158" t="s">
        <v>74</v>
      </c>
      <c r="AE1158" t="s">
        <v>74</v>
      </c>
      <c r="AF1158" t="s">
        <v>74</v>
      </c>
      <c r="AG1158">
        <v>41</v>
      </c>
      <c r="AH1158">
        <v>1</v>
      </c>
      <c r="AI1158">
        <v>1</v>
      </c>
      <c r="AJ1158">
        <v>0</v>
      </c>
      <c r="AK1158">
        <v>8</v>
      </c>
      <c r="AL1158" t="s">
        <v>21658</v>
      </c>
      <c r="AM1158" t="s">
        <v>3039</v>
      </c>
      <c r="AN1158" t="s">
        <v>21659</v>
      </c>
      <c r="AO1158" t="s">
        <v>21660</v>
      </c>
      <c r="AP1158" t="s">
        <v>21661</v>
      </c>
      <c r="AQ1158" t="s">
        <v>74</v>
      </c>
      <c r="AR1158" t="s">
        <v>21662</v>
      </c>
      <c r="AS1158" t="s">
        <v>21663</v>
      </c>
      <c r="AT1158" t="s">
        <v>2033</v>
      </c>
      <c r="AU1158">
        <v>2014</v>
      </c>
      <c r="AV1158">
        <v>18</v>
      </c>
      <c r="AW1158">
        <v>3</v>
      </c>
      <c r="AX1158" t="s">
        <v>74</v>
      </c>
      <c r="AY1158" t="s">
        <v>74</v>
      </c>
      <c r="AZ1158" t="s">
        <v>74</v>
      </c>
      <c r="BA1158" t="s">
        <v>74</v>
      </c>
      <c r="BB1158">
        <v>128</v>
      </c>
      <c r="BC1158">
        <v>136</v>
      </c>
      <c r="BD1158" t="s">
        <v>74</v>
      </c>
      <c r="BE1158" t="s">
        <v>21664</v>
      </c>
      <c r="BF1158" t="str">
        <f>HYPERLINK("http://dx.doi.org/10.1016/j.rccan.2014.06.003","http://dx.doi.org/10.1016/j.rccan.2014.06.003")</f>
        <v>http://dx.doi.org/10.1016/j.rccan.2014.06.003</v>
      </c>
      <c r="BG1158" t="s">
        <v>74</v>
      </c>
      <c r="BH1158" t="s">
        <v>74</v>
      </c>
      <c r="BI1158">
        <v>9</v>
      </c>
      <c r="BJ1158" t="s">
        <v>4032</v>
      </c>
      <c r="BK1158" t="s">
        <v>155</v>
      </c>
      <c r="BL1158" t="s">
        <v>4032</v>
      </c>
      <c r="BM1158" t="s">
        <v>21665</v>
      </c>
      <c r="BN1158" t="s">
        <v>74</v>
      </c>
      <c r="BO1158" t="s">
        <v>74</v>
      </c>
      <c r="BP1158" t="s">
        <v>74</v>
      </c>
      <c r="BQ1158" t="s">
        <v>74</v>
      </c>
      <c r="BR1158" t="s">
        <v>105</v>
      </c>
      <c r="BS1158" t="s">
        <v>21666</v>
      </c>
      <c r="BT1158" t="str">
        <f>HYPERLINK("https%3A%2F%2Fwww.webofscience.com%2Fwos%2Fwoscc%2Ffull-record%2FWOS:000451090500005","View Full Record in Web of Science")</f>
        <v>View Full Record in Web of Science</v>
      </c>
    </row>
    <row r="1159" spans="1:72" x14ac:dyDescent="0.25">
      <c r="A1159" t="s">
        <v>72</v>
      </c>
      <c r="B1159" t="s">
        <v>21667</v>
      </c>
      <c r="C1159" t="s">
        <v>74</v>
      </c>
      <c r="D1159" t="s">
        <v>74</v>
      </c>
      <c r="E1159" t="s">
        <v>74</v>
      </c>
      <c r="F1159" t="s">
        <v>21668</v>
      </c>
      <c r="G1159" t="s">
        <v>74</v>
      </c>
      <c r="H1159" t="s">
        <v>74</v>
      </c>
      <c r="I1159" t="s">
        <v>21669</v>
      </c>
      <c r="J1159" t="s">
        <v>2117</v>
      </c>
      <c r="K1159" t="s">
        <v>74</v>
      </c>
      <c r="L1159" t="s">
        <v>74</v>
      </c>
      <c r="M1159" t="s">
        <v>78</v>
      </c>
      <c r="N1159" t="s">
        <v>79</v>
      </c>
      <c r="O1159" t="s">
        <v>74</v>
      </c>
      <c r="P1159" t="s">
        <v>74</v>
      </c>
      <c r="Q1159" t="s">
        <v>74</v>
      </c>
      <c r="R1159" t="s">
        <v>74</v>
      </c>
      <c r="S1159" t="s">
        <v>74</v>
      </c>
      <c r="T1159" t="s">
        <v>21670</v>
      </c>
      <c r="U1159" t="s">
        <v>21671</v>
      </c>
      <c r="V1159" t="s">
        <v>21672</v>
      </c>
      <c r="W1159" t="s">
        <v>21673</v>
      </c>
      <c r="X1159" t="s">
        <v>21674</v>
      </c>
      <c r="Y1159" t="s">
        <v>21675</v>
      </c>
      <c r="Z1159" t="s">
        <v>21676</v>
      </c>
      <c r="AA1159" t="s">
        <v>74</v>
      </c>
      <c r="AB1159" t="s">
        <v>21677</v>
      </c>
      <c r="AC1159" t="s">
        <v>21678</v>
      </c>
      <c r="AD1159" t="s">
        <v>21679</v>
      </c>
      <c r="AE1159" t="s">
        <v>21680</v>
      </c>
      <c r="AF1159" t="s">
        <v>74</v>
      </c>
      <c r="AG1159">
        <v>104</v>
      </c>
      <c r="AH1159">
        <v>95</v>
      </c>
      <c r="AI1159">
        <v>106</v>
      </c>
      <c r="AJ1159">
        <v>2</v>
      </c>
      <c r="AK1159">
        <v>21</v>
      </c>
      <c r="AL1159" t="s">
        <v>120</v>
      </c>
      <c r="AM1159" t="s">
        <v>121</v>
      </c>
      <c r="AN1159" t="s">
        <v>122</v>
      </c>
      <c r="AO1159" t="s">
        <v>74</v>
      </c>
      <c r="AP1159" t="s">
        <v>2129</v>
      </c>
      <c r="AQ1159" t="s">
        <v>74</v>
      </c>
      <c r="AR1159" t="s">
        <v>2117</v>
      </c>
      <c r="AS1159" t="s">
        <v>714</v>
      </c>
      <c r="AT1159" t="s">
        <v>1070</v>
      </c>
      <c r="AU1159">
        <v>2014</v>
      </c>
      <c r="AV1159">
        <v>3</v>
      </c>
      <c r="AW1159">
        <v>2</v>
      </c>
      <c r="AX1159" t="s">
        <v>74</v>
      </c>
      <c r="AY1159" t="s">
        <v>74</v>
      </c>
      <c r="AZ1159" t="s">
        <v>74</v>
      </c>
      <c r="BA1159" t="s">
        <v>74</v>
      </c>
      <c r="BB1159" t="s">
        <v>74</v>
      </c>
      <c r="BC1159" t="s">
        <v>74</v>
      </c>
      <c r="BD1159" t="s">
        <v>74</v>
      </c>
      <c r="BE1159" t="s">
        <v>21681</v>
      </c>
      <c r="BF1159" t="str">
        <f>HYPERLINK("http://dx.doi.org/10.3390/robotics3020120","http://dx.doi.org/10.3390/robotics3020120")</f>
        <v>http://dx.doi.org/10.3390/robotics3020120</v>
      </c>
      <c r="BG1159" t="s">
        <v>74</v>
      </c>
      <c r="BH1159" t="s">
        <v>74</v>
      </c>
      <c r="BI1159">
        <v>29</v>
      </c>
      <c r="BJ1159" t="s">
        <v>714</v>
      </c>
      <c r="BK1159" t="s">
        <v>155</v>
      </c>
      <c r="BL1159" t="s">
        <v>714</v>
      </c>
      <c r="BM1159" t="s">
        <v>21682</v>
      </c>
      <c r="BN1159" t="s">
        <v>74</v>
      </c>
      <c r="BO1159" t="s">
        <v>1374</v>
      </c>
      <c r="BP1159" t="s">
        <v>74</v>
      </c>
      <c r="BQ1159" t="s">
        <v>74</v>
      </c>
      <c r="BR1159" t="s">
        <v>105</v>
      </c>
      <c r="BS1159" t="s">
        <v>21683</v>
      </c>
      <c r="BT1159" t="str">
        <f>HYPERLINK("https%3A%2F%2Fwww.webofscience.com%2Fwos%2Fwoscc%2Ffull-record%2FWOS:000218767000002","View Full Record in Web of Science")</f>
        <v>View Full Record in Web of Science</v>
      </c>
    </row>
    <row r="1160" spans="1:72" x14ac:dyDescent="0.25">
      <c r="A1160" t="s">
        <v>72</v>
      </c>
      <c r="B1160" t="s">
        <v>21684</v>
      </c>
      <c r="C1160" t="s">
        <v>74</v>
      </c>
      <c r="D1160" t="s">
        <v>74</v>
      </c>
      <c r="E1160" t="s">
        <v>74</v>
      </c>
      <c r="F1160" t="s">
        <v>21685</v>
      </c>
      <c r="G1160" t="s">
        <v>74</v>
      </c>
      <c r="H1160" t="s">
        <v>74</v>
      </c>
      <c r="I1160" t="s">
        <v>21686</v>
      </c>
      <c r="J1160" t="s">
        <v>1339</v>
      </c>
      <c r="K1160" t="s">
        <v>74</v>
      </c>
      <c r="L1160" t="s">
        <v>74</v>
      </c>
      <c r="M1160" t="s">
        <v>78</v>
      </c>
      <c r="N1160" t="s">
        <v>79</v>
      </c>
      <c r="O1160" t="s">
        <v>74</v>
      </c>
      <c r="P1160" t="s">
        <v>74</v>
      </c>
      <c r="Q1160" t="s">
        <v>74</v>
      </c>
      <c r="R1160" t="s">
        <v>74</v>
      </c>
      <c r="S1160" t="s">
        <v>74</v>
      </c>
      <c r="T1160" t="s">
        <v>21687</v>
      </c>
      <c r="U1160" t="s">
        <v>21688</v>
      </c>
      <c r="V1160" t="s">
        <v>21689</v>
      </c>
      <c r="W1160" t="s">
        <v>21690</v>
      </c>
      <c r="X1160" t="s">
        <v>21691</v>
      </c>
      <c r="Y1160" t="s">
        <v>21692</v>
      </c>
      <c r="Z1160" t="s">
        <v>21693</v>
      </c>
      <c r="AA1160" t="s">
        <v>74</v>
      </c>
      <c r="AB1160" t="s">
        <v>74</v>
      </c>
      <c r="AC1160" t="s">
        <v>74</v>
      </c>
      <c r="AD1160" t="s">
        <v>74</v>
      </c>
      <c r="AE1160" t="s">
        <v>74</v>
      </c>
      <c r="AF1160" t="s">
        <v>74</v>
      </c>
      <c r="AG1160">
        <v>27</v>
      </c>
      <c r="AH1160">
        <v>10</v>
      </c>
      <c r="AI1160">
        <v>10</v>
      </c>
      <c r="AJ1160">
        <v>0</v>
      </c>
      <c r="AK1160">
        <v>1</v>
      </c>
      <c r="AL1160" t="s">
        <v>1348</v>
      </c>
      <c r="AM1160" t="s">
        <v>1349</v>
      </c>
      <c r="AN1160" t="s">
        <v>15947</v>
      </c>
      <c r="AO1160" t="s">
        <v>1351</v>
      </c>
      <c r="AP1160" t="s">
        <v>1352</v>
      </c>
      <c r="AQ1160" t="s">
        <v>74</v>
      </c>
      <c r="AR1160" t="s">
        <v>1353</v>
      </c>
      <c r="AS1160" t="s">
        <v>1354</v>
      </c>
      <c r="AT1160" t="s">
        <v>1070</v>
      </c>
      <c r="AU1160">
        <v>2014</v>
      </c>
      <c r="AV1160">
        <v>26</v>
      </c>
      <c r="AW1160">
        <v>3</v>
      </c>
      <c r="AX1160" t="s">
        <v>74</v>
      </c>
      <c r="AY1160" t="s">
        <v>74</v>
      </c>
      <c r="AZ1160" t="s">
        <v>74</v>
      </c>
      <c r="BA1160" t="s">
        <v>74</v>
      </c>
      <c r="BB1160">
        <v>302</v>
      </c>
      <c r="BC1160">
        <v>309</v>
      </c>
      <c r="BD1160" t="s">
        <v>74</v>
      </c>
      <c r="BE1160" t="s">
        <v>21694</v>
      </c>
      <c r="BF1160" t="str">
        <f>HYPERLINK("http://dx.doi.org/10.20965/jrm.2014.p0302","http://dx.doi.org/10.20965/jrm.2014.p0302")</f>
        <v>http://dx.doi.org/10.20965/jrm.2014.p0302</v>
      </c>
      <c r="BG1160" t="s">
        <v>74</v>
      </c>
      <c r="BH1160" t="s">
        <v>74</v>
      </c>
      <c r="BI1160">
        <v>8</v>
      </c>
      <c r="BJ1160" t="s">
        <v>714</v>
      </c>
      <c r="BK1160" t="s">
        <v>155</v>
      </c>
      <c r="BL1160" t="s">
        <v>714</v>
      </c>
      <c r="BM1160" t="s">
        <v>21695</v>
      </c>
      <c r="BN1160" t="s">
        <v>74</v>
      </c>
      <c r="BO1160" t="s">
        <v>185</v>
      </c>
      <c r="BP1160" t="s">
        <v>74</v>
      </c>
      <c r="BQ1160" t="s">
        <v>74</v>
      </c>
      <c r="BR1160" t="s">
        <v>105</v>
      </c>
      <c r="BS1160" t="s">
        <v>21696</v>
      </c>
      <c r="BT1160" t="str">
        <f>HYPERLINK("https%3A%2F%2Fwww.webofscience.com%2Fwos%2Fwoscc%2Ffull-record%2FWOS:000448931400003","View Full Record in Web of Science")</f>
        <v>View Full Record in Web of Science</v>
      </c>
    </row>
    <row r="1161" spans="1:72" x14ac:dyDescent="0.25">
      <c r="A1161" t="s">
        <v>72</v>
      </c>
      <c r="B1161" t="s">
        <v>21697</v>
      </c>
      <c r="C1161" t="s">
        <v>74</v>
      </c>
      <c r="D1161" t="s">
        <v>74</v>
      </c>
      <c r="E1161" t="s">
        <v>74</v>
      </c>
      <c r="F1161" t="s">
        <v>21698</v>
      </c>
      <c r="G1161" t="s">
        <v>74</v>
      </c>
      <c r="H1161" t="s">
        <v>74</v>
      </c>
      <c r="I1161" t="s">
        <v>21699</v>
      </c>
      <c r="J1161" t="s">
        <v>7912</v>
      </c>
      <c r="K1161" t="s">
        <v>74</v>
      </c>
      <c r="L1161" t="s">
        <v>74</v>
      </c>
      <c r="M1161" t="s">
        <v>78</v>
      </c>
      <c r="N1161" t="s">
        <v>79</v>
      </c>
      <c r="O1161" t="s">
        <v>74</v>
      </c>
      <c r="P1161" t="s">
        <v>74</v>
      </c>
      <c r="Q1161" t="s">
        <v>74</v>
      </c>
      <c r="R1161" t="s">
        <v>74</v>
      </c>
      <c r="S1161" t="s">
        <v>74</v>
      </c>
      <c r="T1161" t="s">
        <v>21700</v>
      </c>
      <c r="U1161" t="s">
        <v>21701</v>
      </c>
      <c r="V1161" t="s">
        <v>21702</v>
      </c>
      <c r="W1161" t="s">
        <v>21703</v>
      </c>
      <c r="X1161" t="s">
        <v>21704</v>
      </c>
      <c r="Y1161" t="s">
        <v>21705</v>
      </c>
      <c r="Z1161" t="s">
        <v>21706</v>
      </c>
      <c r="AA1161" t="s">
        <v>74</v>
      </c>
      <c r="AB1161" t="s">
        <v>74</v>
      </c>
      <c r="AC1161" t="s">
        <v>74</v>
      </c>
      <c r="AD1161" t="s">
        <v>74</v>
      </c>
      <c r="AE1161" t="s">
        <v>74</v>
      </c>
      <c r="AF1161" t="s">
        <v>74</v>
      </c>
      <c r="AG1161">
        <v>48</v>
      </c>
      <c r="AH1161">
        <v>34</v>
      </c>
      <c r="AI1161">
        <v>38</v>
      </c>
      <c r="AJ1161">
        <v>0</v>
      </c>
      <c r="AK1161">
        <v>53</v>
      </c>
      <c r="AL1161" t="s">
        <v>92</v>
      </c>
      <c r="AM1161" t="s">
        <v>93</v>
      </c>
      <c r="AN1161" t="s">
        <v>94</v>
      </c>
      <c r="AO1161" t="s">
        <v>7922</v>
      </c>
      <c r="AP1161" t="s">
        <v>7923</v>
      </c>
      <c r="AQ1161" t="s">
        <v>74</v>
      </c>
      <c r="AR1161" t="s">
        <v>7924</v>
      </c>
      <c r="AS1161" t="s">
        <v>7925</v>
      </c>
      <c r="AT1161" t="s">
        <v>21707</v>
      </c>
      <c r="AU1161">
        <v>2014</v>
      </c>
      <c r="AV1161">
        <v>21</v>
      </c>
      <c r="AW1161">
        <v>3</v>
      </c>
      <c r="AX1161" t="s">
        <v>74</v>
      </c>
      <c r="AY1161" t="s">
        <v>74</v>
      </c>
      <c r="AZ1161" t="s">
        <v>74</v>
      </c>
      <c r="BA1161" t="s">
        <v>74</v>
      </c>
      <c r="BB1161">
        <v>181</v>
      </c>
      <c r="BC1161">
        <v>196</v>
      </c>
      <c r="BD1161" t="s">
        <v>74</v>
      </c>
      <c r="BE1161" t="s">
        <v>21708</v>
      </c>
      <c r="BF1161" t="str">
        <f>HYPERLINK("http://dx.doi.org/10.1310/tsr2103-181","http://dx.doi.org/10.1310/tsr2103-181")</f>
        <v>http://dx.doi.org/10.1310/tsr2103-181</v>
      </c>
      <c r="BG1161" t="s">
        <v>74</v>
      </c>
      <c r="BH1161" t="s">
        <v>74</v>
      </c>
      <c r="BI1161">
        <v>16</v>
      </c>
      <c r="BJ1161" t="s">
        <v>101</v>
      </c>
      <c r="BK1161" t="s">
        <v>102</v>
      </c>
      <c r="BL1161" t="s">
        <v>101</v>
      </c>
      <c r="BM1161" t="s">
        <v>21709</v>
      </c>
      <c r="BN1161">
        <v>24985386</v>
      </c>
      <c r="BO1161" t="s">
        <v>74</v>
      </c>
      <c r="BP1161" t="s">
        <v>74</v>
      </c>
      <c r="BQ1161" t="s">
        <v>74</v>
      </c>
      <c r="BR1161" t="s">
        <v>105</v>
      </c>
      <c r="BS1161" t="s">
        <v>21710</v>
      </c>
      <c r="BT1161" t="str">
        <f>HYPERLINK("https%3A%2F%2Fwww.webofscience.com%2Fwos%2Fwoscc%2Ffull-record%2FWOS:000338179600002","View Full Record in Web of Science")</f>
        <v>View Full Record in Web of Science</v>
      </c>
    </row>
    <row r="1162" spans="1:72" x14ac:dyDescent="0.25">
      <c r="A1162" t="s">
        <v>72</v>
      </c>
      <c r="B1162" t="s">
        <v>21711</v>
      </c>
      <c r="C1162" t="s">
        <v>74</v>
      </c>
      <c r="D1162" t="s">
        <v>74</v>
      </c>
      <c r="E1162" t="s">
        <v>74</v>
      </c>
      <c r="F1162" t="s">
        <v>21712</v>
      </c>
      <c r="G1162" t="s">
        <v>74</v>
      </c>
      <c r="H1162" t="s">
        <v>74</v>
      </c>
      <c r="I1162" t="s">
        <v>21713</v>
      </c>
      <c r="J1162" t="s">
        <v>21714</v>
      </c>
      <c r="K1162" t="s">
        <v>74</v>
      </c>
      <c r="L1162" t="s">
        <v>74</v>
      </c>
      <c r="M1162" t="s">
        <v>78</v>
      </c>
      <c r="N1162" t="s">
        <v>79</v>
      </c>
      <c r="O1162" t="s">
        <v>74</v>
      </c>
      <c r="P1162" t="s">
        <v>74</v>
      </c>
      <c r="Q1162" t="s">
        <v>74</v>
      </c>
      <c r="R1162" t="s">
        <v>74</v>
      </c>
      <c r="S1162" t="s">
        <v>74</v>
      </c>
      <c r="T1162" t="s">
        <v>21715</v>
      </c>
      <c r="U1162" t="s">
        <v>21716</v>
      </c>
      <c r="V1162" t="s">
        <v>21717</v>
      </c>
      <c r="W1162" t="s">
        <v>21718</v>
      </c>
      <c r="X1162" t="s">
        <v>21719</v>
      </c>
      <c r="Y1162" t="s">
        <v>21720</v>
      </c>
      <c r="Z1162" t="s">
        <v>21721</v>
      </c>
      <c r="AA1162" t="s">
        <v>21722</v>
      </c>
      <c r="AB1162" t="s">
        <v>74</v>
      </c>
      <c r="AC1162" t="s">
        <v>74</v>
      </c>
      <c r="AD1162" t="s">
        <v>74</v>
      </c>
      <c r="AE1162" t="s">
        <v>74</v>
      </c>
      <c r="AF1162" t="s">
        <v>74</v>
      </c>
      <c r="AG1162">
        <v>98</v>
      </c>
      <c r="AH1162">
        <v>4</v>
      </c>
      <c r="AI1162">
        <v>6</v>
      </c>
      <c r="AJ1162">
        <v>0</v>
      </c>
      <c r="AK1162">
        <v>3</v>
      </c>
      <c r="AL1162" t="s">
        <v>557</v>
      </c>
      <c r="AM1162" t="s">
        <v>275</v>
      </c>
      <c r="AN1162" t="s">
        <v>558</v>
      </c>
      <c r="AO1162" t="s">
        <v>21723</v>
      </c>
      <c r="AP1162" t="s">
        <v>21724</v>
      </c>
      <c r="AQ1162" t="s">
        <v>74</v>
      </c>
      <c r="AR1162" t="s">
        <v>21725</v>
      </c>
      <c r="AS1162" t="s">
        <v>21726</v>
      </c>
      <c r="AT1162" t="s">
        <v>8709</v>
      </c>
      <c r="AU1162">
        <v>2014</v>
      </c>
      <c r="AV1162">
        <v>81</v>
      </c>
      <c r="AW1162">
        <v>2</v>
      </c>
      <c r="AX1162" t="s">
        <v>74</v>
      </c>
      <c r="AY1162" t="s">
        <v>74</v>
      </c>
      <c r="AZ1162" t="s">
        <v>74</v>
      </c>
      <c r="BA1162" t="s">
        <v>74</v>
      </c>
      <c r="BB1162">
        <v>76</v>
      </c>
      <c r="BC1162">
        <v>87</v>
      </c>
      <c r="BD1162" t="s">
        <v>74</v>
      </c>
      <c r="BE1162" t="s">
        <v>21727</v>
      </c>
      <c r="BF1162" t="str">
        <f>HYPERLINK("http://dx.doi.org/10.5301/urologia.5000052","http://dx.doi.org/10.5301/urologia.5000052")</f>
        <v>http://dx.doi.org/10.5301/urologia.5000052</v>
      </c>
      <c r="BG1162" t="s">
        <v>74</v>
      </c>
      <c r="BH1162" t="s">
        <v>74</v>
      </c>
      <c r="BI1162">
        <v>12</v>
      </c>
      <c r="BJ1162" t="s">
        <v>2739</v>
      </c>
      <c r="BK1162" t="s">
        <v>155</v>
      </c>
      <c r="BL1162" t="s">
        <v>2739</v>
      </c>
      <c r="BM1162" t="s">
        <v>21728</v>
      </c>
      <c r="BN1162">
        <v>25083520</v>
      </c>
      <c r="BO1162" t="s">
        <v>74</v>
      </c>
      <c r="BP1162" t="s">
        <v>74</v>
      </c>
      <c r="BQ1162" t="s">
        <v>74</v>
      </c>
      <c r="BR1162" t="s">
        <v>105</v>
      </c>
      <c r="BS1162" t="s">
        <v>21729</v>
      </c>
      <c r="BT1162" t="str">
        <f>HYPERLINK("https%3A%2F%2Fwww.webofscience.com%2Fwos%2Fwoscc%2Ffull-record%2FWOS:000422005300002","View Full Record in Web of Science")</f>
        <v>View Full Record in Web of Science</v>
      </c>
    </row>
    <row r="1163" spans="1:72" x14ac:dyDescent="0.25">
      <c r="A1163" t="s">
        <v>72</v>
      </c>
      <c r="B1163" t="s">
        <v>21730</v>
      </c>
      <c r="C1163" t="s">
        <v>74</v>
      </c>
      <c r="D1163" t="s">
        <v>74</v>
      </c>
      <c r="E1163" t="s">
        <v>74</v>
      </c>
      <c r="F1163" t="s">
        <v>21731</v>
      </c>
      <c r="G1163" t="s">
        <v>74</v>
      </c>
      <c r="H1163" t="s">
        <v>74</v>
      </c>
      <c r="I1163" t="s">
        <v>21732</v>
      </c>
      <c r="J1163" t="s">
        <v>21733</v>
      </c>
      <c r="K1163" t="s">
        <v>74</v>
      </c>
      <c r="L1163" t="s">
        <v>74</v>
      </c>
      <c r="M1163" t="s">
        <v>78</v>
      </c>
      <c r="N1163" t="s">
        <v>79</v>
      </c>
      <c r="O1163" t="s">
        <v>74</v>
      </c>
      <c r="P1163" t="s">
        <v>74</v>
      </c>
      <c r="Q1163" t="s">
        <v>74</v>
      </c>
      <c r="R1163" t="s">
        <v>74</v>
      </c>
      <c r="S1163" t="s">
        <v>74</v>
      </c>
      <c r="T1163" t="s">
        <v>21734</v>
      </c>
      <c r="U1163" t="s">
        <v>21735</v>
      </c>
      <c r="V1163" t="s">
        <v>21736</v>
      </c>
      <c r="W1163" t="s">
        <v>21737</v>
      </c>
      <c r="X1163" t="s">
        <v>21738</v>
      </c>
      <c r="Y1163" t="s">
        <v>21739</v>
      </c>
      <c r="Z1163" t="s">
        <v>21740</v>
      </c>
      <c r="AA1163" t="s">
        <v>21741</v>
      </c>
      <c r="AB1163" t="s">
        <v>21742</v>
      </c>
      <c r="AC1163" t="s">
        <v>74</v>
      </c>
      <c r="AD1163" t="s">
        <v>74</v>
      </c>
      <c r="AE1163" t="s">
        <v>74</v>
      </c>
      <c r="AF1163" t="s">
        <v>74</v>
      </c>
      <c r="AG1163">
        <v>141</v>
      </c>
      <c r="AH1163">
        <v>47</v>
      </c>
      <c r="AI1163">
        <v>52</v>
      </c>
      <c r="AJ1163">
        <v>2</v>
      </c>
      <c r="AK1163">
        <v>69</v>
      </c>
      <c r="AL1163" t="s">
        <v>531</v>
      </c>
      <c r="AM1163" t="s">
        <v>532</v>
      </c>
      <c r="AN1163" t="s">
        <v>533</v>
      </c>
      <c r="AO1163" t="s">
        <v>21743</v>
      </c>
      <c r="AP1163" t="s">
        <v>21744</v>
      </c>
      <c r="AQ1163" t="s">
        <v>74</v>
      </c>
      <c r="AR1163" t="s">
        <v>21745</v>
      </c>
      <c r="AS1163" t="s">
        <v>21746</v>
      </c>
      <c r="AT1163" t="s">
        <v>1471</v>
      </c>
      <c r="AU1163">
        <v>2014</v>
      </c>
      <c r="AV1163">
        <v>10</v>
      </c>
      <c r="AW1163" t="s">
        <v>74</v>
      </c>
      <c r="AX1163" t="s">
        <v>74</v>
      </c>
      <c r="AY1163" t="s">
        <v>74</v>
      </c>
      <c r="AZ1163" t="s">
        <v>74</v>
      </c>
      <c r="BA1163" t="s">
        <v>74</v>
      </c>
      <c r="BB1163">
        <v>65</v>
      </c>
      <c r="BC1163">
        <v>78</v>
      </c>
      <c r="BD1163" t="s">
        <v>74</v>
      </c>
      <c r="BE1163" t="s">
        <v>21747</v>
      </c>
      <c r="BF1163" t="str">
        <f>HYPERLINK("http://dx.doi.org/10.1016/j.bspc.2013.12.009","http://dx.doi.org/10.1016/j.bspc.2013.12.009")</f>
        <v>http://dx.doi.org/10.1016/j.bspc.2013.12.009</v>
      </c>
      <c r="BG1163" t="s">
        <v>74</v>
      </c>
      <c r="BH1163" t="s">
        <v>74</v>
      </c>
      <c r="BI1163">
        <v>14</v>
      </c>
      <c r="BJ1163" t="s">
        <v>282</v>
      </c>
      <c r="BK1163" t="s">
        <v>102</v>
      </c>
      <c r="BL1163" t="s">
        <v>183</v>
      </c>
      <c r="BM1163" t="s">
        <v>21748</v>
      </c>
      <c r="BN1163" t="s">
        <v>74</v>
      </c>
      <c r="BO1163" t="s">
        <v>3048</v>
      </c>
      <c r="BP1163" t="s">
        <v>74</v>
      </c>
      <c r="BQ1163" t="s">
        <v>74</v>
      </c>
      <c r="BR1163" t="s">
        <v>105</v>
      </c>
      <c r="BS1163" t="s">
        <v>21749</v>
      </c>
      <c r="BT1163" t="str">
        <f>HYPERLINK("https%3A%2F%2Fwww.webofscience.com%2Fwos%2Fwoscc%2Ffull-record%2FWOS:000334001300008","View Full Record in Web of Science")</f>
        <v>View Full Record in Web of Science</v>
      </c>
    </row>
    <row r="1164" spans="1:72" x14ac:dyDescent="0.25">
      <c r="A1164" t="s">
        <v>72</v>
      </c>
      <c r="B1164" t="s">
        <v>21750</v>
      </c>
      <c r="C1164" t="s">
        <v>74</v>
      </c>
      <c r="D1164" t="s">
        <v>74</v>
      </c>
      <c r="E1164" t="s">
        <v>74</v>
      </c>
      <c r="F1164" t="s">
        <v>21751</v>
      </c>
      <c r="G1164" t="s">
        <v>74</v>
      </c>
      <c r="H1164" t="s">
        <v>74</v>
      </c>
      <c r="I1164" t="s">
        <v>21752</v>
      </c>
      <c r="J1164" t="s">
        <v>18225</v>
      </c>
      <c r="K1164" t="s">
        <v>74</v>
      </c>
      <c r="L1164" t="s">
        <v>74</v>
      </c>
      <c r="M1164" t="s">
        <v>78</v>
      </c>
      <c r="N1164" t="s">
        <v>79</v>
      </c>
      <c r="O1164" t="s">
        <v>74</v>
      </c>
      <c r="P1164" t="s">
        <v>74</v>
      </c>
      <c r="Q1164" t="s">
        <v>74</v>
      </c>
      <c r="R1164" t="s">
        <v>74</v>
      </c>
      <c r="S1164" t="s">
        <v>74</v>
      </c>
      <c r="T1164" t="s">
        <v>21753</v>
      </c>
      <c r="U1164" t="s">
        <v>21754</v>
      </c>
      <c r="V1164" t="s">
        <v>21755</v>
      </c>
      <c r="W1164" t="s">
        <v>21756</v>
      </c>
      <c r="X1164" t="s">
        <v>21757</v>
      </c>
      <c r="Y1164" t="s">
        <v>21758</v>
      </c>
      <c r="Z1164" t="s">
        <v>21759</v>
      </c>
      <c r="AA1164" t="s">
        <v>74</v>
      </c>
      <c r="AB1164" t="s">
        <v>21760</v>
      </c>
      <c r="AC1164" t="s">
        <v>21761</v>
      </c>
      <c r="AD1164" t="s">
        <v>21761</v>
      </c>
      <c r="AE1164" t="s">
        <v>21762</v>
      </c>
      <c r="AF1164" t="s">
        <v>74</v>
      </c>
      <c r="AG1164">
        <v>164</v>
      </c>
      <c r="AH1164">
        <v>193</v>
      </c>
      <c r="AI1164">
        <v>226</v>
      </c>
      <c r="AJ1164">
        <v>5</v>
      </c>
      <c r="AK1164">
        <v>71</v>
      </c>
      <c r="AL1164" t="s">
        <v>4915</v>
      </c>
      <c r="AM1164" t="s">
        <v>532</v>
      </c>
      <c r="AN1164" t="s">
        <v>4916</v>
      </c>
      <c r="AO1164" t="s">
        <v>18238</v>
      </c>
      <c r="AP1164" t="s">
        <v>18239</v>
      </c>
      <c r="AQ1164" t="s">
        <v>74</v>
      </c>
      <c r="AR1164" t="s">
        <v>18225</v>
      </c>
      <c r="AS1164" t="s">
        <v>18240</v>
      </c>
      <c r="AT1164" t="s">
        <v>1471</v>
      </c>
      <c r="AU1164">
        <v>2014</v>
      </c>
      <c r="AV1164">
        <v>137</v>
      </c>
      <c r="AW1164" t="s">
        <v>74</v>
      </c>
      <c r="AX1164">
        <v>3</v>
      </c>
      <c r="AY1164" t="s">
        <v>74</v>
      </c>
      <c r="AZ1164" t="s">
        <v>74</v>
      </c>
      <c r="BA1164" t="s">
        <v>74</v>
      </c>
      <c r="BB1164">
        <v>654</v>
      </c>
      <c r="BC1164">
        <v>667</v>
      </c>
      <c r="BD1164" t="s">
        <v>74</v>
      </c>
      <c r="BE1164" t="s">
        <v>21763</v>
      </c>
      <c r="BF1164" t="str">
        <f>HYPERLINK("http://dx.doi.org/10.1093/brain/awt262","http://dx.doi.org/10.1093/brain/awt262")</f>
        <v>http://dx.doi.org/10.1093/brain/awt262</v>
      </c>
      <c r="BG1164" t="s">
        <v>74</v>
      </c>
      <c r="BH1164" t="s">
        <v>74</v>
      </c>
      <c r="BI1164">
        <v>14</v>
      </c>
      <c r="BJ1164" t="s">
        <v>400</v>
      </c>
      <c r="BK1164" t="s">
        <v>182</v>
      </c>
      <c r="BL1164" t="s">
        <v>375</v>
      </c>
      <c r="BM1164" t="s">
        <v>21764</v>
      </c>
      <c r="BN1164">
        <v>24103913</v>
      </c>
      <c r="BO1164" t="s">
        <v>4373</v>
      </c>
      <c r="BP1164" t="s">
        <v>74</v>
      </c>
      <c r="BQ1164" t="s">
        <v>74</v>
      </c>
      <c r="BR1164" t="s">
        <v>105</v>
      </c>
      <c r="BS1164" t="s">
        <v>21765</v>
      </c>
      <c r="BT1164" t="str">
        <f>HYPERLINK("https%3A%2F%2Fwww.webofscience.com%2Fwos%2Fwoscc%2Ffull-record%2FWOS:000332036300006","View Full Record in Web of Science")</f>
        <v>View Full Record in Web of Science</v>
      </c>
    </row>
    <row r="1165" spans="1:72" x14ac:dyDescent="0.25">
      <c r="A1165" t="s">
        <v>72</v>
      </c>
      <c r="B1165" t="s">
        <v>21766</v>
      </c>
      <c r="C1165" t="s">
        <v>74</v>
      </c>
      <c r="D1165" t="s">
        <v>74</v>
      </c>
      <c r="E1165" t="s">
        <v>74</v>
      </c>
      <c r="F1165" t="s">
        <v>21767</v>
      </c>
      <c r="G1165" t="s">
        <v>74</v>
      </c>
      <c r="H1165" t="s">
        <v>74</v>
      </c>
      <c r="I1165" t="s">
        <v>21768</v>
      </c>
      <c r="J1165" t="s">
        <v>2157</v>
      </c>
      <c r="K1165" t="s">
        <v>74</v>
      </c>
      <c r="L1165" t="s">
        <v>74</v>
      </c>
      <c r="M1165" t="s">
        <v>78</v>
      </c>
      <c r="N1165" t="s">
        <v>79</v>
      </c>
      <c r="O1165" t="s">
        <v>74</v>
      </c>
      <c r="P1165" t="s">
        <v>74</v>
      </c>
      <c r="Q1165" t="s">
        <v>74</v>
      </c>
      <c r="R1165" t="s">
        <v>74</v>
      </c>
      <c r="S1165" t="s">
        <v>74</v>
      </c>
      <c r="T1165" t="s">
        <v>21769</v>
      </c>
      <c r="U1165" t="s">
        <v>21770</v>
      </c>
      <c r="V1165" t="s">
        <v>21771</v>
      </c>
      <c r="W1165" t="s">
        <v>21772</v>
      </c>
      <c r="X1165" t="s">
        <v>21773</v>
      </c>
      <c r="Y1165" t="s">
        <v>21774</v>
      </c>
      <c r="Z1165" t="s">
        <v>21775</v>
      </c>
      <c r="AA1165" t="s">
        <v>21776</v>
      </c>
      <c r="AB1165" t="s">
        <v>21777</v>
      </c>
      <c r="AC1165" t="s">
        <v>74</v>
      </c>
      <c r="AD1165" t="s">
        <v>74</v>
      </c>
      <c r="AE1165" t="s">
        <v>74</v>
      </c>
      <c r="AF1165" t="s">
        <v>74</v>
      </c>
      <c r="AG1165">
        <v>91</v>
      </c>
      <c r="AH1165">
        <v>109</v>
      </c>
      <c r="AI1165">
        <v>114</v>
      </c>
      <c r="AJ1165">
        <v>0</v>
      </c>
      <c r="AK1165">
        <v>68</v>
      </c>
      <c r="AL1165" t="s">
        <v>92</v>
      </c>
      <c r="AM1165" t="s">
        <v>93</v>
      </c>
      <c r="AN1165" t="s">
        <v>94</v>
      </c>
      <c r="AO1165" t="s">
        <v>2170</v>
      </c>
      <c r="AP1165" t="s">
        <v>2171</v>
      </c>
      <c r="AQ1165" t="s">
        <v>74</v>
      </c>
      <c r="AR1165" t="s">
        <v>2172</v>
      </c>
      <c r="AS1165" t="s">
        <v>2173</v>
      </c>
      <c r="AT1165" t="s">
        <v>1471</v>
      </c>
      <c r="AU1165">
        <v>2014</v>
      </c>
      <c r="AV1165">
        <v>11</v>
      </c>
      <c r="AW1165">
        <v>2</v>
      </c>
      <c r="AX1165" t="s">
        <v>74</v>
      </c>
      <c r="AY1165" t="s">
        <v>74</v>
      </c>
      <c r="AZ1165" t="s">
        <v>74</v>
      </c>
      <c r="BA1165" t="s">
        <v>74</v>
      </c>
      <c r="BB1165">
        <v>187</v>
      </c>
      <c r="BC1165">
        <v>198</v>
      </c>
      <c r="BD1165" t="s">
        <v>74</v>
      </c>
      <c r="BE1165" t="s">
        <v>21778</v>
      </c>
      <c r="BF1165" t="str">
        <f>HYPERLINK("http://dx.doi.org/10.1586/17434440.2014.882766","http://dx.doi.org/10.1586/17434440.2014.882766")</f>
        <v>http://dx.doi.org/10.1586/17434440.2014.882766</v>
      </c>
      <c r="BG1165" t="s">
        <v>74</v>
      </c>
      <c r="BH1165" t="s">
        <v>74</v>
      </c>
      <c r="BI1165">
        <v>12</v>
      </c>
      <c r="BJ1165" t="s">
        <v>282</v>
      </c>
      <c r="BK1165" t="s">
        <v>102</v>
      </c>
      <c r="BL1165" t="s">
        <v>183</v>
      </c>
      <c r="BM1165" t="s">
        <v>21779</v>
      </c>
      <c r="BN1165">
        <v>24479445</v>
      </c>
      <c r="BO1165" t="s">
        <v>74</v>
      </c>
      <c r="BP1165" t="s">
        <v>74</v>
      </c>
      <c r="BQ1165" t="s">
        <v>74</v>
      </c>
      <c r="BR1165" t="s">
        <v>105</v>
      </c>
      <c r="BS1165" t="s">
        <v>21780</v>
      </c>
      <c r="BT1165" t="str">
        <f>HYPERLINK("https%3A%2F%2Fwww.webofscience.com%2Fwos%2Fwoscc%2Ffull-record%2FWOS:000335324000010","View Full Record in Web of Science")</f>
        <v>View Full Record in Web of Science</v>
      </c>
    </row>
    <row r="1166" spans="1:72" x14ac:dyDescent="0.25">
      <c r="A1166" t="s">
        <v>72</v>
      </c>
      <c r="B1166" t="s">
        <v>21781</v>
      </c>
      <c r="C1166" t="s">
        <v>74</v>
      </c>
      <c r="D1166" t="s">
        <v>74</v>
      </c>
      <c r="E1166" t="s">
        <v>74</v>
      </c>
      <c r="F1166" t="s">
        <v>21782</v>
      </c>
      <c r="G1166" t="s">
        <v>74</v>
      </c>
      <c r="H1166" t="s">
        <v>74</v>
      </c>
      <c r="I1166" t="s">
        <v>21783</v>
      </c>
      <c r="J1166" t="s">
        <v>7912</v>
      </c>
      <c r="K1166" t="s">
        <v>74</v>
      </c>
      <c r="L1166" t="s">
        <v>74</v>
      </c>
      <c r="M1166" t="s">
        <v>78</v>
      </c>
      <c r="N1166" t="s">
        <v>79</v>
      </c>
      <c r="O1166" t="s">
        <v>74</v>
      </c>
      <c r="P1166" t="s">
        <v>74</v>
      </c>
      <c r="Q1166" t="s">
        <v>74</v>
      </c>
      <c r="R1166" t="s">
        <v>74</v>
      </c>
      <c r="S1166" t="s">
        <v>74</v>
      </c>
      <c r="T1166" t="s">
        <v>21784</v>
      </c>
      <c r="U1166" t="s">
        <v>21785</v>
      </c>
      <c r="V1166" t="s">
        <v>21786</v>
      </c>
      <c r="W1166" t="s">
        <v>21787</v>
      </c>
      <c r="X1166" t="s">
        <v>19124</v>
      </c>
      <c r="Y1166" t="s">
        <v>21788</v>
      </c>
      <c r="Z1166" t="s">
        <v>21789</v>
      </c>
      <c r="AA1166" t="s">
        <v>21790</v>
      </c>
      <c r="AB1166" t="s">
        <v>21791</v>
      </c>
      <c r="AC1166" t="s">
        <v>74</v>
      </c>
      <c r="AD1166" t="s">
        <v>74</v>
      </c>
      <c r="AE1166" t="s">
        <v>74</v>
      </c>
      <c r="AF1166" t="s">
        <v>74</v>
      </c>
      <c r="AG1166">
        <v>52</v>
      </c>
      <c r="AH1166">
        <v>83</v>
      </c>
      <c r="AI1166">
        <v>104</v>
      </c>
      <c r="AJ1166">
        <v>0</v>
      </c>
      <c r="AK1166">
        <v>65</v>
      </c>
      <c r="AL1166" t="s">
        <v>92</v>
      </c>
      <c r="AM1166" t="s">
        <v>93</v>
      </c>
      <c r="AN1166" t="s">
        <v>94</v>
      </c>
      <c r="AO1166" t="s">
        <v>7922</v>
      </c>
      <c r="AP1166" t="s">
        <v>7923</v>
      </c>
      <c r="AQ1166" t="s">
        <v>74</v>
      </c>
      <c r="AR1166" t="s">
        <v>7924</v>
      </c>
      <c r="AS1166" t="s">
        <v>7925</v>
      </c>
      <c r="AT1166" t="s">
        <v>11314</v>
      </c>
      <c r="AU1166">
        <v>2014</v>
      </c>
      <c r="AV1166">
        <v>21</v>
      </c>
      <c r="AW1166">
        <v>2</v>
      </c>
      <c r="AX1166" t="s">
        <v>74</v>
      </c>
      <c r="AY1166" t="s">
        <v>74</v>
      </c>
      <c r="AZ1166" t="s">
        <v>74</v>
      </c>
      <c r="BA1166" t="s">
        <v>74</v>
      </c>
      <c r="BB1166">
        <v>87</v>
      </c>
      <c r="BC1166">
        <v>100</v>
      </c>
      <c r="BD1166" t="s">
        <v>74</v>
      </c>
      <c r="BE1166" t="s">
        <v>21792</v>
      </c>
      <c r="BF1166" t="str">
        <f>HYPERLINK("http://dx.doi.org/10.1310/tsr2102-87","http://dx.doi.org/10.1310/tsr2102-87")</f>
        <v>http://dx.doi.org/10.1310/tsr2102-87</v>
      </c>
      <c r="BG1166" t="s">
        <v>74</v>
      </c>
      <c r="BH1166" t="s">
        <v>74</v>
      </c>
      <c r="BI1166">
        <v>14</v>
      </c>
      <c r="BJ1166" t="s">
        <v>101</v>
      </c>
      <c r="BK1166" t="s">
        <v>102</v>
      </c>
      <c r="BL1166" t="s">
        <v>101</v>
      </c>
      <c r="BM1166" t="s">
        <v>21793</v>
      </c>
      <c r="BN1166">
        <v>24710969</v>
      </c>
      <c r="BO1166" t="s">
        <v>74</v>
      </c>
      <c r="BP1166" t="s">
        <v>74</v>
      </c>
      <c r="BQ1166" t="s">
        <v>74</v>
      </c>
      <c r="BR1166" t="s">
        <v>105</v>
      </c>
      <c r="BS1166" t="s">
        <v>21794</v>
      </c>
      <c r="BT1166" t="str">
        <f>HYPERLINK("https%3A%2F%2Fwww.webofscience.com%2Fwos%2Fwoscc%2Ffull-record%2FWOS:000333546200003","View Full Record in Web of Science")</f>
        <v>View Full Record in Web of Science</v>
      </c>
    </row>
    <row r="1167" spans="1:72" x14ac:dyDescent="0.25">
      <c r="A1167" t="s">
        <v>72</v>
      </c>
      <c r="B1167" t="s">
        <v>21795</v>
      </c>
      <c r="C1167" t="s">
        <v>74</v>
      </c>
      <c r="D1167" t="s">
        <v>74</v>
      </c>
      <c r="E1167" t="s">
        <v>74</v>
      </c>
      <c r="F1167" t="s">
        <v>21796</v>
      </c>
      <c r="G1167" t="s">
        <v>74</v>
      </c>
      <c r="H1167" t="s">
        <v>74</v>
      </c>
      <c r="I1167" t="s">
        <v>21797</v>
      </c>
      <c r="J1167" t="s">
        <v>15756</v>
      </c>
      <c r="K1167" t="s">
        <v>74</v>
      </c>
      <c r="L1167" t="s">
        <v>74</v>
      </c>
      <c r="M1167" t="s">
        <v>78</v>
      </c>
      <c r="N1167" t="s">
        <v>79</v>
      </c>
      <c r="O1167" t="s">
        <v>74</v>
      </c>
      <c r="P1167" t="s">
        <v>74</v>
      </c>
      <c r="Q1167" t="s">
        <v>74</v>
      </c>
      <c r="R1167" t="s">
        <v>74</v>
      </c>
      <c r="S1167" t="s">
        <v>74</v>
      </c>
      <c r="T1167" t="s">
        <v>21798</v>
      </c>
      <c r="U1167" t="s">
        <v>74</v>
      </c>
      <c r="V1167" t="s">
        <v>21799</v>
      </c>
      <c r="W1167" t="s">
        <v>21800</v>
      </c>
      <c r="X1167" t="s">
        <v>21801</v>
      </c>
      <c r="Y1167" t="s">
        <v>21802</v>
      </c>
      <c r="Z1167" t="s">
        <v>21803</v>
      </c>
      <c r="AA1167" t="s">
        <v>21804</v>
      </c>
      <c r="AB1167" t="s">
        <v>21805</v>
      </c>
      <c r="AC1167" t="s">
        <v>21806</v>
      </c>
      <c r="AD1167" t="s">
        <v>21807</v>
      </c>
      <c r="AE1167" t="s">
        <v>21808</v>
      </c>
      <c r="AF1167" t="s">
        <v>74</v>
      </c>
      <c r="AG1167">
        <v>144</v>
      </c>
      <c r="AH1167">
        <v>38</v>
      </c>
      <c r="AI1167">
        <v>42</v>
      </c>
      <c r="AJ1167">
        <v>0</v>
      </c>
      <c r="AK1167">
        <v>13</v>
      </c>
      <c r="AL1167" t="s">
        <v>392</v>
      </c>
      <c r="AM1167" t="s">
        <v>393</v>
      </c>
      <c r="AN1167" t="s">
        <v>21302</v>
      </c>
      <c r="AO1167" t="s">
        <v>15769</v>
      </c>
      <c r="AP1167" t="s">
        <v>74</v>
      </c>
      <c r="AQ1167" t="s">
        <v>74</v>
      </c>
      <c r="AR1167" t="s">
        <v>15770</v>
      </c>
      <c r="AS1167" t="s">
        <v>15771</v>
      </c>
      <c r="AT1167" t="s">
        <v>74</v>
      </c>
      <c r="AU1167">
        <v>2014</v>
      </c>
      <c r="AV1167">
        <v>8</v>
      </c>
      <c r="AW1167" t="s">
        <v>74</v>
      </c>
      <c r="AX1167" t="s">
        <v>74</v>
      </c>
      <c r="AY1167" t="s">
        <v>74</v>
      </c>
      <c r="AZ1167" t="s">
        <v>74</v>
      </c>
      <c r="BA1167" t="s">
        <v>74</v>
      </c>
      <c r="BB1167" t="s">
        <v>74</v>
      </c>
      <c r="BC1167" t="s">
        <v>74</v>
      </c>
      <c r="BD1167" t="s">
        <v>74</v>
      </c>
      <c r="BE1167" t="s">
        <v>21809</v>
      </c>
      <c r="BF1167" t="str">
        <f>HYPERLINK("http://dx.doi.org/10.3389/fnsys.2014.00144","http://dx.doi.org/10.3389/fnsys.2014.00144")</f>
        <v>http://dx.doi.org/10.3389/fnsys.2014.00144</v>
      </c>
      <c r="BG1167" t="s">
        <v>74</v>
      </c>
      <c r="BH1167" t="s">
        <v>74</v>
      </c>
      <c r="BI1167">
        <v>16</v>
      </c>
      <c r="BJ1167" t="s">
        <v>374</v>
      </c>
      <c r="BK1167" t="s">
        <v>155</v>
      </c>
      <c r="BL1167" t="s">
        <v>375</v>
      </c>
      <c r="BM1167" t="s">
        <v>21810</v>
      </c>
      <c r="BN1167">
        <v>25161613</v>
      </c>
      <c r="BO1167" t="s">
        <v>131</v>
      </c>
      <c r="BP1167" t="s">
        <v>74</v>
      </c>
      <c r="BQ1167" t="s">
        <v>74</v>
      </c>
      <c r="BR1167" t="s">
        <v>105</v>
      </c>
      <c r="BS1167" t="s">
        <v>21811</v>
      </c>
      <c r="BT1167" t="str">
        <f>HYPERLINK("https%3A%2F%2Fwww.webofscience.com%2Fwos%2Fwoscc%2Ffull-record%2FWOS:000214852700143","View Full Record in Web of Science")</f>
        <v>View Full Record in Web of Science</v>
      </c>
    </row>
    <row r="1168" spans="1:72" x14ac:dyDescent="0.25">
      <c r="A1168" t="s">
        <v>72</v>
      </c>
      <c r="B1168" t="s">
        <v>21812</v>
      </c>
      <c r="C1168" t="s">
        <v>74</v>
      </c>
      <c r="D1168" t="s">
        <v>74</v>
      </c>
      <c r="E1168" t="s">
        <v>74</v>
      </c>
      <c r="F1168" t="s">
        <v>21813</v>
      </c>
      <c r="G1168" t="s">
        <v>74</v>
      </c>
      <c r="H1168" t="s">
        <v>74</v>
      </c>
      <c r="I1168" t="s">
        <v>21814</v>
      </c>
      <c r="J1168" t="s">
        <v>288</v>
      </c>
      <c r="K1168" t="s">
        <v>74</v>
      </c>
      <c r="L1168" t="s">
        <v>74</v>
      </c>
      <c r="M1168" t="s">
        <v>78</v>
      </c>
      <c r="N1168" t="s">
        <v>79</v>
      </c>
      <c r="O1168" t="s">
        <v>74</v>
      </c>
      <c r="P1168" t="s">
        <v>74</v>
      </c>
      <c r="Q1168" t="s">
        <v>74</v>
      </c>
      <c r="R1168" t="s">
        <v>74</v>
      </c>
      <c r="S1168" t="s">
        <v>74</v>
      </c>
      <c r="T1168" t="s">
        <v>74</v>
      </c>
      <c r="U1168" t="s">
        <v>21815</v>
      </c>
      <c r="V1168" t="s">
        <v>21816</v>
      </c>
      <c r="W1168" t="s">
        <v>21817</v>
      </c>
      <c r="X1168" t="s">
        <v>21818</v>
      </c>
      <c r="Y1168" t="s">
        <v>21819</v>
      </c>
      <c r="Z1168" t="s">
        <v>21820</v>
      </c>
      <c r="AA1168" t="s">
        <v>21821</v>
      </c>
      <c r="AB1168" t="s">
        <v>21822</v>
      </c>
      <c r="AC1168" t="s">
        <v>21823</v>
      </c>
      <c r="AD1168" t="s">
        <v>21824</v>
      </c>
      <c r="AE1168" t="s">
        <v>21825</v>
      </c>
      <c r="AF1168" t="s">
        <v>74</v>
      </c>
      <c r="AG1168">
        <v>146</v>
      </c>
      <c r="AH1168">
        <v>2</v>
      </c>
      <c r="AI1168">
        <v>2</v>
      </c>
      <c r="AJ1168">
        <v>1</v>
      </c>
      <c r="AK1168">
        <v>25</v>
      </c>
      <c r="AL1168" t="s">
        <v>367</v>
      </c>
      <c r="AM1168" t="s">
        <v>275</v>
      </c>
      <c r="AN1168" t="s">
        <v>368</v>
      </c>
      <c r="AO1168" t="s">
        <v>300</v>
      </c>
      <c r="AP1168" t="s">
        <v>301</v>
      </c>
      <c r="AQ1168" t="s">
        <v>74</v>
      </c>
      <c r="AR1168" t="s">
        <v>302</v>
      </c>
      <c r="AS1168" t="s">
        <v>303</v>
      </c>
      <c r="AT1168" t="s">
        <v>74</v>
      </c>
      <c r="AU1168">
        <v>2014</v>
      </c>
      <c r="AV1168">
        <v>2014</v>
      </c>
      <c r="AW1168" t="s">
        <v>74</v>
      </c>
      <c r="AX1168" t="s">
        <v>74</v>
      </c>
      <c r="AY1168" t="s">
        <v>74</v>
      </c>
      <c r="AZ1168" t="s">
        <v>74</v>
      </c>
      <c r="BA1168" t="s">
        <v>74</v>
      </c>
      <c r="BB1168" t="s">
        <v>74</v>
      </c>
      <c r="BC1168" t="s">
        <v>74</v>
      </c>
      <c r="BD1168">
        <v>286505</v>
      </c>
      <c r="BE1168" t="s">
        <v>21826</v>
      </c>
      <c r="BF1168" t="str">
        <f>HYPERLINK("http://dx.doi.org/10.1155/2014/286505","http://dx.doi.org/10.1155/2014/286505")</f>
        <v>http://dx.doi.org/10.1155/2014/286505</v>
      </c>
      <c r="BG1168" t="s">
        <v>74</v>
      </c>
      <c r="BH1168" t="s">
        <v>74</v>
      </c>
      <c r="BI1168">
        <v>17</v>
      </c>
      <c r="BJ1168" t="s">
        <v>306</v>
      </c>
      <c r="BK1168" t="s">
        <v>182</v>
      </c>
      <c r="BL1168" t="s">
        <v>307</v>
      </c>
      <c r="BM1168" t="s">
        <v>21827</v>
      </c>
      <c r="BN1168">
        <v>25258708</v>
      </c>
      <c r="BO1168" t="s">
        <v>19168</v>
      </c>
      <c r="BP1168" t="s">
        <v>74</v>
      </c>
      <c r="BQ1168" t="s">
        <v>74</v>
      </c>
      <c r="BR1168" t="s">
        <v>105</v>
      </c>
      <c r="BS1168" t="s">
        <v>21828</v>
      </c>
      <c r="BT1168" t="str">
        <f>HYPERLINK("https%3A%2F%2Fwww.webofscience.com%2Fwos%2Fwoscc%2Ffull-record%2FWOS:000345044200001","View Full Record in Web of Science")</f>
        <v>View Full Record in Web of Science</v>
      </c>
    </row>
    <row r="1169" spans="1:72" x14ac:dyDescent="0.25">
      <c r="A1169" t="s">
        <v>72</v>
      </c>
      <c r="B1169" t="s">
        <v>21829</v>
      </c>
      <c r="C1169" t="s">
        <v>74</v>
      </c>
      <c r="D1169" t="s">
        <v>74</v>
      </c>
      <c r="E1169" t="s">
        <v>74</v>
      </c>
      <c r="F1169" t="s">
        <v>21830</v>
      </c>
      <c r="G1169" t="s">
        <v>74</v>
      </c>
      <c r="H1169" t="s">
        <v>74</v>
      </c>
      <c r="I1169" t="s">
        <v>21831</v>
      </c>
      <c r="J1169" t="s">
        <v>12492</v>
      </c>
      <c r="K1169" t="s">
        <v>74</v>
      </c>
      <c r="L1169" t="s">
        <v>74</v>
      </c>
      <c r="M1169" t="s">
        <v>78</v>
      </c>
      <c r="N1169" t="s">
        <v>79</v>
      </c>
      <c r="O1169" t="s">
        <v>74</v>
      </c>
      <c r="P1169" t="s">
        <v>74</v>
      </c>
      <c r="Q1169" t="s">
        <v>74</v>
      </c>
      <c r="R1169" t="s">
        <v>74</v>
      </c>
      <c r="S1169" t="s">
        <v>74</v>
      </c>
      <c r="T1169" t="s">
        <v>21832</v>
      </c>
      <c r="U1169" t="s">
        <v>21833</v>
      </c>
      <c r="V1169" t="s">
        <v>21834</v>
      </c>
      <c r="W1169" t="s">
        <v>21835</v>
      </c>
      <c r="X1169" t="s">
        <v>21836</v>
      </c>
      <c r="Y1169" t="s">
        <v>21837</v>
      </c>
      <c r="Z1169" t="s">
        <v>21838</v>
      </c>
      <c r="AA1169" t="s">
        <v>74</v>
      </c>
      <c r="AB1169" t="s">
        <v>21839</v>
      </c>
      <c r="AC1169" t="s">
        <v>74</v>
      </c>
      <c r="AD1169" t="s">
        <v>74</v>
      </c>
      <c r="AE1169" t="s">
        <v>74</v>
      </c>
      <c r="AF1169" t="s">
        <v>74</v>
      </c>
      <c r="AG1169">
        <v>53</v>
      </c>
      <c r="AH1169">
        <v>48</v>
      </c>
      <c r="AI1169">
        <v>51</v>
      </c>
      <c r="AJ1169">
        <v>8</v>
      </c>
      <c r="AK1169">
        <v>84</v>
      </c>
      <c r="AL1169" t="s">
        <v>2529</v>
      </c>
      <c r="AM1169" t="s">
        <v>2530</v>
      </c>
      <c r="AN1169" t="s">
        <v>2531</v>
      </c>
      <c r="AO1169" t="s">
        <v>12502</v>
      </c>
      <c r="AP1169" t="s">
        <v>12503</v>
      </c>
      <c r="AQ1169" t="s">
        <v>74</v>
      </c>
      <c r="AR1169" t="s">
        <v>12504</v>
      </c>
      <c r="AS1169" t="s">
        <v>12505</v>
      </c>
      <c r="AT1169" t="s">
        <v>538</v>
      </c>
      <c r="AU1169">
        <v>2014</v>
      </c>
      <c r="AV1169">
        <v>7</v>
      </c>
      <c r="AW1169">
        <v>1</v>
      </c>
      <c r="AX1169" t="s">
        <v>74</v>
      </c>
      <c r="AY1169" t="s">
        <v>74</v>
      </c>
      <c r="AZ1169" t="s">
        <v>74</v>
      </c>
      <c r="BA1169" t="s">
        <v>74</v>
      </c>
      <c r="BB1169">
        <v>37</v>
      </c>
      <c r="BC1169">
        <v>49</v>
      </c>
      <c r="BD1169" t="s">
        <v>74</v>
      </c>
      <c r="BE1169" t="s">
        <v>21840</v>
      </c>
      <c r="BF1169" t="str">
        <f>HYPERLINK("http://dx.doi.org/10.1007/s11370-013-0142-6","http://dx.doi.org/10.1007/s11370-013-0142-6")</f>
        <v>http://dx.doi.org/10.1007/s11370-013-0142-6</v>
      </c>
      <c r="BG1169" t="s">
        <v>74</v>
      </c>
      <c r="BH1169" t="s">
        <v>74</v>
      </c>
      <c r="BI1169">
        <v>13</v>
      </c>
      <c r="BJ1169" t="s">
        <v>714</v>
      </c>
      <c r="BK1169" t="s">
        <v>182</v>
      </c>
      <c r="BL1169" t="s">
        <v>714</v>
      </c>
      <c r="BM1169" t="s">
        <v>21841</v>
      </c>
      <c r="BN1169" t="s">
        <v>74</v>
      </c>
      <c r="BO1169" t="s">
        <v>74</v>
      </c>
      <c r="BP1169" t="s">
        <v>74</v>
      </c>
      <c r="BQ1169" t="s">
        <v>74</v>
      </c>
      <c r="BR1169" t="s">
        <v>105</v>
      </c>
      <c r="BS1169" t="s">
        <v>21842</v>
      </c>
      <c r="BT1169" t="str">
        <f>HYPERLINK("https%3A%2F%2Fwww.webofscience.com%2Fwos%2Fwoscc%2Ffull-record%2FWOS:000336849700004","View Full Record in Web of Science")</f>
        <v>View Full Record in Web of Science</v>
      </c>
    </row>
    <row r="1170" spans="1:72" x14ac:dyDescent="0.25">
      <c r="A1170" t="s">
        <v>72</v>
      </c>
      <c r="B1170" t="s">
        <v>21843</v>
      </c>
      <c r="C1170" t="s">
        <v>74</v>
      </c>
      <c r="D1170" t="s">
        <v>74</v>
      </c>
      <c r="E1170" t="s">
        <v>74</v>
      </c>
      <c r="F1170" t="s">
        <v>21844</v>
      </c>
      <c r="G1170" t="s">
        <v>74</v>
      </c>
      <c r="H1170" t="s">
        <v>74</v>
      </c>
      <c r="I1170" t="s">
        <v>21845</v>
      </c>
      <c r="J1170" t="s">
        <v>3906</v>
      </c>
      <c r="K1170" t="s">
        <v>74</v>
      </c>
      <c r="L1170" t="s">
        <v>74</v>
      </c>
      <c r="M1170" t="s">
        <v>78</v>
      </c>
      <c r="N1170" t="s">
        <v>79</v>
      </c>
      <c r="O1170" t="s">
        <v>74</v>
      </c>
      <c r="P1170" t="s">
        <v>74</v>
      </c>
      <c r="Q1170" t="s">
        <v>74</v>
      </c>
      <c r="R1170" t="s">
        <v>74</v>
      </c>
      <c r="S1170" t="s">
        <v>74</v>
      </c>
      <c r="T1170" t="s">
        <v>74</v>
      </c>
      <c r="U1170" t="s">
        <v>21846</v>
      </c>
      <c r="V1170" t="s">
        <v>21847</v>
      </c>
      <c r="W1170" t="s">
        <v>21848</v>
      </c>
      <c r="X1170" t="s">
        <v>21849</v>
      </c>
      <c r="Y1170" t="s">
        <v>21850</v>
      </c>
      <c r="Z1170" t="s">
        <v>21851</v>
      </c>
      <c r="AA1170" t="s">
        <v>21852</v>
      </c>
      <c r="AB1170" t="s">
        <v>4501</v>
      </c>
      <c r="AC1170" t="s">
        <v>21853</v>
      </c>
      <c r="AD1170" t="s">
        <v>21854</v>
      </c>
      <c r="AE1170" t="s">
        <v>21855</v>
      </c>
      <c r="AF1170" t="s">
        <v>74</v>
      </c>
      <c r="AG1170">
        <v>249</v>
      </c>
      <c r="AH1170">
        <v>627</v>
      </c>
      <c r="AI1170">
        <v>692</v>
      </c>
      <c r="AJ1170">
        <v>9</v>
      </c>
      <c r="AK1170">
        <v>474</v>
      </c>
      <c r="AL1170" t="s">
        <v>297</v>
      </c>
      <c r="AM1170" t="s">
        <v>298</v>
      </c>
      <c r="AN1170" t="s">
        <v>299</v>
      </c>
      <c r="AO1170" t="s">
        <v>3917</v>
      </c>
      <c r="AP1170" t="s">
        <v>3918</v>
      </c>
      <c r="AQ1170" t="s">
        <v>74</v>
      </c>
      <c r="AR1170" t="s">
        <v>3919</v>
      </c>
      <c r="AS1170" t="s">
        <v>3920</v>
      </c>
      <c r="AT1170" t="s">
        <v>74</v>
      </c>
      <c r="AU1170">
        <v>2014</v>
      </c>
      <c r="AV1170" t="s">
        <v>74</v>
      </c>
      <c r="AW1170">
        <v>11</v>
      </c>
      <c r="AX1170" t="s">
        <v>74</v>
      </c>
      <c r="AY1170" t="s">
        <v>74</v>
      </c>
      <c r="AZ1170" t="s">
        <v>74</v>
      </c>
      <c r="BA1170" t="s">
        <v>74</v>
      </c>
      <c r="BB1170" t="s">
        <v>74</v>
      </c>
      <c r="BC1170" t="s">
        <v>74</v>
      </c>
      <c r="BD1170" t="s">
        <v>21856</v>
      </c>
      <c r="BE1170" t="s">
        <v>21857</v>
      </c>
      <c r="BF1170" t="str">
        <f>HYPERLINK("http://dx.doi.org/10.1002/14651858.CD010820.pub2","http://dx.doi.org/10.1002/14651858.CD010820.pub2")</f>
        <v>http://dx.doi.org/10.1002/14651858.CD010820.pub2</v>
      </c>
      <c r="BG1170" t="s">
        <v>74</v>
      </c>
      <c r="BH1170" t="s">
        <v>74</v>
      </c>
      <c r="BI1170">
        <v>171</v>
      </c>
      <c r="BJ1170" t="s">
        <v>128</v>
      </c>
      <c r="BK1170" t="s">
        <v>182</v>
      </c>
      <c r="BL1170" t="s">
        <v>129</v>
      </c>
      <c r="BM1170" t="s">
        <v>21858</v>
      </c>
      <c r="BN1170">
        <v>25387001</v>
      </c>
      <c r="BO1170" t="s">
        <v>19757</v>
      </c>
      <c r="BP1170" t="s">
        <v>74</v>
      </c>
      <c r="BQ1170" t="s">
        <v>74</v>
      </c>
      <c r="BR1170" t="s">
        <v>105</v>
      </c>
      <c r="BS1170" t="s">
        <v>21859</v>
      </c>
      <c r="BT1170" t="str">
        <f>HYPERLINK("https%3A%2F%2Fwww.webofscience.com%2Fwos%2Fwoscc%2Ffull-record%2FWOS:000347646200061","View Full Record in Web of Science")</f>
        <v>View Full Record in Web of Science</v>
      </c>
    </row>
    <row r="1171" spans="1:72" x14ac:dyDescent="0.25">
      <c r="A1171" t="s">
        <v>72</v>
      </c>
      <c r="B1171" t="s">
        <v>21860</v>
      </c>
      <c r="C1171" t="s">
        <v>74</v>
      </c>
      <c r="D1171" t="s">
        <v>74</v>
      </c>
      <c r="E1171" t="s">
        <v>74</v>
      </c>
      <c r="F1171" t="s">
        <v>21861</v>
      </c>
      <c r="G1171" t="s">
        <v>74</v>
      </c>
      <c r="H1171" t="s">
        <v>74</v>
      </c>
      <c r="I1171" t="s">
        <v>21862</v>
      </c>
      <c r="J1171" t="s">
        <v>1697</v>
      </c>
      <c r="K1171" t="s">
        <v>74</v>
      </c>
      <c r="L1171" t="s">
        <v>74</v>
      </c>
      <c r="M1171" t="s">
        <v>78</v>
      </c>
      <c r="N1171" t="s">
        <v>79</v>
      </c>
      <c r="O1171" t="s">
        <v>74</v>
      </c>
      <c r="P1171" t="s">
        <v>74</v>
      </c>
      <c r="Q1171" t="s">
        <v>74</v>
      </c>
      <c r="R1171" t="s">
        <v>74</v>
      </c>
      <c r="S1171" t="s">
        <v>74</v>
      </c>
      <c r="T1171" t="s">
        <v>21863</v>
      </c>
      <c r="U1171" t="s">
        <v>21864</v>
      </c>
      <c r="V1171" t="s">
        <v>21865</v>
      </c>
      <c r="W1171" t="s">
        <v>21866</v>
      </c>
      <c r="X1171" t="s">
        <v>21867</v>
      </c>
      <c r="Y1171" t="s">
        <v>21868</v>
      </c>
      <c r="Z1171" t="s">
        <v>21869</v>
      </c>
      <c r="AA1171" t="s">
        <v>19917</v>
      </c>
      <c r="AB1171" t="s">
        <v>21870</v>
      </c>
      <c r="AC1171" t="s">
        <v>21871</v>
      </c>
      <c r="AD1171" t="s">
        <v>21872</v>
      </c>
      <c r="AE1171" t="s">
        <v>21873</v>
      </c>
      <c r="AF1171" t="s">
        <v>74</v>
      </c>
      <c r="AG1171">
        <v>120</v>
      </c>
      <c r="AH1171">
        <v>16</v>
      </c>
      <c r="AI1171">
        <v>19</v>
      </c>
      <c r="AJ1171">
        <v>0</v>
      </c>
      <c r="AK1171">
        <v>26</v>
      </c>
      <c r="AL1171" t="s">
        <v>1704</v>
      </c>
      <c r="AM1171" t="s">
        <v>1705</v>
      </c>
      <c r="AN1171" t="s">
        <v>1706</v>
      </c>
      <c r="AO1171" t="s">
        <v>1707</v>
      </c>
      <c r="AP1171" t="s">
        <v>1708</v>
      </c>
      <c r="AQ1171" t="s">
        <v>74</v>
      </c>
      <c r="AR1171" t="s">
        <v>1709</v>
      </c>
      <c r="AS1171" t="s">
        <v>1710</v>
      </c>
      <c r="AT1171" t="s">
        <v>74</v>
      </c>
      <c r="AU1171">
        <v>2014</v>
      </c>
      <c r="AV1171">
        <v>51</v>
      </c>
      <c r="AW1171">
        <v>4</v>
      </c>
      <c r="AX1171" t="s">
        <v>74</v>
      </c>
      <c r="AY1171" t="s">
        <v>74</v>
      </c>
      <c r="AZ1171" t="s">
        <v>74</v>
      </c>
      <c r="BA1171" t="s">
        <v>74</v>
      </c>
      <c r="BB1171">
        <v>517</v>
      </c>
      <c r="BC1171">
        <v>534</v>
      </c>
      <c r="BD1171" t="s">
        <v>74</v>
      </c>
      <c r="BE1171" t="s">
        <v>21874</v>
      </c>
      <c r="BF1171" t="str">
        <f>HYPERLINK("http://dx.doi.org/10.1682/JRRD.2013.03.0066","http://dx.doi.org/10.1682/JRRD.2013.03.0066")</f>
        <v>http://dx.doi.org/10.1682/JRRD.2013.03.0066</v>
      </c>
      <c r="BG1171" t="s">
        <v>74</v>
      </c>
      <c r="BH1171" t="s">
        <v>74</v>
      </c>
      <c r="BI1171">
        <v>18</v>
      </c>
      <c r="BJ1171" t="s">
        <v>101</v>
      </c>
      <c r="BK1171" t="s">
        <v>102</v>
      </c>
      <c r="BL1171" t="s">
        <v>101</v>
      </c>
      <c r="BM1171" t="s">
        <v>21875</v>
      </c>
      <c r="BN1171">
        <v>25144166</v>
      </c>
      <c r="BO1171" t="s">
        <v>74</v>
      </c>
      <c r="BP1171" t="s">
        <v>74</v>
      </c>
      <c r="BQ1171" t="s">
        <v>74</v>
      </c>
      <c r="BR1171" t="s">
        <v>105</v>
      </c>
      <c r="BS1171" t="s">
        <v>21876</v>
      </c>
      <c r="BT1171" t="str">
        <f>HYPERLINK("https%3A%2F%2Fwww.webofscience.com%2Fwos%2Fwoscc%2Ffull-record%2FWOS:000340895400002","View Full Record in Web of Science")</f>
        <v>View Full Record in Web of Science</v>
      </c>
    </row>
    <row r="1172" spans="1:72" x14ac:dyDescent="0.25">
      <c r="A1172" t="s">
        <v>72</v>
      </c>
      <c r="B1172" t="s">
        <v>21877</v>
      </c>
      <c r="C1172" t="s">
        <v>74</v>
      </c>
      <c r="D1172" t="s">
        <v>74</v>
      </c>
      <c r="E1172" t="s">
        <v>74</v>
      </c>
      <c r="F1172" t="s">
        <v>21878</v>
      </c>
      <c r="G1172" t="s">
        <v>74</v>
      </c>
      <c r="H1172" t="s">
        <v>74</v>
      </c>
      <c r="I1172" t="s">
        <v>21879</v>
      </c>
      <c r="J1172" t="s">
        <v>762</v>
      </c>
      <c r="K1172" t="s">
        <v>74</v>
      </c>
      <c r="L1172" t="s">
        <v>74</v>
      </c>
      <c r="M1172" t="s">
        <v>78</v>
      </c>
      <c r="N1172" t="s">
        <v>79</v>
      </c>
      <c r="O1172" t="s">
        <v>74</v>
      </c>
      <c r="P1172" t="s">
        <v>74</v>
      </c>
      <c r="Q1172" t="s">
        <v>74</v>
      </c>
      <c r="R1172" t="s">
        <v>74</v>
      </c>
      <c r="S1172" t="s">
        <v>74</v>
      </c>
      <c r="T1172" t="s">
        <v>21880</v>
      </c>
      <c r="U1172" t="s">
        <v>21881</v>
      </c>
      <c r="V1172" t="s">
        <v>21882</v>
      </c>
      <c r="W1172" t="s">
        <v>21883</v>
      </c>
      <c r="X1172" t="s">
        <v>21884</v>
      </c>
      <c r="Y1172" t="s">
        <v>21885</v>
      </c>
      <c r="Z1172" t="s">
        <v>21886</v>
      </c>
      <c r="AA1172" t="s">
        <v>74</v>
      </c>
      <c r="AB1172" t="s">
        <v>74</v>
      </c>
      <c r="AC1172" t="s">
        <v>21887</v>
      </c>
      <c r="AD1172" t="s">
        <v>21888</v>
      </c>
      <c r="AE1172" t="s">
        <v>21889</v>
      </c>
      <c r="AF1172" t="s">
        <v>74</v>
      </c>
      <c r="AG1172">
        <v>68</v>
      </c>
      <c r="AH1172">
        <v>26</v>
      </c>
      <c r="AI1172">
        <v>28</v>
      </c>
      <c r="AJ1172">
        <v>0</v>
      </c>
      <c r="AK1172">
        <v>60</v>
      </c>
      <c r="AL1172" t="s">
        <v>346</v>
      </c>
      <c r="AM1172" t="s">
        <v>227</v>
      </c>
      <c r="AN1172" t="s">
        <v>347</v>
      </c>
      <c r="AO1172" t="s">
        <v>775</v>
      </c>
      <c r="AP1172" t="s">
        <v>776</v>
      </c>
      <c r="AQ1172" t="s">
        <v>74</v>
      </c>
      <c r="AR1172" t="s">
        <v>777</v>
      </c>
      <c r="AS1172" t="s">
        <v>778</v>
      </c>
      <c r="AT1172" t="s">
        <v>151</v>
      </c>
      <c r="AU1172">
        <v>2013</v>
      </c>
      <c r="AV1172">
        <v>26</v>
      </c>
      <c r="AW1172">
        <v>6</v>
      </c>
      <c r="AX1172" t="s">
        <v>74</v>
      </c>
      <c r="AY1172" t="s">
        <v>74</v>
      </c>
      <c r="AZ1172" t="s">
        <v>74</v>
      </c>
      <c r="BA1172" t="s">
        <v>74</v>
      </c>
      <c r="BB1172">
        <v>595</v>
      </c>
      <c r="BC1172">
        <v>601</v>
      </c>
      <c r="BD1172" t="s">
        <v>74</v>
      </c>
      <c r="BE1172" t="s">
        <v>21890</v>
      </c>
      <c r="BF1172" t="str">
        <f>HYPERLINK("http://dx.doi.org/10.1097/WCO.0000000000000024","http://dx.doi.org/10.1097/WCO.0000000000000024")</f>
        <v>http://dx.doi.org/10.1097/WCO.0000000000000024</v>
      </c>
      <c r="BG1172" t="s">
        <v>74</v>
      </c>
      <c r="BH1172" t="s">
        <v>74</v>
      </c>
      <c r="BI1172">
        <v>7</v>
      </c>
      <c r="BJ1172" t="s">
        <v>400</v>
      </c>
      <c r="BK1172" t="s">
        <v>182</v>
      </c>
      <c r="BL1172" t="s">
        <v>375</v>
      </c>
      <c r="BM1172" t="s">
        <v>780</v>
      </c>
      <c r="BN1172">
        <v>24141528</v>
      </c>
      <c r="BO1172" t="s">
        <v>74</v>
      </c>
      <c r="BP1172" t="s">
        <v>74</v>
      </c>
      <c r="BQ1172" t="s">
        <v>74</v>
      </c>
      <c r="BR1172" t="s">
        <v>105</v>
      </c>
      <c r="BS1172" t="s">
        <v>21891</v>
      </c>
      <c r="BT1172" t="str">
        <f>HYPERLINK("https%3A%2F%2Fwww.webofscience.com%2Fwos%2Fwoscc%2Ffull-record%2FWOS:000327554300001","View Full Record in Web of Science")</f>
        <v>View Full Record in Web of Science</v>
      </c>
    </row>
    <row r="1173" spans="1:72" x14ac:dyDescent="0.25">
      <c r="A1173" t="s">
        <v>72</v>
      </c>
      <c r="B1173" t="s">
        <v>21892</v>
      </c>
      <c r="C1173" t="s">
        <v>74</v>
      </c>
      <c r="D1173" t="s">
        <v>74</v>
      </c>
      <c r="E1173" t="s">
        <v>74</v>
      </c>
      <c r="F1173" t="s">
        <v>21893</v>
      </c>
      <c r="G1173" t="s">
        <v>74</v>
      </c>
      <c r="H1173" t="s">
        <v>74</v>
      </c>
      <c r="I1173" t="s">
        <v>21894</v>
      </c>
      <c r="J1173" t="s">
        <v>21895</v>
      </c>
      <c r="K1173" t="s">
        <v>74</v>
      </c>
      <c r="L1173" t="s">
        <v>74</v>
      </c>
      <c r="M1173" t="s">
        <v>78</v>
      </c>
      <c r="N1173" t="s">
        <v>79</v>
      </c>
      <c r="O1173" t="s">
        <v>74</v>
      </c>
      <c r="P1173" t="s">
        <v>74</v>
      </c>
      <c r="Q1173" t="s">
        <v>74</v>
      </c>
      <c r="R1173" t="s">
        <v>74</v>
      </c>
      <c r="S1173" t="s">
        <v>74</v>
      </c>
      <c r="T1173" t="s">
        <v>74</v>
      </c>
      <c r="U1173" t="s">
        <v>21896</v>
      </c>
      <c r="V1173" t="s">
        <v>21897</v>
      </c>
      <c r="W1173" t="s">
        <v>21898</v>
      </c>
      <c r="X1173" t="s">
        <v>21899</v>
      </c>
      <c r="Y1173" t="s">
        <v>21900</v>
      </c>
      <c r="Z1173" t="s">
        <v>21901</v>
      </c>
      <c r="AA1173" t="s">
        <v>21902</v>
      </c>
      <c r="AB1173" t="s">
        <v>21903</v>
      </c>
      <c r="AC1173" t="s">
        <v>74</v>
      </c>
      <c r="AD1173" t="s">
        <v>74</v>
      </c>
      <c r="AE1173" t="s">
        <v>74</v>
      </c>
      <c r="AF1173" t="s">
        <v>74</v>
      </c>
      <c r="AG1173">
        <v>105</v>
      </c>
      <c r="AH1173">
        <v>137</v>
      </c>
      <c r="AI1173">
        <v>155</v>
      </c>
      <c r="AJ1173">
        <v>6</v>
      </c>
      <c r="AK1173">
        <v>93</v>
      </c>
      <c r="AL1173" t="s">
        <v>4072</v>
      </c>
      <c r="AM1173" t="s">
        <v>4073</v>
      </c>
      <c r="AN1173" t="s">
        <v>4074</v>
      </c>
      <c r="AO1173" t="s">
        <v>21904</v>
      </c>
      <c r="AP1173" t="s">
        <v>21905</v>
      </c>
      <c r="AQ1173" t="s">
        <v>74</v>
      </c>
      <c r="AR1173" t="s">
        <v>21906</v>
      </c>
      <c r="AS1173" t="s">
        <v>21907</v>
      </c>
      <c r="AT1173" t="s">
        <v>1633</v>
      </c>
      <c r="AU1173">
        <v>2013</v>
      </c>
      <c r="AV1173">
        <v>5</v>
      </c>
      <c r="AW1173">
        <v>210</v>
      </c>
      <c r="AX1173" t="s">
        <v>74</v>
      </c>
      <c r="AY1173" t="s">
        <v>74</v>
      </c>
      <c r="AZ1173" t="s">
        <v>74</v>
      </c>
      <c r="BA1173" t="s">
        <v>74</v>
      </c>
      <c r="BB1173" t="s">
        <v>74</v>
      </c>
      <c r="BC1173" t="s">
        <v>74</v>
      </c>
      <c r="BD1173" t="s">
        <v>21908</v>
      </c>
      <c r="BE1173" t="s">
        <v>21909</v>
      </c>
      <c r="BF1173" t="str">
        <f>HYPERLINK("http://dx.doi.org/10.1126/scitranslmed.3005968","http://dx.doi.org/10.1126/scitranslmed.3005968")</f>
        <v>http://dx.doi.org/10.1126/scitranslmed.3005968</v>
      </c>
      <c r="BG1173" t="s">
        <v>74</v>
      </c>
      <c r="BH1173" t="s">
        <v>74</v>
      </c>
      <c r="BI1173">
        <v>12</v>
      </c>
      <c r="BJ1173" t="s">
        <v>21910</v>
      </c>
      <c r="BK1173" t="s">
        <v>182</v>
      </c>
      <c r="BL1173" t="s">
        <v>21911</v>
      </c>
      <c r="BM1173" t="s">
        <v>21912</v>
      </c>
      <c r="BN1173">
        <v>24197737</v>
      </c>
      <c r="BO1173" t="s">
        <v>2246</v>
      </c>
      <c r="BP1173" t="s">
        <v>74</v>
      </c>
      <c r="BQ1173" t="s">
        <v>74</v>
      </c>
      <c r="BR1173" t="s">
        <v>105</v>
      </c>
      <c r="BS1173" t="s">
        <v>21913</v>
      </c>
      <c r="BT1173" t="str">
        <f>HYPERLINK("https%3A%2F%2Fwww.webofscience.com%2Fwos%2Fwoscc%2Ffull-record%2FWOS:000326880200001","View Full Record in Web of Science")</f>
        <v>View Full Record in Web of Science</v>
      </c>
    </row>
    <row r="1174" spans="1:72" x14ac:dyDescent="0.25">
      <c r="A1174" t="s">
        <v>72</v>
      </c>
      <c r="B1174" t="s">
        <v>21914</v>
      </c>
      <c r="C1174" t="s">
        <v>74</v>
      </c>
      <c r="D1174" t="s">
        <v>74</v>
      </c>
      <c r="E1174" t="s">
        <v>74</v>
      </c>
      <c r="F1174" t="s">
        <v>21915</v>
      </c>
      <c r="G1174" t="s">
        <v>74</v>
      </c>
      <c r="H1174" t="s">
        <v>21916</v>
      </c>
      <c r="I1174" t="s">
        <v>21917</v>
      </c>
      <c r="J1174" t="s">
        <v>468</v>
      </c>
      <c r="K1174" t="s">
        <v>74</v>
      </c>
      <c r="L1174" t="s">
        <v>74</v>
      </c>
      <c r="M1174" t="s">
        <v>78</v>
      </c>
      <c r="N1174" t="s">
        <v>79</v>
      </c>
      <c r="O1174" t="s">
        <v>74</v>
      </c>
      <c r="P1174" t="s">
        <v>74</v>
      </c>
      <c r="Q1174" t="s">
        <v>74</v>
      </c>
      <c r="R1174" t="s">
        <v>74</v>
      </c>
      <c r="S1174" t="s">
        <v>74</v>
      </c>
      <c r="T1174" t="s">
        <v>21918</v>
      </c>
      <c r="U1174" t="s">
        <v>21919</v>
      </c>
      <c r="V1174" t="s">
        <v>21920</v>
      </c>
      <c r="W1174" t="s">
        <v>21921</v>
      </c>
      <c r="X1174" t="s">
        <v>21922</v>
      </c>
      <c r="Y1174" t="s">
        <v>21923</v>
      </c>
      <c r="Z1174" t="s">
        <v>21924</v>
      </c>
      <c r="AA1174" t="s">
        <v>21925</v>
      </c>
      <c r="AB1174" t="s">
        <v>21926</v>
      </c>
      <c r="AC1174" t="s">
        <v>74</v>
      </c>
      <c r="AD1174" t="s">
        <v>74</v>
      </c>
      <c r="AE1174" t="s">
        <v>74</v>
      </c>
      <c r="AF1174" t="s">
        <v>74</v>
      </c>
      <c r="AG1174">
        <v>88</v>
      </c>
      <c r="AH1174">
        <v>64</v>
      </c>
      <c r="AI1174">
        <v>68</v>
      </c>
      <c r="AJ1174">
        <v>0</v>
      </c>
      <c r="AK1174">
        <v>45</v>
      </c>
      <c r="AL1174" t="s">
        <v>480</v>
      </c>
      <c r="AM1174" t="s">
        <v>481</v>
      </c>
      <c r="AN1174" t="s">
        <v>482</v>
      </c>
      <c r="AO1174" t="s">
        <v>483</v>
      </c>
      <c r="AP1174" t="s">
        <v>484</v>
      </c>
      <c r="AQ1174" t="s">
        <v>74</v>
      </c>
      <c r="AR1174" t="s">
        <v>485</v>
      </c>
      <c r="AS1174" t="s">
        <v>486</v>
      </c>
      <c r="AT1174" t="s">
        <v>126</v>
      </c>
      <c r="AU1174">
        <v>2013</v>
      </c>
      <c r="AV1174">
        <v>45</v>
      </c>
      <c r="AW1174">
        <v>10</v>
      </c>
      <c r="AX1174" t="s">
        <v>74</v>
      </c>
      <c r="AY1174" t="s">
        <v>74</v>
      </c>
      <c r="AZ1174" t="s">
        <v>74</v>
      </c>
      <c r="BA1174" t="s">
        <v>74</v>
      </c>
      <c r="BB1174">
        <v>987</v>
      </c>
      <c r="BC1174">
        <v>996</v>
      </c>
      <c r="BD1174" t="s">
        <v>74</v>
      </c>
      <c r="BE1174" t="s">
        <v>21927</v>
      </c>
      <c r="BF1174" t="str">
        <f>HYPERLINK("http://dx.doi.org/10.2340/16501977-1234","http://dx.doi.org/10.2340/16501977-1234")</f>
        <v>http://dx.doi.org/10.2340/16501977-1234</v>
      </c>
      <c r="BG1174" t="s">
        <v>74</v>
      </c>
      <c r="BH1174" t="s">
        <v>74</v>
      </c>
      <c r="BI1174">
        <v>10</v>
      </c>
      <c r="BJ1174" t="s">
        <v>236</v>
      </c>
      <c r="BK1174" t="s">
        <v>182</v>
      </c>
      <c r="BL1174" t="s">
        <v>236</v>
      </c>
      <c r="BM1174" t="s">
        <v>21928</v>
      </c>
      <c r="BN1174">
        <v>24150661</v>
      </c>
      <c r="BO1174" t="s">
        <v>131</v>
      </c>
      <c r="BP1174" t="s">
        <v>74</v>
      </c>
      <c r="BQ1174" t="s">
        <v>74</v>
      </c>
      <c r="BR1174" t="s">
        <v>105</v>
      </c>
      <c r="BS1174" t="s">
        <v>21929</v>
      </c>
      <c r="BT1174" t="str">
        <f>HYPERLINK("https%3A%2F%2Fwww.webofscience.com%2Fwos%2Fwoscc%2Ffull-record%2FWOS:000326952800001","View Full Record in Web of Science")</f>
        <v>View Full Record in Web of Science</v>
      </c>
    </row>
    <row r="1175" spans="1:72" x14ac:dyDescent="0.25">
      <c r="A1175" t="s">
        <v>72</v>
      </c>
      <c r="B1175" t="s">
        <v>21930</v>
      </c>
      <c r="C1175" t="s">
        <v>74</v>
      </c>
      <c r="D1175" t="s">
        <v>74</v>
      </c>
      <c r="E1175" t="s">
        <v>74</v>
      </c>
      <c r="F1175" t="s">
        <v>21931</v>
      </c>
      <c r="G1175" t="s">
        <v>74</v>
      </c>
      <c r="H1175" t="s">
        <v>74</v>
      </c>
      <c r="I1175" t="s">
        <v>21932</v>
      </c>
      <c r="J1175" t="s">
        <v>21933</v>
      </c>
      <c r="K1175" t="s">
        <v>74</v>
      </c>
      <c r="L1175" t="s">
        <v>74</v>
      </c>
      <c r="M1175" t="s">
        <v>78</v>
      </c>
      <c r="N1175" t="s">
        <v>79</v>
      </c>
      <c r="O1175" t="s">
        <v>74</v>
      </c>
      <c r="P1175" t="s">
        <v>74</v>
      </c>
      <c r="Q1175" t="s">
        <v>74</v>
      </c>
      <c r="R1175" t="s">
        <v>74</v>
      </c>
      <c r="S1175" t="s">
        <v>74</v>
      </c>
      <c r="T1175" t="s">
        <v>21934</v>
      </c>
      <c r="U1175" t="s">
        <v>21935</v>
      </c>
      <c r="V1175" t="s">
        <v>21936</v>
      </c>
      <c r="W1175" t="s">
        <v>21937</v>
      </c>
      <c r="X1175" t="s">
        <v>21938</v>
      </c>
      <c r="Y1175" t="s">
        <v>21939</v>
      </c>
      <c r="Z1175" t="s">
        <v>21940</v>
      </c>
      <c r="AA1175" t="s">
        <v>74</v>
      </c>
      <c r="AB1175" t="s">
        <v>21941</v>
      </c>
      <c r="AC1175" t="s">
        <v>21942</v>
      </c>
      <c r="AD1175" t="s">
        <v>21943</v>
      </c>
      <c r="AE1175" t="s">
        <v>21944</v>
      </c>
      <c r="AF1175" t="s">
        <v>74</v>
      </c>
      <c r="AG1175">
        <v>26</v>
      </c>
      <c r="AH1175">
        <v>25</v>
      </c>
      <c r="AI1175">
        <v>25</v>
      </c>
      <c r="AJ1175">
        <v>1</v>
      </c>
      <c r="AK1175">
        <v>8</v>
      </c>
      <c r="AL1175" t="s">
        <v>346</v>
      </c>
      <c r="AM1175" t="s">
        <v>227</v>
      </c>
      <c r="AN1175" t="s">
        <v>347</v>
      </c>
      <c r="AO1175" t="s">
        <v>21945</v>
      </c>
      <c r="AP1175" t="s">
        <v>21946</v>
      </c>
      <c r="AQ1175" t="s">
        <v>74</v>
      </c>
      <c r="AR1175" t="s">
        <v>21947</v>
      </c>
      <c r="AS1175" t="s">
        <v>21948</v>
      </c>
      <c r="AT1175" t="s">
        <v>126</v>
      </c>
      <c r="AU1175">
        <v>2013</v>
      </c>
      <c r="AV1175">
        <v>28</v>
      </c>
      <c r="AW1175">
        <v>6</v>
      </c>
      <c r="AX1175" t="s">
        <v>74</v>
      </c>
      <c r="AY1175" t="s">
        <v>74</v>
      </c>
      <c r="AZ1175" t="s">
        <v>74</v>
      </c>
      <c r="BA1175" t="s">
        <v>74</v>
      </c>
      <c r="BB1175">
        <v>639</v>
      </c>
      <c r="BC1175">
        <v>645</v>
      </c>
      <c r="BD1175" t="s">
        <v>74</v>
      </c>
      <c r="BE1175" t="s">
        <v>21949</v>
      </c>
      <c r="BF1175" t="str">
        <f>HYPERLINK("http://dx.doi.org/10.1097/HCO.0b013e3283653fd1","http://dx.doi.org/10.1097/HCO.0b013e3283653fd1")</f>
        <v>http://dx.doi.org/10.1097/HCO.0b013e3283653fd1</v>
      </c>
      <c r="BG1175" t="s">
        <v>74</v>
      </c>
      <c r="BH1175" t="s">
        <v>74</v>
      </c>
      <c r="BI1175">
        <v>7</v>
      </c>
      <c r="BJ1175" t="s">
        <v>4950</v>
      </c>
      <c r="BK1175" t="s">
        <v>182</v>
      </c>
      <c r="BL1175" t="s">
        <v>4951</v>
      </c>
      <c r="BM1175" t="s">
        <v>21950</v>
      </c>
      <c r="BN1175">
        <v>24077608</v>
      </c>
      <c r="BO1175" t="s">
        <v>74</v>
      </c>
      <c r="BP1175" t="s">
        <v>74</v>
      </c>
      <c r="BQ1175" t="s">
        <v>74</v>
      </c>
      <c r="BR1175" t="s">
        <v>105</v>
      </c>
      <c r="BS1175" t="s">
        <v>21951</v>
      </c>
      <c r="BT1175" t="str">
        <f>HYPERLINK("https%3A%2F%2Fwww.webofscience.com%2Fwos%2Fwoscc%2Ffull-record%2FWOS:000326585900005","View Full Record in Web of Science")</f>
        <v>View Full Record in Web of Science</v>
      </c>
    </row>
    <row r="1176" spans="1:72" x14ac:dyDescent="0.25">
      <c r="A1176" t="s">
        <v>72</v>
      </c>
      <c r="B1176" t="s">
        <v>21952</v>
      </c>
      <c r="C1176" t="s">
        <v>74</v>
      </c>
      <c r="D1176" t="s">
        <v>74</v>
      </c>
      <c r="E1176" t="s">
        <v>74</v>
      </c>
      <c r="F1176" t="s">
        <v>21953</v>
      </c>
      <c r="G1176" t="s">
        <v>74</v>
      </c>
      <c r="H1176" t="s">
        <v>74</v>
      </c>
      <c r="I1176" t="s">
        <v>21954</v>
      </c>
      <c r="J1176" t="s">
        <v>21955</v>
      </c>
      <c r="K1176" t="s">
        <v>74</v>
      </c>
      <c r="L1176" t="s">
        <v>74</v>
      </c>
      <c r="M1176" t="s">
        <v>78</v>
      </c>
      <c r="N1176" t="s">
        <v>79</v>
      </c>
      <c r="O1176" t="s">
        <v>74</v>
      </c>
      <c r="P1176" t="s">
        <v>74</v>
      </c>
      <c r="Q1176" t="s">
        <v>74</v>
      </c>
      <c r="R1176" t="s">
        <v>74</v>
      </c>
      <c r="S1176" t="s">
        <v>74</v>
      </c>
      <c r="T1176" t="s">
        <v>21956</v>
      </c>
      <c r="U1176" t="s">
        <v>21957</v>
      </c>
      <c r="V1176" t="s">
        <v>21958</v>
      </c>
      <c r="W1176" t="s">
        <v>21959</v>
      </c>
      <c r="X1176" t="s">
        <v>21960</v>
      </c>
      <c r="Y1176" t="s">
        <v>21961</v>
      </c>
      <c r="Z1176" t="s">
        <v>21962</v>
      </c>
      <c r="AA1176" t="s">
        <v>21963</v>
      </c>
      <c r="AB1176" t="s">
        <v>21964</v>
      </c>
      <c r="AC1176" t="s">
        <v>74</v>
      </c>
      <c r="AD1176" t="s">
        <v>74</v>
      </c>
      <c r="AE1176" t="s">
        <v>74</v>
      </c>
      <c r="AF1176" t="s">
        <v>74</v>
      </c>
      <c r="AG1176">
        <v>150</v>
      </c>
      <c r="AH1176">
        <v>9</v>
      </c>
      <c r="AI1176">
        <v>9</v>
      </c>
      <c r="AJ1176">
        <v>0</v>
      </c>
      <c r="AK1176">
        <v>19</v>
      </c>
      <c r="AL1176" t="s">
        <v>504</v>
      </c>
      <c r="AM1176" t="s">
        <v>505</v>
      </c>
      <c r="AN1176" t="s">
        <v>506</v>
      </c>
      <c r="AO1176" t="s">
        <v>21965</v>
      </c>
      <c r="AP1176" t="s">
        <v>21966</v>
      </c>
      <c r="AQ1176" t="s">
        <v>74</v>
      </c>
      <c r="AR1176" t="s">
        <v>21967</v>
      </c>
      <c r="AS1176" t="s">
        <v>21968</v>
      </c>
      <c r="AT1176" t="s">
        <v>1888</v>
      </c>
      <c r="AU1176">
        <v>2013</v>
      </c>
      <c r="AV1176">
        <v>54</v>
      </c>
      <c r="AW1176">
        <v>10</v>
      </c>
      <c r="AX1176" t="s">
        <v>74</v>
      </c>
      <c r="AY1176" t="s">
        <v>74</v>
      </c>
      <c r="AZ1176" t="s">
        <v>74</v>
      </c>
      <c r="BA1176" t="s">
        <v>74</v>
      </c>
      <c r="BB1176">
        <v>538</v>
      </c>
      <c r="BC1176">
        <v>551</v>
      </c>
      <c r="BD1176" t="s">
        <v>74</v>
      </c>
      <c r="BE1176" t="s">
        <v>74</v>
      </c>
      <c r="BF1176" t="s">
        <v>74</v>
      </c>
      <c r="BG1176" t="s">
        <v>74</v>
      </c>
      <c r="BH1176" t="s">
        <v>74</v>
      </c>
      <c r="BI1176">
        <v>14</v>
      </c>
      <c r="BJ1176" t="s">
        <v>128</v>
      </c>
      <c r="BK1176" t="s">
        <v>182</v>
      </c>
      <c r="BL1176" t="s">
        <v>129</v>
      </c>
      <c r="BM1176" t="s">
        <v>21969</v>
      </c>
      <c r="BN1176">
        <v>24154577</v>
      </c>
      <c r="BO1176" t="s">
        <v>74</v>
      </c>
      <c r="BP1176" t="s">
        <v>74</v>
      </c>
      <c r="BQ1176" t="s">
        <v>74</v>
      </c>
      <c r="BR1176" t="s">
        <v>105</v>
      </c>
      <c r="BS1176" t="s">
        <v>21970</v>
      </c>
      <c r="BT1176" t="str">
        <f>HYPERLINK("https%3A%2F%2Fwww.webofscience.com%2Fwos%2Fwoscc%2Ffull-record%2FWOS:000327245300008","View Full Record in Web of Science")</f>
        <v>View Full Record in Web of Science</v>
      </c>
    </row>
    <row r="1177" spans="1:72" x14ac:dyDescent="0.25">
      <c r="A1177" t="s">
        <v>72</v>
      </c>
      <c r="B1177" t="s">
        <v>21971</v>
      </c>
      <c r="C1177" t="s">
        <v>74</v>
      </c>
      <c r="D1177" t="s">
        <v>74</v>
      </c>
      <c r="E1177" t="s">
        <v>74</v>
      </c>
      <c r="F1177" t="s">
        <v>21972</v>
      </c>
      <c r="G1177" t="s">
        <v>74</v>
      </c>
      <c r="H1177" t="s">
        <v>74</v>
      </c>
      <c r="I1177" t="s">
        <v>21973</v>
      </c>
      <c r="J1177" t="s">
        <v>19690</v>
      </c>
      <c r="K1177" t="s">
        <v>74</v>
      </c>
      <c r="L1177" t="s">
        <v>74</v>
      </c>
      <c r="M1177" t="s">
        <v>78</v>
      </c>
      <c r="N1177" t="s">
        <v>79</v>
      </c>
      <c r="O1177" t="s">
        <v>74</v>
      </c>
      <c r="P1177" t="s">
        <v>74</v>
      </c>
      <c r="Q1177" t="s">
        <v>74</v>
      </c>
      <c r="R1177" t="s">
        <v>74</v>
      </c>
      <c r="S1177" t="s">
        <v>74</v>
      </c>
      <c r="T1177" t="s">
        <v>21974</v>
      </c>
      <c r="U1177" t="s">
        <v>21975</v>
      </c>
      <c r="V1177" t="s">
        <v>21976</v>
      </c>
      <c r="W1177" t="s">
        <v>21977</v>
      </c>
      <c r="X1177" t="s">
        <v>2409</v>
      </c>
      <c r="Y1177" t="s">
        <v>21978</v>
      </c>
      <c r="Z1177" t="s">
        <v>21979</v>
      </c>
      <c r="AA1177" t="s">
        <v>2412</v>
      </c>
      <c r="AB1177" t="s">
        <v>74</v>
      </c>
      <c r="AC1177" t="s">
        <v>21980</v>
      </c>
      <c r="AD1177" t="s">
        <v>21981</v>
      </c>
      <c r="AE1177" t="s">
        <v>21982</v>
      </c>
      <c r="AF1177" t="s">
        <v>74</v>
      </c>
      <c r="AG1177">
        <v>53</v>
      </c>
      <c r="AH1177">
        <v>323</v>
      </c>
      <c r="AI1177">
        <v>368</v>
      </c>
      <c r="AJ1177">
        <v>11</v>
      </c>
      <c r="AK1177">
        <v>228</v>
      </c>
      <c r="AL1177" t="s">
        <v>19700</v>
      </c>
      <c r="AM1177" t="s">
        <v>2417</v>
      </c>
      <c r="AN1177" t="s">
        <v>19701</v>
      </c>
      <c r="AO1177" t="s">
        <v>19702</v>
      </c>
      <c r="AP1177" t="s">
        <v>19703</v>
      </c>
      <c r="AQ1177" t="s">
        <v>74</v>
      </c>
      <c r="AR1177" t="s">
        <v>19704</v>
      </c>
      <c r="AS1177" t="s">
        <v>19705</v>
      </c>
      <c r="AT1177" t="s">
        <v>420</v>
      </c>
      <c r="AU1177">
        <v>2013</v>
      </c>
      <c r="AV1177">
        <v>15</v>
      </c>
      <c r="AW1177">
        <v>3</v>
      </c>
      <c r="AX1177" t="s">
        <v>74</v>
      </c>
      <c r="AY1177" t="s">
        <v>74</v>
      </c>
      <c r="AZ1177" t="s">
        <v>74</v>
      </c>
      <c r="BA1177" t="s">
        <v>74</v>
      </c>
      <c r="BB1177">
        <v>174</v>
      </c>
      <c r="BC1177">
        <v>181</v>
      </c>
      <c r="BD1177" t="s">
        <v>74</v>
      </c>
      <c r="BE1177" t="s">
        <v>21983</v>
      </c>
      <c r="BF1177" t="str">
        <f>HYPERLINK("http://dx.doi.org/10.5853/jos.2013.15.3.174","http://dx.doi.org/10.5853/jos.2013.15.3.174")</f>
        <v>http://dx.doi.org/10.5853/jos.2013.15.3.174</v>
      </c>
      <c r="BG1177" t="s">
        <v>74</v>
      </c>
      <c r="BH1177" t="s">
        <v>74</v>
      </c>
      <c r="BI1177">
        <v>8</v>
      </c>
      <c r="BJ1177" t="s">
        <v>13417</v>
      </c>
      <c r="BK1177" t="s">
        <v>182</v>
      </c>
      <c r="BL1177" t="s">
        <v>13418</v>
      </c>
      <c r="BM1177" t="s">
        <v>21984</v>
      </c>
      <c r="BN1177">
        <v>24396811</v>
      </c>
      <c r="BO1177" t="s">
        <v>377</v>
      </c>
      <c r="BP1177" t="s">
        <v>74</v>
      </c>
      <c r="BQ1177" t="s">
        <v>74</v>
      </c>
      <c r="BR1177" t="s">
        <v>105</v>
      </c>
      <c r="BS1177" t="s">
        <v>21985</v>
      </c>
      <c r="BT1177" t="str">
        <f>HYPERLINK("https%3A%2F%2Fwww.webofscience.com%2Fwos%2Fwoscc%2Ffull-record%2FWOS:000342855000007","View Full Record in Web of Science")</f>
        <v>View Full Record in Web of Science</v>
      </c>
    </row>
    <row r="1178" spans="1:72" x14ac:dyDescent="0.25">
      <c r="A1178" t="s">
        <v>72</v>
      </c>
      <c r="B1178" t="s">
        <v>21986</v>
      </c>
      <c r="C1178" t="s">
        <v>74</v>
      </c>
      <c r="D1178" t="s">
        <v>74</v>
      </c>
      <c r="E1178" t="s">
        <v>74</v>
      </c>
      <c r="F1178" t="s">
        <v>21987</v>
      </c>
      <c r="G1178" t="s">
        <v>74</v>
      </c>
      <c r="H1178" t="s">
        <v>74</v>
      </c>
      <c r="I1178" t="s">
        <v>21988</v>
      </c>
      <c r="J1178" t="s">
        <v>21989</v>
      </c>
      <c r="K1178" t="s">
        <v>74</v>
      </c>
      <c r="L1178" t="s">
        <v>74</v>
      </c>
      <c r="M1178" t="s">
        <v>78</v>
      </c>
      <c r="N1178" t="s">
        <v>79</v>
      </c>
      <c r="O1178" t="s">
        <v>74</v>
      </c>
      <c r="P1178" t="s">
        <v>74</v>
      </c>
      <c r="Q1178" t="s">
        <v>74</v>
      </c>
      <c r="R1178" t="s">
        <v>74</v>
      </c>
      <c r="S1178" t="s">
        <v>74</v>
      </c>
      <c r="T1178" t="s">
        <v>21990</v>
      </c>
      <c r="U1178" t="s">
        <v>21991</v>
      </c>
      <c r="V1178" t="s">
        <v>21992</v>
      </c>
      <c r="W1178" t="s">
        <v>21993</v>
      </c>
      <c r="X1178" t="s">
        <v>21994</v>
      </c>
      <c r="Y1178" t="s">
        <v>21995</v>
      </c>
      <c r="Z1178" t="s">
        <v>21996</v>
      </c>
      <c r="AA1178" t="s">
        <v>21997</v>
      </c>
      <c r="AB1178" t="s">
        <v>21998</v>
      </c>
      <c r="AC1178" t="s">
        <v>21999</v>
      </c>
      <c r="AD1178" t="s">
        <v>22000</v>
      </c>
      <c r="AE1178" t="s">
        <v>22001</v>
      </c>
      <c r="AF1178" t="s">
        <v>74</v>
      </c>
      <c r="AG1178">
        <v>87</v>
      </c>
      <c r="AH1178">
        <v>14</v>
      </c>
      <c r="AI1178">
        <v>14</v>
      </c>
      <c r="AJ1178">
        <v>0</v>
      </c>
      <c r="AK1178">
        <v>34</v>
      </c>
      <c r="AL1178" t="s">
        <v>392</v>
      </c>
      <c r="AM1178" t="s">
        <v>393</v>
      </c>
      <c r="AN1178" t="s">
        <v>394</v>
      </c>
      <c r="AO1178" t="s">
        <v>74</v>
      </c>
      <c r="AP1178" t="s">
        <v>22002</v>
      </c>
      <c r="AQ1178" t="s">
        <v>74</v>
      </c>
      <c r="AR1178" t="s">
        <v>22003</v>
      </c>
      <c r="AS1178" t="s">
        <v>22004</v>
      </c>
      <c r="AT1178" t="s">
        <v>10296</v>
      </c>
      <c r="AU1178">
        <v>2013</v>
      </c>
      <c r="AV1178">
        <v>7</v>
      </c>
      <c r="AW1178" t="s">
        <v>74</v>
      </c>
      <c r="AX1178" t="s">
        <v>74</v>
      </c>
      <c r="AY1178" t="s">
        <v>74</v>
      </c>
      <c r="AZ1178" t="s">
        <v>74</v>
      </c>
      <c r="BA1178" t="s">
        <v>74</v>
      </c>
      <c r="BB1178" t="s">
        <v>74</v>
      </c>
      <c r="BC1178" t="s">
        <v>74</v>
      </c>
      <c r="BD1178">
        <v>97</v>
      </c>
      <c r="BE1178" t="s">
        <v>22005</v>
      </c>
      <c r="BF1178" t="str">
        <f>HYPERLINK("http://dx.doi.org/10.3389/fncom.2013.00097","http://dx.doi.org/10.3389/fncom.2013.00097")</f>
        <v>http://dx.doi.org/10.3389/fncom.2013.00097</v>
      </c>
      <c r="BG1178" t="s">
        <v>74</v>
      </c>
      <c r="BH1178" t="s">
        <v>74</v>
      </c>
      <c r="BI1178">
        <v>14</v>
      </c>
      <c r="BJ1178" t="s">
        <v>22006</v>
      </c>
      <c r="BK1178" t="s">
        <v>182</v>
      </c>
      <c r="BL1178" t="s">
        <v>22007</v>
      </c>
      <c r="BM1178" t="s">
        <v>22008</v>
      </c>
      <c r="BN1178">
        <v>23986688</v>
      </c>
      <c r="BO1178" t="s">
        <v>131</v>
      </c>
      <c r="BP1178" t="s">
        <v>74</v>
      </c>
      <c r="BQ1178" t="s">
        <v>74</v>
      </c>
      <c r="BR1178" t="s">
        <v>105</v>
      </c>
      <c r="BS1178" t="s">
        <v>22009</v>
      </c>
      <c r="BT1178" t="str">
        <f>HYPERLINK("https%3A%2F%2Fwww.webofscience.com%2Fwos%2Fwoscc%2Ffull-record%2FWOS:000323418100001","View Full Record in Web of Science")</f>
        <v>View Full Record in Web of Science</v>
      </c>
    </row>
    <row r="1179" spans="1:72" x14ac:dyDescent="0.25">
      <c r="A1179" t="s">
        <v>72</v>
      </c>
      <c r="B1179" t="s">
        <v>22010</v>
      </c>
      <c r="C1179" t="s">
        <v>74</v>
      </c>
      <c r="D1179" t="s">
        <v>74</v>
      </c>
      <c r="E1179" t="s">
        <v>74</v>
      </c>
      <c r="F1179" t="s">
        <v>22011</v>
      </c>
      <c r="G1179" t="s">
        <v>74</v>
      </c>
      <c r="H1179" t="s">
        <v>74</v>
      </c>
      <c r="I1179" t="s">
        <v>22012</v>
      </c>
      <c r="J1179" t="s">
        <v>21473</v>
      </c>
      <c r="K1179" t="s">
        <v>74</v>
      </c>
      <c r="L1179" t="s">
        <v>74</v>
      </c>
      <c r="M1179" t="s">
        <v>78</v>
      </c>
      <c r="N1179" t="s">
        <v>79</v>
      </c>
      <c r="O1179" t="s">
        <v>74</v>
      </c>
      <c r="P1179" t="s">
        <v>74</v>
      </c>
      <c r="Q1179" t="s">
        <v>74</v>
      </c>
      <c r="R1179" t="s">
        <v>74</v>
      </c>
      <c r="S1179" t="s">
        <v>74</v>
      </c>
      <c r="T1179" t="s">
        <v>22013</v>
      </c>
      <c r="U1179" t="s">
        <v>22014</v>
      </c>
      <c r="V1179" t="s">
        <v>22015</v>
      </c>
      <c r="W1179" t="s">
        <v>22016</v>
      </c>
      <c r="X1179" t="s">
        <v>22017</v>
      </c>
      <c r="Y1179" t="s">
        <v>22018</v>
      </c>
      <c r="Z1179" t="s">
        <v>74</v>
      </c>
      <c r="AA1179" t="s">
        <v>22019</v>
      </c>
      <c r="AB1179" t="s">
        <v>22020</v>
      </c>
      <c r="AC1179" t="s">
        <v>74</v>
      </c>
      <c r="AD1179" t="s">
        <v>74</v>
      </c>
      <c r="AE1179" t="s">
        <v>74</v>
      </c>
      <c r="AF1179" t="s">
        <v>74</v>
      </c>
      <c r="AG1179">
        <v>48</v>
      </c>
      <c r="AH1179">
        <v>8</v>
      </c>
      <c r="AI1179">
        <v>8</v>
      </c>
      <c r="AJ1179">
        <v>0</v>
      </c>
      <c r="AK1179">
        <v>29</v>
      </c>
      <c r="AL1179" t="s">
        <v>21483</v>
      </c>
      <c r="AM1179" t="s">
        <v>275</v>
      </c>
      <c r="AN1179" t="s">
        <v>21484</v>
      </c>
      <c r="AO1179" t="s">
        <v>21485</v>
      </c>
      <c r="AP1179" t="s">
        <v>21486</v>
      </c>
      <c r="AQ1179" t="s">
        <v>74</v>
      </c>
      <c r="AR1179" t="s">
        <v>21487</v>
      </c>
      <c r="AS1179" t="s">
        <v>21488</v>
      </c>
      <c r="AT1179" t="s">
        <v>2033</v>
      </c>
      <c r="AU1179">
        <v>2013</v>
      </c>
      <c r="AV1179">
        <v>24</v>
      </c>
      <c r="AW1179">
        <v>3</v>
      </c>
      <c r="AX1179" t="s">
        <v>74</v>
      </c>
      <c r="AY1179" t="s">
        <v>74</v>
      </c>
      <c r="AZ1179" t="s">
        <v>74</v>
      </c>
      <c r="BA1179" t="s">
        <v>74</v>
      </c>
      <c r="BB1179">
        <v>370</v>
      </c>
      <c r="BC1179">
        <v>376</v>
      </c>
      <c r="BD1179" t="s">
        <v>74</v>
      </c>
      <c r="BE1179" t="s">
        <v>74</v>
      </c>
      <c r="BF1179" t="s">
        <v>74</v>
      </c>
      <c r="BG1179" t="s">
        <v>74</v>
      </c>
      <c r="BH1179" t="s">
        <v>74</v>
      </c>
      <c r="BI1179">
        <v>7</v>
      </c>
      <c r="BJ1179" t="s">
        <v>18773</v>
      </c>
      <c r="BK1179" t="s">
        <v>182</v>
      </c>
      <c r="BL1179" t="s">
        <v>18775</v>
      </c>
      <c r="BM1179" t="s">
        <v>22021</v>
      </c>
      <c r="BN1179" t="s">
        <v>74</v>
      </c>
      <c r="BO1179" t="s">
        <v>74</v>
      </c>
      <c r="BP1179" t="s">
        <v>74</v>
      </c>
      <c r="BQ1179" t="s">
        <v>74</v>
      </c>
      <c r="BR1179" t="s">
        <v>105</v>
      </c>
      <c r="BS1179" t="s">
        <v>22022</v>
      </c>
      <c r="BT1179" t="str">
        <f>HYPERLINK("https%3A%2F%2Fwww.webofscience.com%2Fwos%2Fwoscc%2Ffull-record%2FWOS:000322308100015","View Full Record in Web of Science")</f>
        <v>View Full Record in Web of Science</v>
      </c>
    </row>
    <row r="1180" spans="1:72" x14ac:dyDescent="0.25">
      <c r="A1180" t="s">
        <v>72</v>
      </c>
      <c r="B1180" t="s">
        <v>22023</v>
      </c>
      <c r="C1180" t="s">
        <v>74</v>
      </c>
      <c r="D1180" t="s">
        <v>74</v>
      </c>
      <c r="E1180" t="s">
        <v>74</v>
      </c>
      <c r="F1180" t="s">
        <v>22024</v>
      </c>
      <c r="G1180" t="s">
        <v>74</v>
      </c>
      <c r="H1180" t="s">
        <v>74</v>
      </c>
      <c r="I1180" t="s">
        <v>22025</v>
      </c>
      <c r="J1180" t="s">
        <v>22026</v>
      </c>
      <c r="K1180" t="s">
        <v>74</v>
      </c>
      <c r="L1180" t="s">
        <v>74</v>
      </c>
      <c r="M1180" t="s">
        <v>78</v>
      </c>
      <c r="N1180" t="s">
        <v>79</v>
      </c>
      <c r="O1180" t="s">
        <v>74</v>
      </c>
      <c r="P1180" t="s">
        <v>74</v>
      </c>
      <c r="Q1180" t="s">
        <v>74</v>
      </c>
      <c r="R1180" t="s">
        <v>74</v>
      </c>
      <c r="S1180" t="s">
        <v>74</v>
      </c>
      <c r="T1180" t="s">
        <v>22027</v>
      </c>
      <c r="U1180" t="s">
        <v>22028</v>
      </c>
      <c r="V1180" t="s">
        <v>22029</v>
      </c>
      <c r="W1180" t="s">
        <v>22030</v>
      </c>
      <c r="X1180" t="s">
        <v>22031</v>
      </c>
      <c r="Y1180" t="s">
        <v>22032</v>
      </c>
      <c r="Z1180" t="s">
        <v>22033</v>
      </c>
      <c r="AA1180" t="s">
        <v>22034</v>
      </c>
      <c r="AB1180" t="s">
        <v>74</v>
      </c>
      <c r="AC1180" t="s">
        <v>74</v>
      </c>
      <c r="AD1180" t="s">
        <v>74</v>
      </c>
      <c r="AE1180" t="s">
        <v>74</v>
      </c>
      <c r="AF1180" t="s">
        <v>74</v>
      </c>
      <c r="AG1180">
        <v>86</v>
      </c>
      <c r="AH1180">
        <v>132</v>
      </c>
      <c r="AI1180">
        <v>160</v>
      </c>
      <c r="AJ1180">
        <v>5</v>
      </c>
      <c r="AK1180">
        <v>386</v>
      </c>
      <c r="AL1180" t="s">
        <v>836</v>
      </c>
      <c r="AM1180" t="s">
        <v>532</v>
      </c>
      <c r="AN1180" t="s">
        <v>837</v>
      </c>
      <c r="AO1180" t="s">
        <v>22035</v>
      </c>
      <c r="AP1180" t="s">
        <v>22036</v>
      </c>
      <c r="AQ1180" t="s">
        <v>74</v>
      </c>
      <c r="AR1180" t="s">
        <v>22037</v>
      </c>
      <c r="AS1180" t="s">
        <v>22038</v>
      </c>
      <c r="AT1180" t="s">
        <v>1070</v>
      </c>
      <c r="AU1180">
        <v>2013</v>
      </c>
      <c r="AV1180">
        <v>47</v>
      </c>
      <c r="AW1180">
        <v>6</v>
      </c>
      <c r="AX1180" t="s">
        <v>74</v>
      </c>
      <c r="AY1180" t="s">
        <v>74</v>
      </c>
      <c r="AZ1180" t="s">
        <v>74</v>
      </c>
      <c r="BA1180" t="s">
        <v>74</v>
      </c>
      <c r="BB1180">
        <v>762</v>
      </c>
      <c r="BC1180">
        <v>773</v>
      </c>
      <c r="BD1180" t="s">
        <v>74</v>
      </c>
      <c r="BE1180" t="s">
        <v>22039</v>
      </c>
      <c r="BF1180" t="str">
        <f>HYPERLINK("http://dx.doi.org/10.1016/j.jpsychires.2012.12.014","http://dx.doi.org/10.1016/j.jpsychires.2012.12.014")</f>
        <v>http://dx.doi.org/10.1016/j.jpsychires.2012.12.014</v>
      </c>
      <c r="BG1180" t="s">
        <v>74</v>
      </c>
      <c r="BH1180" t="s">
        <v>74</v>
      </c>
      <c r="BI1180">
        <v>12</v>
      </c>
      <c r="BJ1180" t="s">
        <v>4751</v>
      </c>
      <c r="BK1180" t="s">
        <v>102</v>
      </c>
      <c r="BL1180" t="s">
        <v>4751</v>
      </c>
      <c r="BM1180" t="s">
        <v>22040</v>
      </c>
      <c r="BN1180">
        <v>23369337</v>
      </c>
      <c r="BO1180" t="s">
        <v>74</v>
      </c>
      <c r="BP1180" t="s">
        <v>74</v>
      </c>
      <c r="BQ1180" t="s">
        <v>74</v>
      </c>
      <c r="BR1180" t="s">
        <v>105</v>
      </c>
      <c r="BS1180" t="s">
        <v>22041</v>
      </c>
      <c r="BT1180" t="str">
        <f>HYPERLINK("https%3A%2F%2Fwww.webofscience.com%2Fwos%2Fwoscc%2Ffull-record%2FWOS:000318328700010","View Full Record in Web of Science")</f>
        <v>View Full Record in Web of Science</v>
      </c>
    </row>
    <row r="1181" spans="1:72" x14ac:dyDescent="0.25">
      <c r="A1181" t="s">
        <v>72</v>
      </c>
      <c r="B1181" t="s">
        <v>22042</v>
      </c>
      <c r="C1181" t="s">
        <v>74</v>
      </c>
      <c r="D1181" t="s">
        <v>74</v>
      </c>
      <c r="E1181" t="s">
        <v>74</v>
      </c>
      <c r="F1181" t="s">
        <v>22043</v>
      </c>
      <c r="G1181" t="s">
        <v>74</v>
      </c>
      <c r="H1181" t="s">
        <v>74</v>
      </c>
      <c r="I1181" t="s">
        <v>22044</v>
      </c>
      <c r="J1181" t="s">
        <v>22045</v>
      </c>
      <c r="K1181" t="s">
        <v>74</v>
      </c>
      <c r="L1181" t="s">
        <v>74</v>
      </c>
      <c r="M1181" t="s">
        <v>78</v>
      </c>
      <c r="N1181" t="s">
        <v>79</v>
      </c>
      <c r="O1181" t="s">
        <v>74</v>
      </c>
      <c r="P1181" t="s">
        <v>74</v>
      </c>
      <c r="Q1181" t="s">
        <v>74</v>
      </c>
      <c r="R1181" t="s">
        <v>74</v>
      </c>
      <c r="S1181" t="s">
        <v>74</v>
      </c>
      <c r="T1181" t="s">
        <v>74</v>
      </c>
      <c r="U1181" t="s">
        <v>22046</v>
      </c>
      <c r="V1181" t="s">
        <v>22047</v>
      </c>
      <c r="W1181" t="s">
        <v>22048</v>
      </c>
      <c r="X1181" t="s">
        <v>22049</v>
      </c>
      <c r="Y1181" t="s">
        <v>22050</v>
      </c>
      <c r="Z1181" t="s">
        <v>22051</v>
      </c>
      <c r="AA1181" t="s">
        <v>16454</v>
      </c>
      <c r="AB1181" t="s">
        <v>22052</v>
      </c>
      <c r="AC1181" t="s">
        <v>22053</v>
      </c>
      <c r="AD1181" t="s">
        <v>22053</v>
      </c>
      <c r="AE1181" t="s">
        <v>22054</v>
      </c>
      <c r="AF1181" t="s">
        <v>74</v>
      </c>
      <c r="AG1181">
        <v>52</v>
      </c>
      <c r="AH1181">
        <v>51</v>
      </c>
      <c r="AI1181">
        <v>58</v>
      </c>
      <c r="AJ1181">
        <v>2</v>
      </c>
      <c r="AK1181">
        <v>54</v>
      </c>
      <c r="AL1181" t="s">
        <v>226</v>
      </c>
      <c r="AM1181" t="s">
        <v>227</v>
      </c>
      <c r="AN1181" t="s">
        <v>228</v>
      </c>
      <c r="AO1181" t="s">
        <v>22055</v>
      </c>
      <c r="AP1181" t="s">
        <v>22056</v>
      </c>
      <c r="AQ1181" t="s">
        <v>74</v>
      </c>
      <c r="AR1181" t="s">
        <v>22057</v>
      </c>
      <c r="AS1181" t="s">
        <v>22058</v>
      </c>
      <c r="AT1181" t="s">
        <v>1070</v>
      </c>
      <c r="AU1181">
        <v>2013</v>
      </c>
      <c r="AV1181">
        <v>20</v>
      </c>
      <c r="AW1181">
        <v>2</v>
      </c>
      <c r="AX1181" t="s">
        <v>74</v>
      </c>
      <c r="AY1181" t="s">
        <v>74</v>
      </c>
      <c r="AZ1181" t="s">
        <v>74</v>
      </c>
      <c r="BA1181" t="s">
        <v>74</v>
      </c>
      <c r="BB1181">
        <v>139</v>
      </c>
      <c r="BC1181">
        <v>145</v>
      </c>
      <c r="BD1181" t="s">
        <v>74</v>
      </c>
      <c r="BE1181" t="s">
        <v>22059</v>
      </c>
      <c r="BF1181" t="str">
        <f>HYPERLINK("http://dx.doi.org/10.1016/j.spen.2013.06.006","http://dx.doi.org/10.1016/j.spen.2013.06.006")</f>
        <v>http://dx.doi.org/10.1016/j.spen.2013.06.006</v>
      </c>
      <c r="BG1181" t="s">
        <v>74</v>
      </c>
      <c r="BH1181" t="s">
        <v>74</v>
      </c>
      <c r="BI1181">
        <v>7</v>
      </c>
      <c r="BJ1181" t="s">
        <v>22060</v>
      </c>
      <c r="BK1181" t="s">
        <v>102</v>
      </c>
      <c r="BL1181" t="s">
        <v>22061</v>
      </c>
      <c r="BM1181" t="s">
        <v>22062</v>
      </c>
      <c r="BN1181">
        <v>23948688</v>
      </c>
      <c r="BO1181" t="s">
        <v>74</v>
      </c>
      <c r="BP1181" t="s">
        <v>74</v>
      </c>
      <c r="BQ1181" t="s">
        <v>74</v>
      </c>
      <c r="BR1181" t="s">
        <v>105</v>
      </c>
      <c r="BS1181" t="s">
        <v>22063</v>
      </c>
      <c r="BT1181" t="str">
        <f>HYPERLINK("https%3A%2F%2Fwww.webofscience.com%2Fwos%2Fwoscc%2Ffull-record%2FWOS:000323585700010","View Full Record in Web of Science")</f>
        <v>View Full Record in Web of Science</v>
      </c>
    </row>
    <row r="1182" spans="1:72" x14ac:dyDescent="0.25">
      <c r="A1182" t="s">
        <v>72</v>
      </c>
      <c r="B1182" t="s">
        <v>22064</v>
      </c>
      <c r="C1182" t="s">
        <v>74</v>
      </c>
      <c r="D1182" t="s">
        <v>74</v>
      </c>
      <c r="E1182" t="s">
        <v>74</v>
      </c>
      <c r="F1182" t="s">
        <v>22065</v>
      </c>
      <c r="G1182" t="s">
        <v>74</v>
      </c>
      <c r="H1182" t="s">
        <v>74</v>
      </c>
      <c r="I1182" t="s">
        <v>22066</v>
      </c>
      <c r="J1182" t="s">
        <v>7912</v>
      </c>
      <c r="K1182" t="s">
        <v>74</v>
      </c>
      <c r="L1182" t="s">
        <v>74</v>
      </c>
      <c r="M1182" t="s">
        <v>78</v>
      </c>
      <c r="N1182" t="s">
        <v>79</v>
      </c>
      <c r="O1182" t="s">
        <v>74</v>
      </c>
      <c r="P1182" t="s">
        <v>74</v>
      </c>
      <c r="Q1182" t="s">
        <v>74</v>
      </c>
      <c r="R1182" t="s">
        <v>74</v>
      </c>
      <c r="S1182" t="s">
        <v>74</v>
      </c>
      <c r="T1182" t="s">
        <v>22067</v>
      </c>
      <c r="U1182" t="s">
        <v>22068</v>
      </c>
      <c r="V1182" t="s">
        <v>22069</v>
      </c>
      <c r="W1182" t="s">
        <v>22070</v>
      </c>
      <c r="X1182" t="s">
        <v>22071</v>
      </c>
      <c r="Y1182" t="s">
        <v>22072</v>
      </c>
      <c r="Z1182" t="s">
        <v>74</v>
      </c>
      <c r="AA1182" t="s">
        <v>22073</v>
      </c>
      <c r="AB1182" t="s">
        <v>22074</v>
      </c>
      <c r="AC1182" t="s">
        <v>74</v>
      </c>
      <c r="AD1182" t="s">
        <v>74</v>
      </c>
      <c r="AE1182" t="s">
        <v>74</v>
      </c>
      <c r="AF1182" t="s">
        <v>74</v>
      </c>
      <c r="AG1182">
        <v>79</v>
      </c>
      <c r="AH1182">
        <v>35</v>
      </c>
      <c r="AI1182">
        <v>38</v>
      </c>
      <c r="AJ1182">
        <v>0</v>
      </c>
      <c r="AK1182">
        <v>33</v>
      </c>
      <c r="AL1182" t="s">
        <v>92</v>
      </c>
      <c r="AM1182" t="s">
        <v>93</v>
      </c>
      <c r="AN1182" t="s">
        <v>94</v>
      </c>
      <c r="AO1182" t="s">
        <v>7922</v>
      </c>
      <c r="AP1182" t="s">
        <v>7923</v>
      </c>
      <c r="AQ1182" t="s">
        <v>74</v>
      </c>
      <c r="AR1182" t="s">
        <v>7924</v>
      </c>
      <c r="AS1182" t="s">
        <v>7925</v>
      </c>
      <c r="AT1182" t="s">
        <v>21707</v>
      </c>
      <c r="AU1182">
        <v>2013</v>
      </c>
      <c r="AV1182">
        <v>20</v>
      </c>
      <c r="AW1182">
        <v>3</v>
      </c>
      <c r="AX1182" t="s">
        <v>74</v>
      </c>
      <c r="AY1182" t="s">
        <v>74</v>
      </c>
      <c r="AZ1182" t="s">
        <v>74</v>
      </c>
      <c r="BA1182" t="s">
        <v>74</v>
      </c>
      <c r="BB1182">
        <v>233</v>
      </c>
      <c r="BC1182">
        <v>240</v>
      </c>
      <c r="BD1182" t="s">
        <v>74</v>
      </c>
      <c r="BE1182" t="s">
        <v>22075</v>
      </c>
      <c r="BF1182" t="str">
        <f>HYPERLINK("http://dx.doi.org/10.1310/tsr2003-233","http://dx.doi.org/10.1310/tsr2003-233")</f>
        <v>http://dx.doi.org/10.1310/tsr2003-233</v>
      </c>
      <c r="BG1182" t="s">
        <v>74</v>
      </c>
      <c r="BH1182" t="s">
        <v>74</v>
      </c>
      <c r="BI1182">
        <v>8</v>
      </c>
      <c r="BJ1182" t="s">
        <v>101</v>
      </c>
      <c r="BK1182" t="s">
        <v>182</v>
      </c>
      <c r="BL1182" t="s">
        <v>101</v>
      </c>
      <c r="BM1182" t="s">
        <v>22076</v>
      </c>
      <c r="BN1182">
        <v>23841971</v>
      </c>
      <c r="BO1182" t="s">
        <v>74</v>
      </c>
      <c r="BP1182" t="s">
        <v>74</v>
      </c>
      <c r="BQ1182" t="s">
        <v>74</v>
      </c>
      <c r="BR1182" t="s">
        <v>105</v>
      </c>
      <c r="BS1182" t="s">
        <v>22077</v>
      </c>
      <c r="BT1182" t="str">
        <f>HYPERLINK("https%3A%2F%2Fwww.webofscience.com%2Fwos%2Fwoscc%2Ffull-record%2FWOS:000319641200006","View Full Record in Web of Science")</f>
        <v>View Full Record in Web of Science</v>
      </c>
    </row>
    <row r="1183" spans="1:72" x14ac:dyDescent="0.25">
      <c r="A1183" t="s">
        <v>72</v>
      </c>
      <c r="B1183" t="s">
        <v>22078</v>
      </c>
      <c r="C1183" t="s">
        <v>74</v>
      </c>
      <c r="D1183" t="s">
        <v>74</v>
      </c>
      <c r="E1183" t="s">
        <v>74</v>
      </c>
      <c r="F1183" t="s">
        <v>22079</v>
      </c>
      <c r="G1183" t="s">
        <v>74</v>
      </c>
      <c r="H1183" t="s">
        <v>74</v>
      </c>
      <c r="I1183" t="s">
        <v>22080</v>
      </c>
      <c r="J1183" t="s">
        <v>594</v>
      </c>
      <c r="K1183" t="s">
        <v>74</v>
      </c>
      <c r="L1183" t="s">
        <v>74</v>
      </c>
      <c r="M1183" t="s">
        <v>78</v>
      </c>
      <c r="N1183" t="s">
        <v>79</v>
      </c>
      <c r="O1183" t="s">
        <v>74</v>
      </c>
      <c r="P1183" t="s">
        <v>74</v>
      </c>
      <c r="Q1183" t="s">
        <v>74</v>
      </c>
      <c r="R1183" t="s">
        <v>74</v>
      </c>
      <c r="S1183" t="s">
        <v>74</v>
      </c>
      <c r="T1183" t="s">
        <v>22081</v>
      </c>
      <c r="U1183" t="s">
        <v>22082</v>
      </c>
      <c r="V1183" t="s">
        <v>22083</v>
      </c>
      <c r="W1183" t="s">
        <v>22084</v>
      </c>
      <c r="X1183" t="s">
        <v>22085</v>
      </c>
      <c r="Y1183" t="s">
        <v>22086</v>
      </c>
      <c r="Z1183" t="s">
        <v>19816</v>
      </c>
      <c r="AA1183" t="s">
        <v>19917</v>
      </c>
      <c r="AB1183" t="s">
        <v>22087</v>
      </c>
      <c r="AC1183" t="s">
        <v>22088</v>
      </c>
      <c r="AD1183" t="s">
        <v>22088</v>
      </c>
      <c r="AE1183" t="s">
        <v>22089</v>
      </c>
      <c r="AF1183" t="s">
        <v>74</v>
      </c>
      <c r="AG1183">
        <v>104</v>
      </c>
      <c r="AH1183">
        <v>161</v>
      </c>
      <c r="AI1183">
        <v>169</v>
      </c>
      <c r="AJ1183">
        <v>3</v>
      </c>
      <c r="AK1183">
        <v>128</v>
      </c>
      <c r="AL1183" t="s">
        <v>274</v>
      </c>
      <c r="AM1183" t="s">
        <v>275</v>
      </c>
      <c r="AN1183" t="s">
        <v>276</v>
      </c>
      <c r="AO1183" t="s">
        <v>74</v>
      </c>
      <c r="AP1183" t="s">
        <v>606</v>
      </c>
      <c r="AQ1183" t="s">
        <v>74</v>
      </c>
      <c r="AR1183" t="s">
        <v>607</v>
      </c>
      <c r="AS1183" t="s">
        <v>608</v>
      </c>
      <c r="AT1183" t="s">
        <v>17528</v>
      </c>
      <c r="AU1183">
        <v>2013</v>
      </c>
      <c r="AV1183">
        <v>10</v>
      </c>
      <c r="AW1183" t="s">
        <v>74</v>
      </c>
      <c r="AX1183" t="s">
        <v>74</v>
      </c>
      <c r="AY1183" t="s">
        <v>74</v>
      </c>
      <c r="AZ1183" t="s">
        <v>74</v>
      </c>
      <c r="BA1183" t="s">
        <v>74</v>
      </c>
      <c r="BB1183" t="s">
        <v>74</v>
      </c>
      <c r="BC1183" t="s">
        <v>74</v>
      </c>
      <c r="BD1183">
        <v>30</v>
      </c>
      <c r="BE1183" t="s">
        <v>22090</v>
      </c>
      <c r="BF1183" t="str">
        <f>HYPERLINK("http://dx.doi.org/10.1186/1743-0003-10-30","http://dx.doi.org/10.1186/1743-0003-10-30")</f>
        <v>http://dx.doi.org/10.1186/1743-0003-10-30</v>
      </c>
      <c r="BG1183" t="s">
        <v>74</v>
      </c>
      <c r="BH1183" t="s">
        <v>74</v>
      </c>
      <c r="BI1183">
        <v>16</v>
      </c>
      <c r="BJ1183" t="s">
        <v>611</v>
      </c>
      <c r="BK1183" t="s">
        <v>102</v>
      </c>
      <c r="BL1183" t="s">
        <v>612</v>
      </c>
      <c r="BM1183" t="s">
        <v>22091</v>
      </c>
      <c r="BN1183">
        <v>23517734</v>
      </c>
      <c r="BO1183" t="s">
        <v>131</v>
      </c>
      <c r="BP1183" t="s">
        <v>74</v>
      </c>
      <c r="BQ1183" t="s">
        <v>74</v>
      </c>
      <c r="BR1183" t="s">
        <v>105</v>
      </c>
      <c r="BS1183" t="s">
        <v>22092</v>
      </c>
      <c r="BT1183" t="str">
        <f>HYPERLINK("https%3A%2F%2Fwww.webofscience.com%2Fwos%2Fwoscc%2Ffull-record%2FWOS:000318065800001","View Full Record in Web of Science")</f>
        <v>View Full Record in Web of Science</v>
      </c>
    </row>
    <row r="1184" spans="1:72" x14ac:dyDescent="0.25">
      <c r="A1184" t="s">
        <v>72</v>
      </c>
      <c r="B1184" t="s">
        <v>22093</v>
      </c>
      <c r="C1184" t="s">
        <v>74</v>
      </c>
      <c r="D1184" t="s">
        <v>74</v>
      </c>
      <c r="E1184" t="s">
        <v>74</v>
      </c>
      <c r="F1184" t="s">
        <v>22094</v>
      </c>
      <c r="G1184" t="s">
        <v>74</v>
      </c>
      <c r="H1184" t="s">
        <v>74</v>
      </c>
      <c r="I1184" t="s">
        <v>22095</v>
      </c>
      <c r="J1184" t="s">
        <v>1697</v>
      </c>
      <c r="K1184" t="s">
        <v>74</v>
      </c>
      <c r="L1184" t="s">
        <v>74</v>
      </c>
      <c r="M1184" t="s">
        <v>78</v>
      </c>
      <c r="N1184" t="s">
        <v>79</v>
      </c>
      <c r="O1184" t="s">
        <v>74</v>
      </c>
      <c r="P1184" t="s">
        <v>74</v>
      </c>
      <c r="Q1184" t="s">
        <v>74</v>
      </c>
      <c r="R1184" t="s">
        <v>74</v>
      </c>
      <c r="S1184" t="s">
        <v>74</v>
      </c>
      <c r="T1184" t="s">
        <v>22096</v>
      </c>
      <c r="U1184" t="s">
        <v>74</v>
      </c>
      <c r="V1184" t="s">
        <v>22097</v>
      </c>
      <c r="W1184" t="s">
        <v>22098</v>
      </c>
      <c r="X1184" t="s">
        <v>22099</v>
      </c>
      <c r="Y1184" t="s">
        <v>22100</v>
      </c>
      <c r="Z1184" t="s">
        <v>22101</v>
      </c>
      <c r="AA1184" t="s">
        <v>74</v>
      </c>
      <c r="AB1184" t="s">
        <v>22102</v>
      </c>
      <c r="AC1184" t="s">
        <v>22103</v>
      </c>
      <c r="AD1184" t="s">
        <v>22104</v>
      </c>
      <c r="AE1184" t="s">
        <v>22105</v>
      </c>
      <c r="AF1184" t="s">
        <v>74</v>
      </c>
      <c r="AG1184">
        <v>47</v>
      </c>
      <c r="AH1184">
        <v>487</v>
      </c>
      <c r="AI1184">
        <v>542</v>
      </c>
      <c r="AJ1184">
        <v>9</v>
      </c>
      <c r="AK1184">
        <v>293</v>
      </c>
      <c r="AL1184" t="s">
        <v>1704</v>
      </c>
      <c r="AM1184" t="s">
        <v>1705</v>
      </c>
      <c r="AN1184" t="s">
        <v>1706</v>
      </c>
      <c r="AO1184" t="s">
        <v>1707</v>
      </c>
      <c r="AP1184" t="s">
        <v>1708</v>
      </c>
      <c r="AQ1184" t="s">
        <v>74</v>
      </c>
      <c r="AR1184" t="s">
        <v>1709</v>
      </c>
      <c r="AS1184" t="s">
        <v>1710</v>
      </c>
      <c r="AT1184" t="s">
        <v>74</v>
      </c>
      <c r="AU1184">
        <v>2013</v>
      </c>
      <c r="AV1184">
        <v>50</v>
      </c>
      <c r="AW1184">
        <v>5</v>
      </c>
      <c r="AX1184" t="s">
        <v>74</v>
      </c>
      <c r="AY1184" t="s">
        <v>74</v>
      </c>
      <c r="AZ1184" t="s">
        <v>74</v>
      </c>
      <c r="BA1184" t="s">
        <v>74</v>
      </c>
      <c r="BB1184">
        <v>599</v>
      </c>
      <c r="BC1184">
        <v>617</v>
      </c>
      <c r="BD1184" t="s">
        <v>74</v>
      </c>
      <c r="BE1184" t="s">
        <v>22106</v>
      </c>
      <c r="BF1184" t="str">
        <f>HYPERLINK("http://dx.doi.org/10.1682/JRRD.2011.10.0188","http://dx.doi.org/10.1682/JRRD.2011.10.0188")</f>
        <v>http://dx.doi.org/10.1682/JRRD.2011.10.0188</v>
      </c>
      <c r="BG1184" t="s">
        <v>74</v>
      </c>
      <c r="BH1184" t="s">
        <v>74</v>
      </c>
      <c r="BI1184">
        <v>19</v>
      </c>
      <c r="BJ1184" t="s">
        <v>101</v>
      </c>
      <c r="BK1184" t="s">
        <v>102</v>
      </c>
      <c r="BL1184" t="s">
        <v>101</v>
      </c>
      <c r="BM1184" t="s">
        <v>22107</v>
      </c>
      <c r="BN1184">
        <v>24013909</v>
      </c>
      <c r="BO1184" t="s">
        <v>104</v>
      </c>
      <c r="BP1184" t="s">
        <v>74</v>
      </c>
      <c r="BQ1184" t="s">
        <v>74</v>
      </c>
      <c r="BR1184" t="s">
        <v>105</v>
      </c>
      <c r="BS1184" t="s">
        <v>22108</v>
      </c>
      <c r="BT1184" t="str">
        <f>HYPERLINK("https%3A%2F%2Fwww.webofscience.com%2Fwos%2Fwoscc%2Ffull-record%2FWOS:000323237500003","View Full Record in Web of Science")</f>
        <v>View Full Record in Web of Science</v>
      </c>
    </row>
    <row r="1185" spans="1:72" x14ac:dyDescent="0.25">
      <c r="A1185" t="s">
        <v>72</v>
      </c>
      <c r="B1185" t="s">
        <v>22109</v>
      </c>
      <c r="C1185" t="s">
        <v>74</v>
      </c>
      <c r="D1185" t="s">
        <v>74</v>
      </c>
      <c r="E1185" t="s">
        <v>74</v>
      </c>
      <c r="F1185" t="s">
        <v>22110</v>
      </c>
      <c r="G1185" t="s">
        <v>74</v>
      </c>
      <c r="H1185" t="s">
        <v>74</v>
      </c>
      <c r="I1185" t="s">
        <v>22111</v>
      </c>
      <c r="J1185" t="s">
        <v>6967</v>
      </c>
      <c r="K1185" t="s">
        <v>74</v>
      </c>
      <c r="L1185" t="s">
        <v>74</v>
      </c>
      <c r="M1185" t="s">
        <v>78</v>
      </c>
      <c r="N1185" t="s">
        <v>79</v>
      </c>
      <c r="O1185" t="s">
        <v>74</v>
      </c>
      <c r="P1185" t="s">
        <v>74</v>
      </c>
      <c r="Q1185" t="s">
        <v>74</v>
      </c>
      <c r="R1185" t="s">
        <v>74</v>
      </c>
      <c r="S1185" t="s">
        <v>74</v>
      </c>
      <c r="T1185" t="s">
        <v>22112</v>
      </c>
      <c r="U1185" t="s">
        <v>22113</v>
      </c>
      <c r="V1185" t="s">
        <v>22114</v>
      </c>
      <c r="W1185" t="s">
        <v>22115</v>
      </c>
      <c r="X1185" t="s">
        <v>19902</v>
      </c>
      <c r="Y1185" t="s">
        <v>22116</v>
      </c>
      <c r="Z1185" t="s">
        <v>22117</v>
      </c>
      <c r="AA1185" t="s">
        <v>74</v>
      </c>
      <c r="AB1185" t="s">
        <v>74</v>
      </c>
      <c r="AC1185" t="s">
        <v>74</v>
      </c>
      <c r="AD1185" t="s">
        <v>74</v>
      </c>
      <c r="AE1185" t="s">
        <v>74</v>
      </c>
      <c r="AF1185" t="s">
        <v>74</v>
      </c>
      <c r="AG1185">
        <v>29</v>
      </c>
      <c r="AH1185">
        <v>13</v>
      </c>
      <c r="AI1185">
        <v>18</v>
      </c>
      <c r="AJ1185">
        <v>0</v>
      </c>
      <c r="AK1185">
        <v>18</v>
      </c>
      <c r="AL1185" t="s">
        <v>9434</v>
      </c>
      <c r="AM1185" t="s">
        <v>1606</v>
      </c>
      <c r="AN1185" t="s">
        <v>9435</v>
      </c>
      <c r="AO1185" t="s">
        <v>6979</v>
      </c>
      <c r="AP1185" t="s">
        <v>6980</v>
      </c>
      <c r="AQ1185" t="s">
        <v>74</v>
      </c>
      <c r="AR1185" t="s">
        <v>6967</v>
      </c>
      <c r="AS1185" t="s">
        <v>6981</v>
      </c>
      <c r="AT1185" t="s">
        <v>74</v>
      </c>
      <c r="AU1185">
        <v>2013</v>
      </c>
      <c r="AV1185">
        <v>33</v>
      </c>
      <c r="AW1185">
        <v>1</v>
      </c>
      <c r="AX1185" t="s">
        <v>74</v>
      </c>
      <c r="AY1185" t="s">
        <v>74</v>
      </c>
      <c r="AZ1185" t="s">
        <v>74</v>
      </c>
      <c r="BA1185" t="s">
        <v>74</v>
      </c>
      <c r="BB1185">
        <v>3</v>
      </c>
      <c r="BC1185">
        <v>11</v>
      </c>
      <c r="BD1185" t="s">
        <v>74</v>
      </c>
      <c r="BE1185" t="s">
        <v>22118</v>
      </c>
      <c r="BF1185" t="str">
        <f>HYPERLINK("http://dx.doi.org/10.3233/NRE-130922","http://dx.doi.org/10.3233/NRE-130922")</f>
        <v>http://dx.doi.org/10.3233/NRE-130922</v>
      </c>
      <c r="BG1185" t="s">
        <v>74</v>
      </c>
      <c r="BH1185" t="s">
        <v>74</v>
      </c>
      <c r="BI1185">
        <v>9</v>
      </c>
      <c r="BJ1185" t="s">
        <v>1049</v>
      </c>
      <c r="BK1185" t="s">
        <v>102</v>
      </c>
      <c r="BL1185" t="s">
        <v>1050</v>
      </c>
      <c r="BM1185" t="s">
        <v>22119</v>
      </c>
      <c r="BN1185">
        <v>23949043</v>
      </c>
      <c r="BO1185" t="s">
        <v>74</v>
      </c>
      <c r="BP1185" t="s">
        <v>74</v>
      </c>
      <c r="BQ1185" t="s">
        <v>74</v>
      </c>
      <c r="BR1185" t="s">
        <v>105</v>
      </c>
      <c r="BS1185" t="s">
        <v>22120</v>
      </c>
      <c r="BT1185" t="str">
        <f>HYPERLINK("https%3A%2F%2Fwww.webofscience.com%2Fwos%2Fwoscc%2Ffull-record%2FWOS:000324260400002","View Full Record in Web of Science")</f>
        <v>View Full Record in Web of Science</v>
      </c>
    </row>
    <row r="1186" spans="1:72" x14ac:dyDescent="0.25">
      <c r="A1186" t="s">
        <v>72</v>
      </c>
      <c r="B1186" t="s">
        <v>22121</v>
      </c>
      <c r="C1186" t="s">
        <v>74</v>
      </c>
      <c r="D1186" t="s">
        <v>74</v>
      </c>
      <c r="E1186" t="s">
        <v>74</v>
      </c>
      <c r="F1186" t="s">
        <v>22122</v>
      </c>
      <c r="G1186" t="s">
        <v>74</v>
      </c>
      <c r="H1186" t="s">
        <v>74</v>
      </c>
      <c r="I1186" t="s">
        <v>22123</v>
      </c>
      <c r="J1186" t="s">
        <v>22124</v>
      </c>
      <c r="K1186" t="s">
        <v>74</v>
      </c>
      <c r="L1186" t="s">
        <v>74</v>
      </c>
      <c r="M1186" t="s">
        <v>78</v>
      </c>
      <c r="N1186" t="s">
        <v>79</v>
      </c>
      <c r="O1186" t="s">
        <v>74</v>
      </c>
      <c r="P1186" t="s">
        <v>74</v>
      </c>
      <c r="Q1186" t="s">
        <v>74</v>
      </c>
      <c r="R1186" t="s">
        <v>74</v>
      </c>
      <c r="S1186" t="s">
        <v>74</v>
      </c>
      <c r="T1186" t="s">
        <v>74</v>
      </c>
      <c r="U1186" t="s">
        <v>22125</v>
      </c>
      <c r="V1186" t="s">
        <v>22126</v>
      </c>
      <c r="W1186" t="s">
        <v>22127</v>
      </c>
      <c r="X1186" t="s">
        <v>22128</v>
      </c>
      <c r="Y1186" t="s">
        <v>22129</v>
      </c>
      <c r="Z1186" t="s">
        <v>22130</v>
      </c>
      <c r="AA1186" t="s">
        <v>22131</v>
      </c>
      <c r="AB1186" t="s">
        <v>22132</v>
      </c>
      <c r="AC1186" t="s">
        <v>74</v>
      </c>
      <c r="AD1186" t="s">
        <v>74</v>
      </c>
      <c r="AE1186" t="s">
        <v>74</v>
      </c>
      <c r="AF1186" t="s">
        <v>74</v>
      </c>
      <c r="AG1186">
        <v>129</v>
      </c>
      <c r="AH1186">
        <v>113</v>
      </c>
      <c r="AI1186">
        <v>136</v>
      </c>
      <c r="AJ1186">
        <v>1</v>
      </c>
      <c r="AK1186">
        <v>78</v>
      </c>
      <c r="AL1186" t="s">
        <v>4915</v>
      </c>
      <c r="AM1186" t="s">
        <v>532</v>
      </c>
      <c r="AN1186" t="s">
        <v>4916</v>
      </c>
      <c r="AO1186" t="s">
        <v>22133</v>
      </c>
      <c r="AP1186" t="s">
        <v>22134</v>
      </c>
      <c r="AQ1186" t="s">
        <v>74</v>
      </c>
      <c r="AR1186" t="s">
        <v>22135</v>
      </c>
      <c r="AS1186" t="s">
        <v>22136</v>
      </c>
      <c r="AT1186" t="s">
        <v>538</v>
      </c>
      <c r="AU1186">
        <v>2013</v>
      </c>
      <c r="AV1186">
        <v>106</v>
      </c>
      <c r="AW1186">
        <v>1</v>
      </c>
      <c r="AX1186" t="s">
        <v>74</v>
      </c>
      <c r="AY1186" t="s">
        <v>74</v>
      </c>
      <c r="AZ1186" t="s">
        <v>74</v>
      </c>
      <c r="BA1186" t="s">
        <v>74</v>
      </c>
      <c r="BB1186">
        <v>11</v>
      </c>
      <c r="BC1186">
        <v>25</v>
      </c>
      <c r="BD1186" t="s">
        <v>74</v>
      </c>
      <c r="BE1186" t="s">
        <v>22137</v>
      </c>
      <c r="BF1186" t="str">
        <f>HYPERLINK("http://dx.doi.org/10.1093/qjmed/hcs174","http://dx.doi.org/10.1093/qjmed/hcs174")</f>
        <v>http://dx.doi.org/10.1093/qjmed/hcs174</v>
      </c>
      <c r="BG1186" t="s">
        <v>74</v>
      </c>
      <c r="BH1186" t="s">
        <v>74</v>
      </c>
      <c r="BI1186">
        <v>15</v>
      </c>
      <c r="BJ1186" t="s">
        <v>128</v>
      </c>
      <c r="BK1186" t="s">
        <v>102</v>
      </c>
      <c r="BL1186" t="s">
        <v>129</v>
      </c>
      <c r="BM1186" t="s">
        <v>22138</v>
      </c>
      <c r="BN1186">
        <v>23019591</v>
      </c>
      <c r="BO1186" t="s">
        <v>1052</v>
      </c>
      <c r="BP1186" t="s">
        <v>74</v>
      </c>
      <c r="BQ1186" t="s">
        <v>74</v>
      </c>
      <c r="BR1186" t="s">
        <v>105</v>
      </c>
      <c r="BS1186" t="s">
        <v>22139</v>
      </c>
      <c r="BT1186" t="str">
        <f>HYPERLINK("https%3A%2F%2Fwww.webofscience.com%2Fwos%2Fwoscc%2Ffull-record%2FWOS:000312882300003","View Full Record in Web of Science")</f>
        <v>View Full Record in Web of Science</v>
      </c>
    </row>
    <row r="1187" spans="1:72" x14ac:dyDescent="0.25">
      <c r="A1187" t="s">
        <v>72</v>
      </c>
      <c r="B1187" t="s">
        <v>22140</v>
      </c>
      <c r="C1187" t="s">
        <v>74</v>
      </c>
      <c r="D1187" t="s">
        <v>74</v>
      </c>
      <c r="E1187" t="s">
        <v>74</v>
      </c>
      <c r="F1187" t="s">
        <v>22141</v>
      </c>
      <c r="G1187" t="s">
        <v>74</v>
      </c>
      <c r="H1187" t="s">
        <v>74</v>
      </c>
      <c r="I1187" t="s">
        <v>22142</v>
      </c>
      <c r="J1187" t="s">
        <v>2040</v>
      </c>
      <c r="K1187" t="s">
        <v>74</v>
      </c>
      <c r="L1187" t="s">
        <v>74</v>
      </c>
      <c r="M1187" t="s">
        <v>78</v>
      </c>
      <c r="N1187" t="s">
        <v>79</v>
      </c>
      <c r="O1187" t="s">
        <v>74</v>
      </c>
      <c r="P1187" t="s">
        <v>74</v>
      </c>
      <c r="Q1187" t="s">
        <v>74</v>
      </c>
      <c r="R1187" t="s">
        <v>74</v>
      </c>
      <c r="S1187" t="s">
        <v>74</v>
      </c>
      <c r="T1187" t="s">
        <v>22143</v>
      </c>
      <c r="U1187" t="s">
        <v>22144</v>
      </c>
      <c r="V1187" t="s">
        <v>22145</v>
      </c>
      <c r="W1187" t="s">
        <v>22146</v>
      </c>
      <c r="X1187" t="s">
        <v>22147</v>
      </c>
      <c r="Y1187" t="s">
        <v>22148</v>
      </c>
      <c r="Z1187" t="s">
        <v>22149</v>
      </c>
      <c r="AA1187" t="s">
        <v>22150</v>
      </c>
      <c r="AB1187" t="s">
        <v>22151</v>
      </c>
      <c r="AC1187" t="s">
        <v>22152</v>
      </c>
      <c r="AD1187" t="s">
        <v>22153</v>
      </c>
      <c r="AE1187" t="s">
        <v>22154</v>
      </c>
      <c r="AF1187" t="s">
        <v>74</v>
      </c>
      <c r="AG1187">
        <v>55</v>
      </c>
      <c r="AH1187">
        <v>67</v>
      </c>
      <c r="AI1187">
        <v>72</v>
      </c>
      <c r="AJ1187">
        <v>1</v>
      </c>
      <c r="AK1187">
        <v>180</v>
      </c>
      <c r="AL1187" t="s">
        <v>120</v>
      </c>
      <c r="AM1187" t="s">
        <v>121</v>
      </c>
      <c r="AN1187" t="s">
        <v>122</v>
      </c>
      <c r="AO1187" t="s">
        <v>74</v>
      </c>
      <c r="AP1187" t="s">
        <v>2050</v>
      </c>
      <c r="AQ1187" t="s">
        <v>74</v>
      </c>
      <c r="AR1187" t="s">
        <v>2051</v>
      </c>
      <c r="AS1187" t="s">
        <v>2052</v>
      </c>
      <c r="AT1187" t="s">
        <v>538</v>
      </c>
      <c r="AU1187">
        <v>2013</v>
      </c>
      <c r="AV1187">
        <v>13</v>
      </c>
      <c r="AW1187">
        <v>1</v>
      </c>
      <c r="AX1187" t="s">
        <v>74</v>
      </c>
      <c r="AY1187" t="s">
        <v>74</v>
      </c>
      <c r="AZ1187" t="s">
        <v>74</v>
      </c>
      <c r="BA1187" t="s">
        <v>74</v>
      </c>
      <c r="BB1187">
        <v>1021</v>
      </c>
      <c r="BC1187">
        <v>1045</v>
      </c>
      <c r="BD1187" t="s">
        <v>74</v>
      </c>
      <c r="BE1187" t="s">
        <v>22155</v>
      </c>
      <c r="BF1187" t="str">
        <f>HYPERLINK("http://dx.doi.org/10.3390/s130101021","http://dx.doi.org/10.3390/s130101021")</f>
        <v>http://dx.doi.org/10.3390/s130101021</v>
      </c>
      <c r="BG1187" t="s">
        <v>74</v>
      </c>
      <c r="BH1187" t="s">
        <v>74</v>
      </c>
      <c r="BI1187">
        <v>25</v>
      </c>
      <c r="BJ1187" t="s">
        <v>2054</v>
      </c>
      <c r="BK1187" t="s">
        <v>182</v>
      </c>
      <c r="BL1187" t="s">
        <v>2055</v>
      </c>
      <c r="BM1187" t="s">
        <v>22156</v>
      </c>
      <c r="BN1187">
        <v>23322104</v>
      </c>
      <c r="BO1187" t="s">
        <v>5437</v>
      </c>
      <c r="BP1187" t="s">
        <v>74</v>
      </c>
      <c r="BQ1187" t="s">
        <v>74</v>
      </c>
      <c r="BR1187" t="s">
        <v>105</v>
      </c>
      <c r="BS1187" t="s">
        <v>22157</v>
      </c>
      <c r="BT1187" t="str">
        <f>HYPERLINK("https%3A%2F%2Fwww.webofscience.com%2Fwos%2Fwoscc%2Ffull-record%2FWOS:000314024800059","View Full Record in Web of Science")</f>
        <v>View Full Record in Web of Science</v>
      </c>
    </row>
    <row r="1188" spans="1:72" x14ac:dyDescent="0.25">
      <c r="A1188" t="s">
        <v>72</v>
      </c>
      <c r="B1188" t="s">
        <v>22158</v>
      </c>
      <c r="C1188" t="s">
        <v>74</v>
      </c>
      <c r="D1188" t="s">
        <v>74</v>
      </c>
      <c r="E1188" t="s">
        <v>74</v>
      </c>
      <c r="F1188" t="s">
        <v>22159</v>
      </c>
      <c r="G1188" t="s">
        <v>74</v>
      </c>
      <c r="H1188" t="s">
        <v>74</v>
      </c>
      <c r="I1188" t="s">
        <v>22160</v>
      </c>
      <c r="J1188" t="s">
        <v>3906</v>
      </c>
      <c r="K1188" t="s">
        <v>74</v>
      </c>
      <c r="L1188" t="s">
        <v>74</v>
      </c>
      <c r="M1188" t="s">
        <v>78</v>
      </c>
      <c r="N1188" t="s">
        <v>79</v>
      </c>
      <c r="O1188" t="s">
        <v>74</v>
      </c>
      <c r="P1188" t="s">
        <v>74</v>
      </c>
      <c r="Q1188" t="s">
        <v>74</v>
      </c>
      <c r="R1188" t="s">
        <v>74</v>
      </c>
      <c r="S1188" t="s">
        <v>74</v>
      </c>
      <c r="T1188" t="s">
        <v>74</v>
      </c>
      <c r="U1188" t="s">
        <v>22161</v>
      </c>
      <c r="V1188" t="s">
        <v>22162</v>
      </c>
      <c r="W1188" t="s">
        <v>22163</v>
      </c>
      <c r="X1188" t="s">
        <v>4089</v>
      </c>
      <c r="Y1188" t="s">
        <v>22164</v>
      </c>
      <c r="Z1188" t="s">
        <v>22165</v>
      </c>
      <c r="AA1188" t="s">
        <v>17204</v>
      </c>
      <c r="AB1188" t="s">
        <v>74</v>
      </c>
      <c r="AC1188" t="s">
        <v>22166</v>
      </c>
      <c r="AD1188" t="s">
        <v>22166</v>
      </c>
      <c r="AE1188" t="s">
        <v>22167</v>
      </c>
      <c r="AF1188" t="s">
        <v>74</v>
      </c>
      <c r="AG1188">
        <v>111</v>
      </c>
      <c r="AH1188">
        <v>55</v>
      </c>
      <c r="AI1188">
        <v>59</v>
      </c>
      <c r="AJ1188">
        <v>0</v>
      </c>
      <c r="AK1188">
        <v>30</v>
      </c>
      <c r="AL1188" t="s">
        <v>297</v>
      </c>
      <c r="AM1188" t="s">
        <v>298</v>
      </c>
      <c r="AN1188" t="s">
        <v>299</v>
      </c>
      <c r="AO1188" t="s">
        <v>3917</v>
      </c>
      <c r="AP1188" t="s">
        <v>3918</v>
      </c>
      <c r="AQ1188" t="s">
        <v>74</v>
      </c>
      <c r="AR1188" t="s">
        <v>3919</v>
      </c>
      <c r="AS1188" t="s">
        <v>3920</v>
      </c>
      <c r="AT1188" t="s">
        <v>74</v>
      </c>
      <c r="AU1188">
        <v>2013</v>
      </c>
      <c r="AV1188" t="s">
        <v>74</v>
      </c>
      <c r="AW1188">
        <v>11</v>
      </c>
      <c r="AX1188" t="s">
        <v>74</v>
      </c>
      <c r="AY1188" t="s">
        <v>74</v>
      </c>
      <c r="AZ1188" t="s">
        <v>74</v>
      </c>
      <c r="BA1188" t="s">
        <v>74</v>
      </c>
      <c r="BB1188" t="s">
        <v>74</v>
      </c>
      <c r="BC1188" t="s">
        <v>74</v>
      </c>
      <c r="BD1188" t="s">
        <v>22168</v>
      </c>
      <c r="BE1188" t="s">
        <v>22169</v>
      </c>
      <c r="BF1188" t="str">
        <f>HYPERLINK("http://dx.doi.org/10.1002/14651858.CD009645.pub2","http://dx.doi.org/10.1002/14651858.CD009645.pub2")</f>
        <v>http://dx.doi.org/10.1002/14651858.CD009645.pub2</v>
      </c>
      <c r="BG1188" t="s">
        <v>74</v>
      </c>
      <c r="BH1188" t="s">
        <v>74</v>
      </c>
      <c r="BI1188">
        <v>103</v>
      </c>
      <c r="BJ1188" t="s">
        <v>128</v>
      </c>
      <c r="BK1188" t="s">
        <v>182</v>
      </c>
      <c r="BL1188" t="s">
        <v>129</v>
      </c>
      <c r="BM1188" t="s">
        <v>22170</v>
      </c>
      <c r="BN1188">
        <v>24234980</v>
      </c>
      <c r="BO1188" t="s">
        <v>74</v>
      </c>
      <c r="BP1188" t="s">
        <v>74</v>
      </c>
      <c r="BQ1188" t="s">
        <v>74</v>
      </c>
      <c r="BR1188" t="s">
        <v>105</v>
      </c>
      <c r="BS1188" t="s">
        <v>22171</v>
      </c>
      <c r="BT1188" t="str">
        <f>HYPERLINK("https%3A%2F%2Fwww.webofscience.com%2Fwos%2Fwoscc%2Ffull-record%2FWOS:000327587700021","View Full Record in Web of Science")</f>
        <v>View Full Record in Web of Science</v>
      </c>
    </row>
    <row r="1189" spans="1:72" x14ac:dyDescent="0.25">
      <c r="A1189" t="s">
        <v>72</v>
      </c>
      <c r="B1189" t="s">
        <v>22172</v>
      </c>
      <c r="C1189" t="s">
        <v>74</v>
      </c>
      <c r="D1189" t="s">
        <v>74</v>
      </c>
      <c r="E1189" t="s">
        <v>74</v>
      </c>
      <c r="F1189" t="s">
        <v>22173</v>
      </c>
      <c r="G1189" t="s">
        <v>74</v>
      </c>
      <c r="H1189" t="s">
        <v>74</v>
      </c>
      <c r="I1189" t="s">
        <v>22174</v>
      </c>
      <c r="J1189" t="s">
        <v>22175</v>
      </c>
      <c r="K1189" t="s">
        <v>74</v>
      </c>
      <c r="L1189" t="s">
        <v>74</v>
      </c>
      <c r="M1189" t="s">
        <v>78</v>
      </c>
      <c r="N1189" t="s">
        <v>79</v>
      </c>
      <c r="O1189" t="s">
        <v>74</v>
      </c>
      <c r="P1189" t="s">
        <v>74</v>
      </c>
      <c r="Q1189" t="s">
        <v>74</v>
      </c>
      <c r="R1189" t="s">
        <v>74</v>
      </c>
      <c r="S1189" t="s">
        <v>74</v>
      </c>
      <c r="T1189" t="s">
        <v>74</v>
      </c>
      <c r="U1189" t="s">
        <v>22176</v>
      </c>
      <c r="V1189" t="s">
        <v>22177</v>
      </c>
      <c r="W1189" t="s">
        <v>22178</v>
      </c>
      <c r="X1189" t="s">
        <v>2730</v>
      </c>
      <c r="Y1189" t="s">
        <v>22179</v>
      </c>
      <c r="Z1189" t="s">
        <v>22180</v>
      </c>
      <c r="AA1189" t="s">
        <v>74</v>
      </c>
      <c r="AB1189" t="s">
        <v>74</v>
      </c>
      <c r="AC1189" t="s">
        <v>74</v>
      </c>
      <c r="AD1189" t="s">
        <v>74</v>
      </c>
      <c r="AE1189" t="s">
        <v>74</v>
      </c>
      <c r="AF1189" t="s">
        <v>74</v>
      </c>
      <c r="AG1189">
        <v>88</v>
      </c>
      <c r="AH1189">
        <v>23</v>
      </c>
      <c r="AI1189">
        <v>23</v>
      </c>
      <c r="AJ1189">
        <v>0</v>
      </c>
      <c r="AK1189">
        <v>1</v>
      </c>
      <c r="AL1189" t="s">
        <v>367</v>
      </c>
      <c r="AM1189" t="s">
        <v>275</v>
      </c>
      <c r="AN1189" t="s">
        <v>368</v>
      </c>
      <c r="AO1189" t="s">
        <v>22181</v>
      </c>
      <c r="AP1189" t="s">
        <v>22182</v>
      </c>
      <c r="AQ1189" t="s">
        <v>74</v>
      </c>
      <c r="AR1189" t="s">
        <v>22175</v>
      </c>
      <c r="AS1189" t="s">
        <v>22183</v>
      </c>
      <c r="AT1189" t="s">
        <v>74</v>
      </c>
      <c r="AU1189">
        <v>2013</v>
      </c>
      <c r="AV1189">
        <v>2013</v>
      </c>
      <c r="AW1189" t="s">
        <v>74</v>
      </c>
      <c r="AX1189" t="s">
        <v>74</v>
      </c>
      <c r="AY1189" t="s">
        <v>74</v>
      </c>
      <c r="AZ1189" t="s">
        <v>74</v>
      </c>
      <c r="BA1189" t="s">
        <v>74</v>
      </c>
      <c r="BB1189" t="s">
        <v>74</v>
      </c>
      <c r="BC1189" t="s">
        <v>74</v>
      </c>
      <c r="BD1189">
        <v>902686</v>
      </c>
      <c r="BE1189" t="s">
        <v>22184</v>
      </c>
      <c r="BF1189" t="str">
        <f>HYPERLINK("http://dx.doi.org/10.1155/2013/902686","http://dx.doi.org/10.1155/2013/902686")</f>
        <v>http://dx.doi.org/10.1155/2013/902686</v>
      </c>
      <c r="BG1189" t="s">
        <v>74</v>
      </c>
      <c r="BH1189" t="s">
        <v>74</v>
      </c>
      <c r="BI1189">
        <v>10</v>
      </c>
      <c r="BJ1189" t="s">
        <v>4032</v>
      </c>
      <c r="BK1189" t="s">
        <v>155</v>
      </c>
      <c r="BL1189" t="s">
        <v>4032</v>
      </c>
      <c r="BM1189" t="s">
        <v>22185</v>
      </c>
      <c r="BN1189">
        <v>24327925</v>
      </c>
      <c r="BO1189" t="s">
        <v>4568</v>
      </c>
      <c r="BP1189" t="s">
        <v>74</v>
      </c>
      <c r="BQ1189" t="s">
        <v>74</v>
      </c>
      <c r="BR1189" t="s">
        <v>105</v>
      </c>
      <c r="BS1189" t="s">
        <v>22186</v>
      </c>
      <c r="BT1189" t="str">
        <f>HYPERLINK("https%3A%2F%2Fwww.webofscience.com%2Fwos%2Fwoscc%2Ffull-record%2FWOS:000214691100017","View Full Record in Web of Science")</f>
        <v>View Full Record in Web of Science</v>
      </c>
    </row>
    <row r="1190" spans="1:72" x14ac:dyDescent="0.25">
      <c r="A1190" t="s">
        <v>72</v>
      </c>
      <c r="B1190" t="s">
        <v>22187</v>
      </c>
      <c r="C1190" t="s">
        <v>74</v>
      </c>
      <c r="D1190" t="s">
        <v>74</v>
      </c>
      <c r="E1190" t="s">
        <v>74</v>
      </c>
      <c r="F1190" t="s">
        <v>22188</v>
      </c>
      <c r="G1190" t="s">
        <v>74</v>
      </c>
      <c r="H1190" t="s">
        <v>74</v>
      </c>
      <c r="I1190" t="s">
        <v>22189</v>
      </c>
      <c r="J1190" t="s">
        <v>288</v>
      </c>
      <c r="K1190" t="s">
        <v>74</v>
      </c>
      <c r="L1190" t="s">
        <v>74</v>
      </c>
      <c r="M1190" t="s">
        <v>78</v>
      </c>
      <c r="N1190" t="s">
        <v>79</v>
      </c>
      <c r="O1190" t="s">
        <v>74</v>
      </c>
      <c r="P1190" t="s">
        <v>74</v>
      </c>
      <c r="Q1190" t="s">
        <v>74</v>
      </c>
      <c r="R1190" t="s">
        <v>74</v>
      </c>
      <c r="S1190" t="s">
        <v>74</v>
      </c>
      <c r="T1190" t="s">
        <v>74</v>
      </c>
      <c r="U1190" t="s">
        <v>22190</v>
      </c>
      <c r="V1190" t="s">
        <v>22191</v>
      </c>
      <c r="W1190" t="s">
        <v>22192</v>
      </c>
      <c r="X1190" t="s">
        <v>22193</v>
      </c>
      <c r="Y1190" t="s">
        <v>22194</v>
      </c>
      <c r="Z1190" t="s">
        <v>22195</v>
      </c>
      <c r="AA1190" t="s">
        <v>22196</v>
      </c>
      <c r="AB1190" t="s">
        <v>22197</v>
      </c>
      <c r="AC1190" t="s">
        <v>74</v>
      </c>
      <c r="AD1190" t="s">
        <v>74</v>
      </c>
      <c r="AE1190" t="s">
        <v>74</v>
      </c>
      <c r="AF1190" t="s">
        <v>74</v>
      </c>
      <c r="AG1190">
        <v>56</v>
      </c>
      <c r="AH1190">
        <v>116</v>
      </c>
      <c r="AI1190">
        <v>132</v>
      </c>
      <c r="AJ1190">
        <v>1</v>
      </c>
      <c r="AK1190">
        <v>60</v>
      </c>
      <c r="AL1190" t="s">
        <v>367</v>
      </c>
      <c r="AM1190" t="s">
        <v>275</v>
      </c>
      <c r="AN1190" t="s">
        <v>368</v>
      </c>
      <c r="AO1190" t="s">
        <v>300</v>
      </c>
      <c r="AP1190" t="s">
        <v>301</v>
      </c>
      <c r="AQ1190" t="s">
        <v>74</v>
      </c>
      <c r="AR1190" t="s">
        <v>302</v>
      </c>
      <c r="AS1190" t="s">
        <v>303</v>
      </c>
      <c r="AT1190" t="s">
        <v>74</v>
      </c>
      <c r="AU1190">
        <v>2013</v>
      </c>
      <c r="AV1190">
        <v>2013</v>
      </c>
      <c r="AW1190" t="s">
        <v>74</v>
      </c>
      <c r="AX1190" t="s">
        <v>74</v>
      </c>
      <c r="AY1190" t="s">
        <v>74</v>
      </c>
      <c r="AZ1190" t="s">
        <v>74</v>
      </c>
      <c r="BA1190" t="s">
        <v>74</v>
      </c>
      <c r="BB1190" t="s">
        <v>74</v>
      </c>
      <c r="BC1190" t="s">
        <v>74</v>
      </c>
      <c r="BD1190">
        <v>153872</v>
      </c>
      <c r="BE1190" t="s">
        <v>22198</v>
      </c>
      <c r="BF1190" t="str">
        <f>HYPERLINK("http://dx.doi.org/10.1155/2013/153872","http://dx.doi.org/10.1155/2013/153872")</f>
        <v>http://dx.doi.org/10.1155/2013/153872</v>
      </c>
      <c r="BG1190" t="s">
        <v>74</v>
      </c>
      <c r="BH1190" t="s">
        <v>74</v>
      </c>
      <c r="BI1190">
        <v>8</v>
      </c>
      <c r="BJ1190" t="s">
        <v>306</v>
      </c>
      <c r="BK1190" t="s">
        <v>182</v>
      </c>
      <c r="BL1190" t="s">
        <v>307</v>
      </c>
      <c r="BM1190" t="s">
        <v>22199</v>
      </c>
      <c r="BN1190">
        <v>24350244</v>
      </c>
      <c r="BO1190" t="s">
        <v>19727</v>
      </c>
      <c r="BP1190" t="s">
        <v>74</v>
      </c>
      <c r="BQ1190" t="s">
        <v>74</v>
      </c>
      <c r="BR1190" t="s">
        <v>105</v>
      </c>
      <c r="BS1190" t="s">
        <v>22200</v>
      </c>
      <c r="BT1190" t="str">
        <f>HYPERLINK("https%3A%2F%2Fwww.webofscience.com%2Fwos%2Fwoscc%2Ffull-record%2FWOS:000327631100001","View Full Record in Web of Science")</f>
        <v>View Full Record in Web of Science</v>
      </c>
    </row>
    <row r="1191" spans="1:72" x14ac:dyDescent="0.25">
      <c r="A1191" t="s">
        <v>1531</v>
      </c>
      <c r="B1191" t="s">
        <v>1452</v>
      </c>
      <c r="C1191" t="s">
        <v>74</v>
      </c>
      <c r="D1191" t="s">
        <v>1533</v>
      </c>
      <c r="E1191" t="s">
        <v>74</v>
      </c>
      <c r="F1191" t="s">
        <v>1453</v>
      </c>
      <c r="G1191" t="s">
        <v>74</v>
      </c>
      <c r="H1191" t="s">
        <v>74</v>
      </c>
      <c r="I1191" t="s">
        <v>22201</v>
      </c>
      <c r="J1191" t="s">
        <v>1536</v>
      </c>
      <c r="K1191" t="s">
        <v>74</v>
      </c>
      <c r="L1191" t="s">
        <v>74</v>
      </c>
      <c r="M1191" t="s">
        <v>78</v>
      </c>
      <c r="N1191" t="s">
        <v>1537</v>
      </c>
      <c r="O1191" t="s">
        <v>74</v>
      </c>
      <c r="P1191" t="s">
        <v>74</v>
      </c>
      <c r="Q1191" t="s">
        <v>74</v>
      </c>
      <c r="R1191" t="s">
        <v>74</v>
      </c>
      <c r="S1191" t="s">
        <v>74</v>
      </c>
      <c r="T1191" t="s">
        <v>74</v>
      </c>
      <c r="U1191" t="s">
        <v>22202</v>
      </c>
      <c r="V1191" t="s">
        <v>22203</v>
      </c>
      <c r="W1191" t="s">
        <v>22204</v>
      </c>
      <c r="X1191" t="s">
        <v>1460</v>
      </c>
      <c r="Y1191" t="s">
        <v>22205</v>
      </c>
      <c r="Z1191" t="s">
        <v>74</v>
      </c>
      <c r="AA1191" t="s">
        <v>74</v>
      </c>
      <c r="AB1191" t="s">
        <v>74</v>
      </c>
      <c r="AC1191" t="s">
        <v>74</v>
      </c>
      <c r="AD1191" t="s">
        <v>74</v>
      </c>
      <c r="AE1191" t="s">
        <v>74</v>
      </c>
      <c r="AF1191" t="s">
        <v>74</v>
      </c>
      <c r="AG1191">
        <v>93</v>
      </c>
      <c r="AH1191">
        <v>0</v>
      </c>
      <c r="AI1191">
        <v>0</v>
      </c>
      <c r="AJ1191">
        <v>1</v>
      </c>
      <c r="AK1191">
        <v>15</v>
      </c>
      <c r="AL1191" t="s">
        <v>1545</v>
      </c>
      <c r="AM1191" t="s">
        <v>1546</v>
      </c>
      <c r="AN1191" t="s">
        <v>1547</v>
      </c>
      <c r="AO1191" t="s">
        <v>74</v>
      </c>
      <c r="AP1191" t="s">
        <v>74</v>
      </c>
      <c r="AQ1191" t="s">
        <v>1548</v>
      </c>
      <c r="AR1191" t="s">
        <v>74</v>
      </c>
      <c r="AS1191" t="s">
        <v>74</v>
      </c>
      <c r="AT1191" t="s">
        <v>74</v>
      </c>
      <c r="AU1191">
        <v>2013</v>
      </c>
      <c r="AV1191" t="s">
        <v>74</v>
      </c>
      <c r="AW1191" t="s">
        <v>74</v>
      </c>
      <c r="AX1191" t="s">
        <v>74</v>
      </c>
      <c r="AY1191" t="s">
        <v>74</v>
      </c>
      <c r="AZ1191" t="s">
        <v>74</v>
      </c>
      <c r="BA1191" t="s">
        <v>74</v>
      </c>
      <c r="BB1191">
        <v>351</v>
      </c>
      <c r="BC1191">
        <v>376</v>
      </c>
      <c r="BD1191" t="s">
        <v>74</v>
      </c>
      <c r="BE1191" t="s">
        <v>74</v>
      </c>
      <c r="BF1191" t="s">
        <v>74</v>
      </c>
      <c r="BG1191" t="s">
        <v>74</v>
      </c>
      <c r="BH1191" t="s">
        <v>74</v>
      </c>
      <c r="BI1191">
        <v>26</v>
      </c>
      <c r="BJ1191" t="s">
        <v>611</v>
      </c>
      <c r="BK1191" t="s">
        <v>1549</v>
      </c>
      <c r="BL1191" t="s">
        <v>612</v>
      </c>
      <c r="BM1191" t="s">
        <v>1550</v>
      </c>
      <c r="BN1191" t="s">
        <v>74</v>
      </c>
      <c r="BO1191" t="s">
        <v>74</v>
      </c>
      <c r="BP1191" t="s">
        <v>74</v>
      </c>
      <c r="BQ1191" t="s">
        <v>74</v>
      </c>
      <c r="BR1191" t="s">
        <v>105</v>
      </c>
      <c r="BS1191" t="s">
        <v>22206</v>
      </c>
      <c r="BT1191" t="str">
        <f>HYPERLINK("https%3A%2F%2Fwww.webofscience.com%2Fwos%2Fwoscc%2Ffull-record%2FWOS:000333469200023","View Full Record in Web of Science")</f>
        <v>View Full Record in Web of Science</v>
      </c>
    </row>
    <row r="1192" spans="1:72" x14ac:dyDescent="0.25">
      <c r="A1192" t="s">
        <v>72</v>
      </c>
      <c r="B1192" t="s">
        <v>22207</v>
      </c>
      <c r="C1192" t="s">
        <v>74</v>
      </c>
      <c r="D1192" t="s">
        <v>74</v>
      </c>
      <c r="E1192" t="s">
        <v>74</v>
      </c>
      <c r="F1192" t="s">
        <v>22208</v>
      </c>
      <c r="G1192" t="s">
        <v>74</v>
      </c>
      <c r="H1192" t="s">
        <v>74</v>
      </c>
      <c r="I1192" t="s">
        <v>22209</v>
      </c>
      <c r="J1192" t="s">
        <v>22210</v>
      </c>
      <c r="K1192" t="s">
        <v>74</v>
      </c>
      <c r="L1192" t="s">
        <v>74</v>
      </c>
      <c r="M1192" t="s">
        <v>78</v>
      </c>
      <c r="N1192" t="s">
        <v>79</v>
      </c>
      <c r="O1192" t="s">
        <v>74</v>
      </c>
      <c r="P1192" t="s">
        <v>74</v>
      </c>
      <c r="Q1192" t="s">
        <v>74</v>
      </c>
      <c r="R1192" t="s">
        <v>74</v>
      </c>
      <c r="S1192" t="s">
        <v>74</v>
      </c>
      <c r="T1192" t="s">
        <v>74</v>
      </c>
      <c r="U1192" t="s">
        <v>22211</v>
      </c>
      <c r="V1192" t="s">
        <v>22212</v>
      </c>
      <c r="W1192" t="s">
        <v>22213</v>
      </c>
      <c r="X1192" t="s">
        <v>22214</v>
      </c>
      <c r="Y1192" t="s">
        <v>22215</v>
      </c>
      <c r="Z1192" t="s">
        <v>22216</v>
      </c>
      <c r="AA1192" t="s">
        <v>22217</v>
      </c>
      <c r="AB1192" t="s">
        <v>22218</v>
      </c>
      <c r="AC1192" t="s">
        <v>74</v>
      </c>
      <c r="AD1192" t="s">
        <v>74</v>
      </c>
      <c r="AE1192" t="s">
        <v>74</v>
      </c>
      <c r="AF1192" t="s">
        <v>74</v>
      </c>
      <c r="AG1192">
        <v>160</v>
      </c>
      <c r="AH1192">
        <v>41</v>
      </c>
      <c r="AI1192">
        <v>45</v>
      </c>
      <c r="AJ1192">
        <v>0</v>
      </c>
      <c r="AK1192">
        <v>10</v>
      </c>
      <c r="AL1192" t="s">
        <v>367</v>
      </c>
      <c r="AM1192" t="s">
        <v>275</v>
      </c>
      <c r="AN1192" t="s">
        <v>368</v>
      </c>
      <c r="AO1192" t="s">
        <v>22219</v>
      </c>
      <c r="AP1192" t="s">
        <v>22220</v>
      </c>
      <c r="AQ1192" t="s">
        <v>74</v>
      </c>
      <c r="AR1192" t="s">
        <v>22221</v>
      </c>
      <c r="AS1192" t="s">
        <v>22222</v>
      </c>
      <c r="AT1192" t="s">
        <v>74</v>
      </c>
      <c r="AU1192">
        <v>2013</v>
      </c>
      <c r="AV1192">
        <v>2013</v>
      </c>
      <c r="AW1192" t="s">
        <v>74</v>
      </c>
      <c r="AX1192" t="s">
        <v>74</v>
      </c>
      <c r="AY1192" t="s">
        <v>74</v>
      </c>
      <c r="AZ1192" t="s">
        <v>74</v>
      </c>
      <c r="BA1192" t="s">
        <v>74</v>
      </c>
      <c r="BB1192" t="s">
        <v>74</v>
      </c>
      <c r="BC1192" t="s">
        <v>74</v>
      </c>
      <c r="BD1192">
        <v>586138</v>
      </c>
      <c r="BE1192" t="s">
        <v>22223</v>
      </c>
      <c r="BF1192" t="str">
        <f>HYPERLINK("http://dx.doi.org/10.1155/2013/586138","http://dx.doi.org/10.1155/2013/586138")</f>
        <v>http://dx.doi.org/10.1155/2013/586138</v>
      </c>
      <c r="BG1192" t="s">
        <v>74</v>
      </c>
      <c r="BH1192" t="s">
        <v>74</v>
      </c>
      <c r="BI1192">
        <v>15</v>
      </c>
      <c r="BJ1192" t="s">
        <v>22006</v>
      </c>
      <c r="BK1192" t="s">
        <v>182</v>
      </c>
      <c r="BL1192" t="s">
        <v>22007</v>
      </c>
      <c r="BM1192" t="s">
        <v>22224</v>
      </c>
      <c r="BN1192">
        <v>24382952</v>
      </c>
      <c r="BO1192" t="s">
        <v>662</v>
      </c>
      <c r="BP1192" t="s">
        <v>74</v>
      </c>
      <c r="BQ1192" t="s">
        <v>74</v>
      </c>
      <c r="BR1192" t="s">
        <v>105</v>
      </c>
      <c r="BS1192" t="s">
        <v>22225</v>
      </c>
      <c r="BT1192" t="str">
        <f>HYPERLINK("https%3A%2F%2Fwww.webofscience.com%2Fwos%2Fwoscc%2Ffull-record%2FWOS:000334110500001","View Full Record in Web of Science")</f>
        <v>View Full Record in Web of Science</v>
      </c>
    </row>
    <row r="1193" spans="1:72" x14ac:dyDescent="0.25">
      <c r="A1193" t="s">
        <v>72</v>
      </c>
      <c r="B1193" t="s">
        <v>22226</v>
      </c>
      <c r="C1193" t="s">
        <v>74</v>
      </c>
      <c r="D1193" t="s">
        <v>74</v>
      </c>
      <c r="E1193" t="s">
        <v>74</v>
      </c>
      <c r="F1193" t="s">
        <v>22227</v>
      </c>
      <c r="G1193" t="s">
        <v>74</v>
      </c>
      <c r="H1193" t="s">
        <v>74</v>
      </c>
      <c r="I1193" t="s">
        <v>22228</v>
      </c>
      <c r="J1193" t="s">
        <v>22229</v>
      </c>
      <c r="K1193" t="s">
        <v>74</v>
      </c>
      <c r="L1193" t="s">
        <v>74</v>
      </c>
      <c r="M1193" t="s">
        <v>78</v>
      </c>
      <c r="N1193" t="s">
        <v>79</v>
      </c>
      <c r="O1193" t="s">
        <v>74</v>
      </c>
      <c r="P1193" t="s">
        <v>74</v>
      </c>
      <c r="Q1193" t="s">
        <v>74</v>
      </c>
      <c r="R1193" t="s">
        <v>74</v>
      </c>
      <c r="S1193" t="s">
        <v>74</v>
      </c>
      <c r="T1193" t="s">
        <v>74</v>
      </c>
      <c r="U1193" t="s">
        <v>22230</v>
      </c>
      <c r="V1193" t="s">
        <v>22231</v>
      </c>
      <c r="W1193" t="s">
        <v>22232</v>
      </c>
      <c r="X1193" t="s">
        <v>7327</v>
      </c>
      <c r="Y1193" t="s">
        <v>22233</v>
      </c>
      <c r="Z1193" t="s">
        <v>22234</v>
      </c>
      <c r="AA1193" t="s">
        <v>74</v>
      </c>
      <c r="AB1193" t="s">
        <v>22235</v>
      </c>
      <c r="AC1193" t="s">
        <v>22236</v>
      </c>
      <c r="AD1193" t="s">
        <v>22237</v>
      </c>
      <c r="AE1193" t="s">
        <v>22238</v>
      </c>
      <c r="AF1193" t="s">
        <v>74</v>
      </c>
      <c r="AG1193">
        <v>174</v>
      </c>
      <c r="AH1193">
        <v>214</v>
      </c>
      <c r="AI1193">
        <v>244</v>
      </c>
      <c r="AJ1193">
        <v>2</v>
      </c>
      <c r="AK1193">
        <v>25</v>
      </c>
      <c r="AL1193" t="s">
        <v>367</v>
      </c>
      <c r="AM1193" t="s">
        <v>275</v>
      </c>
      <c r="AN1193" t="s">
        <v>368</v>
      </c>
      <c r="AO1193" t="s">
        <v>22239</v>
      </c>
      <c r="AP1193" t="s">
        <v>22240</v>
      </c>
      <c r="AQ1193" t="s">
        <v>74</v>
      </c>
      <c r="AR1193" t="s">
        <v>22241</v>
      </c>
      <c r="AS1193" t="s">
        <v>22242</v>
      </c>
      <c r="AT1193" t="s">
        <v>74</v>
      </c>
      <c r="AU1193">
        <v>2013</v>
      </c>
      <c r="AV1193">
        <v>2013</v>
      </c>
      <c r="AW1193" t="s">
        <v>74</v>
      </c>
      <c r="AX1193" t="s">
        <v>74</v>
      </c>
      <c r="AY1193" t="s">
        <v>74</v>
      </c>
      <c r="AZ1193" t="s">
        <v>74</v>
      </c>
      <c r="BA1193" t="s">
        <v>74</v>
      </c>
      <c r="BB1193" t="s">
        <v>74</v>
      </c>
      <c r="BC1193" t="s">
        <v>74</v>
      </c>
      <c r="BD1193">
        <v>128641</v>
      </c>
      <c r="BE1193" t="s">
        <v>22243</v>
      </c>
      <c r="BF1193" t="str">
        <f>HYPERLINK("http://dx.doi.org/10.1155/2013/128641","http://dx.doi.org/10.1155/2013/128641")</f>
        <v>http://dx.doi.org/10.1155/2013/128641</v>
      </c>
      <c r="BG1193" t="s">
        <v>74</v>
      </c>
      <c r="BH1193" t="s">
        <v>74</v>
      </c>
      <c r="BI1193">
        <v>13</v>
      </c>
      <c r="BJ1193" t="s">
        <v>6169</v>
      </c>
      <c r="BK1193" t="s">
        <v>155</v>
      </c>
      <c r="BL1193" t="s">
        <v>4951</v>
      </c>
      <c r="BM1193" t="s">
        <v>22244</v>
      </c>
      <c r="BN1193">
        <v>23738231</v>
      </c>
      <c r="BO1193" t="s">
        <v>4568</v>
      </c>
      <c r="BP1193" t="s">
        <v>74</v>
      </c>
      <c r="BQ1193" t="s">
        <v>74</v>
      </c>
      <c r="BR1193" t="s">
        <v>105</v>
      </c>
      <c r="BS1193" t="s">
        <v>22245</v>
      </c>
      <c r="BT1193" t="str">
        <f>HYPERLINK("https%3A%2F%2Fwww.webofscience.com%2Fwos%2Fwoscc%2Ffull-record%2FWOS:000214698700002","View Full Record in Web of Science")</f>
        <v>View Full Record in Web of Science</v>
      </c>
    </row>
    <row r="1194" spans="1:72" x14ac:dyDescent="0.25">
      <c r="A1194" t="s">
        <v>72</v>
      </c>
      <c r="B1194" t="s">
        <v>22246</v>
      </c>
      <c r="C1194" t="s">
        <v>74</v>
      </c>
      <c r="D1194" t="s">
        <v>74</v>
      </c>
      <c r="E1194" t="s">
        <v>74</v>
      </c>
      <c r="F1194" t="s">
        <v>22247</v>
      </c>
      <c r="G1194" t="s">
        <v>74</v>
      </c>
      <c r="H1194" t="s">
        <v>74</v>
      </c>
      <c r="I1194" t="s">
        <v>22248</v>
      </c>
      <c r="J1194" t="s">
        <v>382</v>
      </c>
      <c r="K1194" t="s">
        <v>74</v>
      </c>
      <c r="L1194" t="s">
        <v>74</v>
      </c>
      <c r="M1194" t="s">
        <v>78</v>
      </c>
      <c r="N1194" t="s">
        <v>79</v>
      </c>
      <c r="O1194" t="s">
        <v>74</v>
      </c>
      <c r="P1194" t="s">
        <v>74</v>
      </c>
      <c r="Q1194" t="s">
        <v>74</v>
      </c>
      <c r="R1194" t="s">
        <v>74</v>
      </c>
      <c r="S1194" t="s">
        <v>74</v>
      </c>
      <c r="T1194" t="s">
        <v>22249</v>
      </c>
      <c r="U1194" t="s">
        <v>74</v>
      </c>
      <c r="V1194" t="s">
        <v>22250</v>
      </c>
      <c r="W1194" t="s">
        <v>22251</v>
      </c>
      <c r="X1194" t="s">
        <v>22252</v>
      </c>
      <c r="Y1194" t="s">
        <v>22253</v>
      </c>
      <c r="Z1194" t="s">
        <v>22254</v>
      </c>
      <c r="AA1194" t="s">
        <v>22255</v>
      </c>
      <c r="AB1194" t="s">
        <v>22256</v>
      </c>
      <c r="AC1194" t="s">
        <v>22257</v>
      </c>
      <c r="AD1194" t="s">
        <v>22258</v>
      </c>
      <c r="AE1194" t="s">
        <v>22259</v>
      </c>
      <c r="AF1194" t="s">
        <v>74</v>
      </c>
      <c r="AG1194">
        <v>119</v>
      </c>
      <c r="AH1194">
        <v>78</v>
      </c>
      <c r="AI1194">
        <v>83</v>
      </c>
      <c r="AJ1194">
        <v>0</v>
      </c>
      <c r="AK1194">
        <v>14</v>
      </c>
      <c r="AL1194" t="s">
        <v>392</v>
      </c>
      <c r="AM1194" t="s">
        <v>393</v>
      </c>
      <c r="AN1194" t="s">
        <v>394</v>
      </c>
      <c r="AO1194" t="s">
        <v>395</v>
      </c>
      <c r="AP1194" t="s">
        <v>74</v>
      </c>
      <c r="AQ1194" t="s">
        <v>74</v>
      </c>
      <c r="AR1194" t="s">
        <v>396</v>
      </c>
      <c r="AS1194" t="s">
        <v>397</v>
      </c>
      <c r="AT1194" t="s">
        <v>74</v>
      </c>
      <c r="AU1194">
        <v>2013</v>
      </c>
      <c r="AV1194">
        <v>4</v>
      </c>
      <c r="AW1194" t="s">
        <v>74</v>
      </c>
      <c r="AX1194" t="s">
        <v>74</v>
      </c>
      <c r="AY1194" t="s">
        <v>74</v>
      </c>
      <c r="AZ1194" t="s">
        <v>74</v>
      </c>
      <c r="BA1194" t="s">
        <v>74</v>
      </c>
      <c r="BB1194" t="s">
        <v>74</v>
      </c>
      <c r="BC1194" t="s">
        <v>74</v>
      </c>
      <c r="BD1194">
        <v>184</v>
      </c>
      <c r="BE1194" t="s">
        <v>22260</v>
      </c>
      <c r="BF1194" t="str">
        <f>HYPERLINK("http://dx.doi.org/10.3389/fneur.2013.00184","http://dx.doi.org/10.3389/fneur.2013.00184")</f>
        <v>http://dx.doi.org/10.3389/fneur.2013.00184</v>
      </c>
      <c r="BG1194" t="s">
        <v>74</v>
      </c>
      <c r="BH1194" t="s">
        <v>74</v>
      </c>
      <c r="BI1194">
        <v>11</v>
      </c>
      <c r="BJ1194" t="s">
        <v>400</v>
      </c>
      <c r="BK1194" t="s">
        <v>182</v>
      </c>
      <c r="BL1194" t="s">
        <v>375</v>
      </c>
      <c r="BM1194" t="s">
        <v>22261</v>
      </c>
      <c r="BN1194">
        <v>24312073</v>
      </c>
      <c r="BO1194" t="s">
        <v>19466</v>
      </c>
      <c r="BP1194" t="s">
        <v>74</v>
      </c>
      <c r="BQ1194" t="s">
        <v>74</v>
      </c>
      <c r="BR1194" t="s">
        <v>105</v>
      </c>
      <c r="BS1194" t="s">
        <v>22262</v>
      </c>
      <c r="BT1194" t="str">
        <f>HYPERLINK("https%3A%2F%2Fwww.webofscience.com%2Fwos%2Fwoscc%2Ffull-record%2FWOS:000209629000180","View Full Record in Web of Science")</f>
        <v>View Full Record in Web of Science</v>
      </c>
    </row>
    <row r="1195" spans="1:72" x14ac:dyDescent="0.25">
      <c r="A1195" t="s">
        <v>72</v>
      </c>
      <c r="B1195" t="s">
        <v>22263</v>
      </c>
      <c r="C1195" t="s">
        <v>74</v>
      </c>
      <c r="D1195" t="s">
        <v>74</v>
      </c>
      <c r="E1195" t="s">
        <v>74</v>
      </c>
      <c r="F1195" t="s">
        <v>22264</v>
      </c>
      <c r="G1195" t="s">
        <v>74</v>
      </c>
      <c r="H1195" t="s">
        <v>74</v>
      </c>
      <c r="I1195" t="s">
        <v>22265</v>
      </c>
      <c r="J1195" t="s">
        <v>16706</v>
      </c>
      <c r="K1195" t="s">
        <v>74</v>
      </c>
      <c r="L1195" t="s">
        <v>74</v>
      </c>
      <c r="M1195" t="s">
        <v>78</v>
      </c>
      <c r="N1195" t="s">
        <v>79</v>
      </c>
      <c r="O1195" t="s">
        <v>74</v>
      </c>
      <c r="P1195" t="s">
        <v>74</v>
      </c>
      <c r="Q1195" t="s">
        <v>74</v>
      </c>
      <c r="R1195" t="s">
        <v>74</v>
      </c>
      <c r="S1195" t="s">
        <v>74</v>
      </c>
      <c r="T1195" t="s">
        <v>22266</v>
      </c>
      <c r="U1195" t="s">
        <v>22267</v>
      </c>
      <c r="V1195" t="s">
        <v>22268</v>
      </c>
      <c r="W1195" t="s">
        <v>22269</v>
      </c>
      <c r="X1195" t="s">
        <v>12160</v>
      </c>
      <c r="Y1195" t="s">
        <v>22270</v>
      </c>
      <c r="Z1195" t="s">
        <v>22271</v>
      </c>
      <c r="AA1195" t="s">
        <v>22272</v>
      </c>
      <c r="AB1195" t="s">
        <v>22273</v>
      </c>
      <c r="AC1195" t="s">
        <v>22274</v>
      </c>
      <c r="AD1195" t="s">
        <v>74</v>
      </c>
      <c r="AE1195" t="s">
        <v>22275</v>
      </c>
      <c r="AF1195" t="s">
        <v>74</v>
      </c>
      <c r="AG1195">
        <v>82</v>
      </c>
      <c r="AH1195">
        <v>182</v>
      </c>
      <c r="AI1195">
        <v>206</v>
      </c>
      <c r="AJ1195">
        <v>3</v>
      </c>
      <c r="AK1195">
        <v>168</v>
      </c>
      <c r="AL1195" t="s">
        <v>1605</v>
      </c>
      <c r="AM1195" t="s">
        <v>1606</v>
      </c>
      <c r="AN1195" t="s">
        <v>1607</v>
      </c>
      <c r="AO1195" t="s">
        <v>16718</v>
      </c>
      <c r="AP1195" t="s">
        <v>74</v>
      </c>
      <c r="AQ1195" t="s">
        <v>74</v>
      </c>
      <c r="AR1195" t="s">
        <v>16719</v>
      </c>
      <c r="AS1195" t="s">
        <v>16720</v>
      </c>
      <c r="AT1195" t="s">
        <v>74</v>
      </c>
      <c r="AU1195">
        <v>2013</v>
      </c>
      <c r="AV1195">
        <v>33</v>
      </c>
      <c r="AW1195">
        <v>2</v>
      </c>
      <c r="AX1195" t="s">
        <v>74</v>
      </c>
      <c r="AY1195" t="s">
        <v>74</v>
      </c>
      <c r="AZ1195" t="s">
        <v>74</v>
      </c>
      <c r="BA1195" t="s">
        <v>74</v>
      </c>
      <c r="BB1195">
        <v>96</v>
      </c>
      <c r="BC1195">
        <v>105</v>
      </c>
      <c r="BD1195" t="s">
        <v>74</v>
      </c>
      <c r="BE1195" t="s">
        <v>22276</v>
      </c>
      <c r="BF1195" t="str">
        <f>HYPERLINK("http://dx.doi.org/10.1016/j.bbe.2013.03.005","http://dx.doi.org/10.1016/j.bbe.2013.03.005")</f>
        <v>http://dx.doi.org/10.1016/j.bbe.2013.03.005</v>
      </c>
      <c r="BG1195" t="s">
        <v>74</v>
      </c>
      <c r="BH1195" t="s">
        <v>74</v>
      </c>
      <c r="BI1195">
        <v>10</v>
      </c>
      <c r="BJ1195" t="s">
        <v>282</v>
      </c>
      <c r="BK1195" t="s">
        <v>182</v>
      </c>
      <c r="BL1195" t="s">
        <v>183</v>
      </c>
      <c r="BM1195" t="s">
        <v>22277</v>
      </c>
      <c r="BN1195" t="s">
        <v>74</v>
      </c>
      <c r="BO1195" t="s">
        <v>74</v>
      </c>
      <c r="BP1195" t="s">
        <v>74</v>
      </c>
      <c r="BQ1195" t="s">
        <v>74</v>
      </c>
      <c r="BR1195" t="s">
        <v>105</v>
      </c>
      <c r="BS1195" t="s">
        <v>22278</v>
      </c>
      <c r="BT1195" t="str">
        <f>HYPERLINK("https%3A%2F%2Fwww.webofscience.com%2Fwos%2Fwoscc%2Ffull-record%2FWOS:000321413700003","View Full Record in Web of Science")</f>
        <v>View Full Record in Web of Science</v>
      </c>
    </row>
    <row r="1196" spans="1:72" x14ac:dyDescent="0.25">
      <c r="A1196" t="s">
        <v>1531</v>
      </c>
      <c r="B1196" t="s">
        <v>22279</v>
      </c>
      <c r="C1196" t="s">
        <v>74</v>
      </c>
      <c r="D1196" t="s">
        <v>22280</v>
      </c>
      <c r="E1196" t="s">
        <v>74</v>
      </c>
      <c r="F1196" t="s">
        <v>22281</v>
      </c>
      <c r="G1196" t="s">
        <v>74</v>
      </c>
      <c r="H1196" t="s">
        <v>74</v>
      </c>
      <c r="I1196" t="s">
        <v>22282</v>
      </c>
      <c r="J1196" t="s">
        <v>22283</v>
      </c>
      <c r="K1196" t="s">
        <v>22284</v>
      </c>
      <c r="L1196" t="s">
        <v>74</v>
      </c>
      <c r="M1196" t="s">
        <v>78</v>
      </c>
      <c r="N1196" t="s">
        <v>1537</v>
      </c>
      <c r="O1196" t="s">
        <v>74</v>
      </c>
      <c r="P1196" t="s">
        <v>74</v>
      </c>
      <c r="Q1196" t="s">
        <v>74</v>
      </c>
      <c r="R1196" t="s">
        <v>74</v>
      </c>
      <c r="S1196" t="s">
        <v>74</v>
      </c>
      <c r="T1196" t="s">
        <v>22285</v>
      </c>
      <c r="U1196" t="s">
        <v>13400</v>
      </c>
      <c r="V1196" t="s">
        <v>22286</v>
      </c>
      <c r="W1196" t="s">
        <v>22287</v>
      </c>
      <c r="X1196" t="s">
        <v>22288</v>
      </c>
      <c r="Y1196" t="s">
        <v>22289</v>
      </c>
      <c r="Z1196" t="s">
        <v>74</v>
      </c>
      <c r="AA1196" t="s">
        <v>74</v>
      </c>
      <c r="AB1196" t="s">
        <v>74</v>
      </c>
      <c r="AC1196" t="s">
        <v>74</v>
      </c>
      <c r="AD1196" t="s">
        <v>74</v>
      </c>
      <c r="AE1196" t="s">
        <v>74</v>
      </c>
      <c r="AF1196" t="s">
        <v>74</v>
      </c>
      <c r="AG1196">
        <v>19</v>
      </c>
      <c r="AH1196">
        <v>0</v>
      </c>
      <c r="AI1196">
        <v>0</v>
      </c>
      <c r="AJ1196">
        <v>0</v>
      </c>
      <c r="AK1196">
        <v>8</v>
      </c>
      <c r="AL1196" t="s">
        <v>22290</v>
      </c>
      <c r="AM1196" t="s">
        <v>22291</v>
      </c>
      <c r="AN1196" t="s">
        <v>22292</v>
      </c>
      <c r="AO1196" t="s">
        <v>74</v>
      </c>
      <c r="AP1196" t="s">
        <v>74</v>
      </c>
      <c r="AQ1196" t="s">
        <v>22293</v>
      </c>
      <c r="AR1196" t="s">
        <v>22294</v>
      </c>
      <c r="AS1196" t="s">
        <v>22295</v>
      </c>
      <c r="AT1196" t="s">
        <v>74</v>
      </c>
      <c r="AU1196">
        <v>2013</v>
      </c>
      <c r="AV1196" t="s">
        <v>74</v>
      </c>
      <c r="AW1196" t="s">
        <v>74</v>
      </c>
      <c r="AX1196" t="s">
        <v>74</v>
      </c>
      <c r="AY1196" t="s">
        <v>74</v>
      </c>
      <c r="AZ1196" t="s">
        <v>74</v>
      </c>
      <c r="BA1196" t="s">
        <v>74</v>
      </c>
      <c r="BB1196">
        <v>649</v>
      </c>
      <c r="BC1196">
        <v>658</v>
      </c>
      <c r="BD1196" t="s">
        <v>74</v>
      </c>
      <c r="BE1196" t="s">
        <v>74</v>
      </c>
      <c r="BF1196" t="s">
        <v>74</v>
      </c>
      <c r="BG1196" t="s">
        <v>74</v>
      </c>
      <c r="BH1196" t="s">
        <v>74</v>
      </c>
      <c r="BI1196">
        <v>10</v>
      </c>
      <c r="BJ1196" t="s">
        <v>22296</v>
      </c>
      <c r="BK1196" t="s">
        <v>22297</v>
      </c>
      <c r="BL1196" t="s">
        <v>22298</v>
      </c>
      <c r="BM1196" t="s">
        <v>22299</v>
      </c>
      <c r="BN1196" t="s">
        <v>74</v>
      </c>
      <c r="BO1196" t="s">
        <v>74</v>
      </c>
      <c r="BP1196" t="s">
        <v>74</v>
      </c>
      <c r="BQ1196" t="s">
        <v>74</v>
      </c>
      <c r="BR1196" t="s">
        <v>105</v>
      </c>
      <c r="BS1196" t="s">
        <v>22300</v>
      </c>
      <c r="BT1196" t="str">
        <f>HYPERLINK("https%3A%2F%2Fwww.webofscience.com%2Fwos%2Fwoscc%2Ffull-record%2FWOS:000351774500071","View Full Record in Web of Science")</f>
        <v>View Full Record in Web of Science</v>
      </c>
    </row>
    <row r="1197" spans="1:72" x14ac:dyDescent="0.25">
      <c r="A1197" t="s">
        <v>72</v>
      </c>
      <c r="B1197" t="s">
        <v>22301</v>
      </c>
      <c r="C1197" t="s">
        <v>74</v>
      </c>
      <c r="D1197" t="s">
        <v>74</v>
      </c>
      <c r="E1197" t="s">
        <v>74</v>
      </c>
      <c r="F1197" t="s">
        <v>22302</v>
      </c>
      <c r="G1197" t="s">
        <v>74</v>
      </c>
      <c r="H1197" t="s">
        <v>74</v>
      </c>
      <c r="I1197" t="s">
        <v>22303</v>
      </c>
      <c r="J1197" t="s">
        <v>594</v>
      </c>
      <c r="K1197" t="s">
        <v>74</v>
      </c>
      <c r="L1197" t="s">
        <v>74</v>
      </c>
      <c r="M1197" t="s">
        <v>78</v>
      </c>
      <c r="N1197" t="s">
        <v>79</v>
      </c>
      <c r="O1197" t="s">
        <v>74</v>
      </c>
      <c r="P1197" t="s">
        <v>74</v>
      </c>
      <c r="Q1197" t="s">
        <v>74</v>
      </c>
      <c r="R1197" t="s">
        <v>74</v>
      </c>
      <c r="S1197" t="s">
        <v>74</v>
      </c>
      <c r="T1197" t="s">
        <v>74</v>
      </c>
      <c r="U1197" t="s">
        <v>22304</v>
      </c>
      <c r="V1197" t="s">
        <v>22305</v>
      </c>
      <c r="W1197" t="s">
        <v>22306</v>
      </c>
      <c r="X1197" t="s">
        <v>1013</v>
      </c>
      <c r="Y1197" t="s">
        <v>22307</v>
      </c>
      <c r="Z1197" t="s">
        <v>22308</v>
      </c>
      <c r="AA1197" t="s">
        <v>22309</v>
      </c>
      <c r="AB1197" t="s">
        <v>22310</v>
      </c>
      <c r="AC1197" t="s">
        <v>74</v>
      </c>
      <c r="AD1197" t="s">
        <v>74</v>
      </c>
      <c r="AE1197" t="s">
        <v>74</v>
      </c>
      <c r="AF1197" t="s">
        <v>74</v>
      </c>
      <c r="AG1197">
        <v>223</v>
      </c>
      <c r="AH1197">
        <v>177</v>
      </c>
      <c r="AI1197">
        <v>197</v>
      </c>
      <c r="AJ1197">
        <v>1</v>
      </c>
      <c r="AK1197">
        <v>80</v>
      </c>
      <c r="AL1197" t="s">
        <v>274</v>
      </c>
      <c r="AM1197" t="s">
        <v>275</v>
      </c>
      <c r="AN1197" t="s">
        <v>276</v>
      </c>
      <c r="AO1197" t="s">
        <v>74</v>
      </c>
      <c r="AP1197" t="s">
        <v>606</v>
      </c>
      <c r="AQ1197" t="s">
        <v>74</v>
      </c>
      <c r="AR1197" t="s">
        <v>607</v>
      </c>
      <c r="AS1197" t="s">
        <v>608</v>
      </c>
      <c r="AT1197" t="s">
        <v>22311</v>
      </c>
      <c r="AU1197">
        <v>2012</v>
      </c>
      <c r="AV1197">
        <v>9</v>
      </c>
      <c r="AW1197" t="s">
        <v>74</v>
      </c>
      <c r="AX1197" t="s">
        <v>74</v>
      </c>
      <c r="AY1197" t="s">
        <v>74</v>
      </c>
      <c r="AZ1197" t="s">
        <v>74</v>
      </c>
      <c r="BA1197" t="s">
        <v>74</v>
      </c>
      <c r="BB1197" t="s">
        <v>74</v>
      </c>
      <c r="BC1197" t="s">
        <v>74</v>
      </c>
      <c r="BD1197">
        <v>65</v>
      </c>
      <c r="BE1197" t="s">
        <v>22312</v>
      </c>
      <c r="BF1197" t="str">
        <f>HYPERLINK("http://dx.doi.org/10.1186/1743-0003-9-65","http://dx.doi.org/10.1186/1743-0003-9-65")</f>
        <v>http://dx.doi.org/10.1186/1743-0003-9-65</v>
      </c>
      <c r="BG1197" t="s">
        <v>74</v>
      </c>
      <c r="BH1197" t="s">
        <v>74</v>
      </c>
      <c r="BI1197">
        <v>13</v>
      </c>
      <c r="BJ1197" t="s">
        <v>611</v>
      </c>
      <c r="BK1197" t="s">
        <v>182</v>
      </c>
      <c r="BL1197" t="s">
        <v>612</v>
      </c>
      <c r="BM1197" t="s">
        <v>22313</v>
      </c>
      <c r="BN1197">
        <v>22953989</v>
      </c>
      <c r="BO1197" t="s">
        <v>131</v>
      </c>
      <c r="BP1197" t="s">
        <v>74</v>
      </c>
      <c r="BQ1197" t="s">
        <v>74</v>
      </c>
      <c r="BR1197" t="s">
        <v>105</v>
      </c>
      <c r="BS1197" t="s">
        <v>22314</v>
      </c>
      <c r="BT1197" t="str">
        <f>HYPERLINK("https%3A%2F%2Fwww.webofscience.com%2Fwos%2Fwoscc%2Ffull-record%2FWOS:000310270600001","View Full Record in Web of Science")</f>
        <v>View Full Record in Web of Science</v>
      </c>
    </row>
    <row r="1198" spans="1:72" x14ac:dyDescent="0.25">
      <c r="A1198" t="s">
        <v>72</v>
      </c>
      <c r="B1198" t="s">
        <v>22315</v>
      </c>
      <c r="C1198" t="s">
        <v>74</v>
      </c>
      <c r="D1198" t="s">
        <v>74</v>
      </c>
      <c r="E1198" t="s">
        <v>74</v>
      </c>
      <c r="F1198" t="s">
        <v>22316</v>
      </c>
      <c r="G1198" t="s">
        <v>74</v>
      </c>
      <c r="H1198" t="s">
        <v>74</v>
      </c>
      <c r="I1198" t="s">
        <v>22317</v>
      </c>
      <c r="J1198" t="s">
        <v>22318</v>
      </c>
      <c r="K1198" t="s">
        <v>74</v>
      </c>
      <c r="L1198" t="s">
        <v>74</v>
      </c>
      <c r="M1198" t="s">
        <v>1876</v>
      </c>
      <c r="N1198" t="s">
        <v>79</v>
      </c>
      <c r="O1198" t="s">
        <v>74</v>
      </c>
      <c r="P1198" t="s">
        <v>74</v>
      </c>
      <c r="Q1198" t="s">
        <v>74</v>
      </c>
      <c r="R1198" t="s">
        <v>74</v>
      </c>
      <c r="S1198" t="s">
        <v>74</v>
      </c>
      <c r="T1198" t="s">
        <v>22319</v>
      </c>
      <c r="U1198" t="s">
        <v>22320</v>
      </c>
      <c r="V1198" t="s">
        <v>22321</v>
      </c>
      <c r="W1198" t="s">
        <v>22322</v>
      </c>
      <c r="X1198" t="s">
        <v>74</v>
      </c>
      <c r="Y1198" t="s">
        <v>22323</v>
      </c>
      <c r="Z1198" t="s">
        <v>22324</v>
      </c>
      <c r="AA1198" t="s">
        <v>74</v>
      </c>
      <c r="AB1198" t="s">
        <v>74</v>
      </c>
      <c r="AC1198" t="s">
        <v>74</v>
      </c>
      <c r="AD1198" t="s">
        <v>74</v>
      </c>
      <c r="AE1198" t="s">
        <v>74</v>
      </c>
      <c r="AF1198" t="s">
        <v>74</v>
      </c>
      <c r="AG1198">
        <v>66</v>
      </c>
      <c r="AH1198">
        <v>15</v>
      </c>
      <c r="AI1198">
        <v>19</v>
      </c>
      <c r="AJ1198">
        <v>0</v>
      </c>
      <c r="AK1198">
        <v>69</v>
      </c>
      <c r="AL1198" t="s">
        <v>18491</v>
      </c>
      <c r="AM1198" t="s">
        <v>18492</v>
      </c>
      <c r="AN1198" t="s">
        <v>18493</v>
      </c>
      <c r="AO1198" t="s">
        <v>22325</v>
      </c>
      <c r="AP1198" t="s">
        <v>22326</v>
      </c>
      <c r="AQ1198" t="s">
        <v>74</v>
      </c>
      <c r="AR1198" t="s">
        <v>22327</v>
      </c>
      <c r="AS1198" t="s">
        <v>22328</v>
      </c>
      <c r="AT1198" t="s">
        <v>1734</v>
      </c>
      <c r="AU1198">
        <v>2012</v>
      </c>
      <c r="AV1198">
        <v>80</v>
      </c>
      <c r="AW1198">
        <v>7</v>
      </c>
      <c r="AX1198" t="s">
        <v>74</v>
      </c>
      <c r="AY1198" t="s">
        <v>74</v>
      </c>
      <c r="AZ1198" t="s">
        <v>74</v>
      </c>
      <c r="BA1198" t="s">
        <v>74</v>
      </c>
      <c r="BB1198">
        <v>388</v>
      </c>
      <c r="BC1198">
        <v>393</v>
      </c>
      <c r="BD1198" t="s">
        <v>74</v>
      </c>
      <c r="BE1198" t="s">
        <v>22329</v>
      </c>
      <c r="BF1198" t="str">
        <f>HYPERLINK("http://dx.doi.org/10.1055/s-0031-1299490","http://dx.doi.org/10.1055/s-0031-1299490")</f>
        <v>http://dx.doi.org/10.1055/s-0031-1299490</v>
      </c>
      <c r="BG1198" t="s">
        <v>74</v>
      </c>
      <c r="BH1198" t="s">
        <v>74</v>
      </c>
      <c r="BI1198">
        <v>6</v>
      </c>
      <c r="BJ1198" t="s">
        <v>1890</v>
      </c>
      <c r="BK1198" t="s">
        <v>182</v>
      </c>
      <c r="BL1198" t="s">
        <v>1891</v>
      </c>
      <c r="BM1198" t="s">
        <v>22330</v>
      </c>
      <c r="BN1198">
        <v>22760510</v>
      </c>
      <c r="BO1198" t="s">
        <v>74</v>
      </c>
      <c r="BP1198" t="s">
        <v>74</v>
      </c>
      <c r="BQ1198" t="s">
        <v>74</v>
      </c>
      <c r="BR1198" t="s">
        <v>105</v>
      </c>
      <c r="BS1198" t="s">
        <v>22331</v>
      </c>
      <c r="BT1198" t="str">
        <f>HYPERLINK("https%3A%2F%2Fwww.webofscience.com%2Fwos%2Fwoscc%2Ffull-record%2FWOS:000306390700010","View Full Record in Web of Science")</f>
        <v>View Full Record in Web of Science</v>
      </c>
    </row>
    <row r="1199" spans="1:72" x14ac:dyDescent="0.25">
      <c r="A1199" t="s">
        <v>72</v>
      </c>
      <c r="B1199" t="s">
        <v>22332</v>
      </c>
      <c r="C1199" t="s">
        <v>74</v>
      </c>
      <c r="D1199" t="s">
        <v>74</v>
      </c>
      <c r="E1199" t="s">
        <v>74</v>
      </c>
      <c r="F1199" t="s">
        <v>22333</v>
      </c>
      <c r="G1199" t="s">
        <v>74</v>
      </c>
      <c r="H1199" t="s">
        <v>74</v>
      </c>
      <c r="I1199" t="s">
        <v>22334</v>
      </c>
      <c r="J1199" t="s">
        <v>18410</v>
      </c>
      <c r="K1199" t="s">
        <v>74</v>
      </c>
      <c r="L1199" t="s">
        <v>74</v>
      </c>
      <c r="M1199" t="s">
        <v>78</v>
      </c>
      <c r="N1199" t="s">
        <v>79</v>
      </c>
      <c r="O1199" t="s">
        <v>74</v>
      </c>
      <c r="P1199" t="s">
        <v>74</v>
      </c>
      <c r="Q1199" t="s">
        <v>74</v>
      </c>
      <c r="R1199" t="s">
        <v>74</v>
      </c>
      <c r="S1199" t="s">
        <v>74</v>
      </c>
      <c r="T1199" t="s">
        <v>22335</v>
      </c>
      <c r="U1199" t="s">
        <v>22336</v>
      </c>
      <c r="V1199" t="s">
        <v>22337</v>
      </c>
      <c r="W1199" t="s">
        <v>22338</v>
      </c>
      <c r="X1199" t="s">
        <v>22339</v>
      </c>
      <c r="Y1199" t="s">
        <v>22340</v>
      </c>
      <c r="Z1199" t="s">
        <v>22341</v>
      </c>
      <c r="AA1199" t="s">
        <v>22342</v>
      </c>
      <c r="AB1199" t="s">
        <v>22343</v>
      </c>
      <c r="AC1199" t="s">
        <v>22344</v>
      </c>
      <c r="AD1199" t="s">
        <v>22344</v>
      </c>
      <c r="AE1199" t="s">
        <v>22345</v>
      </c>
      <c r="AF1199" t="s">
        <v>74</v>
      </c>
      <c r="AG1199">
        <v>54</v>
      </c>
      <c r="AH1199">
        <v>32</v>
      </c>
      <c r="AI1199">
        <v>34</v>
      </c>
      <c r="AJ1199">
        <v>0</v>
      </c>
      <c r="AK1199">
        <v>20</v>
      </c>
      <c r="AL1199" t="s">
        <v>346</v>
      </c>
      <c r="AM1199" t="s">
        <v>227</v>
      </c>
      <c r="AN1199" t="s">
        <v>347</v>
      </c>
      <c r="AO1199" t="s">
        <v>74</v>
      </c>
      <c r="AP1199" t="s">
        <v>18420</v>
      </c>
      <c r="AQ1199" t="s">
        <v>74</v>
      </c>
      <c r="AR1199" t="s">
        <v>18421</v>
      </c>
      <c r="AS1199" t="s">
        <v>18422</v>
      </c>
      <c r="AT1199" t="s">
        <v>1070</v>
      </c>
      <c r="AU1199">
        <v>2012</v>
      </c>
      <c r="AV1199">
        <v>10</v>
      </c>
      <c r="AW1199">
        <v>2</v>
      </c>
      <c r="AX1199" t="s">
        <v>74</v>
      </c>
      <c r="AY1199" t="s">
        <v>74</v>
      </c>
      <c r="AZ1199" t="s">
        <v>74</v>
      </c>
      <c r="BA1199" t="s">
        <v>74</v>
      </c>
      <c r="BB1199">
        <v>89</v>
      </c>
      <c r="BC1199">
        <v>102</v>
      </c>
      <c r="BD1199" t="s">
        <v>74</v>
      </c>
      <c r="BE1199" t="s">
        <v>22346</v>
      </c>
      <c r="BF1199" t="str">
        <f>HYPERLINK("http://dx.doi.org/10.1111/j.1744-1609.2012.00261.x","http://dx.doi.org/10.1111/j.1744-1609.2012.00261.x")</f>
        <v>http://dx.doi.org/10.1111/j.1744-1609.2012.00261.x</v>
      </c>
      <c r="BG1199" t="s">
        <v>74</v>
      </c>
      <c r="BH1199" t="s">
        <v>74</v>
      </c>
      <c r="BI1199">
        <v>14</v>
      </c>
      <c r="BJ1199" t="s">
        <v>18424</v>
      </c>
      <c r="BK1199" t="s">
        <v>155</v>
      </c>
      <c r="BL1199" t="s">
        <v>18425</v>
      </c>
      <c r="BM1199" t="s">
        <v>22347</v>
      </c>
      <c r="BN1199">
        <v>22672598</v>
      </c>
      <c r="BO1199" t="s">
        <v>74</v>
      </c>
      <c r="BP1199" t="s">
        <v>74</v>
      </c>
      <c r="BQ1199" t="s">
        <v>74</v>
      </c>
      <c r="BR1199" t="s">
        <v>105</v>
      </c>
      <c r="BS1199" t="s">
        <v>22348</v>
      </c>
      <c r="BT1199" t="str">
        <f>HYPERLINK("https%3A%2F%2Fwww.webofscience.com%2Fwos%2Fwoscc%2Ffull-record%2FWOS:000213378800002","View Full Record in Web of Science")</f>
        <v>View Full Record in Web of Science</v>
      </c>
    </row>
    <row r="1200" spans="1:72" x14ac:dyDescent="0.25">
      <c r="A1200" t="s">
        <v>72</v>
      </c>
      <c r="B1200" t="s">
        <v>22349</v>
      </c>
      <c r="C1200" t="s">
        <v>74</v>
      </c>
      <c r="D1200" t="s">
        <v>74</v>
      </c>
      <c r="E1200" t="s">
        <v>74</v>
      </c>
      <c r="F1200" t="s">
        <v>22350</v>
      </c>
      <c r="G1200" t="s">
        <v>74</v>
      </c>
      <c r="H1200" t="s">
        <v>74</v>
      </c>
      <c r="I1200" t="s">
        <v>22351</v>
      </c>
      <c r="J1200" t="s">
        <v>22352</v>
      </c>
      <c r="K1200" t="s">
        <v>74</v>
      </c>
      <c r="L1200" t="s">
        <v>74</v>
      </c>
      <c r="M1200" t="s">
        <v>78</v>
      </c>
      <c r="N1200" t="s">
        <v>79</v>
      </c>
      <c r="O1200" t="s">
        <v>74</v>
      </c>
      <c r="P1200" t="s">
        <v>74</v>
      </c>
      <c r="Q1200" t="s">
        <v>74</v>
      </c>
      <c r="R1200" t="s">
        <v>74</v>
      </c>
      <c r="S1200" t="s">
        <v>74</v>
      </c>
      <c r="T1200" t="s">
        <v>22353</v>
      </c>
      <c r="U1200" t="s">
        <v>74</v>
      </c>
      <c r="V1200" t="s">
        <v>22354</v>
      </c>
      <c r="W1200" t="s">
        <v>22355</v>
      </c>
      <c r="X1200" t="s">
        <v>22356</v>
      </c>
      <c r="Y1200" t="s">
        <v>22357</v>
      </c>
      <c r="Z1200" t="s">
        <v>22358</v>
      </c>
      <c r="AA1200" t="s">
        <v>22359</v>
      </c>
      <c r="AB1200" t="s">
        <v>22360</v>
      </c>
      <c r="AC1200" t="s">
        <v>22361</v>
      </c>
      <c r="AD1200" t="s">
        <v>3328</v>
      </c>
      <c r="AE1200" t="s">
        <v>22362</v>
      </c>
      <c r="AF1200" t="s">
        <v>74</v>
      </c>
      <c r="AG1200">
        <v>2</v>
      </c>
      <c r="AH1200">
        <v>0</v>
      </c>
      <c r="AI1200">
        <v>0</v>
      </c>
      <c r="AJ1200">
        <v>0</v>
      </c>
      <c r="AK1200">
        <v>0</v>
      </c>
      <c r="AL1200" t="s">
        <v>22363</v>
      </c>
      <c r="AM1200" t="s">
        <v>3039</v>
      </c>
      <c r="AN1200" t="s">
        <v>22364</v>
      </c>
      <c r="AO1200" t="s">
        <v>22365</v>
      </c>
      <c r="AP1200" t="s">
        <v>22366</v>
      </c>
      <c r="AQ1200" t="s">
        <v>74</v>
      </c>
      <c r="AR1200" t="s">
        <v>22367</v>
      </c>
      <c r="AS1200" t="s">
        <v>22368</v>
      </c>
      <c r="AT1200" t="s">
        <v>22369</v>
      </c>
      <c r="AU1200">
        <v>2012</v>
      </c>
      <c r="AV1200">
        <v>10</v>
      </c>
      <c r="AW1200" t="s">
        <v>74</v>
      </c>
      <c r="AX1200" t="s">
        <v>74</v>
      </c>
      <c r="AY1200" t="s">
        <v>74</v>
      </c>
      <c r="AZ1200" t="s">
        <v>74</v>
      </c>
      <c r="BA1200" t="s">
        <v>74</v>
      </c>
      <c r="BB1200">
        <v>42</v>
      </c>
      <c r="BC1200">
        <v>45</v>
      </c>
      <c r="BD1200" t="s">
        <v>74</v>
      </c>
      <c r="BE1200" t="s">
        <v>74</v>
      </c>
      <c r="BF1200" t="s">
        <v>74</v>
      </c>
      <c r="BG1200" t="s">
        <v>74</v>
      </c>
      <c r="BH1200" t="s">
        <v>74</v>
      </c>
      <c r="BI1200">
        <v>4</v>
      </c>
      <c r="BJ1200" t="s">
        <v>13035</v>
      </c>
      <c r="BK1200" t="s">
        <v>155</v>
      </c>
      <c r="BL1200" t="s">
        <v>6189</v>
      </c>
      <c r="BM1200" t="s">
        <v>22370</v>
      </c>
      <c r="BN1200" t="s">
        <v>74</v>
      </c>
      <c r="BO1200" t="s">
        <v>74</v>
      </c>
      <c r="BP1200" t="s">
        <v>74</v>
      </c>
      <c r="BQ1200" t="s">
        <v>74</v>
      </c>
      <c r="BR1200" t="s">
        <v>105</v>
      </c>
      <c r="BS1200" t="s">
        <v>22371</v>
      </c>
      <c r="BT1200" t="str">
        <f>HYPERLINK("https%3A%2F%2Fwww.webofscience.com%2Fwos%2Fwoscc%2Ffull-record%2FWOS:000216909700010","View Full Record in Web of Science")</f>
        <v>View Full Record in Web of Science</v>
      </c>
    </row>
    <row r="1201" spans="1:72" x14ac:dyDescent="0.25">
      <c r="A1201" t="s">
        <v>72</v>
      </c>
      <c r="B1201" t="s">
        <v>22372</v>
      </c>
      <c r="C1201" t="s">
        <v>74</v>
      </c>
      <c r="D1201" t="s">
        <v>74</v>
      </c>
      <c r="E1201" t="s">
        <v>74</v>
      </c>
      <c r="F1201" t="s">
        <v>22373</v>
      </c>
      <c r="G1201" t="s">
        <v>74</v>
      </c>
      <c r="H1201" t="s">
        <v>74</v>
      </c>
      <c r="I1201" t="s">
        <v>22374</v>
      </c>
      <c r="J1201" t="s">
        <v>3028</v>
      </c>
      <c r="K1201" t="s">
        <v>74</v>
      </c>
      <c r="L1201" t="s">
        <v>74</v>
      </c>
      <c r="M1201" t="s">
        <v>78</v>
      </c>
      <c r="N1201" t="s">
        <v>79</v>
      </c>
      <c r="O1201" t="s">
        <v>74</v>
      </c>
      <c r="P1201" t="s">
        <v>74</v>
      </c>
      <c r="Q1201" t="s">
        <v>74</v>
      </c>
      <c r="R1201" t="s">
        <v>74</v>
      </c>
      <c r="S1201" t="s">
        <v>74</v>
      </c>
      <c r="T1201" t="s">
        <v>22375</v>
      </c>
      <c r="U1201" t="s">
        <v>22376</v>
      </c>
      <c r="V1201" t="s">
        <v>22377</v>
      </c>
      <c r="W1201" t="s">
        <v>22378</v>
      </c>
      <c r="X1201" t="s">
        <v>22379</v>
      </c>
      <c r="Y1201" t="s">
        <v>22380</v>
      </c>
      <c r="Z1201" t="s">
        <v>21759</v>
      </c>
      <c r="AA1201" t="s">
        <v>74</v>
      </c>
      <c r="AB1201" t="s">
        <v>74</v>
      </c>
      <c r="AC1201" t="s">
        <v>22381</v>
      </c>
      <c r="AD1201" t="s">
        <v>22382</v>
      </c>
      <c r="AE1201" t="s">
        <v>22383</v>
      </c>
      <c r="AF1201" t="s">
        <v>74</v>
      </c>
      <c r="AG1201">
        <v>66</v>
      </c>
      <c r="AH1201">
        <v>42</v>
      </c>
      <c r="AI1201">
        <v>53</v>
      </c>
      <c r="AJ1201">
        <v>0</v>
      </c>
      <c r="AK1201">
        <v>26</v>
      </c>
      <c r="AL1201" t="s">
        <v>3038</v>
      </c>
      <c r="AM1201" t="s">
        <v>3039</v>
      </c>
      <c r="AN1201" t="s">
        <v>3040</v>
      </c>
      <c r="AO1201" t="s">
        <v>3041</v>
      </c>
      <c r="AP1201" t="s">
        <v>3042</v>
      </c>
      <c r="AQ1201" t="s">
        <v>74</v>
      </c>
      <c r="AR1201" t="s">
        <v>3043</v>
      </c>
      <c r="AS1201" t="s">
        <v>3044</v>
      </c>
      <c r="AT1201" t="s">
        <v>326</v>
      </c>
      <c r="AU1201">
        <v>2012</v>
      </c>
      <c r="AV1201">
        <v>235</v>
      </c>
      <c r="AW1201">
        <v>1</v>
      </c>
      <c r="AX1201" t="s">
        <v>74</v>
      </c>
      <c r="AY1201" t="s">
        <v>74</v>
      </c>
      <c r="AZ1201" t="s">
        <v>74</v>
      </c>
      <c r="BA1201" t="s">
        <v>74</v>
      </c>
      <c r="BB1201">
        <v>110</v>
      </c>
      <c r="BC1201">
        <v>115</v>
      </c>
      <c r="BD1201" t="s">
        <v>74</v>
      </c>
      <c r="BE1201" t="s">
        <v>22384</v>
      </c>
      <c r="BF1201" t="str">
        <f>HYPERLINK("http://dx.doi.org/10.1016/j.expneurol.2011.04.007","http://dx.doi.org/10.1016/j.expneurol.2011.04.007")</f>
        <v>http://dx.doi.org/10.1016/j.expneurol.2011.04.007</v>
      </c>
      <c r="BG1201" t="s">
        <v>74</v>
      </c>
      <c r="BH1201" t="s">
        <v>74</v>
      </c>
      <c r="BI1201">
        <v>6</v>
      </c>
      <c r="BJ1201" t="s">
        <v>374</v>
      </c>
      <c r="BK1201" t="s">
        <v>182</v>
      </c>
      <c r="BL1201" t="s">
        <v>375</v>
      </c>
      <c r="BM1201" t="s">
        <v>22385</v>
      </c>
      <c r="BN1201">
        <v>21530507</v>
      </c>
      <c r="BO1201" t="s">
        <v>74</v>
      </c>
      <c r="BP1201" t="s">
        <v>74</v>
      </c>
      <c r="BQ1201" t="s">
        <v>74</v>
      </c>
      <c r="BR1201" t="s">
        <v>105</v>
      </c>
      <c r="BS1201" t="s">
        <v>22386</v>
      </c>
      <c r="BT1201" t="str">
        <f>HYPERLINK("https%3A%2F%2Fwww.webofscience.com%2Fwos%2Fwoscc%2Ffull-record%2FWOS:000303430400012","View Full Record in Web of Science")</f>
        <v>View Full Record in Web of Science</v>
      </c>
    </row>
    <row r="1202" spans="1:72" x14ac:dyDescent="0.25">
      <c r="A1202" t="s">
        <v>72</v>
      </c>
      <c r="B1202" t="s">
        <v>22387</v>
      </c>
      <c r="C1202" t="s">
        <v>74</v>
      </c>
      <c r="D1202" t="s">
        <v>74</v>
      </c>
      <c r="E1202" t="s">
        <v>74</v>
      </c>
      <c r="F1202" t="s">
        <v>22388</v>
      </c>
      <c r="G1202" t="s">
        <v>74</v>
      </c>
      <c r="H1202" t="s">
        <v>74</v>
      </c>
      <c r="I1202" t="s">
        <v>22389</v>
      </c>
      <c r="J1202" t="s">
        <v>468</v>
      </c>
      <c r="K1202" t="s">
        <v>74</v>
      </c>
      <c r="L1202" t="s">
        <v>74</v>
      </c>
      <c r="M1202" t="s">
        <v>78</v>
      </c>
      <c r="N1202" t="s">
        <v>79</v>
      </c>
      <c r="O1202" t="s">
        <v>74</v>
      </c>
      <c r="P1202" t="s">
        <v>74</v>
      </c>
      <c r="Q1202" t="s">
        <v>74</v>
      </c>
      <c r="R1202" t="s">
        <v>74</v>
      </c>
      <c r="S1202" t="s">
        <v>74</v>
      </c>
      <c r="T1202" t="s">
        <v>22390</v>
      </c>
      <c r="U1202" t="s">
        <v>22391</v>
      </c>
      <c r="V1202" t="s">
        <v>22392</v>
      </c>
      <c r="W1202" t="s">
        <v>22393</v>
      </c>
      <c r="X1202" t="s">
        <v>22394</v>
      </c>
      <c r="Y1202" t="s">
        <v>22395</v>
      </c>
      <c r="Z1202" t="s">
        <v>22396</v>
      </c>
      <c r="AA1202" t="s">
        <v>22397</v>
      </c>
      <c r="AB1202" t="s">
        <v>22398</v>
      </c>
      <c r="AC1202" t="s">
        <v>22399</v>
      </c>
      <c r="AD1202" t="s">
        <v>19059</v>
      </c>
      <c r="AE1202" t="s">
        <v>22400</v>
      </c>
      <c r="AF1202" t="s">
        <v>74</v>
      </c>
      <c r="AG1202">
        <v>67</v>
      </c>
      <c r="AH1202">
        <v>14</v>
      </c>
      <c r="AI1202">
        <v>16</v>
      </c>
      <c r="AJ1202">
        <v>0</v>
      </c>
      <c r="AK1202">
        <v>44</v>
      </c>
      <c r="AL1202" t="s">
        <v>480</v>
      </c>
      <c r="AM1202" t="s">
        <v>481</v>
      </c>
      <c r="AN1202" t="s">
        <v>482</v>
      </c>
      <c r="AO1202" t="s">
        <v>483</v>
      </c>
      <c r="AP1202" t="s">
        <v>484</v>
      </c>
      <c r="AQ1202" t="s">
        <v>74</v>
      </c>
      <c r="AR1202" t="s">
        <v>485</v>
      </c>
      <c r="AS1202" t="s">
        <v>486</v>
      </c>
      <c r="AT1202" t="s">
        <v>487</v>
      </c>
      <c r="AU1202">
        <v>2012</v>
      </c>
      <c r="AV1202">
        <v>44</v>
      </c>
      <c r="AW1202">
        <v>4</v>
      </c>
      <c r="AX1202" t="s">
        <v>74</v>
      </c>
      <c r="AY1202" t="s">
        <v>74</v>
      </c>
      <c r="AZ1202" t="s">
        <v>74</v>
      </c>
      <c r="BA1202" t="s">
        <v>74</v>
      </c>
      <c r="BB1202">
        <v>299</v>
      </c>
      <c r="BC1202">
        <v>309</v>
      </c>
      <c r="BD1202" t="s">
        <v>74</v>
      </c>
      <c r="BE1202" t="s">
        <v>22401</v>
      </c>
      <c r="BF1202" t="str">
        <f>HYPERLINK("http://dx.doi.org/10.2340/16501977-0958","http://dx.doi.org/10.2340/16501977-0958")</f>
        <v>http://dx.doi.org/10.2340/16501977-0958</v>
      </c>
      <c r="BG1202" t="s">
        <v>74</v>
      </c>
      <c r="BH1202" t="s">
        <v>74</v>
      </c>
      <c r="BI1202">
        <v>11</v>
      </c>
      <c r="BJ1202" t="s">
        <v>236</v>
      </c>
      <c r="BK1202" t="s">
        <v>182</v>
      </c>
      <c r="BL1202" t="s">
        <v>236</v>
      </c>
      <c r="BM1202" t="s">
        <v>22402</v>
      </c>
      <c r="BN1202">
        <v>22453771</v>
      </c>
      <c r="BO1202" t="s">
        <v>185</v>
      </c>
      <c r="BP1202" t="s">
        <v>74</v>
      </c>
      <c r="BQ1202" t="s">
        <v>74</v>
      </c>
      <c r="BR1202" t="s">
        <v>105</v>
      </c>
      <c r="BS1202" t="s">
        <v>22403</v>
      </c>
      <c r="BT1202" t="str">
        <f>HYPERLINK("https%3A%2F%2Fwww.webofscience.com%2Fwos%2Fwoscc%2Ffull-record%2FWOS:000303850800002","View Full Record in Web of Science")</f>
        <v>View Full Record in Web of Science</v>
      </c>
    </row>
    <row r="1203" spans="1:72" x14ac:dyDescent="0.25">
      <c r="A1203" t="s">
        <v>72</v>
      </c>
      <c r="B1203" t="s">
        <v>22404</v>
      </c>
      <c r="C1203" t="s">
        <v>74</v>
      </c>
      <c r="D1203" t="s">
        <v>74</v>
      </c>
      <c r="E1203" t="s">
        <v>74</v>
      </c>
      <c r="F1203" t="s">
        <v>22405</v>
      </c>
      <c r="G1203" t="s">
        <v>74</v>
      </c>
      <c r="H1203" t="s">
        <v>74</v>
      </c>
      <c r="I1203" t="s">
        <v>22406</v>
      </c>
      <c r="J1203" t="s">
        <v>1674</v>
      </c>
      <c r="K1203" t="s">
        <v>74</v>
      </c>
      <c r="L1203" t="s">
        <v>74</v>
      </c>
      <c r="M1203" t="s">
        <v>78</v>
      </c>
      <c r="N1203" t="s">
        <v>79</v>
      </c>
      <c r="O1203" t="s">
        <v>74</v>
      </c>
      <c r="P1203" t="s">
        <v>74</v>
      </c>
      <c r="Q1203" t="s">
        <v>74</v>
      </c>
      <c r="R1203" t="s">
        <v>74</v>
      </c>
      <c r="S1203" t="s">
        <v>74</v>
      </c>
      <c r="T1203" t="s">
        <v>22407</v>
      </c>
      <c r="U1203" t="s">
        <v>22408</v>
      </c>
      <c r="V1203" t="s">
        <v>22409</v>
      </c>
      <c r="W1203" t="s">
        <v>22410</v>
      </c>
      <c r="X1203" t="s">
        <v>21053</v>
      </c>
      <c r="Y1203" t="s">
        <v>22411</v>
      </c>
      <c r="Z1203" t="s">
        <v>22412</v>
      </c>
      <c r="AA1203" t="s">
        <v>2649</v>
      </c>
      <c r="AB1203" t="s">
        <v>2650</v>
      </c>
      <c r="AC1203" t="s">
        <v>22413</v>
      </c>
      <c r="AD1203" t="s">
        <v>22413</v>
      </c>
      <c r="AE1203" t="s">
        <v>22414</v>
      </c>
      <c r="AF1203" t="s">
        <v>74</v>
      </c>
      <c r="AG1203">
        <v>72</v>
      </c>
      <c r="AH1203">
        <v>388</v>
      </c>
      <c r="AI1203">
        <v>443</v>
      </c>
      <c r="AJ1203">
        <v>10</v>
      </c>
      <c r="AK1203">
        <v>294</v>
      </c>
      <c r="AL1203" t="s">
        <v>531</v>
      </c>
      <c r="AM1203" t="s">
        <v>2343</v>
      </c>
      <c r="AN1203" t="s">
        <v>2344</v>
      </c>
      <c r="AO1203" t="s">
        <v>1687</v>
      </c>
      <c r="AP1203" t="s">
        <v>1688</v>
      </c>
      <c r="AQ1203" t="s">
        <v>74</v>
      </c>
      <c r="AR1203" t="s">
        <v>1689</v>
      </c>
      <c r="AS1203" t="s">
        <v>1690</v>
      </c>
      <c r="AT1203" t="s">
        <v>487</v>
      </c>
      <c r="AU1203">
        <v>2012</v>
      </c>
      <c r="AV1203">
        <v>34</v>
      </c>
      <c r="AW1203">
        <v>3</v>
      </c>
      <c r="AX1203" t="s">
        <v>74</v>
      </c>
      <c r="AY1203" t="s">
        <v>74</v>
      </c>
      <c r="AZ1203" t="s">
        <v>74</v>
      </c>
      <c r="BA1203" t="s">
        <v>74</v>
      </c>
      <c r="BB1203">
        <v>261</v>
      </c>
      <c r="BC1203">
        <v>268</v>
      </c>
      <c r="BD1203" t="s">
        <v>74</v>
      </c>
      <c r="BE1203" t="s">
        <v>22415</v>
      </c>
      <c r="BF1203" t="str">
        <f>HYPERLINK("http://dx.doi.org/10.1016/j.medengphy.2011.10.004","http://dx.doi.org/10.1016/j.medengphy.2011.10.004")</f>
        <v>http://dx.doi.org/10.1016/j.medengphy.2011.10.004</v>
      </c>
      <c r="BG1203" t="s">
        <v>74</v>
      </c>
      <c r="BH1203" t="s">
        <v>74</v>
      </c>
      <c r="BI1203">
        <v>8</v>
      </c>
      <c r="BJ1203" t="s">
        <v>282</v>
      </c>
      <c r="BK1203" t="s">
        <v>102</v>
      </c>
      <c r="BL1203" t="s">
        <v>183</v>
      </c>
      <c r="BM1203" t="s">
        <v>22416</v>
      </c>
      <c r="BN1203">
        <v>22051085</v>
      </c>
      <c r="BO1203" t="s">
        <v>74</v>
      </c>
      <c r="BP1203" t="s">
        <v>74</v>
      </c>
      <c r="BQ1203" t="s">
        <v>74</v>
      </c>
      <c r="BR1203" t="s">
        <v>105</v>
      </c>
      <c r="BS1203" t="s">
        <v>22417</v>
      </c>
      <c r="BT1203" t="str">
        <f>HYPERLINK("https%3A%2F%2Fwww.webofscience.com%2Fwos%2Fwoscc%2Ffull-record%2FWOS:000302449300001","View Full Record in Web of Science")</f>
        <v>View Full Record in Web of Science</v>
      </c>
    </row>
    <row r="1204" spans="1:72" x14ac:dyDescent="0.25">
      <c r="A1204" t="s">
        <v>72</v>
      </c>
      <c r="B1204" t="s">
        <v>22418</v>
      </c>
      <c r="C1204" t="s">
        <v>74</v>
      </c>
      <c r="D1204" t="s">
        <v>74</v>
      </c>
      <c r="E1204" t="s">
        <v>74</v>
      </c>
      <c r="F1204" t="s">
        <v>22419</v>
      </c>
      <c r="G1204" t="s">
        <v>74</v>
      </c>
      <c r="H1204" t="s">
        <v>74</v>
      </c>
      <c r="I1204" t="s">
        <v>22420</v>
      </c>
      <c r="J1204" t="s">
        <v>468</v>
      </c>
      <c r="K1204" t="s">
        <v>74</v>
      </c>
      <c r="L1204" t="s">
        <v>74</v>
      </c>
      <c r="M1204" t="s">
        <v>78</v>
      </c>
      <c r="N1204" t="s">
        <v>79</v>
      </c>
      <c r="O1204" t="s">
        <v>74</v>
      </c>
      <c r="P1204" t="s">
        <v>74</v>
      </c>
      <c r="Q1204" t="s">
        <v>74</v>
      </c>
      <c r="R1204" t="s">
        <v>74</v>
      </c>
      <c r="S1204" t="s">
        <v>74</v>
      </c>
      <c r="T1204" t="s">
        <v>22421</v>
      </c>
      <c r="U1204" t="s">
        <v>22422</v>
      </c>
      <c r="V1204" t="s">
        <v>22423</v>
      </c>
      <c r="W1204" t="s">
        <v>22424</v>
      </c>
      <c r="X1204" t="s">
        <v>74</v>
      </c>
      <c r="Y1204" t="s">
        <v>22425</v>
      </c>
      <c r="Z1204" t="s">
        <v>3911</v>
      </c>
      <c r="AA1204" t="s">
        <v>74</v>
      </c>
      <c r="AB1204" t="s">
        <v>74</v>
      </c>
      <c r="AC1204" t="s">
        <v>74</v>
      </c>
      <c r="AD1204" t="s">
        <v>74</v>
      </c>
      <c r="AE1204" t="s">
        <v>74</v>
      </c>
      <c r="AF1204" t="s">
        <v>74</v>
      </c>
      <c r="AG1204">
        <v>38</v>
      </c>
      <c r="AH1204">
        <v>131</v>
      </c>
      <c r="AI1204">
        <v>148</v>
      </c>
      <c r="AJ1204">
        <v>3</v>
      </c>
      <c r="AK1204">
        <v>62</v>
      </c>
      <c r="AL1204" t="s">
        <v>480</v>
      </c>
      <c r="AM1204" t="s">
        <v>481</v>
      </c>
      <c r="AN1204" t="s">
        <v>482</v>
      </c>
      <c r="AO1204" t="s">
        <v>483</v>
      </c>
      <c r="AP1204" t="s">
        <v>484</v>
      </c>
      <c r="AQ1204" t="s">
        <v>74</v>
      </c>
      <c r="AR1204" t="s">
        <v>485</v>
      </c>
      <c r="AS1204" t="s">
        <v>486</v>
      </c>
      <c r="AT1204" t="s">
        <v>1471</v>
      </c>
      <c r="AU1204">
        <v>2012</v>
      </c>
      <c r="AV1204">
        <v>44</v>
      </c>
      <c r="AW1204">
        <v>3</v>
      </c>
      <c r="AX1204" t="s">
        <v>74</v>
      </c>
      <c r="AY1204" t="s">
        <v>74</v>
      </c>
      <c r="AZ1204" t="s">
        <v>74</v>
      </c>
      <c r="BA1204" t="s">
        <v>74</v>
      </c>
      <c r="BB1204">
        <v>193</v>
      </c>
      <c r="BC1204">
        <v>199</v>
      </c>
      <c r="BD1204" t="s">
        <v>74</v>
      </c>
      <c r="BE1204" t="s">
        <v>22426</v>
      </c>
      <c r="BF1204" t="str">
        <f>HYPERLINK("http://dx.doi.org/10.2340/16501977-0943","http://dx.doi.org/10.2340/16501977-0943")</f>
        <v>http://dx.doi.org/10.2340/16501977-0943</v>
      </c>
      <c r="BG1204" t="s">
        <v>74</v>
      </c>
      <c r="BH1204" t="s">
        <v>74</v>
      </c>
      <c r="BI1204">
        <v>7</v>
      </c>
      <c r="BJ1204" t="s">
        <v>236</v>
      </c>
      <c r="BK1204" t="s">
        <v>182</v>
      </c>
      <c r="BL1204" t="s">
        <v>236</v>
      </c>
      <c r="BM1204" t="s">
        <v>22427</v>
      </c>
      <c r="BN1204">
        <v>22378603</v>
      </c>
      <c r="BO1204" t="s">
        <v>2112</v>
      </c>
      <c r="BP1204" t="s">
        <v>74</v>
      </c>
      <c r="BQ1204" t="s">
        <v>74</v>
      </c>
      <c r="BR1204" t="s">
        <v>105</v>
      </c>
      <c r="BS1204" t="s">
        <v>22428</v>
      </c>
      <c r="BT1204" t="str">
        <f>HYPERLINK("https%3A%2F%2Fwww.webofscience.com%2Fwos%2Fwoscc%2Ffull-record%2FWOS:000305492600001","View Full Record in Web of Science")</f>
        <v>View Full Record in Web of Science</v>
      </c>
    </row>
    <row r="1205" spans="1:72" x14ac:dyDescent="0.25">
      <c r="A1205" t="s">
        <v>72</v>
      </c>
      <c r="B1205" t="s">
        <v>22429</v>
      </c>
      <c r="C1205" t="s">
        <v>74</v>
      </c>
      <c r="D1205" t="s">
        <v>74</v>
      </c>
      <c r="E1205" t="s">
        <v>74</v>
      </c>
      <c r="F1205" t="s">
        <v>22430</v>
      </c>
      <c r="G1205" t="s">
        <v>74</v>
      </c>
      <c r="H1205" t="s">
        <v>74</v>
      </c>
      <c r="I1205" t="s">
        <v>22431</v>
      </c>
      <c r="J1205" t="s">
        <v>190</v>
      </c>
      <c r="K1205" t="s">
        <v>74</v>
      </c>
      <c r="L1205" t="s">
        <v>74</v>
      </c>
      <c r="M1205" t="s">
        <v>78</v>
      </c>
      <c r="N1205" t="s">
        <v>79</v>
      </c>
      <c r="O1205" t="s">
        <v>74</v>
      </c>
      <c r="P1205" t="s">
        <v>74</v>
      </c>
      <c r="Q1205" t="s">
        <v>74</v>
      </c>
      <c r="R1205" t="s">
        <v>74</v>
      </c>
      <c r="S1205" t="s">
        <v>74</v>
      </c>
      <c r="T1205" t="s">
        <v>22432</v>
      </c>
      <c r="U1205" t="s">
        <v>22433</v>
      </c>
      <c r="V1205" t="s">
        <v>22434</v>
      </c>
      <c r="W1205" t="s">
        <v>22435</v>
      </c>
      <c r="X1205" t="s">
        <v>22436</v>
      </c>
      <c r="Y1205" t="s">
        <v>22437</v>
      </c>
      <c r="Z1205" t="s">
        <v>22438</v>
      </c>
      <c r="AA1205" t="s">
        <v>22439</v>
      </c>
      <c r="AB1205" t="s">
        <v>22440</v>
      </c>
      <c r="AC1205" t="s">
        <v>74</v>
      </c>
      <c r="AD1205" t="s">
        <v>74</v>
      </c>
      <c r="AE1205" t="s">
        <v>74</v>
      </c>
      <c r="AF1205" t="s">
        <v>74</v>
      </c>
      <c r="AG1205">
        <v>85</v>
      </c>
      <c r="AH1205">
        <v>142</v>
      </c>
      <c r="AI1205">
        <v>151</v>
      </c>
      <c r="AJ1205">
        <v>1</v>
      </c>
      <c r="AK1205">
        <v>87</v>
      </c>
      <c r="AL1205" t="s">
        <v>202</v>
      </c>
      <c r="AM1205" t="s">
        <v>203</v>
      </c>
      <c r="AN1205" t="s">
        <v>204</v>
      </c>
      <c r="AO1205" t="s">
        <v>205</v>
      </c>
      <c r="AP1205" t="s">
        <v>206</v>
      </c>
      <c r="AQ1205" t="s">
        <v>74</v>
      </c>
      <c r="AR1205" t="s">
        <v>207</v>
      </c>
      <c r="AS1205" t="s">
        <v>208</v>
      </c>
      <c r="AT1205" t="s">
        <v>1471</v>
      </c>
      <c r="AU1205">
        <v>2012</v>
      </c>
      <c r="AV1205">
        <v>48</v>
      </c>
      <c r="AW1205">
        <v>1</v>
      </c>
      <c r="AX1205" t="s">
        <v>74</v>
      </c>
      <c r="AY1205" t="s">
        <v>74</v>
      </c>
      <c r="AZ1205" t="s">
        <v>74</v>
      </c>
      <c r="BA1205" t="s">
        <v>74</v>
      </c>
      <c r="BB1205">
        <v>111</v>
      </c>
      <c r="BC1205">
        <v>121</v>
      </c>
      <c r="BD1205" t="s">
        <v>74</v>
      </c>
      <c r="BE1205" t="s">
        <v>74</v>
      </c>
      <c r="BF1205" t="s">
        <v>74</v>
      </c>
      <c r="BG1205" t="s">
        <v>74</v>
      </c>
      <c r="BH1205" t="s">
        <v>74</v>
      </c>
      <c r="BI1205">
        <v>11</v>
      </c>
      <c r="BJ1205" t="s">
        <v>101</v>
      </c>
      <c r="BK1205" t="s">
        <v>182</v>
      </c>
      <c r="BL1205" t="s">
        <v>101</v>
      </c>
      <c r="BM1205" t="s">
        <v>22441</v>
      </c>
      <c r="BN1205">
        <v>22543557</v>
      </c>
      <c r="BO1205" t="s">
        <v>74</v>
      </c>
      <c r="BP1205" t="s">
        <v>74</v>
      </c>
      <c r="BQ1205" t="s">
        <v>74</v>
      </c>
      <c r="BR1205" t="s">
        <v>105</v>
      </c>
      <c r="BS1205" t="s">
        <v>22442</v>
      </c>
      <c r="BT1205" t="str">
        <f>HYPERLINK("https%3A%2F%2Fwww.webofscience.com%2Fwos%2Fwoscc%2Ffull-record%2FWOS:000304232600012","View Full Record in Web of Science")</f>
        <v>View Full Record in Web of Science</v>
      </c>
    </row>
    <row r="1206" spans="1:72" x14ac:dyDescent="0.25">
      <c r="A1206" t="s">
        <v>72</v>
      </c>
      <c r="B1206" t="s">
        <v>22443</v>
      </c>
      <c r="C1206" t="s">
        <v>74</v>
      </c>
      <c r="D1206" t="s">
        <v>74</v>
      </c>
      <c r="E1206" t="s">
        <v>74</v>
      </c>
      <c r="F1206" t="s">
        <v>22444</v>
      </c>
      <c r="G1206" t="s">
        <v>74</v>
      </c>
      <c r="H1206" t="s">
        <v>74</v>
      </c>
      <c r="I1206" t="s">
        <v>22445</v>
      </c>
      <c r="J1206" t="s">
        <v>3666</v>
      </c>
      <c r="K1206" t="s">
        <v>74</v>
      </c>
      <c r="L1206" t="s">
        <v>74</v>
      </c>
      <c r="M1206" t="s">
        <v>78</v>
      </c>
      <c r="N1206" t="s">
        <v>79</v>
      </c>
      <c r="O1206" t="s">
        <v>74</v>
      </c>
      <c r="P1206" t="s">
        <v>74</v>
      </c>
      <c r="Q1206" t="s">
        <v>74</v>
      </c>
      <c r="R1206" t="s">
        <v>74</v>
      </c>
      <c r="S1206" t="s">
        <v>74</v>
      </c>
      <c r="T1206" t="s">
        <v>74</v>
      </c>
      <c r="U1206" t="s">
        <v>22446</v>
      </c>
      <c r="V1206" t="s">
        <v>22447</v>
      </c>
      <c r="W1206" t="s">
        <v>22448</v>
      </c>
      <c r="X1206" t="s">
        <v>22449</v>
      </c>
      <c r="Y1206" t="s">
        <v>22450</v>
      </c>
      <c r="Z1206" t="s">
        <v>22451</v>
      </c>
      <c r="AA1206" t="s">
        <v>22452</v>
      </c>
      <c r="AB1206" t="s">
        <v>22453</v>
      </c>
      <c r="AC1206" t="s">
        <v>74</v>
      </c>
      <c r="AD1206" t="s">
        <v>74</v>
      </c>
      <c r="AE1206" t="s">
        <v>74</v>
      </c>
      <c r="AF1206" t="s">
        <v>74</v>
      </c>
      <c r="AG1206">
        <v>115</v>
      </c>
      <c r="AH1206">
        <v>389</v>
      </c>
      <c r="AI1206">
        <v>439</v>
      </c>
      <c r="AJ1206">
        <v>6</v>
      </c>
      <c r="AK1206">
        <v>174</v>
      </c>
      <c r="AL1206" t="s">
        <v>3675</v>
      </c>
      <c r="AM1206" t="s">
        <v>173</v>
      </c>
      <c r="AN1206" t="s">
        <v>3676</v>
      </c>
      <c r="AO1206" t="s">
        <v>3677</v>
      </c>
      <c r="AP1206" t="s">
        <v>3678</v>
      </c>
      <c r="AQ1206" t="s">
        <v>74</v>
      </c>
      <c r="AR1206" t="s">
        <v>3679</v>
      </c>
      <c r="AS1206" t="s">
        <v>3680</v>
      </c>
      <c r="AT1206" t="s">
        <v>1471</v>
      </c>
      <c r="AU1206">
        <v>2012</v>
      </c>
      <c r="AV1206">
        <v>87</v>
      </c>
      <c r="AW1206">
        <v>3</v>
      </c>
      <c r="AX1206" t="s">
        <v>74</v>
      </c>
      <c r="AY1206" t="s">
        <v>74</v>
      </c>
      <c r="AZ1206" t="s">
        <v>74</v>
      </c>
      <c r="BA1206" t="s">
        <v>74</v>
      </c>
      <c r="BB1206">
        <v>268</v>
      </c>
      <c r="BC1206">
        <v>279</v>
      </c>
      <c r="BD1206" t="s">
        <v>74</v>
      </c>
      <c r="BE1206" t="s">
        <v>22454</v>
      </c>
      <c r="BF1206" t="str">
        <f>HYPERLINK("http://dx.doi.org/10.1016/j.mayocp.2011.12.008","http://dx.doi.org/10.1016/j.mayocp.2011.12.008")</f>
        <v>http://dx.doi.org/10.1016/j.mayocp.2011.12.008</v>
      </c>
      <c r="BG1206" t="s">
        <v>74</v>
      </c>
      <c r="BH1206" t="s">
        <v>74</v>
      </c>
      <c r="BI1206">
        <v>12</v>
      </c>
      <c r="BJ1206" t="s">
        <v>128</v>
      </c>
      <c r="BK1206" t="s">
        <v>182</v>
      </c>
      <c r="BL1206" t="s">
        <v>129</v>
      </c>
      <c r="BM1206" t="s">
        <v>22455</v>
      </c>
      <c r="BN1206">
        <v>22325364</v>
      </c>
      <c r="BO1206" t="s">
        <v>4373</v>
      </c>
      <c r="BP1206" t="s">
        <v>74</v>
      </c>
      <c r="BQ1206" t="s">
        <v>74</v>
      </c>
      <c r="BR1206" t="s">
        <v>105</v>
      </c>
      <c r="BS1206" t="s">
        <v>22456</v>
      </c>
      <c r="BT1206" t="str">
        <f>HYPERLINK("https%3A%2F%2Fwww.webofscience.com%2Fwos%2Fwoscc%2Ffull-record%2FWOS:000301642000014","View Full Record in Web of Science")</f>
        <v>View Full Record in Web of Science</v>
      </c>
    </row>
    <row r="1207" spans="1:72" x14ac:dyDescent="0.25">
      <c r="A1207" t="s">
        <v>72</v>
      </c>
      <c r="B1207" t="s">
        <v>22457</v>
      </c>
      <c r="C1207" t="s">
        <v>74</v>
      </c>
      <c r="D1207" t="s">
        <v>74</v>
      </c>
      <c r="E1207" t="s">
        <v>74</v>
      </c>
      <c r="F1207" t="s">
        <v>22458</v>
      </c>
      <c r="G1207" t="s">
        <v>74</v>
      </c>
      <c r="H1207" t="s">
        <v>74</v>
      </c>
      <c r="I1207" t="s">
        <v>22459</v>
      </c>
      <c r="J1207" t="s">
        <v>22460</v>
      </c>
      <c r="K1207" t="s">
        <v>74</v>
      </c>
      <c r="L1207" t="s">
        <v>74</v>
      </c>
      <c r="M1207" t="s">
        <v>78</v>
      </c>
      <c r="N1207" t="s">
        <v>79</v>
      </c>
      <c r="O1207" t="s">
        <v>74</v>
      </c>
      <c r="P1207" t="s">
        <v>74</v>
      </c>
      <c r="Q1207" t="s">
        <v>74</v>
      </c>
      <c r="R1207" t="s">
        <v>74</v>
      </c>
      <c r="S1207" t="s">
        <v>74</v>
      </c>
      <c r="T1207" t="s">
        <v>22461</v>
      </c>
      <c r="U1207" t="s">
        <v>22462</v>
      </c>
      <c r="V1207" t="s">
        <v>22463</v>
      </c>
      <c r="W1207" t="s">
        <v>22464</v>
      </c>
      <c r="X1207" t="s">
        <v>22465</v>
      </c>
      <c r="Y1207" t="s">
        <v>22466</v>
      </c>
      <c r="Z1207" t="s">
        <v>22467</v>
      </c>
      <c r="AA1207" t="s">
        <v>22468</v>
      </c>
      <c r="AB1207" t="s">
        <v>22469</v>
      </c>
      <c r="AC1207" t="s">
        <v>22470</v>
      </c>
      <c r="AD1207" t="s">
        <v>2827</v>
      </c>
      <c r="AE1207" t="s">
        <v>22471</v>
      </c>
      <c r="AF1207" t="s">
        <v>74</v>
      </c>
      <c r="AG1207">
        <v>100</v>
      </c>
      <c r="AH1207">
        <v>64</v>
      </c>
      <c r="AI1207">
        <v>78</v>
      </c>
      <c r="AJ1207">
        <v>2</v>
      </c>
      <c r="AK1207">
        <v>55</v>
      </c>
      <c r="AL1207" t="s">
        <v>13804</v>
      </c>
      <c r="AM1207" t="s">
        <v>93</v>
      </c>
      <c r="AN1207" t="s">
        <v>13805</v>
      </c>
      <c r="AO1207" t="s">
        <v>22472</v>
      </c>
      <c r="AP1207" t="s">
        <v>22473</v>
      </c>
      <c r="AQ1207" t="s">
        <v>74</v>
      </c>
      <c r="AR1207" t="s">
        <v>22474</v>
      </c>
      <c r="AS1207" t="s">
        <v>22475</v>
      </c>
      <c r="AT1207" t="s">
        <v>74</v>
      </c>
      <c r="AU1207">
        <v>2012</v>
      </c>
      <c r="AV1207">
        <v>44</v>
      </c>
      <c r="AW1207">
        <v>6</v>
      </c>
      <c r="AX1207" t="s">
        <v>74</v>
      </c>
      <c r="AY1207" t="s">
        <v>74</v>
      </c>
      <c r="AZ1207" t="s">
        <v>152</v>
      </c>
      <c r="BA1207" t="s">
        <v>74</v>
      </c>
      <c r="BB1207">
        <v>419</v>
      </c>
      <c r="BC1207">
        <v>433</v>
      </c>
      <c r="BD1207" t="s">
        <v>74</v>
      </c>
      <c r="BE1207" t="s">
        <v>22476</v>
      </c>
      <c r="BF1207" t="str">
        <f>HYPERLINK("http://dx.doi.org/10.1080/00222895.2012.700968","http://dx.doi.org/10.1080/00222895.2012.700968")</f>
        <v>http://dx.doi.org/10.1080/00222895.2012.700968</v>
      </c>
      <c r="BG1207" t="s">
        <v>74</v>
      </c>
      <c r="BH1207" t="s">
        <v>74</v>
      </c>
      <c r="BI1207">
        <v>15</v>
      </c>
      <c r="BJ1207" t="s">
        <v>22477</v>
      </c>
      <c r="BK1207" t="s">
        <v>102</v>
      </c>
      <c r="BL1207" t="s">
        <v>22478</v>
      </c>
      <c r="BM1207" t="s">
        <v>22479</v>
      </c>
      <c r="BN1207">
        <v>23237465</v>
      </c>
      <c r="BO1207" t="s">
        <v>3048</v>
      </c>
      <c r="BP1207" t="s">
        <v>74</v>
      </c>
      <c r="BQ1207" t="s">
        <v>74</v>
      </c>
      <c r="BR1207" t="s">
        <v>105</v>
      </c>
      <c r="BS1207" t="s">
        <v>22480</v>
      </c>
      <c r="BT1207" t="str">
        <f>HYPERLINK("https%3A%2F%2Fwww.webofscience.com%2Fwos%2Fwoscc%2Ffull-record%2FWOS:000312451200004","View Full Record in Web of Science")</f>
        <v>View Full Record in Web of Science</v>
      </c>
    </row>
    <row r="1208" spans="1:72" x14ac:dyDescent="0.25">
      <c r="A1208" t="s">
        <v>72</v>
      </c>
      <c r="B1208" t="s">
        <v>22481</v>
      </c>
      <c r="C1208" t="s">
        <v>74</v>
      </c>
      <c r="D1208" t="s">
        <v>74</v>
      </c>
      <c r="E1208" t="s">
        <v>74</v>
      </c>
      <c r="F1208" t="s">
        <v>22482</v>
      </c>
      <c r="G1208" t="s">
        <v>74</v>
      </c>
      <c r="H1208" t="s">
        <v>74</v>
      </c>
      <c r="I1208" t="s">
        <v>22483</v>
      </c>
      <c r="J1208" t="s">
        <v>22229</v>
      </c>
      <c r="K1208" t="s">
        <v>74</v>
      </c>
      <c r="L1208" t="s">
        <v>74</v>
      </c>
      <c r="M1208" t="s">
        <v>78</v>
      </c>
      <c r="N1208" t="s">
        <v>79</v>
      </c>
      <c r="O1208" t="s">
        <v>74</v>
      </c>
      <c r="P1208" t="s">
        <v>74</v>
      </c>
      <c r="Q1208" t="s">
        <v>74</v>
      </c>
      <c r="R1208" t="s">
        <v>74</v>
      </c>
      <c r="S1208" t="s">
        <v>74</v>
      </c>
      <c r="T1208" t="s">
        <v>74</v>
      </c>
      <c r="U1208" t="s">
        <v>22484</v>
      </c>
      <c r="V1208" t="s">
        <v>22485</v>
      </c>
      <c r="W1208" t="s">
        <v>22486</v>
      </c>
      <c r="X1208" t="s">
        <v>74</v>
      </c>
      <c r="Y1208" t="s">
        <v>22487</v>
      </c>
      <c r="Z1208" t="s">
        <v>21071</v>
      </c>
      <c r="AA1208" t="s">
        <v>22488</v>
      </c>
      <c r="AB1208" t="s">
        <v>22489</v>
      </c>
      <c r="AC1208" t="s">
        <v>74</v>
      </c>
      <c r="AD1208" t="s">
        <v>74</v>
      </c>
      <c r="AE1208" t="s">
        <v>74</v>
      </c>
      <c r="AF1208" t="s">
        <v>74</v>
      </c>
      <c r="AG1208">
        <v>100</v>
      </c>
      <c r="AH1208">
        <v>48</v>
      </c>
      <c r="AI1208">
        <v>58</v>
      </c>
      <c r="AJ1208">
        <v>0</v>
      </c>
      <c r="AK1208">
        <v>10</v>
      </c>
      <c r="AL1208" t="s">
        <v>367</v>
      </c>
      <c r="AM1208" t="s">
        <v>275</v>
      </c>
      <c r="AN1208" t="s">
        <v>368</v>
      </c>
      <c r="AO1208" t="s">
        <v>22239</v>
      </c>
      <c r="AP1208" t="s">
        <v>22240</v>
      </c>
      <c r="AQ1208" t="s">
        <v>74</v>
      </c>
      <c r="AR1208" t="s">
        <v>22241</v>
      </c>
      <c r="AS1208" t="s">
        <v>22242</v>
      </c>
      <c r="AT1208" t="s">
        <v>74</v>
      </c>
      <c r="AU1208">
        <v>2012</v>
      </c>
      <c r="AV1208">
        <v>2012</v>
      </c>
      <c r="AW1208" t="s">
        <v>74</v>
      </c>
      <c r="AX1208" t="s">
        <v>74</v>
      </c>
      <c r="AY1208" t="s">
        <v>74</v>
      </c>
      <c r="AZ1208" t="s">
        <v>74</v>
      </c>
      <c r="BA1208" t="s">
        <v>74</v>
      </c>
      <c r="BB1208" t="s">
        <v>74</v>
      </c>
      <c r="BC1208" t="s">
        <v>74</v>
      </c>
      <c r="BD1208">
        <v>187965</v>
      </c>
      <c r="BE1208" t="s">
        <v>22490</v>
      </c>
      <c r="BF1208" t="str">
        <f>HYPERLINK("http://dx.doi.org/10.1155/2012/187965","http://dx.doi.org/10.1155/2012/187965")</f>
        <v>http://dx.doi.org/10.1155/2012/187965</v>
      </c>
      <c r="BG1208" t="s">
        <v>74</v>
      </c>
      <c r="BH1208" t="s">
        <v>74</v>
      </c>
      <c r="BI1208">
        <v>9</v>
      </c>
      <c r="BJ1208" t="s">
        <v>6169</v>
      </c>
      <c r="BK1208" t="s">
        <v>155</v>
      </c>
      <c r="BL1208" t="s">
        <v>4951</v>
      </c>
      <c r="BM1208" t="s">
        <v>22491</v>
      </c>
      <c r="BN1208">
        <v>23304640</v>
      </c>
      <c r="BO1208" t="s">
        <v>4568</v>
      </c>
      <c r="BP1208" t="s">
        <v>74</v>
      </c>
      <c r="BQ1208" t="s">
        <v>74</v>
      </c>
      <c r="BR1208" t="s">
        <v>105</v>
      </c>
      <c r="BS1208" t="s">
        <v>22492</v>
      </c>
      <c r="BT1208" t="str">
        <f>HYPERLINK("https%3A%2F%2Fwww.webofscience.com%2Fwos%2Fwoscc%2Ffull-record%2FWOS:000214689000009","View Full Record in Web of Science")</f>
        <v>View Full Record in Web of Science</v>
      </c>
    </row>
    <row r="1209" spans="1:72" x14ac:dyDescent="0.25">
      <c r="A1209" t="s">
        <v>72</v>
      </c>
      <c r="B1209" t="s">
        <v>22493</v>
      </c>
      <c r="C1209" t="s">
        <v>74</v>
      </c>
      <c r="D1209" t="s">
        <v>74</v>
      </c>
      <c r="E1209" t="s">
        <v>74</v>
      </c>
      <c r="F1209" t="s">
        <v>22494</v>
      </c>
      <c r="G1209" t="s">
        <v>74</v>
      </c>
      <c r="H1209" t="s">
        <v>74</v>
      </c>
      <c r="I1209" t="s">
        <v>22495</v>
      </c>
      <c r="J1209" t="s">
        <v>3906</v>
      </c>
      <c r="K1209" t="s">
        <v>74</v>
      </c>
      <c r="L1209" t="s">
        <v>74</v>
      </c>
      <c r="M1209" t="s">
        <v>78</v>
      </c>
      <c r="N1209" t="s">
        <v>79</v>
      </c>
      <c r="O1209" t="s">
        <v>74</v>
      </c>
      <c r="P1209" t="s">
        <v>74</v>
      </c>
      <c r="Q1209" t="s">
        <v>74</v>
      </c>
      <c r="R1209" t="s">
        <v>74</v>
      </c>
      <c r="S1209" t="s">
        <v>74</v>
      </c>
      <c r="T1209" t="s">
        <v>22496</v>
      </c>
      <c r="U1209" t="s">
        <v>22497</v>
      </c>
      <c r="V1209" t="s">
        <v>22498</v>
      </c>
      <c r="W1209" t="s">
        <v>22499</v>
      </c>
      <c r="X1209" t="s">
        <v>22500</v>
      </c>
      <c r="Y1209" t="s">
        <v>22501</v>
      </c>
      <c r="Z1209" t="s">
        <v>3911</v>
      </c>
      <c r="AA1209" t="s">
        <v>22502</v>
      </c>
      <c r="AB1209" t="s">
        <v>22503</v>
      </c>
      <c r="AC1209" t="s">
        <v>21498</v>
      </c>
      <c r="AD1209" t="s">
        <v>21498</v>
      </c>
      <c r="AE1209" t="s">
        <v>22504</v>
      </c>
      <c r="AF1209" t="s">
        <v>74</v>
      </c>
      <c r="AG1209">
        <v>66</v>
      </c>
      <c r="AH1209">
        <v>319</v>
      </c>
      <c r="AI1209">
        <v>344</v>
      </c>
      <c r="AJ1209">
        <v>4</v>
      </c>
      <c r="AK1209">
        <v>25</v>
      </c>
      <c r="AL1209" t="s">
        <v>297</v>
      </c>
      <c r="AM1209" t="s">
        <v>298</v>
      </c>
      <c r="AN1209" t="s">
        <v>299</v>
      </c>
      <c r="AO1209" t="s">
        <v>3917</v>
      </c>
      <c r="AP1209" t="s">
        <v>3918</v>
      </c>
      <c r="AQ1209" t="s">
        <v>74</v>
      </c>
      <c r="AR1209" t="s">
        <v>3919</v>
      </c>
      <c r="AS1209" t="s">
        <v>3920</v>
      </c>
      <c r="AT1209" t="s">
        <v>74</v>
      </c>
      <c r="AU1209">
        <v>2012</v>
      </c>
      <c r="AV1209" t="s">
        <v>74</v>
      </c>
      <c r="AW1209">
        <v>6</v>
      </c>
      <c r="AX1209" t="s">
        <v>74</v>
      </c>
      <c r="AY1209" t="s">
        <v>74</v>
      </c>
      <c r="AZ1209" t="s">
        <v>74</v>
      </c>
      <c r="BA1209" t="s">
        <v>74</v>
      </c>
      <c r="BB1209" t="s">
        <v>74</v>
      </c>
      <c r="BC1209" t="s">
        <v>74</v>
      </c>
      <c r="BD1209" t="s">
        <v>19804</v>
      </c>
      <c r="BE1209" t="s">
        <v>22505</v>
      </c>
      <c r="BF1209" t="str">
        <f>HYPERLINK("http://dx.doi.org/10.1002/14651858.CD006876.pub3","http://dx.doi.org/10.1002/14651858.CD006876.pub3")</f>
        <v>http://dx.doi.org/10.1002/14651858.CD006876.pub3</v>
      </c>
      <c r="BG1209" t="s">
        <v>74</v>
      </c>
      <c r="BH1209" t="s">
        <v>74</v>
      </c>
      <c r="BI1209">
        <v>67</v>
      </c>
      <c r="BJ1209" t="s">
        <v>128</v>
      </c>
      <c r="BK1209" t="s">
        <v>182</v>
      </c>
      <c r="BL1209" t="s">
        <v>129</v>
      </c>
      <c r="BM1209" t="s">
        <v>22506</v>
      </c>
      <c r="BN1209">
        <v>22696362</v>
      </c>
      <c r="BO1209" t="s">
        <v>74</v>
      </c>
      <c r="BP1209" t="s">
        <v>74</v>
      </c>
      <c r="BQ1209" t="s">
        <v>74</v>
      </c>
      <c r="BR1209" t="s">
        <v>105</v>
      </c>
      <c r="BS1209" t="s">
        <v>22507</v>
      </c>
      <c r="BT1209" t="str">
        <f>HYPERLINK("https%3A%2F%2Fwww.webofscience.com%2Fwos%2Fwoscc%2Ffull-record%2FWOS:000305192500017","View Full Record in Web of Science")</f>
        <v>View Full Record in Web of Science</v>
      </c>
    </row>
    <row r="1210" spans="1:72" x14ac:dyDescent="0.25">
      <c r="A1210" t="s">
        <v>72</v>
      </c>
      <c r="B1210" t="s">
        <v>22508</v>
      </c>
      <c r="C1210" t="s">
        <v>74</v>
      </c>
      <c r="D1210" t="s">
        <v>74</v>
      </c>
      <c r="E1210" t="s">
        <v>74</v>
      </c>
      <c r="F1210" t="s">
        <v>22509</v>
      </c>
      <c r="G1210" t="s">
        <v>74</v>
      </c>
      <c r="H1210" t="s">
        <v>74</v>
      </c>
      <c r="I1210" t="s">
        <v>22510</v>
      </c>
      <c r="J1210" t="s">
        <v>22511</v>
      </c>
      <c r="K1210" t="s">
        <v>74</v>
      </c>
      <c r="L1210" t="s">
        <v>74</v>
      </c>
      <c r="M1210" t="s">
        <v>78</v>
      </c>
      <c r="N1210" t="s">
        <v>79</v>
      </c>
      <c r="O1210" t="s">
        <v>74</v>
      </c>
      <c r="P1210" t="s">
        <v>74</v>
      </c>
      <c r="Q1210" t="s">
        <v>74</v>
      </c>
      <c r="R1210" t="s">
        <v>74</v>
      </c>
      <c r="S1210" t="s">
        <v>74</v>
      </c>
      <c r="T1210" t="s">
        <v>22512</v>
      </c>
      <c r="U1210" t="s">
        <v>22513</v>
      </c>
      <c r="V1210" t="s">
        <v>22514</v>
      </c>
      <c r="W1210" t="s">
        <v>22515</v>
      </c>
      <c r="X1210" t="s">
        <v>22516</v>
      </c>
      <c r="Y1210" t="s">
        <v>22517</v>
      </c>
      <c r="Z1210" t="s">
        <v>22518</v>
      </c>
      <c r="AA1210" t="s">
        <v>74</v>
      </c>
      <c r="AB1210" t="s">
        <v>74</v>
      </c>
      <c r="AC1210" t="s">
        <v>74</v>
      </c>
      <c r="AD1210" t="s">
        <v>74</v>
      </c>
      <c r="AE1210" t="s">
        <v>74</v>
      </c>
      <c r="AF1210" t="s">
        <v>74</v>
      </c>
      <c r="AG1210">
        <v>81</v>
      </c>
      <c r="AH1210">
        <v>94</v>
      </c>
      <c r="AI1210">
        <v>98</v>
      </c>
      <c r="AJ1210">
        <v>14</v>
      </c>
      <c r="AK1210">
        <v>203</v>
      </c>
      <c r="AL1210" t="s">
        <v>92</v>
      </c>
      <c r="AM1210" t="s">
        <v>93</v>
      </c>
      <c r="AN1210" t="s">
        <v>94</v>
      </c>
      <c r="AO1210" t="s">
        <v>22519</v>
      </c>
      <c r="AP1210" t="s">
        <v>22520</v>
      </c>
      <c r="AQ1210" t="s">
        <v>74</v>
      </c>
      <c r="AR1210" t="s">
        <v>22521</v>
      </c>
      <c r="AS1210" t="s">
        <v>22522</v>
      </c>
      <c r="AT1210" t="s">
        <v>74</v>
      </c>
      <c r="AU1210">
        <v>2012</v>
      </c>
      <c r="AV1210">
        <v>26</v>
      </c>
      <c r="AW1210" t="s">
        <v>13829</v>
      </c>
      <c r="AX1210" t="s">
        <v>74</v>
      </c>
      <c r="AY1210" t="s">
        <v>74</v>
      </c>
      <c r="AZ1210" t="s">
        <v>74</v>
      </c>
      <c r="BA1210" t="s">
        <v>74</v>
      </c>
      <c r="BB1210">
        <v>1</v>
      </c>
      <c r="BC1210">
        <v>22</v>
      </c>
      <c r="BD1210" t="s">
        <v>74</v>
      </c>
      <c r="BE1210" t="s">
        <v>22523</v>
      </c>
      <c r="BF1210" t="str">
        <f>HYPERLINK("http://dx.doi.org/10.1163/016918611X607356","http://dx.doi.org/10.1163/016918611X607356")</f>
        <v>http://dx.doi.org/10.1163/016918611X607356</v>
      </c>
      <c r="BG1210" t="s">
        <v>74</v>
      </c>
      <c r="BH1210" t="s">
        <v>74</v>
      </c>
      <c r="BI1210">
        <v>22</v>
      </c>
      <c r="BJ1210" t="s">
        <v>714</v>
      </c>
      <c r="BK1210" t="s">
        <v>182</v>
      </c>
      <c r="BL1210" t="s">
        <v>714</v>
      </c>
      <c r="BM1210" t="s">
        <v>22524</v>
      </c>
      <c r="BN1210" t="s">
        <v>74</v>
      </c>
      <c r="BO1210" t="s">
        <v>74</v>
      </c>
      <c r="BP1210" t="s">
        <v>74</v>
      </c>
      <c r="BQ1210" t="s">
        <v>74</v>
      </c>
      <c r="BR1210" t="s">
        <v>105</v>
      </c>
      <c r="BS1210" t="s">
        <v>22525</v>
      </c>
      <c r="BT1210" t="str">
        <f>HYPERLINK("https%3A%2F%2Fwww.webofscience.com%2Fwos%2Fwoscc%2Ffull-record%2FWOS:000300037500001","View Full Record in Web of Science")</f>
        <v>View Full Record in Web of Science</v>
      </c>
    </row>
    <row r="1211" spans="1:72" x14ac:dyDescent="0.25">
      <c r="A1211" t="s">
        <v>72</v>
      </c>
      <c r="B1211" t="s">
        <v>22526</v>
      </c>
      <c r="C1211" t="s">
        <v>74</v>
      </c>
      <c r="D1211" t="s">
        <v>74</v>
      </c>
      <c r="E1211" t="s">
        <v>74</v>
      </c>
      <c r="F1211" t="s">
        <v>22527</v>
      </c>
      <c r="G1211" t="s">
        <v>74</v>
      </c>
      <c r="H1211" t="s">
        <v>74</v>
      </c>
      <c r="I1211" t="s">
        <v>22528</v>
      </c>
      <c r="J1211" t="s">
        <v>12962</v>
      </c>
      <c r="K1211" t="s">
        <v>74</v>
      </c>
      <c r="L1211" t="s">
        <v>74</v>
      </c>
      <c r="M1211" t="s">
        <v>78</v>
      </c>
      <c r="N1211" t="s">
        <v>79</v>
      </c>
      <c r="O1211" t="s">
        <v>74</v>
      </c>
      <c r="P1211" t="s">
        <v>74</v>
      </c>
      <c r="Q1211" t="s">
        <v>74</v>
      </c>
      <c r="R1211" t="s">
        <v>74</v>
      </c>
      <c r="S1211" t="s">
        <v>74</v>
      </c>
      <c r="T1211" t="s">
        <v>74</v>
      </c>
      <c r="U1211" t="s">
        <v>22529</v>
      </c>
      <c r="V1211" t="s">
        <v>22530</v>
      </c>
      <c r="W1211" t="s">
        <v>22531</v>
      </c>
      <c r="X1211" t="s">
        <v>19124</v>
      </c>
      <c r="Y1211" t="s">
        <v>22532</v>
      </c>
      <c r="Z1211" t="s">
        <v>21789</v>
      </c>
      <c r="AA1211" t="s">
        <v>22533</v>
      </c>
      <c r="AB1211" t="s">
        <v>22534</v>
      </c>
      <c r="AC1211" t="s">
        <v>74</v>
      </c>
      <c r="AD1211" t="s">
        <v>74</v>
      </c>
      <c r="AE1211" t="s">
        <v>74</v>
      </c>
      <c r="AF1211" t="s">
        <v>74</v>
      </c>
      <c r="AG1211">
        <v>53</v>
      </c>
      <c r="AH1211">
        <v>57</v>
      </c>
      <c r="AI1211">
        <v>61</v>
      </c>
      <c r="AJ1211">
        <v>0</v>
      </c>
      <c r="AK1211">
        <v>0</v>
      </c>
      <c r="AL1211" t="s">
        <v>367</v>
      </c>
      <c r="AM1211" t="s">
        <v>275</v>
      </c>
      <c r="AN1211" t="s">
        <v>368</v>
      </c>
      <c r="AO1211" t="s">
        <v>12973</v>
      </c>
      <c r="AP1211" t="s">
        <v>12974</v>
      </c>
      <c r="AQ1211" t="s">
        <v>74</v>
      </c>
      <c r="AR1211" t="s">
        <v>12975</v>
      </c>
      <c r="AS1211" t="s">
        <v>12976</v>
      </c>
      <c r="AT1211" t="s">
        <v>74</v>
      </c>
      <c r="AU1211">
        <v>2012</v>
      </c>
      <c r="AV1211">
        <v>2012</v>
      </c>
      <c r="AW1211" t="s">
        <v>74</v>
      </c>
      <c r="AX1211" t="s">
        <v>74</v>
      </c>
      <c r="AY1211" t="s">
        <v>74</v>
      </c>
      <c r="AZ1211" t="s">
        <v>74</v>
      </c>
      <c r="BA1211" t="s">
        <v>74</v>
      </c>
      <c r="BB1211" t="s">
        <v>74</v>
      </c>
      <c r="BC1211" t="s">
        <v>74</v>
      </c>
      <c r="BD1211">
        <v>240274</v>
      </c>
      <c r="BE1211" t="s">
        <v>22535</v>
      </c>
      <c r="BF1211" t="str">
        <f>HYPERLINK("http://dx.doi.org/10.1155/2012/240274","http://dx.doi.org/10.1155/2012/240274")</f>
        <v>http://dx.doi.org/10.1155/2012/240274</v>
      </c>
      <c r="BG1211" t="s">
        <v>74</v>
      </c>
      <c r="BH1211" t="s">
        <v>74</v>
      </c>
      <c r="BI1211">
        <v>15</v>
      </c>
      <c r="BJ1211" t="s">
        <v>541</v>
      </c>
      <c r="BK1211" t="s">
        <v>155</v>
      </c>
      <c r="BL1211" t="s">
        <v>375</v>
      </c>
      <c r="BM1211" t="s">
        <v>22536</v>
      </c>
      <c r="BN1211">
        <v>22701177</v>
      </c>
      <c r="BO1211" t="s">
        <v>1573</v>
      </c>
      <c r="BP1211" t="s">
        <v>74</v>
      </c>
      <c r="BQ1211" t="s">
        <v>74</v>
      </c>
      <c r="BR1211" t="s">
        <v>105</v>
      </c>
      <c r="BS1211" t="s">
        <v>22537</v>
      </c>
      <c r="BT1211" t="str">
        <f>HYPERLINK("https%3A%2F%2Fwww.webofscience.com%2Fwos%2Fwoscc%2Ffull-record%2FWOS:000215745100002","View Full Record in Web of Science")</f>
        <v>View Full Record in Web of Science</v>
      </c>
    </row>
    <row r="1212" spans="1:72" x14ac:dyDescent="0.25">
      <c r="A1212" t="s">
        <v>72</v>
      </c>
      <c r="B1212" t="s">
        <v>22538</v>
      </c>
      <c r="C1212" t="s">
        <v>74</v>
      </c>
      <c r="D1212" t="s">
        <v>74</v>
      </c>
      <c r="E1212" t="s">
        <v>74</v>
      </c>
      <c r="F1212" t="s">
        <v>22539</v>
      </c>
      <c r="G1212" t="s">
        <v>74</v>
      </c>
      <c r="H1212" t="s">
        <v>74</v>
      </c>
      <c r="I1212" t="s">
        <v>22540</v>
      </c>
      <c r="J1212" t="s">
        <v>22229</v>
      </c>
      <c r="K1212" t="s">
        <v>74</v>
      </c>
      <c r="L1212" t="s">
        <v>74</v>
      </c>
      <c r="M1212" t="s">
        <v>78</v>
      </c>
      <c r="N1212" t="s">
        <v>79</v>
      </c>
      <c r="O1212" t="s">
        <v>74</v>
      </c>
      <c r="P1212" t="s">
        <v>74</v>
      </c>
      <c r="Q1212" t="s">
        <v>74</v>
      </c>
      <c r="R1212" t="s">
        <v>74</v>
      </c>
      <c r="S1212" t="s">
        <v>74</v>
      </c>
      <c r="T1212" t="s">
        <v>74</v>
      </c>
      <c r="U1212" t="s">
        <v>22541</v>
      </c>
      <c r="V1212" t="s">
        <v>22542</v>
      </c>
      <c r="W1212" t="s">
        <v>22543</v>
      </c>
      <c r="X1212" t="s">
        <v>3799</v>
      </c>
      <c r="Y1212" t="s">
        <v>22544</v>
      </c>
      <c r="Z1212" t="s">
        <v>22545</v>
      </c>
      <c r="AA1212" t="s">
        <v>74</v>
      </c>
      <c r="AB1212" t="s">
        <v>22546</v>
      </c>
      <c r="AC1212" t="s">
        <v>74</v>
      </c>
      <c r="AD1212" t="s">
        <v>74</v>
      </c>
      <c r="AE1212" t="s">
        <v>74</v>
      </c>
      <c r="AF1212" t="s">
        <v>74</v>
      </c>
      <c r="AG1212">
        <v>55</v>
      </c>
      <c r="AH1212">
        <v>75</v>
      </c>
      <c r="AI1212">
        <v>84</v>
      </c>
      <c r="AJ1212">
        <v>2</v>
      </c>
      <c r="AK1212">
        <v>9</v>
      </c>
      <c r="AL1212" t="s">
        <v>297</v>
      </c>
      <c r="AM1212" t="s">
        <v>298</v>
      </c>
      <c r="AN1212" t="s">
        <v>299</v>
      </c>
      <c r="AO1212" t="s">
        <v>22239</v>
      </c>
      <c r="AP1212" t="s">
        <v>22240</v>
      </c>
      <c r="AQ1212" t="s">
        <v>74</v>
      </c>
      <c r="AR1212" t="s">
        <v>22241</v>
      </c>
      <c r="AS1212" t="s">
        <v>22242</v>
      </c>
      <c r="AT1212" t="s">
        <v>74</v>
      </c>
      <c r="AU1212">
        <v>2012</v>
      </c>
      <c r="AV1212">
        <v>2012</v>
      </c>
      <c r="AW1212" t="s">
        <v>74</v>
      </c>
      <c r="AX1212" t="s">
        <v>74</v>
      </c>
      <c r="AY1212" t="s">
        <v>74</v>
      </c>
      <c r="AZ1212" t="s">
        <v>74</v>
      </c>
      <c r="BA1212" t="s">
        <v>74</v>
      </c>
      <c r="BB1212" t="s">
        <v>74</v>
      </c>
      <c r="BC1212" t="s">
        <v>74</v>
      </c>
      <c r="BD1212">
        <v>972069</v>
      </c>
      <c r="BE1212" t="s">
        <v>22547</v>
      </c>
      <c r="BF1212" t="str">
        <f>HYPERLINK("http://dx.doi.org/10.1155/2012/972069","http://dx.doi.org/10.1155/2012/972069")</f>
        <v>http://dx.doi.org/10.1155/2012/972069</v>
      </c>
      <c r="BG1212" t="s">
        <v>74</v>
      </c>
      <c r="BH1212" t="s">
        <v>74</v>
      </c>
      <c r="BI1212">
        <v>17</v>
      </c>
      <c r="BJ1212" t="s">
        <v>6169</v>
      </c>
      <c r="BK1212" t="s">
        <v>155</v>
      </c>
      <c r="BL1212" t="s">
        <v>4951</v>
      </c>
      <c r="BM1212" t="s">
        <v>22491</v>
      </c>
      <c r="BN1212">
        <v>23251833</v>
      </c>
      <c r="BO1212" t="s">
        <v>131</v>
      </c>
      <c r="BP1212" t="s">
        <v>74</v>
      </c>
      <c r="BQ1212" t="s">
        <v>74</v>
      </c>
      <c r="BR1212" t="s">
        <v>105</v>
      </c>
      <c r="BS1212" t="s">
        <v>22548</v>
      </c>
      <c r="BT1212" t="str">
        <f>HYPERLINK("https%3A%2F%2Fwww.webofscience.com%2Fwos%2Fwoscc%2Ffull-record%2FWOS:000214689000068","View Full Record in Web of Science")</f>
        <v>View Full Record in Web of Science</v>
      </c>
    </row>
    <row r="1213" spans="1:72" x14ac:dyDescent="0.25">
      <c r="A1213" t="s">
        <v>18749</v>
      </c>
      <c r="B1213" t="s">
        <v>22349</v>
      </c>
      <c r="C1213" t="s">
        <v>74</v>
      </c>
      <c r="D1213" t="s">
        <v>22549</v>
      </c>
      <c r="E1213" t="s">
        <v>74</v>
      </c>
      <c r="F1213" t="s">
        <v>22350</v>
      </c>
      <c r="G1213" t="s">
        <v>74</v>
      </c>
      <c r="H1213" t="s">
        <v>74</v>
      </c>
      <c r="I1213" t="s">
        <v>22351</v>
      </c>
      <c r="J1213" t="s">
        <v>22550</v>
      </c>
      <c r="K1213" t="s">
        <v>22551</v>
      </c>
      <c r="L1213" t="s">
        <v>74</v>
      </c>
      <c r="M1213" t="s">
        <v>78</v>
      </c>
      <c r="N1213" t="s">
        <v>1537</v>
      </c>
      <c r="O1213" t="s">
        <v>74</v>
      </c>
      <c r="P1213" t="s">
        <v>74</v>
      </c>
      <c r="Q1213" t="s">
        <v>74</v>
      </c>
      <c r="R1213" t="s">
        <v>74</v>
      </c>
      <c r="S1213" t="s">
        <v>74</v>
      </c>
      <c r="T1213" t="s">
        <v>22353</v>
      </c>
      <c r="U1213" t="s">
        <v>74</v>
      </c>
      <c r="V1213" t="s">
        <v>22354</v>
      </c>
      <c r="W1213" t="s">
        <v>22552</v>
      </c>
      <c r="X1213" t="s">
        <v>22553</v>
      </c>
      <c r="Y1213" t="s">
        <v>22554</v>
      </c>
      <c r="Z1213" t="s">
        <v>22358</v>
      </c>
      <c r="AA1213" t="s">
        <v>22359</v>
      </c>
      <c r="AB1213" t="s">
        <v>22555</v>
      </c>
      <c r="AC1213" t="s">
        <v>74</v>
      </c>
      <c r="AD1213" t="s">
        <v>74</v>
      </c>
      <c r="AE1213" t="s">
        <v>74</v>
      </c>
      <c r="AF1213" t="s">
        <v>74</v>
      </c>
      <c r="AG1213">
        <v>2</v>
      </c>
      <c r="AH1213">
        <v>2</v>
      </c>
      <c r="AI1213">
        <v>2</v>
      </c>
      <c r="AJ1213">
        <v>0</v>
      </c>
      <c r="AK1213">
        <v>7</v>
      </c>
      <c r="AL1213" t="s">
        <v>9434</v>
      </c>
      <c r="AM1213" t="s">
        <v>1606</v>
      </c>
      <c r="AN1213" t="s">
        <v>9435</v>
      </c>
      <c r="AO1213" t="s">
        <v>22556</v>
      </c>
      <c r="AP1213" t="s">
        <v>74</v>
      </c>
      <c r="AQ1213" t="s">
        <v>22557</v>
      </c>
      <c r="AR1213" t="s">
        <v>22558</v>
      </c>
      <c r="AS1213" t="s">
        <v>74</v>
      </c>
      <c r="AT1213" t="s">
        <v>74</v>
      </c>
      <c r="AU1213">
        <v>2012</v>
      </c>
      <c r="AV1213">
        <v>181</v>
      </c>
      <c r="AW1213" t="s">
        <v>74</v>
      </c>
      <c r="AX1213" t="s">
        <v>74</v>
      </c>
      <c r="AY1213" t="s">
        <v>74</v>
      </c>
      <c r="AZ1213" t="s">
        <v>74</v>
      </c>
      <c r="BA1213" t="s">
        <v>74</v>
      </c>
      <c r="BB1213">
        <v>42</v>
      </c>
      <c r="BC1213">
        <v>45</v>
      </c>
      <c r="BD1213" t="s">
        <v>74</v>
      </c>
      <c r="BE1213" t="s">
        <v>22559</v>
      </c>
      <c r="BF1213" t="str">
        <f>HYPERLINK("http://dx.doi.org/10.3233/978-1-61499-121-2-42","http://dx.doi.org/10.3233/978-1-61499-121-2-42")</f>
        <v>http://dx.doi.org/10.3233/978-1-61499-121-2-42</v>
      </c>
      <c r="BG1213" t="s">
        <v>74</v>
      </c>
      <c r="BH1213" t="s">
        <v>74</v>
      </c>
      <c r="BI1213">
        <v>4</v>
      </c>
      <c r="BJ1213" t="s">
        <v>22560</v>
      </c>
      <c r="BK1213" t="s">
        <v>1549</v>
      </c>
      <c r="BL1213" t="s">
        <v>18588</v>
      </c>
      <c r="BM1213" t="s">
        <v>22561</v>
      </c>
      <c r="BN1213">
        <v>22954825</v>
      </c>
      <c r="BO1213" t="s">
        <v>74</v>
      </c>
      <c r="BP1213" t="s">
        <v>74</v>
      </c>
      <c r="BQ1213" t="s">
        <v>74</v>
      </c>
      <c r="BR1213" t="s">
        <v>105</v>
      </c>
      <c r="BS1213" t="s">
        <v>22562</v>
      </c>
      <c r="BT1213" t="str">
        <f>HYPERLINK("https%3A%2F%2Fwww.webofscience.com%2Fwos%2Fwoscc%2Ffull-record%2FWOS:000339449900010","View Full Record in Web of Science")</f>
        <v>View Full Record in Web of Science</v>
      </c>
    </row>
    <row r="1214" spans="1:72" x14ac:dyDescent="0.25">
      <c r="A1214" t="s">
        <v>72</v>
      </c>
      <c r="B1214" t="s">
        <v>22563</v>
      </c>
      <c r="C1214" t="s">
        <v>74</v>
      </c>
      <c r="D1214" t="s">
        <v>74</v>
      </c>
      <c r="E1214" t="s">
        <v>74</v>
      </c>
      <c r="F1214" t="s">
        <v>22564</v>
      </c>
      <c r="G1214" t="s">
        <v>74</v>
      </c>
      <c r="H1214" t="s">
        <v>74</v>
      </c>
      <c r="I1214" t="s">
        <v>22565</v>
      </c>
      <c r="J1214" t="s">
        <v>22566</v>
      </c>
      <c r="K1214" t="s">
        <v>74</v>
      </c>
      <c r="L1214" t="s">
        <v>74</v>
      </c>
      <c r="M1214" t="s">
        <v>78</v>
      </c>
      <c r="N1214" t="s">
        <v>79</v>
      </c>
      <c r="O1214" t="s">
        <v>74</v>
      </c>
      <c r="P1214" t="s">
        <v>74</v>
      </c>
      <c r="Q1214" t="s">
        <v>74</v>
      </c>
      <c r="R1214" t="s">
        <v>74</v>
      </c>
      <c r="S1214" t="s">
        <v>74</v>
      </c>
      <c r="T1214" t="s">
        <v>22567</v>
      </c>
      <c r="U1214" t="s">
        <v>74</v>
      </c>
      <c r="V1214" t="s">
        <v>22568</v>
      </c>
      <c r="W1214" t="s">
        <v>22569</v>
      </c>
      <c r="X1214" t="s">
        <v>22570</v>
      </c>
      <c r="Y1214" t="s">
        <v>22571</v>
      </c>
      <c r="Z1214" t="s">
        <v>22572</v>
      </c>
      <c r="AA1214" t="s">
        <v>22573</v>
      </c>
      <c r="AB1214" t="s">
        <v>22574</v>
      </c>
      <c r="AC1214" t="s">
        <v>74</v>
      </c>
      <c r="AD1214" t="s">
        <v>74</v>
      </c>
      <c r="AE1214" t="s">
        <v>74</v>
      </c>
      <c r="AF1214" t="s">
        <v>74</v>
      </c>
      <c r="AG1214">
        <v>22</v>
      </c>
      <c r="AH1214">
        <v>13</v>
      </c>
      <c r="AI1214">
        <v>14</v>
      </c>
      <c r="AJ1214">
        <v>1</v>
      </c>
      <c r="AK1214">
        <v>25</v>
      </c>
      <c r="AL1214" t="s">
        <v>22575</v>
      </c>
      <c r="AM1214" t="s">
        <v>1349</v>
      </c>
      <c r="AN1214" t="s">
        <v>22576</v>
      </c>
      <c r="AO1214" t="s">
        <v>22577</v>
      </c>
      <c r="AP1214" t="s">
        <v>22578</v>
      </c>
      <c r="AQ1214" t="s">
        <v>74</v>
      </c>
      <c r="AR1214" t="s">
        <v>22579</v>
      </c>
      <c r="AS1214" t="s">
        <v>22580</v>
      </c>
      <c r="AT1214" t="s">
        <v>151</v>
      </c>
      <c r="AU1214">
        <v>2011</v>
      </c>
      <c r="AV1214">
        <v>23</v>
      </c>
      <c r="AW1214">
        <v>6</v>
      </c>
      <c r="AX1214" t="s">
        <v>74</v>
      </c>
      <c r="AY1214" t="s">
        <v>74</v>
      </c>
      <c r="AZ1214" t="s">
        <v>74</v>
      </c>
      <c r="BA1214" t="s">
        <v>74</v>
      </c>
      <c r="BB1214">
        <v>945</v>
      </c>
      <c r="BC1214">
        <v>948</v>
      </c>
      <c r="BD1214" t="s">
        <v>74</v>
      </c>
      <c r="BE1214" t="s">
        <v>22581</v>
      </c>
      <c r="BF1214" t="str">
        <f>HYPERLINK("http://dx.doi.org/10.1589/jpts.23.945","http://dx.doi.org/10.1589/jpts.23.945")</f>
        <v>http://dx.doi.org/10.1589/jpts.23.945</v>
      </c>
      <c r="BG1214" t="s">
        <v>74</v>
      </c>
      <c r="BH1214" t="s">
        <v>74</v>
      </c>
      <c r="BI1214">
        <v>4</v>
      </c>
      <c r="BJ1214" t="s">
        <v>101</v>
      </c>
      <c r="BK1214" t="s">
        <v>182</v>
      </c>
      <c r="BL1214" t="s">
        <v>101</v>
      </c>
      <c r="BM1214" t="s">
        <v>22582</v>
      </c>
      <c r="BN1214" t="s">
        <v>74</v>
      </c>
      <c r="BO1214" t="s">
        <v>1052</v>
      </c>
      <c r="BP1214" t="s">
        <v>74</v>
      </c>
      <c r="BQ1214" t="s">
        <v>74</v>
      </c>
      <c r="BR1214" t="s">
        <v>105</v>
      </c>
      <c r="BS1214" t="s">
        <v>22583</v>
      </c>
      <c r="BT1214" t="str">
        <f>HYPERLINK("https%3A%2F%2Fwww.webofscience.com%2Fwos%2Fwoscc%2Ffull-record%2FWOS:000298774400027","View Full Record in Web of Science")</f>
        <v>View Full Record in Web of Science</v>
      </c>
    </row>
    <row r="1215" spans="1:72" x14ac:dyDescent="0.25">
      <c r="A1215" t="s">
        <v>72</v>
      </c>
      <c r="B1215" t="s">
        <v>22584</v>
      </c>
      <c r="C1215" t="s">
        <v>74</v>
      </c>
      <c r="D1215" t="s">
        <v>74</v>
      </c>
      <c r="E1215" t="s">
        <v>74</v>
      </c>
      <c r="F1215" t="s">
        <v>22585</v>
      </c>
      <c r="G1215" t="s">
        <v>74</v>
      </c>
      <c r="H1215" t="s">
        <v>74</v>
      </c>
      <c r="I1215" t="s">
        <v>22586</v>
      </c>
      <c r="J1215" t="s">
        <v>8778</v>
      </c>
      <c r="K1215" t="s">
        <v>74</v>
      </c>
      <c r="L1215" t="s">
        <v>74</v>
      </c>
      <c r="M1215" t="s">
        <v>78</v>
      </c>
      <c r="N1215" t="s">
        <v>79</v>
      </c>
      <c r="O1215" t="s">
        <v>74</v>
      </c>
      <c r="P1215" t="s">
        <v>74</v>
      </c>
      <c r="Q1215" t="s">
        <v>74</v>
      </c>
      <c r="R1215" t="s">
        <v>74</v>
      </c>
      <c r="S1215" t="s">
        <v>74</v>
      </c>
      <c r="T1215" t="s">
        <v>22587</v>
      </c>
      <c r="U1215" t="s">
        <v>74</v>
      </c>
      <c r="V1215" t="s">
        <v>22588</v>
      </c>
      <c r="W1215" t="s">
        <v>22589</v>
      </c>
      <c r="X1215" t="s">
        <v>22590</v>
      </c>
      <c r="Y1215" t="s">
        <v>22591</v>
      </c>
      <c r="Z1215" t="s">
        <v>19660</v>
      </c>
      <c r="AA1215" t="s">
        <v>22592</v>
      </c>
      <c r="AB1215" t="s">
        <v>22593</v>
      </c>
      <c r="AC1215" t="s">
        <v>74</v>
      </c>
      <c r="AD1215" t="s">
        <v>74</v>
      </c>
      <c r="AE1215" t="s">
        <v>74</v>
      </c>
      <c r="AF1215" t="s">
        <v>74</v>
      </c>
      <c r="AG1215">
        <v>97</v>
      </c>
      <c r="AH1215">
        <v>130</v>
      </c>
      <c r="AI1215">
        <v>153</v>
      </c>
      <c r="AJ1215">
        <v>1</v>
      </c>
      <c r="AK1215">
        <v>18</v>
      </c>
      <c r="AL1215" t="s">
        <v>5599</v>
      </c>
      <c r="AM1215" t="s">
        <v>1606</v>
      </c>
      <c r="AN1215" t="s">
        <v>5600</v>
      </c>
      <c r="AO1215" t="s">
        <v>8787</v>
      </c>
      <c r="AP1215" t="s">
        <v>8788</v>
      </c>
      <c r="AQ1215" t="s">
        <v>74</v>
      </c>
      <c r="AR1215" t="s">
        <v>8789</v>
      </c>
      <c r="AS1215" t="s">
        <v>22594</v>
      </c>
      <c r="AT1215" t="s">
        <v>1888</v>
      </c>
      <c r="AU1215">
        <v>2011</v>
      </c>
      <c r="AV1215">
        <v>15</v>
      </c>
      <c r="AW1215">
        <v>4</v>
      </c>
      <c r="AX1215" t="s">
        <v>74</v>
      </c>
      <c r="AY1215" t="s">
        <v>74</v>
      </c>
      <c r="AZ1215" t="s">
        <v>74</v>
      </c>
      <c r="BA1215" t="s">
        <v>74</v>
      </c>
      <c r="BB1215">
        <v>528</v>
      </c>
      <c r="BC1215">
        <v>537</v>
      </c>
      <c r="BD1215" t="s">
        <v>74</v>
      </c>
      <c r="BE1215" t="s">
        <v>22595</v>
      </c>
      <c r="BF1215" t="str">
        <f>HYPERLINK("http://dx.doi.org/10.1016/j.jbmt.2011.01.023","http://dx.doi.org/10.1016/j.jbmt.2011.01.023")</f>
        <v>http://dx.doi.org/10.1016/j.jbmt.2011.01.023</v>
      </c>
      <c r="BG1215" t="s">
        <v>74</v>
      </c>
      <c r="BH1215" t="s">
        <v>74</v>
      </c>
      <c r="BI1215">
        <v>10</v>
      </c>
      <c r="BJ1215" t="s">
        <v>101</v>
      </c>
      <c r="BK1215" t="s">
        <v>155</v>
      </c>
      <c r="BL1215" t="s">
        <v>101</v>
      </c>
      <c r="BM1215" t="s">
        <v>22596</v>
      </c>
      <c r="BN1215">
        <v>21943628</v>
      </c>
      <c r="BO1215" t="s">
        <v>74</v>
      </c>
      <c r="BP1215" t="s">
        <v>74</v>
      </c>
      <c r="BQ1215" t="s">
        <v>74</v>
      </c>
      <c r="BR1215" t="s">
        <v>105</v>
      </c>
      <c r="BS1215" t="s">
        <v>22597</v>
      </c>
      <c r="BT1215" t="str">
        <f>HYPERLINK("https%3A%2F%2Fwww.webofscience.com%2Fwos%2Fwoscc%2Ffull-record%2FWOS:000213676100019","View Full Record in Web of Science")</f>
        <v>View Full Record in Web of Science</v>
      </c>
    </row>
    <row r="1216" spans="1:72" x14ac:dyDescent="0.25">
      <c r="A1216" t="s">
        <v>72</v>
      </c>
      <c r="B1216" t="s">
        <v>22598</v>
      </c>
      <c r="C1216" t="s">
        <v>74</v>
      </c>
      <c r="D1216" t="s">
        <v>74</v>
      </c>
      <c r="E1216" t="s">
        <v>74</v>
      </c>
      <c r="F1216" t="s">
        <v>22599</v>
      </c>
      <c r="G1216" t="s">
        <v>74</v>
      </c>
      <c r="H1216" t="s">
        <v>74</v>
      </c>
      <c r="I1216" t="s">
        <v>22600</v>
      </c>
      <c r="J1216" t="s">
        <v>1008</v>
      </c>
      <c r="K1216" t="s">
        <v>74</v>
      </c>
      <c r="L1216" t="s">
        <v>74</v>
      </c>
      <c r="M1216" t="s">
        <v>78</v>
      </c>
      <c r="N1216" t="s">
        <v>79</v>
      </c>
      <c r="O1216" t="s">
        <v>74</v>
      </c>
      <c r="P1216" t="s">
        <v>74</v>
      </c>
      <c r="Q1216" t="s">
        <v>74</v>
      </c>
      <c r="R1216" t="s">
        <v>74</v>
      </c>
      <c r="S1216" t="s">
        <v>74</v>
      </c>
      <c r="T1216" t="s">
        <v>22601</v>
      </c>
      <c r="U1216" t="s">
        <v>22602</v>
      </c>
      <c r="V1216" t="s">
        <v>22603</v>
      </c>
      <c r="W1216" t="s">
        <v>22604</v>
      </c>
      <c r="X1216" t="s">
        <v>22605</v>
      </c>
      <c r="Y1216" t="s">
        <v>22606</v>
      </c>
      <c r="Z1216" t="s">
        <v>22607</v>
      </c>
      <c r="AA1216" t="s">
        <v>22608</v>
      </c>
      <c r="AB1216" t="s">
        <v>22609</v>
      </c>
      <c r="AC1216" t="s">
        <v>74</v>
      </c>
      <c r="AD1216" t="s">
        <v>74</v>
      </c>
      <c r="AE1216" t="s">
        <v>74</v>
      </c>
      <c r="AF1216" t="s">
        <v>74</v>
      </c>
      <c r="AG1216">
        <v>47</v>
      </c>
      <c r="AH1216">
        <v>15</v>
      </c>
      <c r="AI1216">
        <v>18</v>
      </c>
      <c r="AJ1216">
        <v>1</v>
      </c>
      <c r="AK1216">
        <v>28</v>
      </c>
      <c r="AL1216" t="s">
        <v>2529</v>
      </c>
      <c r="AM1216" t="s">
        <v>2530</v>
      </c>
      <c r="AN1216" t="s">
        <v>2531</v>
      </c>
      <c r="AO1216" t="s">
        <v>1021</v>
      </c>
      <c r="AP1216" t="s">
        <v>6602</v>
      </c>
      <c r="AQ1216" t="s">
        <v>74</v>
      </c>
      <c r="AR1216" t="s">
        <v>1022</v>
      </c>
      <c r="AS1216" t="s">
        <v>1023</v>
      </c>
      <c r="AT1216" t="s">
        <v>1888</v>
      </c>
      <c r="AU1216">
        <v>2011</v>
      </c>
      <c r="AV1216">
        <v>49</v>
      </c>
      <c r="AW1216">
        <v>10</v>
      </c>
      <c r="AX1216" t="s">
        <v>74</v>
      </c>
      <c r="AY1216" t="s">
        <v>74</v>
      </c>
      <c r="AZ1216" t="s">
        <v>152</v>
      </c>
      <c r="BA1216" t="s">
        <v>74</v>
      </c>
      <c r="BB1216">
        <v>1093</v>
      </c>
      <c r="BC1216">
        <v>1102</v>
      </c>
      <c r="BD1216" t="s">
        <v>74</v>
      </c>
      <c r="BE1216" t="s">
        <v>22610</v>
      </c>
      <c r="BF1216" t="str">
        <f>HYPERLINK("http://dx.doi.org/10.1007/s11517-011-0799-y","http://dx.doi.org/10.1007/s11517-011-0799-y")</f>
        <v>http://dx.doi.org/10.1007/s11517-011-0799-y</v>
      </c>
      <c r="BG1216" t="s">
        <v>74</v>
      </c>
      <c r="BH1216" t="s">
        <v>74</v>
      </c>
      <c r="BI1216">
        <v>10</v>
      </c>
      <c r="BJ1216" t="s">
        <v>1025</v>
      </c>
      <c r="BK1216" t="s">
        <v>182</v>
      </c>
      <c r="BL1216" t="s">
        <v>1026</v>
      </c>
      <c r="BM1216" t="s">
        <v>22611</v>
      </c>
      <c r="BN1216">
        <v>21779903</v>
      </c>
      <c r="BO1216" t="s">
        <v>74</v>
      </c>
      <c r="BP1216" t="s">
        <v>74</v>
      </c>
      <c r="BQ1216" t="s">
        <v>74</v>
      </c>
      <c r="BR1216" t="s">
        <v>105</v>
      </c>
      <c r="BS1216" t="s">
        <v>22612</v>
      </c>
      <c r="BT1216" t="str">
        <f>HYPERLINK("https%3A%2F%2Fwww.webofscience.com%2Fwos%2Fwoscc%2Ffull-record%2FWOS:000296694200002","View Full Record in Web of Science")</f>
        <v>View Full Record in Web of Science</v>
      </c>
    </row>
    <row r="1217" spans="1:72" x14ac:dyDescent="0.25">
      <c r="A1217" t="s">
        <v>72</v>
      </c>
      <c r="B1217" t="s">
        <v>22613</v>
      </c>
      <c r="C1217" t="s">
        <v>74</v>
      </c>
      <c r="D1217" t="s">
        <v>74</v>
      </c>
      <c r="E1217" t="s">
        <v>74</v>
      </c>
      <c r="F1217" t="s">
        <v>22614</v>
      </c>
      <c r="G1217" t="s">
        <v>74</v>
      </c>
      <c r="H1217" t="s">
        <v>74</v>
      </c>
      <c r="I1217" t="s">
        <v>22615</v>
      </c>
      <c r="J1217" t="s">
        <v>1008</v>
      </c>
      <c r="K1217" t="s">
        <v>74</v>
      </c>
      <c r="L1217" t="s">
        <v>74</v>
      </c>
      <c r="M1217" t="s">
        <v>78</v>
      </c>
      <c r="N1217" t="s">
        <v>79</v>
      </c>
      <c r="O1217" t="s">
        <v>74</v>
      </c>
      <c r="P1217" t="s">
        <v>74</v>
      </c>
      <c r="Q1217" t="s">
        <v>74</v>
      </c>
      <c r="R1217" t="s">
        <v>74</v>
      </c>
      <c r="S1217" t="s">
        <v>74</v>
      </c>
      <c r="T1217" t="s">
        <v>22616</v>
      </c>
      <c r="U1217" t="s">
        <v>22617</v>
      </c>
      <c r="V1217" t="s">
        <v>22618</v>
      </c>
      <c r="W1217" t="s">
        <v>22619</v>
      </c>
      <c r="X1217" t="s">
        <v>22620</v>
      </c>
      <c r="Y1217" t="s">
        <v>22621</v>
      </c>
      <c r="Z1217" t="s">
        <v>22622</v>
      </c>
      <c r="AA1217" t="s">
        <v>22608</v>
      </c>
      <c r="AB1217" t="s">
        <v>22609</v>
      </c>
      <c r="AC1217" t="s">
        <v>74</v>
      </c>
      <c r="AD1217" t="s">
        <v>74</v>
      </c>
      <c r="AE1217" t="s">
        <v>74</v>
      </c>
      <c r="AF1217" t="s">
        <v>74</v>
      </c>
      <c r="AG1217">
        <v>112</v>
      </c>
      <c r="AH1217">
        <v>151</v>
      </c>
      <c r="AI1217">
        <v>178</v>
      </c>
      <c r="AJ1217">
        <v>3</v>
      </c>
      <c r="AK1217">
        <v>111</v>
      </c>
      <c r="AL1217" t="s">
        <v>2529</v>
      </c>
      <c r="AM1217" t="s">
        <v>2530</v>
      </c>
      <c r="AN1217" t="s">
        <v>2531</v>
      </c>
      <c r="AO1217" t="s">
        <v>1021</v>
      </c>
      <c r="AP1217" t="s">
        <v>6602</v>
      </c>
      <c r="AQ1217" t="s">
        <v>74</v>
      </c>
      <c r="AR1217" t="s">
        <v>1022</v>
      </c>
      <c r="AS1217" t="s">
        <v>1023</v>
      </c>
      <c r="AT1217" t="s">
        <v>1888</v>
      </c>
      <c r="AU1217">
        <v>2011</v>
      </c>
      <c r="AV1217">
        <v>49</v>
      </c>
      <c r="AW1217">
        <v>10</v>
      </c>
      <c r="AX1217" t="s">
        <v>74</v>
      </c>
      <c r="AY1217" t="s">
        <v>74</v>
      </c>
      <c r="AZ1217" t="s">
        <v>152</v>
      </c>
      <c r="BA1217" t="s">
        <v>74</v>
      </c>
      <c r="BB1217">
        <v>1103</v>
      </c>
      <c r="BC1217">
        <v>1118</v>
      </c>
      <c r="BD1217" t="s">
        <v>74</v>
      </c>
      <c r="BE1217" t="s">
        <v>22623</v>
      </c>
      <c r="BF1217" t="str">
        <f>HYPERLINK("http://dx.doi.org/10.1007/s11517-011-0797-0","http://dx.doi.org/10.1007/s11517-011-0797-0")</f>
        <v>http://dx.doi.org/10.1007/s11517-011-0797-0</v>
      </c>
      <c r="BG1217" t="s">
        <v>74</v>
      </c>
      <c r="BH1217" t="s">
        <v>74</v>
      </c>
      <c r="BI1217">
        <v>16</v>
      </c>
      <c r="BJ1217" t="s">
        <v>1025</v>
      </c>
      <c r="BK1217" t="s">
        <v>182</v>
      </c>
      <c r="BL1217" t="s">
        <v>1026</v>
      </c>
      <c r="BM1217" t="s">
        <v>22611</v>
      </c>
      <c r="BN1217">
        <v>21773806</v>
      </c>
      <c r="BO1217" t="s">
        <v>74</v>
      </c>
      <c r="BP1217" t="s">
        <v>74</v>
      </c>
      <c r="BQ1217" t="s">
        <v>74</v>
      </c>
      <c r="BR1217" t="s">
        <v>105</v>
      </c>
      <c r="BS1217" t="s">
        <v>22624</v>
      </c>
      <c r="BT1217" t="str">
        <f>HYPERLINK("https%3A%2F%2Fwww.webofscience.com%2Fwos%2Fwoscc%2Ffull-record%2FWOS:000296694200003","View Full Record in Web of Science")</f>
        <v>View Full Record in Web of Science</v>
      </c>
    </row>
    <row r="1218" spans="1:72" x14ac:dyDescent="0.25">
      <c r="A1218" t="s">
        <v>72</v>
      </c>
      <c r="B1218" t="s">
        <v>22625</v>
      </c>
      <c r="C1218" t="s">
        <v>74</v>
      </c>
      <c r="D1218" t="s">
        <v>74</v>
      </c>
      <c r="E1218" t="s">
        <v>74</v>
      </c>
      <c r="F1218" t="s">
        <v>22626</v>
      </c>
      <c r="G1218" t="s">
        <v>74</v>
      </c>
      <c r="H1218" t="s">
        <v>74</v>
      </c>
      <c r="I1218" t="s">
        <v>22627</v>
      </c>
      <c r="J1218" t="s">
        <v>1008</v>
      </c>
      <c r="K1218" t="s">
        <v>74</v>
      </c>
      <c r="L1218" t="s">
        <v>74</v>
      </c>
      <c r="M1218" t="s">
        <v>78</v>
      </c>
      <c r="N1218" t="s">
        <v>79</v>
      </c>
      <c r="O1218" t="s">
        <v>74</v>
      </c>
      <c r="P1218" t="s">
        <v>74</v>
      </c>
      <c r="Q1218" t="s">
        <v>74</v>
      </c>
      <c r="R1218" t="s">
        <v>74</v>
      </c>
      <c r="S1218" t="s">
        <v>74</v>
      </c>
      <c r="T1218" t="s">
        <v>22628</v>
      </c>
      <c r="U1218" t="s">
        <v>22629</v>
      </c>
      <c r="V1218" t="s">
        <v>22630</v>
      </c>
      <c r="W1218" t="s">
        <v>22631</v>
      </c>
      <c r="X1218" t="s">
        <v>22632</v>
      </c>
      <c r="Y1218" t="s">
        <v>22633</v>
      </c>
      <c r="Z1218" t="s">
        <v>14648</v>
      </c>
      <c r="AA1218" t="s">
        <v>22634</v>
      </c>
      <c r="AB1218" t="s">
        <v>22635</v>
      </c>
      <c r="AC1218" t="s">
        <v>22636</v>
      </c>
      <c r="AD1218" t="s">
        <v>7807</v>
      </c>
      <c r="AE1218" t="s">
        <v>22637</v>
      </c>
      <c r="AF1218" t="s">
        <v>74</v>
      </c>
      <c r="AG1218">
        <v>104</v>
      </c>
      <c r="AH1218">
        <v>23</v>
      </c>
      <c r="AI1218">
        <v>25</v>
      </c>
      <c r="AJ1218">
        <v>3</v>
      </c>
      <c r="AK1218">
        <v>73</v>
      </c>
      <c r="AL1218" t="s">
        <v>2529</v>
      </c>
      <c r="AM1218" t="s">
        <v>2530</v>
      </c>
      <c r="AN1218" t="s">
        <v>2531</v>
      </c>
      <c r="AO1218" t="s">
        <v>1021</v>
      </c>
      <c r="AP1218" t="s">
        <v>6602</v>
      </c>
      <c r="AQ1218" t="s">
        <v>74</v>
      </c>
      <c r="AR1218" t="s">
        <v>1022</v>
      </c>
      <c r="AS1218" t="s">
        <v>1023</v>
      </c>
      <c r="AT1218" t="s">
        <v>1888</v>
      </c>
      <c r="AU1218">
        <v>2011</v>
      </c>
      <c r="AV1218">
        <v>49</v>
      </c>
      <c r="AW1218">
        <v>10</v>
      </c>
      <c r="AX1218" t="s">
        <v>74</v>
      </c>
      <c r="AY1218" t="s">
        <v>74</v>
      </c>
      <c r="AZ1218" t="s">
        <v>152</v>
      </c>
      <c r="BA1218" t="s">
        <v>74</v>
      </c>
      <c r="BB1218">
        <v>1119</v>
      </c>
      <c r="BC1218">
        <v>1130</v>
      </c>
      <c r="BD1218" t="s">
        <v>74</v>
      </c>
      <c r="BE1218" t="s">
        <v>22638</v>
      </c>
      <c r="BF1218" t="str">
        <f>HYPERLINK("http://dx.doi.org/10.1007/s11517-011-0821-4","http://dx.doi.org/10.1007/s11517-011-0821-4")</f>
        <v>http://dx.doi.org/10.1007/s11517-011-0821-4</v>
      </c>
      <c r="BG1218" t="s">
        <v>74</v>
      </c>
      <c r="BH1218" t="s">
        <v>74</v>
      </c>
      <c r="BI1218">
        <v>12</v>
      </c>
      <c r="BJ1218" t="s">
        <v>1025</v>
      </c>
      <c r="BK1218" t="s">
        <v>182</v>
      </c>
      <c r="BL1218" t="s">
        <v>1026</v>
      </c>
      <c r="BM1218" t="s">
        <v>22611</v>
      </c>
      <c r="BN1218">
        <v>21847596</v>
      </c>
      <c r="BO1218" t="s">
        <v>74</v>
      </c>
      <c r="BP1218" t="s">
        <v>74</v>
      </c>
      <c r="BQ1218" t="s">
        <v>74</v>
      </c>
      <c r="BR1218" t="s">
        <v>105</v>
      </c>
      <c r="BS1218" t="s">
        <v>22639</v>
      </c>
      <c r="BT1218" t="str">
        <f>HYPERLINK("https%3A%2F%2Fwww.webofscience.com%2Fwos%2Fwoscc%2Ffull-record%2FWOS:000296694200004","View Full Record in Web of Science")</f>
        <v>View Full Record in Web of Science</v>
      </c>
    </row>
    <row r="1219" spans="1:72" x14ac:dyDescent="0.25">
      <c r="A1219" t="s">
        <v>72</v>
      </c>
      <c r="B1219" t="s">
        <v>22640</v>
      </c>
      <c r="C1219" t="s">
        <v>74</v>
      </c>
      <c r="D1219" t="s">
        <v>74</v>
      </c>
      <c r="E1219" t="s">
        <v>74</v>
      </c>
      <c r="F1219" t="s">
        <v>22641</v>
      </c>
      <c r="G1219" t="s">
        <v>74</v>
      </c>
      <c r="H1219" t="s">
        <v>74</v>
      </c>
      <c r="I1219" t="s">
        <v>22642</v>
      </c>
      <c r="J1219" t="s">
        <v>15391</v>
      </c>
      <c r="K1219" t="s">
        <v>74</v>
      </c>
      <c r="L1219" t="s">
        <v>74</v>
      </c>
      <c r="M1219" t="s">
        <v>78</v>
      </c>
      <c r="N1219" t="s">
        <v>79</v>
      </c>
      <c r="O1219" t="s">
        <v>74</v>
      </c>
      <c r="P1219" t="s">
        <v>74</v>
      </c>
      <c r="Q1219" t="s">
        <v>74</v>
      </c>
      <c r="R1219" t="s">
        <v>74</v>
      </c>
      <c r="S1219" t="s">
        <v>74</v>
      </c>
      <c r="T1219" t="s">
        <v>22643</v>
      </c>
      <c r="U1219" t="s">
        <v>22644</v>
      </c>
      <c r="V1219" t="s">
        <v>22645</v>
      </c>
      <c r="W1219" t="s">
        <v>22646</v>
      </c>
      <c r="X1219" t="s">
        <v>22647</v>
      </c>
      <c r="Y1219" t="s">
        <v>22648</v>
      </c>
      <c r="Z1219" t="s">
        <v>22649</v>
      </c>
      <c r="AA1219" t="s">
        <v>22650</v>
      </c>
      <c r="AB1219" t="s">
        <v>22651</v>
      </c>
      <c r="AC1219" t="s">
        <v>22652</v>
      </c>
      <c r="AD1219" t="s">
        <v>22653</v>
      </c>
      <c r="AE1219" t="s">
        <v>22654</v>
      </c>
      <c r="AF1219" t="s">
        <v>74</v>
      </c>
      <c r="AG1219">
        <v>52</v>
      </c>
      <c r="AH1219">
        <v>160</v>
      </c>
      <c r="AI1219">
        <v>178</v>
      </c>
      <c r="AJ1219">
        <v>3</v>
      </c>
      <c r="AK1219">
        <v>112</v>
      </c>
      <c r="AL1219" t="s">
        <v>1040</v>
      </c>
      <c r="AM1219" t="s">
        <v>1041</v>
      </c>
      <c r="AN1219" t="s">
        <v>1042</v>
      </c>
      <c r="AO1219" t="s">
        <v>15403</v>
      </c>
      <c r="AP1219" t="s">
        <v>15404</v>
      </c>
      <c r="AQ1219" t="s">
        <v>74</v>
      </c>
      <c r="AR1219" t="s">
        <v>15405</v>
      </c>
      <c r="AS1219" t="s">
        <v>15406</v>
      </c>
      <c r="AT1219" t="s">
        <v>1888</v>
      </c>
      <c r="AU1219">
        <v>2011</v>
      </c>
      <c r="AV1219">
        <v>42</v>
      </c>
      <c r="AW1219">
        <v>4</v>
      </c>
      <c r="AX1219" t="s">
        <v>74</v>
      </c>
      <c r="AY1219" t="s">
        <v>74</v>
      </c>
      <c r="AZ1219" t="s">
        <v>152</v>
      </c>
      <c r="BA1219" t="s">
        <v>74</v>
      </c>
      <c r="BB1219">
        <v>245</v>
      </c>
      <c r="BC1219">
        <v>252</v>
      </c>
      <c r="BD1219" t="s">
        <v>74</v>
      </c>
      <c r="BE1219" t="s">
        <v>22655</v>
      </c>
      <c r="BF1219" t="str">
        <f>HYPERLINK("http://dx.doi.org/10.1177/155005941104200410","http://dx.doi.org/10.1177/155005941104200410")</f>
        <v>http://dx.doi.org/10.1177/155005941104200410</v>
      </c>
      <c r="BG1219" t="s">
        <v>74</v>
      </c>
      <c r="BH1219" t="s">
        <v>74</v>
      </c>
      <c r="BI1219">
        <v>8</v>
      </c>
      <c r="BJ1219" t="s">
        <v>15409</v>
      </c>
      <c r="BK1219" t="s">
        <v>182</v>
      </c>
      <c r="BL1219" t="s">
        <v>15410</v>
      </c>
      <c r="BM1219" t="s">
        <v>22656</v>
      </c>
      <c r="BN1219">
        <v>22208122</v>
      </c>
      <c r="BO1219" t="s">
        <v>74</v>
      </c>
      <c r="BP1219" t="s">
        <v>74</v>
      </c>
      <c r="BQ1219" t="s">
        <v>74</v>
      </c>
      <c r="BR1219" t="s">
        <v>105</v>
      </c>
      <c r="BS1219" t="s">
        <v>22657</v>
      </c>
      <c r="BT1219" t="str">
        <f>HYPERLINK("https%3A%2F%2Fwww.webofscience.com%2Fwos%2Fwoscc%2Ffull-record%2FWOS:000297142500008","View Full Record in Web of Science")</f>
        <v>View Full Record in Web of Science</v>
      </c>
    </row>
    <row r="1220" spans="1:72" x14ac:dyDescent="0.25">
      <c r="A1220" t="s">
        <v>72</v>
      </c>
      <c r="B1220" t="s">
        <v>22658</v>
      </c>
      <c r="C1220" t="s">
        <v>74</v>
      </c>
      <c r="D1220" t="s">
        <v>74</v>
      </c>
      <c r="E1220" t="s">
        <v>74</v>
      </c>
      <c r="F1220" t="s">
        <v>22659</v>
      </c>
      <c r="G1220" t="s">
        <v>74</v>
      </c>
      <c r="H1220" t="s">
        <v>74</v>
      </c>
      <c r="I1220" t="s">
        <v>22660</v>
      </c>
      <c r="J1220" t="s">
        <v>22661</v>
      </c>
      <c r="K1220" t="s">
        <v>74</v>
      </c>
      <c r="L1220" t="s">
        <v>74</v>
      </c>
      <c r="M1220" t="s">
        <v>78</v>
      </c>
      <c r="N1220" t="s">
        <v>79</v>
      </c>
      <c r="O1220" t="s">
        <v>74</v>
      </c>
      <c r="P1220" t="s">
        <v>74</v>
      </c>
      <c r="Q1220" t="s">
        <v>74</v>
      </c>
      <c r="R1220" t="s">
        <v>74</v>
      </c>
      <c r="S1220" t="s">
        <v>74</v>
      </c>
      <c r="T1220" t="s">
        <v>74</v>
      </c>
      <c r="U1220" t="s">
        <v>22662</v>
      </c>
      <c r="V1220" t="s">
        <v>22663</v>
      </c>
      <c r="W1220" t="s">
        <v>22664</v>
      </c>
      <c r="X1220" t="s">
        <v>1881</v>
      </c>
      <c r="Y1220" t="s">
        <v>22665</v>
      </c>
      <c r="Z1220" t="s">
        <v>22666</v>
      </c>
      <c r="AA1220" t="s">
        <v>74</v>
      </c>
      <c r="AB1220" t="s">
        <v>22667</v>
      </c>
      <c r="AC1220" t="s">
        <v>74</v>
      </c>
      <c r="AD1220" t="s">
        <v>74</v>
      </c>
      <c r="AE1220" t="s">
        <v>74</v>
      </c>
      <c r="AF1220" t="s">
        <v>74</v>
      </c>
      <c r="AG1220">
        <v>38</v>
      </c>
      <c r="AH1220">
        <v>68</v>
      </c>
      <c r="AI1220">
        <v>73</v>
      </c>
      <c r="AJ1220">
        <v>2</v>
      </c>
      <c r="AK1220">
        <v>27</v>
      </c>
      <c r="AL1220" t="s">
        <v>22668</v>
      </c>
      <c r="AM1220" t="s">
        <v>22669</v>
      </c>
      <c r="AN1220" t="s">
        <v>22670</v>
      </c>
      <c r="AO1220" t="s">
        <v>22671</v>
      </c>
      <c r="AP1220" t="s">
        <v>74</v>
      </c>
      <c r="AQ1220" t="s">
        <v>74</v>
      </c>
      <c r="AR1220" t="s">
        <v>22672</v>
      </c>
      <c r="AS1220" t="s">
        <v>22673</v>
      </c>
      <c r="AT1220" t="s">
        <v>22674</v>
      </c>
      <c r="AU1220">
        <v>2011</v>
      </c>
      <c r="AV1220">
        <v>108</v>
      </c>
      <c r="AW1220">
        <v>36</v>
      </c>
      <c r="AX1220" t="s">
        <v>74</v>
      </c>
      <c r="AY1220" t="s">
        <v>74</v>
      </c>
      <c r="AZ1220" t="s">
        <v>74</v>
      </c>
      <c r="BA1220" t="s">
        <v>74</v>
      </c>
      <c r="BB1220">
        <v>600</v>
      </c>
      <c r="BC1220" t="s">
        <v>22675</v>
      </c>
      <c r="BD1220" t="s">
        <v>74</v>
      </c>
      <c r="BE1220" t="s">
        <v>22676</v>
      </c>
      <c r="BF1220" t="str">
        <f>HYPERLINK("http://dx.doi.org/10.3238/arztebl.2011.0600","http://dx.doi.org/10.3238/arztebl.2011.0600")</f>
        <v>http://dx.doi.org/10.3238/arztebl.2011.0600</v>
      </c>
      <c r="BG1220" t="s">
        <v>74</v>
      </c>
      <c r="BH1220" t="s">
        <v>74</v>
      </c>
      <c r="BI1220">
        <v>8</v>
      </c>
      <c r="BJ1220" t="s">
        <v>128</v>
      </c>
      <c r="BK1220" t="s">
        <v>182</v>
      </c>
      <c r="BL1220" t="s">
        <v>129</v>
      </c>
      <c r="BM1220" t="s">
        <v>22677</v>
      </c>
      <c r="BN1220">
        <v>21966318</v>
      </c>
      <c r="BO1220" t="s">
        <v>2246</v>
      </c>
      <c r="BP1220" t="s">
        <v>74</v>
      </c>
      <c r="BQ1220" t="s">
        <v>74</v>
      </c>
      <c r="BR1220" t="s">
        <v>105</v>
      </c>
      <c r="BS1220" t="s">
        <v>22678</v>
      </c>
      <c r="BT1220" t="str">
        <f>HYPERLINK("https%3A%2F%2Fwww.webofscience.com%2Fwos%2Fwoscc%2Ffull-record%2FWOS:000296896500004","View Full Record in Web of Science")</f>
        <v>View Full Record in Web of Science</v>
      </c>
    </row>
    <row r="1221" spans="1:72" x14ac:dyDescent="0.25">
      <c r="A1221" t="s">
        <v>72</v>
      </c>
      <c r="B1221" t="s">
        <v>22679</v>
      </c>
      <c r="C1221" t="s">
        <v>74</v>
      </c>
      <c r="D1221" t="s">
        <v>74</v>
      </c>
      <c r="E1221" t="s">
        <v>74</v>
      </c>
      <c r="F1221" t="s">
        <v>22680</v>
      </c>
      <c r="G1221" t="s">
        <v>74</v>
      </c>
      <c r="H1221" t="s">
        <v>74</v>
      </c>
      <c r="I1221" t="s">
        <v>22681</v>
      </c>
      <c r="J1221" t="s">
        <v>16896</v>
      </c>
      <c r="K1221" t="s">
        <v>74</v>
      </c>
      <c r="L1221" t="s">
        <v>74</v>
      </c>
      <c r="M1221" t="s">
        <v>78</v>
      </c>
      <c r="N1221" t="s">
        <v>79</v>
      </c>
      <c r="O1221" t="s">
        <v>74</v>
      </c>
      <c r="P1221" t="s">
        <v>74</v>
      </c>
      <c r="Q1221" t="s">
        <v>74</v>
      </c>
      <c r="R1221" t="s">
        <v>74</v>
      </c>
      <c r="S1221" t="s">
        <v>74</v>
      </c>
      <c r="T1221" t="s">
        <v>22682</v>
      </c>
      <c r="U1221" t="s">
        <v>22683</v>
      </c>
      <c r="V1221" t="s">
        <v>22684</v>
      </c>
      <c r="W1221" t="s">
        <v>22685</v>
      </c>
      <c r="X1221" t="s">
        <v>74</v>
      </c>
      <c r="Y1221" t="s">
        <v>22686</v>
      </c>
      <c r="Z1221" t="s">
        <v>21022</v>
      </c>
      <c r="AA1221" t="s">
        <v>22687</v>
      </c>
      <c r="AB1221" t="s">
        <v>6878</v>
      </c>
      <c r="AC1221" t="s">
        <v>74</v>
      </c>
      <c r="AD1221" t="s">
        <v>74</v>
      </c>
      <c r="AE1221" t="s">
        <v>74</v>
      </c>
      <c r="AF1221" t="s">
        <v>74</v>
      </c>
      <c r="AG1221">
        <v>37</v>
      </c>
      <c r="AH1221">
        <v>34</v>
      </c>
      <c r="AI1221">
        <v>40</v>
      </c>
      <c r="AJ1221">
        <v>0</v>
      </c>
      <c r="AK1221">
        <v>31</v>
      </c>
      <c r="AL1221" t="s">
        <v>346</v>
      </c>
      <c r="AM1221" t="s">
        <v>227</v>
      </c>
      <c r="AN1221" t="s">
        <v>22688</v>
      </c>
      <c r="AO1221" t="s">
        <v>16908</v>
      </c>
      <c r="AP1221" t="s">
        <v>74</v>
      </c>
      <c r="AQ1221" t="s">
        <v>74</v>
      </c>
      <c r="AR1221" t="s">
        <v>16910</v>
      </c>
      <c r="AS1221" t="s">
        <v>16911</v>
      </c>
      <c r="AT1221" t="s">
        <v>420</v>
      </c>
      <c r="AU1221">
        <v>2011</v>
      </c>
      <c r="AV1221">
        <v>34</v>
      </c>
      <c r="AW1221">
        <v>3</v>
      </c>
      <c r="AX1221" t="s">
        <v>74</v>
      </c>
      <c r="AY1221" t="s">
        <v>74</v>
      </c>
      <c r="AZ1221" t="s">
        <v>74</v>
      </c>
      <c r="BA1221" t="s">
        <v>74</v>
      </c>
      <c r="BB1221">
        <v>196</v>
      </c>
      <c r="BC1221">
        <v>202</v>
      </c>
      <c r="BD1221" t="s">
        <v>74</v>
      </c>
      <c r="BE1221" t="s">
        <v>22689</v>
      </c>
      <c r="BF1221" t="str">
        <f>HYPERLINK("http://dx.doi.org/10.1097/MRR.0b013e328346e8ad","http://dx.doi.org/10.1097/MRR.0b013e328346e8ad")</f>
        <v>http://dx.doi.org/10.1097/MRR.0b013e328346e8ad</v>
      </c>
      <c r="BG1221" t="s">
        <v>74</v>
      </c>
      <c r="BH1221" t="s">
        <v>74</v>
      </c>
      <c r="BI1221">
        <v>7</v>
      </c>
      <c r="BJ1221" t="s">
        <v>101</v>
      </c>
      <c r="BK1221" t="s">
        <v>462</v>
      </c>
      <c r="BL1221" t="s">
        <v>101</v>
      </c>
      <c r="BM1221" t="s">
        <v>22690</v>
      </c>
      <c r="BN1221">
        <v>21543990</v>
      </c>
      <c r="BO1221" t="s">
        <v>74</v>
      </c>
      <c r="BP1221" t="s">
        <v>74</v>
      </c>
      <c r="BQ1221" t="s">
        <v>74</v>
      </c>
      <c r="BR1221" t="s">
        <v>105</v>
      </c>
      <c r="BS1221" t="s">
        <v>22691</v>
      </c>
      <c r="BT1221" t="str">
        <f>HYPERLINK("https%3A%2F%2Fwww.webofscience.com%2Fwos%2Fwoscc%2Ffull-record%2FWOS:000293731700002","View Full Record in Web of Science")</f>
        <v>View Full Record in Web of Science</v>
      </c>
    </row>
    <row r="1222" spans="1:72" x14ac:dyDescent="0.25">
      <c r="A1222" t="s">
        <v>72</v>
      </c>
      <c r="B1222" t="s">
        <v>22692</v>
      </c>
      <c r="C1222" t="s">
        <v>74</v>
      </c>
      <c r="D1222" t="s">
        <v>74</v>
      </c>
      <c r="E1222" t="s">
        <v>74</v>
      </c>
      <c r="F1222" t="s">
        <v>22693</v>
      </c>
      <c r="G1222" t="s">
        <v>74</v>
      </c>
      <c r="H1222" t="s">
        <v>74</v>
      </c>
      <c r="I1222" t="s">
        <v>22694</v>
      </c>
      <c r="J1222" t="s">
        <v>22695</v>
      </c>
      <c r="K1222" t="s">
        <v>74</v>
      </c>
      <c r="L1222" t="s">
        <v>74</v>
      </c>
      <c r="M1222" t="s">
        <v>78</v>
      </c>
      <c r="N1222" t="s">
        <v>79</v>
      </c>
      <c r="O1222" t="s">
        <v>74</v>
      </c>
      <c r="P1222" t="s">
        <v>74</v>
      </c>
      <c r="Q1222" t="s">
        <v>74</v>
      </c>
      <c r="R1222" t="s">
        <v>74</v>
      </c>
      <c r="S1222" t="s">
        <v>74</v>
      </c>
      <c r="T1222" t="s">
        <v>22696</v>
      </c>
      <c r="U1222" t="s">
        <v>22697</v>
      </c>
      <c r="V1222" t="s">
        <v>22698</v>
      </c>
      <c r="W1222" t="s">
        <v>22699</v>
      </c>
      <c r="X1222" t="s">
        <v>22700</v>
      </c>
      <c r="Y1222" t="s">
        <v>22701</v>
      </c>
      <c r="Z1222" t="s">
        <v>22702</v>
      </c>
      <c r="AA1222" t="s">
        <v>22703</v>
      </c>
      <c r="AB1222" t="s">
        <v>22704</v>
      </c>
      <c r="AC1222" t="s">
        <v>22705</v>
      </c>
      <c r="AD1222" t="s">
        <v>22706</v>
      </c>
      <c r="AE1222" t="s">
        <v>22707</v>
      </c>
      <c r="AF1222" t="s">
        <v>74</v>
      </c>
      <c r="AG1222">
        <v>47</v>
      </c>
      <c r="AH1222">
        <v>7</v>
      </c>
      <c r="AI1222">
        <v>8</v>
      </c>
      <c r="AJ1222">
        <v>0</v>
      </c>
      <c r="AK1222">
        <v>11</v>
      </c>
      <c r="AL1222" t="s">
        <v>297</v>
      </c>
      <c r="AM1222" t="s">
        <v>298</v>
      </c>
      <c r="AN1222" t="s">
        <v>299</v>
      </c>
      <c r="AO1222" t="s">
        <v>22708</v>
      </c>
      <c r="AP1222" t="s">
        <v>22709</v>
      </c>
      <c r="AQ1222" t="s">
        <v>74</v>
      </c>
      <c r="AR1222" t="s">
        <v>22710</v>
      </c>
      <c r="AS1222" t="s">
        <v>22711</v>
      </c>
      <c r="AT1222" t="s">
        <v>420</v>
      </c>
      <c r="AU1222">
        <v>2011</v>
      </c>
      <c r="AV1222">
        <v>38</v>
      </c>
      <c r="AW1222">
        <v>9</v>
      </c>
      <c r="AX1222" t="s">
        <v>74</v>
      </c>
      <c r="AY1222" t="s">
        <v>74</v>
      </c>
      <c r="AZ1222" t="s">
        <v>74</v>
      </c>
      <c r="BA1222" t="s">
        <v>74</v>
      </c>
      <c r="BB1222">
        <v>562</v>
      </c>
      <c r="BC1222">
        <v>569</v>
      </c>
      <c r="BD1222" t="s">
        <v>74</v>
      </c>
      <c r="BE1222" t="s">
        <v>22712</v>
      </c>
      <c r="BF1222" t="str">
        <f>HYPERLINK("http://dx.doi.org/10.1111/j.1440-1681.2011.05566.x","http://dx.doi.org/10.1111/j.1440-1681.2011.05566.x")</f>
        <v>http://dx.doi.org/10.1111/j.1440-1681.2011.05566.x</v>
      </c>
      <c r="BG1222" t="s">
        <v>74</v>
      </c>
      <c r="BH1222" t="s">
        <v>74</v>
      </c>
      <c r="BI1222">
        <v>8</v>
      </c>
      <c r="BJ1222" t="s">
        <v>22713</v>
      </c>
      <c r="BK1222" t="s">
        <v>182</v>
      </c>
      <c r="BL1222" t="s">
        <v>22713</v>
      </c>
      <c r="BM1222" t="s">
        <v>22714</v>
      </c>
      <c r="BN1222">
        <v>21722162</v>
      </c>
      <c r="BO1222" t="s">
        <v>1052</v>
      </c>
      <c r="BP1222" t="s">
        <v>74</v>
      </c>
      <c r="BQ1222" t="s">
        <v>74</v>
      </c>
      <c r="BR1222" t="s">
        <v>105</v>
      </c>
      <c r="BS1222" t="s">
        <v>22715</v>
      </c>
      <c r="BT1222" t="str">
        <f>HYPERLINK("https%3A%2F%2Fwww.webofscience.com%2Fwos%2Fwoscc%2Ffull-record%2FWOS:000294563600003","View Full Record in Web of Science")</f>
        <v>View Full Record in Web of Science</v>
      </c>
    </row>
    <row r="1223" spans="1:72" x14ac:dyDescent="0.25">
      <c r="A1223" t="s">
        <v>72</v>
      </c>
      <c r="B1223" t="s">
        <v>22716</v>
      </c>
      <c r="C1223" t="s">
        <v>74</v>
      </c>
      <c r="D1223" t="s">
        <v>74</v>
      </c>
      <c r="E1223" t="s">
        <v>74</v>
      </c>
      <c r="F1223" t="s">
        <v>22717</v>
      </c>
      <c r="G1223" t="s">
        <v>74</v>
      </c>
      <c r="H1223" t="s">
        <v>74</v>
      </c>
      <c r="I1223" t="s">
        <v>22718</v>
      </c>
      <c r="J1223" t="s">
        <v>13400</v>
      </c>
      <c r="K1223" t="s">
        <v>74</v>
      </c>
      <c r="L1223" t="s">
        <v>74</v>
      </c>
      <c r="M1223" t="s">
        <v>78</v>
      </c>
      <c r="N1223" t="s">
        <v>79</v>
      </c>
      <c r="O1223" t="s">
        <v>74</v>
      </c>
      <c r="P1223" t="s">
        <v>74</v>
      </c>
      <c r="Q1223" t="s">
        <v>74</v>
      </c>
      <c r="R1223" t="s">
        <v>74</v>
      </c>
      <c r="S1223" t="s">
        <v>74</v>
      </c>
      <c r="T1223" t="s">
        <v>22719</v>
      </c>
      <c r="U1223" t="s">
        <v>22720</v>
      </c>
      <c r="V1223" t="s">
        <v>22721</v>
      </c>
      <c r="W1223" t="s">
        <v>22722</v>
      </c>
      <c r="X1223" t="s">
        <v>22723</v>
      </c>
      <c r="Y1223" t="s">
        <v>22724</v>
      </c>
      <c r="Z1223" t="s">
        <v>22725</v>
      </c>
      <c r="AA1223" t="s">
        <v>22726</v>
      </c>
      <c r="AB1223" t="s">
        <v>22727</v>
      </c>
      <c r="AC1223" t="s">
        <v>22344</v>
      </c>
      <c r="AD1223" t="s">
        <v>22344</v>
      </c>
      <c r="AE1223" t="s">
        <v>22728</v>
      </c>
      <c r="AF1223" t="s">
        <v>74</v>
      </c>
      <c r="AG1223">
        <v>34</v>
      </c>
      <c r="AH1223">
        <v>71</v>
      </c>
      <c r="AI1223">
        <v>78</v>
      </c>
      <c r="AJ1223">
        <v>0</v>
      </c>
      <c r="AK1223">
        <v>9</v>
      </c>
      <c r="AL1223" t="s">
        <v>346</v>
      </c>
      <c r="AM1223" t="s">
        <v>227</v>
      </c>
      <c r="AN1223" t="s">
        <v>347</v>
      </c>
      <c r="AO1223" t="s">
        <v>13413</v>
      </c>
      <c r="AP1223" t="s">
        <v>13414</v>
      </c>
      <c r="AQ1223" t="s">
        <v>74</v>
      </c>
      <c r="AR1223" t="s">
        <v>13400</v>
      </c>
      <c r="AS1223" t="s">
        <v>13415</v>
      </c>
      <c r="AT1223" t="s">
        <v>1070</v>
      </c>
      <c r="AU1223">
        <v>2011</v>
      </c>
      <c r="AV1223">
        <v>42</v>
      </c>
      <c r="AW1223">
        <v>6</v>
      </c>
      <c r="AX1223" t="s">
        <v>74</v>
      </c>
      <c r="AY1223" t="s">
        <v>74</v>
      </c>
      <c r="AZ1223" t="s">
        <v>74</v>
      </c>
      <c r="BA1223" t="s">
        <v>74</v>
      </c>
      <c r="BB1223">
        <v>1787</v>
      </c>
      <c r="BC1223">
        <v>1794</v>
      </c>
      <c r="BD1223" t="s">
        <v>74</v>
      </c>
      <c r="BE1223" t="s">
        <v>22729</v>
      </c>
      <c r="BF1223" t="str">
        <f>HYPERLINK("http://dx.doi.org/10.1161/STROKEAHA.110.608505","http://dx.doi.org/10.1161/STROKEAHA.110.608505")</f>
        <v>http://dx.doi.org/10.1161/STROKEAHA.110.608505</v>
      </c>
      <c r="BG1223" t="s">
        <v>74</v>
      </c>
      <c r="BH1223" t="s">
        <v>74</v>
      </c>
      <c r="BI1223">
        <v>8</v>
      </c>
      <c r="BJ1223" t="s">
        <v>13417</v>
      </c>
      <c r="BK1223" t="s">
        <v>102</v>
      </c>
      <c r="BL1223" t="s">
        <v>13418</v>
      </c>
      <c r="BM1223" t="s">
        <v>22730</v>
      </c>
      <c r="BN1223">
        <v>21566236</v>
      </c>
      <c r="BO1223" t="s">
        <v>74</v>
      </c>
      <c r="BP1223" t="s">
        <v>74</v>
      </c>
      <c r="BQ1223" t="s">
        <v>74</v>
      </c>
      <c r="BR1223" t="s">
        <v>105</v>
      </c>
      <c r="BS1223" t="s">
        <v>22731</v>
      </c>
      <c r="BT1223" t="str">
        <f>HYPERLINK("https%3A%2F%2Fwww.webofscience.com%2Fwos%2Fwoscc%2Ffull-record%2FWOS:000291032700069","View Full Record in Web of Science")</f>
        <v>View Full Record in Web of Science</v>
      </c>
    </row>
    <row r="1224" spans="1:72" x14ac:dyDescent="0.25">
      <c r="A1224" t="s">
        <v>72</v>
      </c>
      <c r="B1224" t="s">
        <v>22732</v>
      </c>
      <c r="C1224" t="s">
        <v>74</v>
      </c>
      <c r="D1224" t="s">
        <v>74</v>
      </c>
      <c r="E1224" t="s">
        <v>74</v>
      </c>
      <c r="F1224" t="s">
        <v>22733</v>
      </c>
      <c r="G1224" t="s">
        <v>74</v>
      </c>
      <c r="H1224" t="s">
        <v>74</v>
      </c>
      <c r="I1224" t="s">
        <v>22734</v>
      </c>
      <c r="J1224" t="s">
        <v>1674</v>
      </c>
      <c r="K1224" t="s">
        <v>74</v>
      </c>
      <c r="L1224" t="s">
        <v>74</v>
      </c>
      <c r="M1224" t="s">
        <v>78</v>
      </c>
      <c r="N1224" t="s">
        <v>79</v>
      </c>
      <c r="O1224" t="s">
        <v>74</v>
      </c>
      <c r="P1224" t="s">
        <v>74</v>
      </c>
      <c r="Q1224" t="s">
        <v>74</v>
      </c>
      <c r="R1224" t="s">
        <v>74</v>
      </c>
      <c r="S1224" t="s">
        <v>74</v>
      </c>
      <c r="T1224" t="s">
        <v>22735</v>
      </c>
      <c r="U1224" t="s">
        <v>22736</v>
      </c>
      <c r="V1224" t="s">
        <v>22737</v>
      </c>
      <c r="W1224" t="s">
        <v>22738</v>
      </c>
      <c r="X1224" t="s">
        <v>21053</v>
      </c>
      <c r="Y1224" t="s">
        <v>22739</v>
      </c>
      <c r="Z1224" t="s">
        <v>22740</v>
      </c>
      <c r="AA1224" t="s">
        <v>22741</v>
      </c>
      <c r="AB1224" t="s">
        <v>22742</v>
      </c>
      <c r="AC1224" t="s">
        <v>2083</v>
      </c>
      <c r="AD1224" t="s">
        <v>2083</v>
      </c>
      <c r="AE1224" t="s">
        <v>22743</v>
      </c>
      <c r="AF1224" t="s">
        <v>74</v>
      </c>
      <c r="AG1224">
        <v>73</v>
      </c>
      <c r="AH1224">
        <v>96</v>
      </c>
      <c r="AI1224">
        <v>111</v>
      </c>
      <c r="AJ1224">
        <v>0</v>
      </c>
      <c r="AK1224">
        <v>59</v>
      </c>
      <c r="AL1224" t="s">
        <v>531</v>
      </c>
      <c r="AM1224" t="s">
        <v>532</v>
      </c>
      <c r="AN1224" t="s">
        <v>533</v>
      </c>
      <c r="AO1224" t="s">
        <v>1687</v>
      </c>
      <c r="AP1224" t="s">
        <v>1688</v>
      </c>
      <c r="AQ1224" t="s">
        <v>74</v>
      </c>
      <c r="AR1224" t="s">
        <v>1689</v>
      </c>
      <c r="AS1224" t="s">
        <v>1690</v>
      </c>
      <c r="AT1224" t="s">
        <v>1070</v>
      </c>
      <c r="AU1224">
        <v>2011</v>
      </c>
      <c r="AV1224">
        <v>33</v>
      </c>
      <c r="AW1224">
        <v>5</v>
      </c>
      <c r="AX1224" t="s">
        <v>74</v>
      </c>
      <c r="AY1224" t="s">
        <v>74</v>
      </c>
      <c r="AZ1224" t="s">
        <v>74</v>
      </c>
      <c r="BA1224" t="s">
        <v>74</v>
      </c>
      <c r="BB1224">
        <v>527</v>
      </c>
      <c r="BC1224">
        <v>533</v>
      </c>
      <c r="BD1224" t="s">
        <v>74</v>
      </c>
      <c r="BE1224" t="s">
        <v>22744</v>
      </c>
      <c r="BF1224" t="str">
        <f>HYPERLINK("http://dx.doi.org/10.1016/j.medengphy.2010.12.010","http://dx.doi.org/10.1016/j.medengphy.2010.12.010")</f>
        <v>http://dx.doi.org/10.1016/j.medengphy.2010.12.010</v>
      </c>
      <c r="BG1224" t="s">
        <v>74</v>
      </c>
      <c r="BH1224" t="s">
        <v>74</v>
      </c>
      <c r="BI1224">
        <v>7</v>
      </c>
      <c r="BJ1224" t="s">
        <v>282</v>
      </c>
      <c r="BK1224" t="s">
        <v>182</v>
      </c>
      <c r="BL1224" t="s">
        <v>183</v>
      </c>
      <c r="BM1224" t="s">
        <v>22745</v>
      </c>
      <c r="BN1224">
        <v>21216650</v>
      </c>
      <c r="BO1224" t="s">
        <v>74</v>
      </c>
      <c r="BP1224" t="s">
        <v>74</v>
      </c>
      <c r="BQ1224" t="s">
        <v>74</v>
      </c>
      <c r="BR1224" t="s">
        <v>105</v>
      </c>
      <c r="BS1224" t="s">
        <v>22746</v>
      </c>
      <c r="BT1224" t="str">
        <f>HYPERLINK("https%3A%2F%2Fwww.webofscience.com%2Fwos%2Fwoscc%2Ffull-record%2FWOS:000291525100001","View Full Record in Web of Science")</f>
        <v>View Full Record in Web of Science</v>
      </c>
    </row>
    <row r="1225" spans="1:72" x14ac:dyDescent="0.25">
      <c r="A1225" t="s">
        <v>72</v>
      </c>
      <c r="B1225" t="s">
        <v>22747</v>
      </c>
      <c r="C1225" t="s">
        <v>74</v>
      </c>
      <c r="D1225" t="s">
        <v>74</v>
      </c>
      <c r="E1225" t="s">
        <v>74</v>
      </c>
      <c r="F1225" t="s">
        <v>22748</v>
      </c>
      <c r="G1225" t="s">
        <v>74</v>
      </c>
      <c r="H1225" t="s">
        <v>74</v>
      </c>
      <c r="I1225" t="s">
        <v>22749</v>
      </c>
      <c r="J1225" t="s">
        <v>22750</v>
      </c>
      <c r="K1225" t="s">
        <v>74</v>
      </c>
      <c r="L1225" t="s">
        <v>74</v>
      </c>
      <c r="M1225" t="s">
        <v>78</v>
      </c>
      <c r="N1225" t="s">
        <v>79</v>
      </c>
      <c r="O1225" t="s">
        <v>74</v>
      </c>
      <c r="P1225" t="s">
        <v>74</v>
      </c>
      <c r="Q1225" t="s">
        <v>74</v>
      </c>
      <c r="R1225" t="s">
        <v>74</v>
      </c>
      <c r="S1225" t="s">
        <v>74</v>
      </c>
      <c r="T1225" t="s">
        <v>22751</v>
      </c>
      <c r="U1225" t="s">
        <v>22752</v>
      </c>
      <c r="V1225" t="s">
        <v>22753</v>
      </c>
      <c r="W1225" t="s">
        <v>22754</v>
      </c>
      <c r="X1225" t="s">
        <v>19392</v>
      </c>
      <c r="Y1225" t="s">
        <v>22755</v>
      </c>
      <c r="Z1225" t="s">
        <v>22756</v>
      </c>
      <c r="AA1225" t="s">
        <v>22757</v>
      </c>
      <c r="AB1225" t="s">
        <v>22758</v>
      </c>
      <c r="AC1225" t="s">
        <v>74</v>
      </c>
      <c r="AD1225" t="s">
        <v>74</v>
      </c>
      <c r="AE1225" t="s">
        <v>74</v>
      </c>
      <c r="AF1225" t="s">
        <v>74</v>
      </c>
      <c r="AG1225">
        <v>115</v>
      </c>
      <c r="AH1225">
        <v>30</v>
      </c>
      <c r="AI1225">
        <v>32</v>
      </c>
      <c r="AJ1225">
        <v>3</v>
      </c>
      <c r="AK1225">
        <v>58</v>
      </c>
      <c r="AL1225" t="s">
        <v>172</v>
      </c>
      <c r="AM1225" t="s">
        <v>4844</v>
      </c>
      <c r="AN1225" t="s">
        <v>4845</v>
      </c>
      <c r="AO1225" t="s">
        <v>22759</v>
      </c>
      <c r="AP1225" t="s">
        <v>22760</v>
      </c>
      <c r="AQ1225" t="s">
        <v>74</v>
      </c>
      <c r="AR1225" t="s">
        <v>22761</v>
      </c>
      <c r="AS1225" t="s">
        <v>22762</v>
      </c>
      <c r="AT1225" t="s">
        <v>1070</v>
      </c>
      <c r="AU1225">
        <v>2011</v>
      </c>
      <c r="AV1225">
        <v>34</v>
      </c>
      <c r="AW1225">
        <v>2</v>
      </c>
      <c r="AX1225" t="s">
        <v>74</v>
      </c>
      <c r="AY1225" t="s">
        <v>74</v>
      </c>
      <c r="AZ1225" t="s">
        <v>74</v>
      </c>
      <c r="BA1225" t="s">
        <v>74</v>
      </c>
      <c r="BB1225">
        <v>179</v>
      </c>
      <c r="BC1225">
        <v>193</v>
      </c>
      <c r="BD1225" t="s">
        <v>74</v>
      </c>
      <c r="BE1225" t="s">
        <v>22763</v>
      </c>
      <c r="BF1225" t="str">
        <f>HYPERLINK("http://dx.doi.org/10.1007/s13246-011-0066-4","http://dx.doi.org/10.1007/s13246-011-0066-4")</f>
        <v>http://dx.doi.org/10.1007/s13246-011-0066-4</v>
      </c>
      <c r="BG1225" t="s">
        <v>74</v>
      </c>
      <c r="BH1225" t="s">
        <v>74</v>
      </c>
      <c r="BI1225">
        <v>15</v>
      </c>
      <c r="BJ1225" t="s">
        <v>282</v>
      </c>
      <c r="BK1225" t="s">
        <v>182</v>
      </c>
      <c r="BL1225" t="s">
        <v>183</v>
      </c>
      <c r="BM1225" t="s">
        <v>22764</v>
      </c>
      <c r="BN1225">
        <v>21416388</v>
      </c>
      <c r="BO1225" t="s">
        <v>74</v>
      </c>
      <c r="BP1225" t="s">
        <v>74</v>
      </c>
      <c r="BQ1225" t="s">
        <v>74</v>
      </c>
      <c r="BR1225" t="s">
        <v>105</v>
      </c>
      <c r="BS1225" t="s">
        <v>22765</v>
      </c>
      <c r="BT1225" t="str">
        <f>HYPERLINK("https%3A%2F%2Fwww.webofscience.com%2Fwos%2Fwoscc%2Ffull-record%2FWOS:000292040100002","View Full Record in Web of Science")</f>
        <v>View Full Record in Web of Science</v>
      </c>
    </row>
    <row r="1226" spans="1:72" x14ac:dyDescent="0.25">
      <c r="A1226" t="s">
        <v>72</v>
      </c>
      <c r="B1226" t="s">
        <v>22766</v>
      </c>
      <c r="C1226" t="s">
        <v>74</v>
      </c>
      <c r="D1226" t="s">
        <v>74</v>
      </c>
      <c r="E1226" t="s">
        <v>74</v>
      </c>
      <c r="F1226" t="s">
        <v>22767</v>
      </c>
      <c r="G1226" t="s">
        <v>74</v>
      </c>
      <c r="H1226" t="s">
        <v>74</v>
      </c>
      <c r="I1226" t="s">
        <v>22768</v>
      </c>
      <c r="J1226" t="s">
        <v>6208</v>
      </c>
      <c r="K1226" t="s">
        <v>74</v>
      </c>
      <c r="L1226" t="s">
        <v>74</v>
      </c>
      <c r="M1226" t="s">
        <v>78</v>
      </c>
      <c r="N1226" t="s">
        <v>79</v>
      </c>
      <c r="O1226" t="s">
        <v>74</v>
      </c>
      <c r="P1226" t="s">
        <v>74</v>
      </c>
      <c r="Q1226" t="s">
        <v>74</v>
      </c>
      <c r="R1226" t="s">
        <v>74</v>
      </c>
      <c r="S1226" t="s">
        <v>74</v>
      </c>
      <c r="T1226" t="s">
        <v>22769</v>
      </c>
      <c r="U1226" t="s">
        <v>22770</v>
      </c>
      <c r="V1226" t="s">
        <v>22771</v>
      </c>
      <c r="W1226" t="s">
        <v>22772</v>
      </c>
      <c r="X1226" t="s">
        <v>22773</v>
      </c>
      <c r="Y1226" t="s">
        <v>22774</v>
      </c>
      <c r="Z1226" t="s">
        <v>22775</v>
      </c>
      <c r="AA1226" t="s">
        <v>22776</v>
      </c>
      <c r="AB1226" t="s">
        <v>22777</v>
      </c>
      <c r="AC1226" t="s">
        <v>22778</v>
      </c>
      <c r="AD1226" t="s">
        <v>22778</v>
      </c>
      <c r="AE1226" t="s">
        <v>22779</v>
      </c>
      <c r="AF1226" t="s">
        <v>74</v>
      </c>
      <c r="AG1226">
        <v>19</v>
      </c>
      <c r="AH1226">
        <v>37</v>
      </c>
      <c r="AI1226">
        <v>37</v>
      </c>
      <c r="AJ1226">
        <v>2</v>
      </c>
      <c r="AK1226">
        <v>32</v>
      </c>
      <c r="AL1226" t="s">
        <v>92</v>
      </c>
      <c r="AM1226" t="s">
        <v>93</v>
      </c>
      <c r="AN1226" t="s">
        <v>94</v>
      </c>
      <c r="AO1226" t="s">
        <v>6220</v>
      </c>
      <c r="AP1226" t="s">
        <v>6221</v>
      </c>
      <c r="AQ1226" t="s">
        <v>74</v>
      </c>
      <c r="AR1226" t="s">
        <v>6208</v>
      </c>
      <c r="AS1226" t="s">
        <v>6222</v>
      </c>
      <c r="AT1226" t="s">
        <v>326</v>
      </c>
      <c r="AU1226">
        <v>2011</v>
      </c>
      <c r="AV1226">
        <v>25</v>
      </c>
      <c r="AW1226">
        <v>5</v>
      </c>
      <c r="AX1226" t="s">
        <v>74</v>
      </c>
      <c r="AY1226" t="s">
        <v>74</v>
      </c>
      <c r="AZ1226" t="s">
        <v>74</v>
      </c>
      <c r="BA1226" t="s">
        <v>74</v>
      </c>
      <c r="BB1226">
        <v>435</v>
      </c>
      <c r="BC1226">
        <v>442</v>
      </c>
      <c r="BD1226" t="s">
        <v>74</v>
      </c>
      <c r="BE1226" t="s">
        <v>22780</v>
      </c>
      <c r="BF1226" t="str">
        <f>HYPERLINK("http://dx.doi.org/10.3109/02699052.2011.558047","http://dx.doi.org/10.3109/02699052.2011.558047")</f>
        <v>http://dx.doi.org/10.3109/02699052.2011.558047</v>
      </c>
      <c r="BG1226" t="s">
        <v>74</v>
      </c>
      <c r="BH1226" t="s">
        <v>74</v>
      </c>
      <c r="BI1226">
        <v>8</v>
      </c>
      <c r="BJ1226" t="s">
        <v>6225</v>
      </c>
      <c r="BK1226" t="s">
        <v>102</v>
      </c>
      <c r="BL1226" t="s">
        <v>1050</v>
      </c>
      <c r="BM1226" t="s">
        <v>22781</v>
      </c>
      <c r="BN1226">
        <v>21401370</v>
      </c>
      <c r="BO1226" t="s">
        <v>74</v>
      </c>
      <c r="BP1226" t="s">
        <v>74</v>
      </c>
      <c r="BQ1226" t="s">
        <v>74</v>
      </c>
      <c r="BR1226" t="s">
        <v>105</v>
      </c>
      <c r="BS1226" t="s">
        <v>22782</v>
      </c>
      <c r="BT1226" t="str">
        <f>HYPERLINK("https%3A%2F%2Fwww.webofscience.com%2Fwos%2Fwoscc%2Ffull-record%2FWOS:000289164700001","View Full Record in Web of Science")</f>
        <v>View Full Record in Web of Science</v>
      </c>
    </row>
    <row r="1227" spans="1:72" x14ac:dyDescent="0.25">
      <c r="A1227" t="s">
        <v>72</v>
      </c>
      <c r="B1227" t="s">
        <v>22783</v>
      </c>
      <c r="C1227" t="s">
        <v>74</v>
      </c>
      <c r="D1227" t="s">
        <v>74</v>
      </c>
      <c r="E1227" t="s">
        <v>74</v>
      </c>
      <c r="F1227" t="s">
        <v>22784</v>
      </c>
      <c r="G1227" t="s">
        <v>74</v>
      </c>
      <c r="H1227" t="s">
        <v>74</v>
      </c>
      <c r="I1227" t="s">
        <v>22785</v>
      </c>
      <c r="J1227" t="s">
        <v>22786</v>
      </c>
      <c r="K1227" t="s">
        <v>74</v>
      </c>
      <c r="L1227" t="s">
        <v>74</v>
      </c>
      <c r="M1227" t="s">
        <v>78</v>
      </c>
      <c r="N1227" t="s">
        <v>79</v>
      </c>
      <c r="O1227" t="s">
        <v>74</v>
      </c>
      <c r="P1227" t="s">
        <v>74</v>
      </c>
      <c r="Q1227" t="s">
        <v>74</v>
      </c>
      <c r="R1227" t="s">
        <v>74</v>
      </c>
      <c r="S1227" t="s">
        <v>74</v>
      </c>
      <c r="T1227" t="s">
        <v>22787</v>
      </c>
      <c r="U1227" t="s">
        <v>74</v>
      </c>
      <c r="V1227" t="s">
        <v>22788</v>
      </c>
      <c r="W1227" t="s">
        <v>22789</v>
      </c>
      <c r="X1227" t="s">
        <v>22790</v>
      </c>
      <c r="Y1227" t="s">
        <v>22791</v>
      </c>
      <c r="Z1227" t="s">
        <v>22792</v>
      </c>
      <c r="AA1227" t="s">
        <v>74</v>
      </c>
      <c r="AB1227" t="s">
        <v>74</v>
      </c>
      <c r="AC1227" t="s">
        <v>74</v>
      </c>
      <c r="AD1227" t="s">
        <v>74</v>
      </c>
      <c r="AE1227" t="s">
        <v>74</v>
      </c>
      <c r="AF1227" t="s">
        <v>74</v>
      </c>
      <c r="AG1227">
        <v>7</v>
      </c>
      <c r="AH1227">
        <v>1</v>
      </c>
      <c r="AI1227">
        <v>1</v>
      </c>
      <c r="AJ1227">
        <v>0</v>
      </c>
      <c r="AK1227">
        <v>0</v>
      </c>
      <c r="AL1227" t="s">
        <v>531</v>
      </c>
      <c r="AM1227" t="s">
        <v>532</v>
      </c>
      <c r="AN1227" t="s">
        <v>533</v>
      </c>
      <c r="AO1227" t="s">
        <v>22793</v>
      </c>
      <c r="AP1227" t="s">
        <v>22794</v>
      </c>
      <c r="AQ1227" t="s">
        <v>74</v>
      </c>
      <c r="AR1227" t="s">
        <v>22795</v>
      </c>
      <c r="AS1227" t="s">
        <v>22796</v>
      </c>
      <c r="AT1227" t="s">
        <v>487</v>
      </c>
      <c r="AU1227">
        <v>2011</v>
      </c>
      <c r="AV1227">
        <v>1</v>
      </c>
      <c r="AW1227">
        <v>2</v>
      </c>
      <c r="AX1227" t="s">
        <v>74</v>
      </c>
      <c r="AY1227" t="s">
        <v>74</v>
      </c>
      <c r="AZ1227" t="s">
        <v>74</v>
      </c>
      <c r="BA1227" t="s">
        <v>74</v>
      </c>
      <c r="BB1227">
        <v>56</v>
      </c>
      <c r="BC1227">
        <v>59</v>
      </c>
      <c r="BD1227" t="s">
        <v>74</v>
      </c>
      <c r="BE1227" t="s">
        <v>22797</v>
      </c>
      <c r="BF1227" t="str">
        <f>HYPERLINK("http://dx.doi.org/10.1016/j.tacc.2011.01.005","http://dx.doi.org/10.1016/j.tacc.2011.01.005")</f>
        <v>http://dx.doi.org/10.1016/j.tacc.2011.01.005</v>
      </c>
      <c r="BG1227" t="s">
        <v>74</v>
      </c>
      <c r="BH1227" t="s">
        <v>74</v>
      </c>
      <c r="BI1227">
        <v>4</v>
      </c>
      <c r="BJ1227" t="s">
        <v>6426</v>
      </c>
      <c r="BK1227" t="s">
        <v>155</v>
      </c>
      <c r="BL1227" t="s">
        <v>6426</v>
      </c>
      <c r="BM1227" t="s">
        <v>22798</v>
      </c>
      <c r="BN1227" t="s">
        <v>74</v>
      </c>
      <c r="BO1227" t="s">
        <v>74</v>
      </c>
      <c r="BP1227" t="s">
        <v>74</v>
      </c>
      <c r="BQ1227" t="s">
        <v>74</v>
      </c>
      <c r="BR1227" t="s">
        <v>105</v>
      </c>
      <c r="BS1227" t="s">
        <v>22799</v>
      </c>
      <c r="BT1227" t="str">
        <f>HYPERLINK("https%3A%2F%2Fwww.webofscience.com%2Fwos%2Fwoscc%2Ffull-record%2FWOS:000420343700002","View Full Record in Web of Science")</f>
        <v>View Full Record in Web of Science</v>
      </c>
    </row>
    <row r="1228" spans="1:72" x14ac:dyDescent="0.25">
      <c r="A1228" t="s">
        <v>72</v>
      </c>
      <c r="B1228" t="s">
        <v>22800</v>
      </c>
      <c r="C1228" t="s">
        <v>74</v>
      </c>
      <c r="D1228" t="s">
        <v>74</v>
      </c>
      <c r="E1228" t="s">
        <v>74</v>
      </c>
      <c r="F1228" t="s">
        <v>22801</v>
      </c>
      <c r="G1228" t="s">
        <v>74</v>
      </c>
      <c r="H1228" t="s">
        <v>74</v>
      </c>
      <c r="I1228" t="s">
        <v>22802</v>
      </c>
      <c r="J1228" t="s">
        <v>22803</v>
      </c>
      <c r="K1228" t="s">
        <v>74</v>
      </c>
      <c r="L1228" t="s">
        <v>74</v>
      </c>
      <c r="M1228" t="s">
        <v>78</v>
      </c>
      <c r="N1228" t="s">
        <v>79</v>
      </c>
      <c r="O1228" t="s">
        <v>74</v>
      </c>
      <c r="P1228" t="s">
        <v>74</v>
      </c>
      <c r="Q1228" t="s">
        <v>74</v>
      </c>
      <c r="R1228" t="s">
        <v>74</v>
      </c>
      <c r="S1228" t="s">
        <v>74</v>
      </c>
      <c r="T1228" t="s">
        <v>22804</v>
      </c>
      <c r="U1228" t="s">
        <v>22805</v>
      </c>
      <c r="V1228" t="s">
        <v>22806</v>
      </c>
      <c r="W1228" t="s">
        <v>22807</v>
      </c>
      <c r="X1228" t="s">
        <v>22808</v>
      </c>
      <c r="Y1228" t="s">
        <v>22809</v>
      </c>
      <c r="Z1228" t="s">
        <v>22810</v>
      </c>
      <c r="AA1228" t="s">
        <v>22811</v>
      </c>
      <c r="AB1228" t="s">
        <v>22812</v>
      </c>
      <c r="AC1228" t="s">
        <v>22813</v>
      </c>
      <c r="AD1228" t="s">
        <v>22813</v>
      </c>
      <c r="AE1228" t="s">
        <v>22814</v>
      </c>
      <c r="AF1228" t="s">
        <v>74</v>
      </c>
      <c r="AG1228">
        <v>67</v>
      </c>
      <c r="AH1228">
        <v>38</v>
      </c>
      <c r="AI1228">
        <v>46</v>
      </c>
      <c r="AJ1228">
        <v>1</v>
      </c>
      <c r="AK1228">
        <v>34</v>
      </c>
      <c r="AL1228" t="s">
        <v>836</v>
      </c>
      <c r="AM1228" t="s">
        <v>532</v>
      </c>
      <c r="AN1228" t="s">
        <v>837</v>
      </c>
      <c r="AO1228" t="s">
        <v>22815</v>
      </c>
      <c r="AP1228" t="s">
        <v>22816</v>
      </c>
      <c r="AQ1228" t="s">
        <v>74</v>
      </c>
      <c r="AR1228" t="s">
        <v>22817</v>
      </c>
      <c r="AS1228" t="s">
        <v>22818</v>
      </c>
      <c r="AT1228" t="s">
        <v>5812</v>
      </c>
      <c r="AU1228">
        <v>2011</v>
      </c>
      <c r="AV1228">
        <v>84</v>
      </c>
      <c r="AW1228" t="s">
        <v>22819</v>
      </c>
      <c r="AX1228" t="s">
        <v>74</v>
      </c>
      <c r="AY1228" t="s">
        <v>74</v>
      </c>
      <c r="AZ1228" t="s">
        <v>152</v>
      </c>
      <c r="BA1228" t="s">
        <v>74</v>
      </c>
      <c r="BB1228">
        <v>343</v>
      </c>
      <c r="BC1228">
        <v>357</v>
      </c>
      <c r="BD1228" t="s">
        <v>74</v>
      </c>
      <c r="BE1228" t="s">
        <v>22820</v>
      </c>
      <c r="BF1228" t="str">
        <f>HYPERLINK("http://dx.doi.org/10.1016/j.brainresbull.2010.08.007","http://dx.doi.org/10.1016/j.brainresbull.2010.08.007")</f>
        <v>http://dx.doi.org/10.1016/j.brainresbull.2010.08.007</v>
      </c>
      <c r="BG1228" t="s">
        <v>74</v>
      </c>
      <c r="BH1228" t="s">
        <v>74</v>
      </c>
      <c r="BI1228">
        <v>15</v>
      </c>
      <c r="BJ1228" t="s">
        <v>374</v>
      </c>
      <c r="BK1228" t="s">
        <v>182</v>
      </c>
      <c r="BL1228" t="s">
        <v>375</v>
      </c>
      <c r="BM1228" t="s">
        <v>22821</v>
      </c>
      <c r="BN1228">
        <v>20728509</v>
      </c>
      <c r="BO1228" t="s">
        <v>74</v>
      </c>
      <c r="BP1228" t="s">
        <v>74</v>
      </c>
      <c r="BQ1228" t="s">
        <v>74</v>
      </c>
      <c r="BR1228" t="s">
        <v>105</v>
      </c>
      <c r="BS1228" t="s">
        <v>22822</v>
      </c>
      <c r="BT1228" t="str">
        <f>HYPERLINK("https%3A%2F%2Fwww.webofscience.com%2Fwos%2Fwoscc%2Ffull-record%2FWOS:000288876500010","View Full Record in Web of Science")</f>
        <v>View Full Record in Web of Science</v>
      </c>
    </row>
    <row r="1229" spans="1:72" x14ac:dyDescent="0.25">
      <c r="A1229" t="s">
        <v>72</v>
      </c>
      <c r="B1229" t="s">
        <v>22823</v>
      </c>
      <c r="C1229" t="s">
        <v>74</v>
      </c>
      <c r="D1229" t="s">
        <v>74</v>
      </c>
      <c r="E1229" t="s">
        <v>74</v>
      </c>
      <c r="F1229" t="s">
        <v>22824</v>
      </c>
      <c r="G1229" t="s">
        <v>74</v>
      </c>
      <c r="H1229" t="s">
        <v>74</v>
      </c>
      <c r="I1229" t="s">
        <v>22825</v>
      </c>
      <c r="J1229" t="s">
        <v>468</v>
      </c>
      <c r="K1229" t="s">
        <v>74</v>
      </c>
      <c r="L1229" t="s">
        <v>74</v>
      </c>
      <c r="M1229" t="s">
        <v>78</v>
      </c>
      <c r="N1229" t="s">
        <v>79</v>
      </c>
      <c r="O1229" t="s">
        <v>74</v>
      </c>
      <c r="P1229" t="s">
        <v>74</v>
      </c>
      <c r="Q1229" t="s">
        <v>74</v>
      </c>
      <c r="R1229" t="s">
        <v>74</v>
      </c>
      <c r="S1229" t="s">
        <v>74</v>
      </c>
      <c r="T1229" t="s">
        <v>22826</v>
      </c>
      <c r="U1229" t="s">
        <v>22827</v>
      </c>
      <c r="V1229" t="s">
        <v>22828</v>
      </c>
      <c r="W1229" t="s">
        <v>22829</v>
      </c>
      <c r="X1229" t="s">
        <v>22830</v>
      </c>
      <c r="Y1229" t="s">
        <v>18301</v>
      </c>
      <c r="Z1229" t="s">
        <v>22831</v>
      </c>
      <c r="AA1229" t="s">
        <v>18303</v>
      </c>
      <c r="AB1229" t="s">
        <v>22832</v>
      </c>
      <c r="AC1229" t="s">
        <v>74</v>
      </c>
      <c r="AD1229" t="s">
        <v>74</v>
      </c>
      <c r="AE1229" t="s">
        <v>74</v>
      </c>
      <c r="AF1229" t="s">
        <v>74</v>
      </c>
      <c r="AG1229">
        <v>100</v>
      </c>
      <c r="AH1229">
        <v>179</v>
      </c>
      <c r="AI1229">
        <v>196</v>
      </c>
      <c r="AJ1229">
        <v>0</v>
      </c>
      <c r="AK1229">
        <v>53</v>
      </c>
      <c r="AL1229" t="s">
        <v>480</v>
      </c>
      <c r="AM1229" t="s">
        <v>481</v>
      </c>
      <c r="AN1229" t="s">
        <v>482</v>
      </c>
      <c r="AO1229" t="s">
        <v>483</v>
      </c>
      <c r="AP1229" t="s">
        <v>484</v>
      </c>
      <c r="AQ1229" t="s">
        <v>74</v>
      </c>
      <c r="AR1229" t="s">
        <v>485</v>
      </c>
      <c r="AS1229" t="s">
        <v>486</v>
      </c>
      <c r="AT1229" t="s">
        <v>351</v>
      </c>
      <c r="AU1229">
        <v>2011</v>
      </c>
      <c r="AV1229">
        <v>43</v>
      </c>
      <c r="AW1229">
        <v>3</v>
      </c>
      <c r="AX1229" t="s">
        <v>74</v>
      </c>
      <c r="AY1229" t="s">
        <v>74</v>
      </c>
      <c r="AZ1229" t="s">
        <v>74</v>
      </c>
      <c r="BA1229" t="s">
        <v>74</v>
      </c>
      <c r="BB1229">
        <v>181</v>
      </c>
      <c r="BC1229">
        <v>189</v>
      </c>
      <c r="BD1229" t="s">
        <v>74</v>
      </c>
      <c r="BE1229" t="s">
        <v>22833</v>
      </c>
      <c r="BF1229" t="str">
        <f>HYPERLINK("http://dx.doi.org/10.2340/16501977-0674","http://dx.doi.org/10.2340/16501977-0674")</f>
        <v>http://dx.doi.org/10.2340/16501977-0674</v>
      </c>
      <c r="BG1229" t="s">
        <v>74</v>
      </c>
      <c r="BH1229" t="s">
        <v>74</v>
      </c>
      <c r="BI1229">
        <v>9</v>
      </c>
      <c r="BJ1229" t="s">
        <v>236</v>
      </c>
      <c r="BK1229" t="s">
        <v>182</v>
      </c>
      <c r="BL1229" t="s">
        <v>236</v>
      </c>
      <c r="BM1229" t="s">
        <v>22834</v>
      </c>
      <c r="BN1229">
        <v>21305232</v>
      </c>
      <c r="BO1229" t="s">
        <v>185</v>
      </c>
      <c r="BP1229" t="s">
        <v>74</v>
      </c>
      <c r="BQ1229" t="s">
        <v>74</v>
      </c>
      <c r="BR1229" t="s">
        <v>105</v>
      </c>
      <c r="BS1229" t="s">
        <v>22835</v>
      </c>
      <c r="BT1229" t="str">
        <f>HYPERLINK("https%3A%2F%2Fwww.webofscience.com%2Fwos%2Fwoscc%2Ffull-record%2FWOS:000287388400001","View Full Record in Web of Science")</f>
        <v>View Full Record in Web of Science</v>
      </c>
    </row>
    <row r="1230" spans="1:72" x14ac:dyDescent="0.25">
      <c r="A1230" t="s">
        <v>72</v>
      </c>
      <c r="B1230" t="s">
        <v>22836</v>
      </c>
      <c r="C1230" t="s">
        <v>74</v>
      </c>
      <c r="D1230" t="s">
        <v>74</v>
      </c>
      <c r="E1230" t="s">
        <v>74</v>
      </c>
      <c r="F1230" t="s">
        <v>22837</v>
      </c>
      <c r="G1230" t="s">
        <v>74</v>
      </c>
      <c r="H1230" t="s">
        <v>74</v>
      </c>
      <c r="I1230" t="s">
        <v>22838</v>
      </c>
      <c r="J1230" t="s">
        <v>1361</v>
      </c>
      <c r="K1230" t="s">
        <v>74</v>
      </c>
      <c r="L1230" t="s">
        <v>74</v>
      </c>
      <c r="M1230" t="s">
        <v>78</v>
      </c>
      <c r="N1230" t="s">
        <v>79</v>
      </c>
      <c r="O1230" t="s">
        <v>74</v>
      </c>
      <c r="P1230" t="s">
        <v>74</v>
      </c>
      <c r="Q1230" t="s">
        <v>74</v>
      </c>
      <c r="R1230" t="s">
        <v>74</v>
      </c>
      <c r="S1230" t="s">
        <v>74</v>
      </c>
      <c r="T1230" t="s">
        <v>74</v>
      </c>
      <c r="U1230" t="s">
        <v>22839</v>
      </c>
      <c r="V1230" t="s">
        <v>22840</v>
      </c>
      <c r="W1230" t="s">
        <v>22841</v>
      </c>
      <c r="X1230" t="s">
        <v>22842</v>
      </c>
      <c r="Y1230" t="s">
        <v>22843</v>
      </c>
      <c r="Z1230" t="s">
        <v>22844</v>
      </c>
      <c r="AA1230" t="s">
        <v>22845</v>
      </c>
      <c r="AB1230" t="s">
        <v>22846</v>
      </c>
      <c r="AC1230" t="s">
        <v>74</v>
      </c>
      <c r="AD1230" t="s">
        <v>74</v>
      </c>
      <c r="AE1230" t="s">
        <v>74</v>
      </c>
      <c r="AF1230" t="s">
        <v>74</v>
      </c>
      <c r="AG1230">
        <v>81</v>
      </c>
      <c r="AH1230">
        <v>394</v>
      </c>
      <c r="AI1230">
        <v>429</v>
      </c>
      <c r="AJ1230">
        <v>1</v>
      </c>
      <c r="AK1230">
        <v>22</v>
      </c>
      <c r="AL1230" t="s">
        <v>367</v>
      </c>
      <c r="AM1230" t="s">
        <v>275</v>
      </c>
      <c r="AN1230" t="s">
        <v>368</v>
      </c>
      <c r="AO1230" t="s">
        <v>1368</v>
      </c>
      <c r="AP1230" t="s">
        <v>1369</v>
      </c>
      <c r="AQ1230" t="s">
        <v>74</v>
      </c>
      <c r="AR1230" t="s">
        <v>1370</v>
      </c>
      <c r="AS1230" t="s">
        <v>1371</v>
      </c>
      <c r="AT1230" t="s">
        <v>74</v>
      </c>
      <c r="AU1230">
        <v>2011</v>
      </c>
      <c r="AV1230">
        <v>2011</v>
      </c>
      <c r="AW1230" t="s">
        <v>74</v>
      </c>
      <c r="AX1230" t="s">
        <v>74</v>
      </c>
      <c r="AY1230" t="s">
        <v>74</v>
      </c>
      <c r="AZ1230" t="s">
        <v>74</v>
      </c>
      <c r="BA1230" t="s">
        <v>74</v>
      </c>
      <c r="BB1230" t="s">
        <v>74</v>
      </c>
      <c r="BC1230" t="s">
        <v>74</v>
      </c>
      <c r="BD1230">
        <v>759764</v>
      </c>
      <c r="BE1230" t="s">
        <v>22847</v>
      </c>
      <c r="BF1230" t="str">
        <f>HYPERLINK("http://dx.doi.org/10.1155/2011/759764","http://dx.doi.org/10.1155/2011/759764")</f>
        <v>http://dx.doi.org/10.1155/2011/759764</v>
      </c>
      <c r="BG1230" t="s">
        <v>74</v>
      </c>
      <c r="BH1230" t="s">
        <v>74</v>
      </c>
      <c r="BI1230">
        <v>11</v>
      </c>
      <c r="BJ1230" t="s">
        <v>714</v>
      </c>
      <c r="BK1230" t="s">
        <v>155</v>
      </c>
      <c r="BL1230" t="s">
        <v>714</v>
      </c>
      <c r="BM1230" t="s">
        <v>1373</v>
      </c>
      <c r="BN1230" t="s">
        <v>74</v>
      </c>
      <c r="BO1230" t="s">
        <v>377</v>
      </c>
      <c r="BP1230" t="s">
        <v>74</v>
      </c>
      <c r="BQ1230" t="s">
        <v>74</v>
      </c>
      <c r="BR1230" t="s">
        <v>105</v>
      </c>
      <c r="BS1230" t="s">
        <v>22848</v>
      </c>
      <c r="BT1230" t="str">
        <f>HYPERLINK("https%3A%2F%2Fwww.webofscience.com%2Fwos%2Fwoscc%2Ffull-record%2FWOS:000215714400035","View Full Record in Web of Science")</f>
        <v>View Full Record in Web of Science</v>
      </c>
    </row>
    <row r="1231" spans="1:72" x14ac:dyDescent="0.25">
      <c r="A1231" t="s">
        <v>18749</v>
      </c>
      <c r="B1231" t="s">
        <v>22849</v>
      </c>
      <c r="C1231" t="s">
        <v>74</v>
      </c>
      <c r="D1231" t="s">
        <v>22850</v>
      </c>
      <c r="E1231" t="s">
        <v>74</v>
      </c>
      <c r="F1231" t="s">
        <v>22851</v>
      </c>
      <c r="G1231" t="s">
        <v>74</v>
      </c>
      <c r="H1231" t="s">
        <v>74</v>
      </c>
      <c r="I1231" t="s">
        <v>22852</v>
      </c>
      <c r="J1231" t="s">
        <v>22853</v>
      </c>
      <c r="K1231" t="s">
        <v>22854</v>
      </c>
      <c r="L1231" t="s">
        <v>74</v>
      </c>
      <c r="M1231" t="s">
        <v>78</v>
      </c>
      <c r="N1231" t="s">
        <v>1537</v>
      </c>
      <c r="O1231" t="s">
        <v>74</v>
      </c>
      <c r="P1231" t="s">
        <v>74</v>
      </c>
      <c r="Q1231" t="s">
        <v>74</v>
      </c>
      <c r="R1231" t="s">
        <v>74</v>
      </c>
      <c r="S1231" t="s">
        <v>74</v>
      </c>
      <c r="T1231" t="s">
        <v>22855</v>
      </c>
      <c r="U1231" t="s">
        <v>22856</v>
      </c>
      <c r="V1231" t="s">
        <v>22857</v>
      </c>
      <c r="W1231" t="s">
        <v>22858</v>
      </c>
      <c r="X1231" t="s">
        <v>22859</v>
      </c>
      <c r="Y1231" t="s">
        <v>22860</v>
      </c>
      <c r="Z1231" t="s">
        <v>22861</v>
      </c>
      <c r="AA1231" t="s">
        <v>74</v>
      </c>
      <c r="AB1231" t="s">
        <v>74</v>
      </c>
      <c r="AC1231" t="s">
        <v>22862</v>
      </c>
      <c r="AD1231" t="s">
        <v>22863</v>
      </c>
      <c r="AE1231" t="s">
        <v>74</v>
      </c>
      <c r="AF1231" t="s">
        <v>74</v>
      </c>
      <c r="AG1231">
        <v>44</v>
      </c>
      <c r="AH1231">
        <v>15</v>
      </c>
      <c r="AI1231">
        <v>17</v>
      </c>
      <c r="AJ1231">
        <v>0</v>
      </c>
      <c r="AK1231">
        <v>31</v>
      </c>
      <c r="AL1231" t="s">
        <v>5599</v>
      </c>
      <c r="AM1231" t="s">
        <v>1606</v>
      </c>
      <c r="AN1231" t="s">
        <v>22864</v>
      </c>
      <c r="AO1231" t="s">
        <v>22865</v>
      </c>
      <c r="AP1231" t="s">
        <v>74</v>
      </c>
      <c r="AQ1231" t="s">
        <v>22866</v>
      </c>
      <c r="AR1231" t="s">
        <v>22867</v>
      </c>
      <c r="AS1231" t="s">
        <v>22868</v>
      </c>
      <c r="AT1231" t="s">
        <v>74</v>
      </c>
      <c r="AU1231">
        <v>2011</v>
      </c>
      <c r="AV1231">
        <v>192</v>
      </c>
      <c r="AW1231" t="s">
        <v>74</v>
      </c>
      <c r="AX1231" t="s">
        <v>74</v>
      </c>
      <c r="AY1231" t="s">
        <v>74</v>
      </c>
      <c r="AZ1231" t="s">
        <v>74</v>
      </c>
      <c r="BA1231" t="s">
        <v>74</v>
      </c>
      <c r="BB1231">
        <v>59</v>
      </c>
      <c r="BC1231">
        <v>68</v>
      </c>
      <c r="BD1231" t="s">
        <v>74</v>
      </c>
      <c r="BE1231" t="s">
        <v>22869</v>
      </c>
      <c r="BF1231" t="str">
        <f>HYPERLINK("http://dx.doi.org/10.1016/B978-0-444-53355-5.00004-X","http://dx.doi.org/10.1016/B978-0-444-53355-5.00004-X")</f>
        <v>http://dx.doi.org/10.1016/B978-0-444-53355-5.00004-X</v>
      </c>
      <c r="BG1231" t="s">
        <v>74</v>
      </c>
      <c r="BH1231" t="s">
        <v>74</v>
      </c>
      <c r="BI1231">
        <v>10</v>
      </c>
      <c r="BJ1231" t="s">
        <v>6225</v>
      </c>
      <c r="BK1231" t="s">
        <v>18774</v>
      </c>
      <c r="BL1231" t="s">
        <v>1050</v>
      </c>
      <c r="BM1231" t="s">
        <v>22870</v>
      </c>
      <c r="BN1231">
        <v>21763518</v>
      </c>
      <c r="BO1231" t="s">
        <v>74</v>
      </c>
      <c r="BP1231" t="s">
        <v>74</v>
      </c>
      <c r="BQ1231" t="s">
        <v>74</v>
      </c>
      <c r="BR1231" t="s">
        <v>105</v>
      </c>
      <c r="BS1231" t="s">
        <v>22871</v>
      </c>
      <c r="BT1231" t="str">
        <f>HYPERLINK("https%3A%2F%2Fwww.webofscience.com%2Fwos%2Fwoscc%2Ffull-record%2FWOS:000310992900005","View Full Record in Web of Science")</f>
        <v>View Full Record in Web of Science</v>
      </c>
    </row>
    <row r="1232" spans="1:72" x14ac:dyDescent="0.25">
      <c r="A1232" t="s">
        <v>18749</v>
      </c>
      <c r="B1232" t="s">
        <v>22872</v>
      </c>
      <c r="C1232" t="s">
        <v>74</v>
      </c>
      <c r="D1232" t="s">
        <v>22850</v>
      </c>
      <c r="E1232" t="s">
        <v>74</v>
      </c>
      <c r="F1232" t="s">
        <v>22873</v>
      </c>
      <c r="G1232" t="s">
        <v>74</v>
      </c>
      <c r="H1232" t="s">
        <v>74</v>
      </c>
      <c r="I1232" t="s">
        <v>22874</v>
      </c>
      <c r="J1232" t="s">
        <v>22853</v>
      </c>
      <c r="K1232" t="s">
        <v>22854</v>
      </c>
      <c r="L1232" t="s">
        <v>74</v>
      </c>
      <c r="M1232" t="s">
        <v>78</v>
      </c>
      <c r="N1232" t="s">
        <v>1537</v>
      </c>
      <c r="O1232" t="s">
        <v>74</v>
      </c>
      <c r="P1232" t="s">
        <v>74</v>
      </c>
      <c r="Q1232" t="s">
        <v>74</v>
      </c>
      <c r="R1232" t="s">
        <v>74</v>
      </c>
      <c r="S1232" t="s">
        <v>74</v>
      </c>
      <c r="T1232" t="s">
        <v>22875</v>
      </c>
      <c r="U1232" t="s">
        <v>22876</v>
      </c>
      <c r="V1232" t="s">
        <v>22877</v>
      </c>
      <c r="W1232" t="s">
        <v>22878</v>
      </c>
      <c r="X1232" t="s">
        <v>22879</v>
      </c>
      <c r="Y1232" t="s">
        <v>22880</v>
      </c>
      <c r="Z1232" t="s">
        <v>22881</v>
      </c>
      <c r="AA1232" t="s">
        <v>74</v>
      </c>
      <c r="AB1232" t="s">
        <v>74</v>
      </c>
      <c r="AC1232" t="s">
        <v>22882</v>
      </c>
      <c r="AD1232" t="s">
        <v>22883</v>
      </c>
      <c r="AE1232" t="s">
        <v>74</v>
      </c>
      <c r="AF1232" t="s">
        <v>74</v>
      </c>
      <c r="AG1232">
        <v>72</v>
      </c>
      <c r="AH1232">
        <v>13</v>
      </c>
      <c r="AI1232">
        <v>13</v>
      </c>
      <c r="AJ1232">
        <v>1</v>
      </c>
      <c r="AK1232">
        <v>26</v>
      </c>
      <c r="AL1232" t="s">
        <v>5599</v>
      </c>
      <c r="AM1232" t="s">
        <v>1606</v>
      </c>
      <c r="AN1232" t="s">
        <v>22864</v>
      </c>
      <c r="AO1232" t="s">
        <v>22865</v>
      </c>
      <c r="AP1232" t="s">
        <v>74</v>
      </c>
      <c r="AQ1232" t="s">
        <v>22866</v>
      </c>
      <c r="AR1232" t="s">
        <v>22867</v>
      </c>
      <c r="AS1232" t="s">
        <v>22868</v>
      </c>
      <c r="AT1232" t="s">
        <v>74</v>
      </c>
      <c r="AU1232">
        <v>2011</v>
      </c>
      <c r="AV1232">
        <v>192</v>
      </c>
      <c r="AW1232" t="s">
        <v>74</v>
      </c>
      <c r="AX1232" t="s">
        <v>74</v>
      </c>
      <c r="AY1232" t="s">
        <v>74</v>
      </c>
      <c r="AZ1232" t="s">
        <v>74</v>
      </c>
      <c r="BA1232" t="s">
        <v>74</v>
      </c>
      <c r="BB1232">
        <v>147</v>
      </c>
      <c r="BC1232">
        <v>159</v>
      </c>
      <c r="BD1232" t="s">
        <v>74</v>
      </c>
      <c r="BE1232" t="s">
        <v>22884</v>
      </c>
      <c r="BF1232" t="str">
        <f>HYPERLINK("http://dx.doi.org/10.1016/B978-0-444-53355-5.00010-5","http://dx.doi.org/10.1016/B978-0-444-53355-5.00010-5")</f>
        <v>http://dx.doi.org/10.1016/B978-0-444-53355-5.00010-5</v>
      </c>
      <c r="BG1232" t="s">
        <v>74</v>
      </c>
      <c r="BH1232" t="s">
        <v>74</v>
      </c>
      <c r="BI1232">
        <v>13</v>
      </c>
      <c r="BJ1232" t="s">
        <v>6225</v>
      </c>
      <c r="BK1232" t="s">
        <v>18774</v>
      </c>
      <c r="BL1232" t="s">
        <v>1050</v>
      </c>
      <c r="BM1232" t="s">
        <v>22870</v>
      </c>
      <c r="BN1232">
        <v>21763524</v>
      </c>
      <c r="BO1232" t="s">
        <v>74</v>
      </c>
      <c r="BP1232" t="s">
        <v>74</v>
      </c>
      <c r="BQ1232" t="s">
        <v>74</v>
      </c>
      <c r="BR1232" t="s">
        <v>105</v>
      </c>
      <c r="BS1232" t="s">
        <v>22885</v>
      </c>
      <c r="BT1232" t="str">
        <f>HYPERLINK("https%3A%2F%2Fwww.webofscience.com%2Fwos%2Fwoscc%2Ffull-record%2FWOS:000310992900011","View Full Record in Web of Science")</f>
        <v>View Full Record in Web of Science</v>
      </c>
    </row>
    <row r="1233" spans="1:72" x14ac:dyDescent="0.25">
      <c r="A1233" t="s">
        <v>72</v>
      </c>
      <c r="B1233" t="s">
        <v>22886</v>
      </c>
      <c r="C1233" t="s">
        <v>74</v>
      </c>
      <c r="D1233" t="s">
        <v>74</v>
      </c>
      <c r="E1233" t="s">
        <v>74</v>
      </c>
      <c r="F1233" t="s">
        <v>22887</v>
      </c>
      <c r="G1233" t="s">
        <v>74</v>
      </c>
      <c r="H1233" t="s">
        <v>74</v>
      </c>
      <c r="I1233" t="s">
        <v>22888</v>
      </c>
      <c r="J1233" t="s">
        <v>22889</v>
      </c>
      <c r="K1233" t="s">
        <v>74</v>
      </c>
      <c r="L1233" t="s">
        <v>74</v>
      </c>
      <c r="M1233" t="s">
        <v>78</v>
      </c>
      <c r="N1233" t="s">
        <v>79</v>
      </c>
      <c r="O1233" t="s">
        <v>74</v>
      </c>
      <c r="P1233" t="s">
        <v>74</v>
      </c>
      <c r="Q1233" t="s">
        <v>74</v>
      </c>
      <c r="R1233" t="s">
        <v>74</v>
      </c>
      <c r="S1233" t="s">
        <v>74</v>
      </c>
      <c r="T1233" t="s">
        <v>22890</v>
      </c>
      <c r="U1233" t="s">
        <v>22891</v>
      </c>
      <c r="V1233" t="s">
        <v>22892</v>
      </c>
      <c r="W1233" t="s">
        <v>22893</v>
      </c>
      <c r="X1233" t="s">
        <v>18674</v>
      </c>
      <c r="Y1233" t="s">
        <v>22894</v>
      </c>
      <c r="Z1233" t="s">
        <v>22895</v>
      </c>
      <c r="AA1233" t="s">
        <v>22896</v>
      </c>
      <c r="AB1233" t="s">
        <v>22897</v>
      </c>
      <c r="AC1233" t="s">
        <v>22898</v>
      </c>
      <c r="AD1233" t="s">
        <v>22898</v>
      </c>
      <c r="AE1233" t="s">
        <v>22899</v>
      </c>
      <c r="AF1233" t="s">
        <v>74</v>
      </c>
      <c r="AG1233">
        <v>42</v>
      </c>
      <c r="AH1233">
        <v>24</v>
      </c>
      <c r="AI1233">
        <v>27</v>
      </c>
      <c r="AJ1233">
        <v>1</v>
      </c>
      <c r="AK1233">
        <v>41</v>
      </c>
      <c r="AL1233" t="s">
        <v>253</v>
      </c>
      <c r="AM1233" t="s">
        <v>227</v>
      </c>
      <c r="AN1233" t="s">
        <v>254</v>
      </c>
      <c r="AO1233" t="s">
        <v>22900</v>
      </c>
      <c r="AP1233" t="s">
        <v>22901</v>
      </c>
      <c r="AQ1233" t="s">
        <v>74</v>
      </c>
      <c r="AR1233" t="s">
        <v>22902</v>
      </c>
      <c r="AS1233" t="s">
        <v>22903</v>
      </c>
      <c r="AT1233" t="s">
        <v>74</v>
      </c>
      <c r="AU1233">
        <v>2011</v>
      </c>
      <c r="AV1233">
        <v>39</v>
      </c>
      <c r="AW1233">
        <v>2</v>
      </c>
      <c r="AX1233" t="s">
        <v>74</v>
      </c>
      <c r="AY1233" t="s">
        <v>74</v>
      </c>
      <c r="AZ1233" t="s">
        <v>152</v>
      </c>
      <c r="BA1233" t="s">
        <v>74</v>
      </c>
      <c r="BB1233">
        <v>210</v>
      </c>
      <c r="BC1233">
        <v>228</v>
      </c>
      <c r="BD1233" t="s">
        <v>22904</v>
      </c>
      <c r="BE1233" t="s">
        <v>22905</v>
      </c>
      <c r="BF1233" t="str">
        <f>HYPERLINK("http://dx.doi.org/10.1080/15397734.2011.550857","http://dx.doi.org/10.1080/15397734.2011.550857")</f>
        <v>http://dx.doi.org/10.1080/15397734.2011.550857</v>
      </c>
      <c r="BG1233" t="s">
        <v>74</v>
      </c>
      <c r="BH1233" t="s">
        <v>74</v>
      </c>
      <c r="BI1233">
        <v>19</v>
      </c>
      <c r="BJ1233" t="s">
        <v>19074</v>
      </c>
      <c r="BK1233" t="s">
        <v>182</v>
      </c>
      <c r="BL1233" t="s">
        <v>19074</v>
      </c>
      <c r="BM1233" t="s">
        <v>22906</v>
      </c>
      <c r="BN1233" t="s">
        <v>74</v>
      </c>
      <c r="BO1233" t="s">
        <v>74</v>
      </c>
      <c r="BP1233" t="s">
        <v>74</v>
      </c>
      <c r="BQ1233" t="s">
        <v>74</v>
      </c>
      <c r="BR1233" t="s">
        <v>105</v>
      </c>
      <c r="BS1233" t="s">
        <v>22907</v>
      </c>
      <c r="BT1233" t="str">
        <f>HYPERLINK("https%3A%2F%2Fwww.webofscience.com%2Fwos%2Fwoscc%2Ffull-record%2FWOS:000289615400005","View Full Record in Web of Science")</f>
        <v>View Full Record in Web of Science</v>
      </c>
    </row>
    <row r="1234" spans="1:72" x14ac:dyDescent="0.25">
      <c r="A1234" t="s">
        <v>72</v>
      </c>
      <c r="B1234" t="s">
        <v>22908</v>
      </c>
      <c r="C1234" t="s">
        <v>74</v>
      </c>
      <c r="D1234" t="s">
        <v>74</v>
      </c>
      <c r="E1234" t="s">
        <v>74</v>
      </c>
      <c r="F1234" t="s">
        <v>22909</v>
      </c>
      <c r="G1234" t="s">
        <v>74</v>
      </c>
      <c r="H1234" t="s">
        <v>74</v>
      </c>
      <c r="I1234" t="s">
        <v>22910</v>
      </c>
      <c r="J1234" t="s">
        <v>3219</v>
      </c>
      <c r="K1234" t="s">
        <v>74</v>
      </c>
      <c r="L1234" t="s">
        <v>74</v>
      </c>
      <c r="M1234" t="s">
        <v>78</v>
      </c>
      <c r="N1234" t="s">
        <v>79</v>
      </c>
      <c r="O1234" t="s">
        <v>74</v>
      </c>
      <c r="P1234" t="s">
        <v>74</v>
      </c>
      <c r="Q1234" t="s">
        <v>74</v>
      </c>
      <c r="R1234" t="s">
        <v>74</v>
      </c>
      <c r="S1234" t="s">
        <v>74</v>
      </c>
      <c r="T1234" t="s">
        <v>22911</v>
      </c>
      <c r="U1234" t="s">
        <v>22912</v>
      </c>
      <c r="V1234" t="s">
        <v>22913</v>
      </c>
      <c r="W1234" t="s">
        <v>22914</v>
      </c>
      <c r="X1234" t="s">
        <v>22915</v>
      </c>
      <c r="Y1234" t="s">
        <v>22916</v>
      </c>
      <c r="Z1234" t="s">
        <v>74</v>
      </c>
      <c r="AA1234" t="s">
        <v>22917</v>
      </c>
      <c r="AB1234" t="s">
        <v>3062</v>
      </c>
      <c r="AC1234" t="s">
        <v>22918</v>
      </c>
      <c r="AD1234" t="s">
        <v>22919</v>
      </c>
      <c r="AE1234" t="s">
        <v>22920</v>
      </c>
      <c r="AF1234" t="s">
        <v>74</v>
      </c>
      <c r="AG1234">
        <v>92</v>
      </c>
      <c r="AH1234">
        <v>143</v>
      </c>
      <c r="AI1234">
        <v>164</v>
      </c>
      <c r="AJ1234">
        <v>5</v>
      </c>
      <c r="AK1234">
        <v>59</v>
      </c>
      <c r="AL1234" t="s">
        <v>346</v>
      </c>
      <c r="AM1234" t="s">
        <v>227</v>
      </c>
      <c r="AN1234" t="s">
        <v>347</v>
      </c>
      <c r="AO1234" t="s">
        <v>3228</v>
      </c>
      <c r="AP1234" t="s">
        <v>3229</v>
      </c>
      <c r="AQ1234" t="s">
        <v>74</v>
      </c>
      <c r="AR1234" t="s">
        <v>3230</v>
      </c>
      <c r="AS1234" t="s">
        <v>3231</v>
      </c>
      <c r="AT1234" t="s">
        <v>1070</v>
      </c>
      <c r="AU1234">
        <v>2010</v>
      </c>
      <c r="AV1234">
        <v>89</v>
      </c>
      <c r="AW1234">
        <v>6</v>
      </c>
      <c r="AX1234" t="s">
        <v>74</v>
      </c>
      <c r="AY1234" t="s">
        <v>74</v>
      </c>
      <c r="AZ1234" t="s">
        <v>74</v>
      </c>
      <c r="BA1234" t="s">
        <v>74</v>
      </c>
      <c r="BB1234">
        <v>509</v>
      </c>
      <c r="BC1234">
        <v>521</v>
      </c>
      <c r="BD1234" t="s">
        <v>74</v>
      </c>
      <c r="BE1234" t="s">
        <v>22921</v>
      </c>
      <c r="BF1234" t="str">
        <f>HYPERLINK("http://dx.doi.org/10.1097/PHM.0b013e3181cf569b","http://dx.doi.org/10.1097/PHM.0b013e3181cf569b")</f>
        <v>http://dx.doi.org/10.1097/PHM.0b013e3181cf569b</v>
      </c>
      <c r="BG1234" t="s">
        <v>74</v>
      </c>
      <c r="BH1234" t="s">
        <v>74</v>
      </c>
      <c r="BI1234">
        <v>13</v>
      </c>
      <c r="BJ1234" t="s">
        <v>236</v>
      </c>
      <c r="BK1234" t="s">
        <v>102</v>
      </c>
      <c r="BL1234" t="s">
        <v>236</v>
      </c>
      <c r="BM1234" t="s">
        <v>22922</v>
      </c>
      <c r="BN1234">
        <v>20134305</v>
      </c>
      <c r="BO1234" t="s">
        <v>74</v>
      </c>
      <c r="BP1234" t="s">
        <v>74</v>
      </c>
      <c r="BQ1234" t="s">
        <v>74</v>
      </c>
      <c r="BR1234" t="s">
        <v>105</v>
      </c>
      <c r="BS1234" t="s">
        <v>22923</v>
      </c>
      <c r="BT1234" t="str">
        <f>HYPERLINK("https%3A%2F%2Fwww.webofscience.com%2Fwos%2Fwoscc%2Ffull-record%2FWOS:000278337100009","View Full Record in Web of Science")</f>
        <v>View Full Record in Web of Science</v>
      </c>
    </row>
    <row r="1235" spans="1:72" x14ac:dyDescent="0.25">
      <c r="A1235" t="s">
        <v>72</v>
      </c>
      <c r="B1235" t="s">
        <v>22924</v>
      </c>
      <c r="C1235" t="s">
        <v>74</v>
      </c>
      <c r="D1235" t="s">
        <v>74</v>
      </c>
      <c r="E1235" t="s">
        <v>74</v>
      </c>
      <c r="F1235" t="s">
        <v>22925</v>
      </c>
      <c r="G1235" t="s">
        <v>74</v>
      </c>
      <c r="H1235" t="s">
        <v>74</v>
      </c>
      <c r="I1235" t="s">
        <v>22926</v>
      </c>
      <c r="J1235" t="s">
        <v>468</v>
      </c>
      <c r="K1235" t="s">
        <v>74</v>
      </c>
      <c r="L1235" t="s">
        <v>74</v>
      </c>
      <c r="M1235" t="s">
        <v>78</v>
      </c>
      <c r="N1235" t="s">
        <v>79</v>
      </c>
      <c r="O1235" t="s">
        <v>74</v>
      </c>
      <c r="P1235" t="s">
        <v>74</v>
      </c>
      <c r="Q1235" t="s">
        <v>74</v>
      </c>
      <c r="R1235" t="s">
        <v>74</v>
      </c>
      <c r="S1235" t="s">
        <v>74</v>
      </c>
      <c r="T1235" t="s">
        <v>22927</v>
      </c>
      <c r="U1235" t="s">
        <v>22928</v>
      </c>
      <c r="V1235" t="s">
        <v>22929</v>
      </c>
      <c r="W1235" t="s">
        <v>22930</v>
      </c>
      <c r="X1235" t="s">
        <v>19059</v>
      </c>
      <c r="Y1235" t="s">
        <v>22931</v>
      </c>
      <c r="Z1235" t="s">
        <v>21789</v>
      </c>
      <c r="AA1235" t="s">
        <v>22932</v>
      </c>
      <c r="AB1235" t="s">
        <v>22933</v>
      </c>
      <c r="AC1235" t="s">
        <v>74</v>
      </c>
      <c r="AD1235" t="s">
        <v>74</v>
      </c>
      <c r="AE1235" t="s">
        <v>74</v>
      </c>
      <c r="AF1235" t="s">
        <v>74</v>
      </c>
      <c r="AG1235">
        <v>36</v>
      </c>
      <c r="AH1235">
        <v>142</v>
      </c>
      <c r="AI1235">
        <v>157</v>
      </c>
      <c r="AJ1235">
        <v>3</v>
      </c>
      <c r="AK1235">
        <v>55</v>
      </c>
      <c r="AL1235" t="s">
        <v>480</v>
      </c>
      <c r="AM1235" t="s">
        <v>481</v>
      </c>
      <c r="AN1235" t="s">
        <v>482</v>
      </c>
      <c r="AO1235" t="s">
        <v>483</v>
      </c>
      <c r="AP1235" t="s">
        <v>484</v>
      </c>
      <c r="AQ1235" t="s">
        <v>74</v>
      </c>
      <c r="AR1235" t="s">
        <v>485</v>
      </c>
      <c r="AS1235" t="s">
        <v>486</v>
      </c>
      <c r="AT1235" t="s">
        <v>1070</v>
      </c>
      <c r="AU1235">
        <v>2010</v>
      </c>
      <c r="AV1235">
        <v>42</v>
      </c>
      <c r="AW1235">
        <v>6</v>
      </c>
      <c r="AX1235" t="s">
        <v>74</v>
      </c>
      <c r="AY1235" t="s">
        <v>74</v>
      </c>
      <c r="AZ1235" t="s">
        <v>74</v>
      </c>
      <c r="BA1235" t="s">
        <v>74</v>
      </c>
      <c r="BB1235">
        <v>520</v>
      </c>
      <c r="BC1235">
        <v>526</v>
      </c>
      <c r="BD1235" t="s">
        <v>74</v>
      </c>
      <c r="BE1235" t="s">
        <v>22934</v>
      </c>
      <c r="BF1235" t="str">
        <f>HYPERLINK("http://dx.doi.org/10.2340/16501977-0538","http://dx.doi.org/10.2340/16501977-0538")</f>
        <v>http://dx.doi.org/10.2340/16501977-0538</v>
      </c>
      <c r="BG1235" t="s">
        <v>74</v>
      </c>
      <c r="BH1235" t="s">
        <v>74</v>
      </c>
      <c r="BI1235">
        <v>7</v>
      </c>
      <c r="BJ1235" t="s">
        <v>236</v>
      </c>
      <c r="BK1235" t="s">
        <v>182</v>
      </c>
      <c r="BL1235" t="s">
        <v>236</v>
      </c>
      <c r="BM1235" t="s">
        <v>22935</v>
      </c>
      <c r="BN1235">
        <v>20549155</v>
      </c>
      <c r="BO1235" t="s">
        <v>185</v>
      </c>
      <c r="BP1235" t="s">
        <v>74</v>
      </c>
      <c r="BQ1235" t="s">
        <v>74</v>
      </c>
      <c r="BR1235" t="s">
        <v>105</v>
      </c>
      <c r="BS1235" t="s">
        <v>22936</v>
      </c>
      <c r="BT1235" t="str">
        <f>HYPERLINK("https%3A%2F%2Fwww.webofscience.com%2Fwos%2Fwoscc%2Ffull-record%2FWOS:000279001000002","View Full Record in Web of Science")</f>
        <v>View Full Record in Web of Science</v>
      </c>
    </row>
    <row r="1236" spans="1:72" x14ac:dyDescent="0.25">
      <c r="A1236" t="s">
        <v>72</v>
      </c>
      <c r="B1236" t="s">
        <v>22937</v>
      </c>
      <c r="C1236" t="s">
        <v>74</v>
      </c>
      <c r="D1236" t="s">
        <v>74</v>
      </c>
      <c r="E1236" t="s">
        <v>74</v>
      </c>
      <c r="F1236" t="s">
        <v>22938</v>
      </c>
      <c r="G1236" t="s">
        <v>74</v>
      </c>
      <c r="H1236" t="s">
        <v>74</v>
      </c>
      <c r="I1236" t="s">
        <v>22939</v>
      </c>
      <c r="J1236" t="s">
        <v>468</v>
      </c>
      <c r="K1236" t="s">
        <v>74</v>
      </c>
      <c r="L1236" t="s">
        <v>74</v>
      </c>
      <c r="M1236" t="s">
        <v>78</v>
      </c>
      <c r="N1236" t="s">
        <v>79</v>
      </c>
      <c r="O1236" t="s">
        <v>74</v>
      </c>
      <c r="P1236" t="s">
        <v>74</v>
      </c>
      <c r="Q1236" t="s">
        <v>74</v>
      </c>
      <c r="R1236" t="s">
        <v>74</v>
      </c>
      <c r="S1236" t="s">
        <v>74</v>
      </c>
      <c r="T1236" t="s">
        <v>22940</v>
      </c>
      <c r="U1236" t="s">
        <v>22941</v>
      </c>
      <c r="V1236" t="s">
        <v>22942</v>
      </c>
      <c r="W1236" t="s">
        <v>22943</v>
      </c>
      <c r="X1236" t="s">
        <v>22944</v>
      </c>
      <c r="Y1236" t="s">
        <v>22945</v>
      </c>
      <c r="Z1236" t="s">
        <v>22946</v>
      </c>
      <c r="AA1236" t="s">
        <v>22947</v>
      </c>
      <c r="AB1236" t="s">
        <v>22948</v>
      </c>
      <c r="AC1236" t="s">
        <v>74</v>
      </c>
      <c r="AD1236" t="s">
        <v>74</v>
      </c>
      <c r="AE1236" t="s">
        <v>74</v>
      </c>
      <c r="AF1236" t="s">
        <v>74</v>
      </c>
      <c r="AG1236">
        <v>44</v>
      </c>
      <c r="AH1236">
        <v>86</v>
      </c>
      <c r="AI1236">
        <v>95</v>
      </c>
      <c r="AJ1236">
        <v>0</v>
      </c>
      <c r="AK1236">
        <v>28</v>
      </c>
      <c r="AL1236" t="s">
        <v>480</v>
      </c>
      <c r="AM1236" t="s">
        <v>481</v>
      </c>
      <c r="AN1236" t="s">
        <v>482</v>
      </c>
      <c r="AO1236" t="s">
        <v>483</v>
      </c>
      <c r="AP1236" t="s">
        <v>484</v>
      </c>
      <c r="AQ1236" t="s">
        <v>74</v>
      </c>
      <c r="AR1236" t="s">
        <v>485</v>
      </c>
      <c r="AS1236" t="s">
        <v>486</v>
      </c>
      <c r="AT1236" t="s">
        <v>1070</v>
      </c>
      <c r="AU1236">
        <v>2010</v>
      </c>
      <c r="AV1236">
        <v>42</v>
      </c>
      <c r="AW1236">
        <v>6</v>
      </c>
      <c r="AX1236" t="s">
        <v>74</v>
      </c>
      <c r="AY1236" t="s">
        <v>74</v>
      </c>
      <c r="AZ1236" t="s">
        <v>74</v>
      </c>
      <c r="BA1236" t="s">
        <v>74</v>
      </c>
      <c r="BB1236">
        <v>513</v>
      </c>
      <c r="BC1236">
        <v>519</v>
      </c>
      <c r="BD1236" t="s">
        <v>74</v>
      </c>
      <c r="BE1236" t="s">
        <v>22949</v>
      </c>
      <c r="BF1236" t="str">
        <f>HYPERLINK("http://dx.doi.org/10.2340/16501977-0525","http://dx.doi.org/10.2340/16501977-0525")</f>
        <v>http://dx.doi.org/10.2340/16501977-0525</v>
      </c>
      <c r="BG1236" t="s">
        <v>74</v>
      </c>
      <c r="BH1236" t="s">
        <v>74</v>
      </c>
      <c r="BI1236">
        <v>7</v>
      </c>
      <c r="BJ1236" t="s">
        <v>236</v>
      </c>
      <c r="BK1236" t="s">
        <v>182</v>
      </c>
      <c r="BL1236" t="s">
        <v>236</v>
      </c>
      <c r="BM1236" t="s">
        <v>22935</v>
      </c>
      <c r="BN1236">
        <v>20549154</v>
      </c>
      <c r="BO1236" t="s">
        <v>355</v>
      </c>
      <c r="BP1236" t="s">
        <v>74</v>
      </c>
      <c r="BQ1236" t="s">
        <v>74</v>
      </c>
      <c r="BR1236" t="s">
        <v>105</v>
      </c>
      <c r="BS1236" t="s">
        <v>22950</v>
      </c>
      <c r="BT1236" t="str">
        <f>HYPERLINK("https%3A%2F%2Fwww.webofscience.com%2Fwos%2Fwoscc%2Ffull-record%2FWOS:000279001000001","View Full Record in Web of Science")</f>
        <v>View Full Record in Web of Science</v>
      </c>
    </row>
    <row r="1237" spans="1:72" x14ac:dyDescent="0.25">
      <c r="A1237" t="s">
        <v>72</v>
      </c>
      <c r="B1237" t="s">
        <v>22951</v>
      </c>
      <c r="C1237" t="s">
        <v>74</v>
      </c>
      <c r="D1237" t="s">
        <v>74</v>
      </c>
      <c r="E1237" t="s">
        <v>74</v>
      </c>
      <c r="F1237" t="s">
        <v>22952</v>
      </c>
      <c r="G1237" t="s">
        <v>74</v>
      </c>
      <c r="H1237" t="s">
        <v>74</v>
      </c>
      <c r="I1237" t="s">
        <v>22953</v>
      </c>
      <c r="J1237" t="s">
        <v>5880</v>
      </c>
      <c r="K1237" t="s">
        <v>74</v>
      </c>
      <c r="L1237" t="s">
        <v>74</v>
      </c>
      <c r="M1237" t="s">
        <v>78</v>
      </c>
      <c r="N1237" t="s">
        <v>79</v>
      </c>
      <c r="O1237" t="s">
        <v>74</v>
      </c>
      <c r="P1237" t="s">
        <v>74</v>
      </c>
      <c r="Q1237" t="s">
        <v>74</v>
      </c>
      <c r="R1237" t="s">
        <v>74</v>
      </c>
      <c r="S1237" t="s">
        <v>74</v>
      </c>
      <c r="T1237" t="s">
        <v>22954</v>
      </c>
      <c r="U1237" t="s">
        <v>22955</v>
      </c>
      <c r="V1237" t="s">
        <v>22956</v>
      </c>
      <c r="W1237" t="s">
        <v>22957</v>
      </c>
      <c r="X1237" t="s">
        <v>22958</v>
      </c>
      <c r="Y1237" t="s">
        <v>22959</v>
      </c>
      <c r="Z1237" t="s">
        <v>22960</v>
      </c>
      <c r="AA1237" t="s">
        <v>74</v>
      </c>
      <c r="AB1237" t="s">
        <v>22961</v>
      </c>
      <c r="AC1237" t="s">
        <v>22962</v>
      </c>
      <c r="AD1237" t="s">
        <v>22963</v>
      </c>
      <c r="AE1237" t="s">
        <v>74</v>
      </c>
      <c r="AF1237" t="s">
        <v>74</v>
      </c>
      <c r="AG1237">
        <v>50</v>
      </c>
      <c r="AH1237">
        <v>36</v>
      </c>
      <c r="AI1237">
        <v>44</v>
      </c>
      <c r="AJ1237">
        <v>0</v>
      </c>
      <c r="AK1237">
        <v>20</v>
      </c>
      <c r="AL1237" t="s">
        <v>172</v>
      </c>
      <c r="AM1237" t="s">
        <v>173</v>
      </c>
      <c r="AN1237" t="s">
        <v>174</v>
      </c>
      <c r="AO1237" t="s">
        <v>5891</v>
      </c>
      <c r="AP1237" t="s">
        <v>5892</v>
      </c>
      <c r="AQ1237" t="s">
        <v>74</v>
      </c>
      <c r="AR1237" t="s">
        <v>5893</v>
      </c>
      <c r="AS1237" t="s">
        <v>5894</v>
      </c>
      <c r="AT1237" t="s">
        <v>326</v>
      </c>
      <c r="AU1237">
        <v>2010</v>
      </c>
      <c r="AV1237">
        <v>10</v>
      </c>
      <c r="AW1237">
        <v>3</v>
      </c>
      <c r="AX1237" t="s">
        <v>74</v>
      </c>
      <c r="AY1237" t="s">
        <v>74</v>
      </c>
      <c r="AZ1237" t="s">
        <v>74</v>
      </c>
      <c r="BA1237" t="s">
        <v>74</v>
      </c>
      <c r="BB1237">
        <v>158</v>
      </c>
      <c r="BC1237">
        <v>166</v>
      </c>
      <c r="BD1237" t="s">
        <v>74</v>
      </c>
      <c r="BE1237" t="s">
        <v>22964</v>
      </c>
      <c r="BF1237" t="str">
        <f>HYPERLINK("http://dx.doi.org/10.1007/s11910-010-0091-9","http://dx.doi.org/10.1007/s11910-010-0091-9")</f>
        <v>http://dx.doi.org/10.1007/s11910-010-0091-9</v>
      </c>
      <c r="BG1237" t="s">
        <v>74</v>
      </c>
      <c r="BH1237" t="s">
        <v>74</v>
      </c>
      <c r="BI1237">
        <v>9</v>
      </c>
      <c r="BJ1237" t="s">
        <v>400</v>
      </c>
      <c r="BK1237" t="s">
        <v>182</v>
      </c>
      <c r="BL1237" t="s">
        <v>375</v>
      </c>
      <c r="BM1237" t="s">
        <v>22965</v>
      </c>
      <c r="BN1237">
        <v>20425030</v>
      </c>
      <c r="BO1237" t="s">
        <v>3048</v>
      </c>
      <c r="BP1237" t="s">
        <v>74</v>
      </c>
      <c r="BQ1237" t="s">
        <v>74</v>
      </c>
      <c r="BR1237" t="s">
        <v>105</v>
      </c>
      <c r="BS1237" t="s">
        <v>22966</v>
      </c>
      <c r="BT1237" t="str">
        <f>HYPERLINK("https%3A%2F%2Fwww.webofscience.com%2Fwos%2Fwoscc%2Ffull-record%2FWOS:000278111700001","View Full Record in Web of Science")</f>
        <v>View Full Record in Web of Science</v>
      </c>
    </row>
    <row r="1238" spans="1:72" x14ac:dyDescent="0.25">
      <c r="A1238" t="s">
        <v>72</v>
      </c>
      <c r="B1238" t="s">
        <v>22967</v>
      </c>
      <c r="C1238" t="s">
        <v>74</v>
      </c>
      <c r="D1238" t="s">
        <v>74</v>
      </c>
      <c r="E1238" t="s">
        <v>74</v>
      </c>
      <c r="F1238" t="s">
        <v>22968</v>
      </c>
      <c r="G1238" t="s">
        <v>74</v>
      </c>
      <c r="H1238" t="s">
        <v>74</v>
      </c>
      <c r="I1238" t="s">
        <v>22969</v>
      </c>
      <c r="J1238" t="s">
        <v>1578</v>
      </c>
      <c r="K1238" t="s">
        <v>74</v>
      </c>
      <c r="L1238" t="s">
        <v>74</v>
      </c>
      <c r="M1238" t="s">
        <v>1579</v>
      </c>
      <c r="N1238" t="s">
        <v>79</v>
      </c>
      <c r="O1238" t="s">
        <v>74</v>
      </c>
      <c r="P1238" t="s">
        <v>74</v>
      </c>
      <c r="Q1238" t="s">
        <v>74</v>
      </c>
      <c r="R1238" t="s">
        <v>74</v>
      </c>
      <c r="S1238" t="s">
        <v>74</v>
      </c>
      <c r="T1238" t="s">
        <v>22970</v>
      </c>
      <c r="U1238" t="s">
        <v>22971</v>
      </c>
      <c r="V1238" t="s">
        <v>22972</v>
      </c>
      <c r="W1238" t="s">
        <v>22973</v>
      </c>
      <c r="X1238" t="s">
        <v>74</v>
      </c>
      <c r="Y1238" t="s">
        <v>22974</v>
      </c>
      <c r="Z1238" t="s">
        <v>1586</v>
      </c>
      <c r="AA1238" t="s">
        <v>74</v>
      </c>
      <c r="AB1238" t="s">
        <v>74</v>
      </c>
      <c r="AC1238" t="s">
        <v>74</v>
      </c>
      <c r="AD1238" t="s">
        <v>74</v>
      </c>
      <c r="AE1238" t="s">
        <v>74</v>
      </c>
      <c r="AF1238" t="s">
        <v>74</v>
      </c>
      <c r="AG1238">
        <v>48</v>
      </c>
      <c r="AH1238">
        <v>2</v>
      </c>
      <c r="AI1238">
        <v>2</v>
      </c>
      <c r="AJ1238">
        <v>0</v>
      </c>
      <c r="AK1238">
        <v>20</v>
      </c>
      <c r="AL1238" t="s">
        <v>1063</v>
      </c>
      <c r="AM1238" t="s">
        <v>1064</v>
      </c>
      <c r="AN1238" t="s">
        <v>1065</v>
      </c>
      <c r="AO1238" t="s">
        <v>1587</v>
      </c>
      <c r="AP1238" t="s">
        <v>1588</v>
      </c>
      <c r="AQ1238" t="s">
        <v>74</v>
      </c>
      <c r="AR1238" t="s">
        <v>1589</v>
      </c>
      <c r="AS1238" t="s">
        <v>1590</v>
      </c>
      <c r="AT1238" t="s">
        <v>326</v>
      </c>
      <c r="AU1238">
        <v>2010</v>
      </c>
      <c r="AV1238">
        <v>166</v>
      </c>
      <c r="AW1238">
        <v>5</v>
      </c>
      <c r="AX1238" t="s">
        <v>74</v>
      </c>
      <c r="AY1238" t="s">
        <v>74</v>
      </c>
      <c r="AZ1238" t="s">
        <v>74</v>
      </c>
      <c r="BA1238" t="s">
        <v>74</v>
      </c>
      <c r="BB1238">
        <v>486</v>
      </c>
      <c r="BC1238">
        <v>493</v>
      </c>
      <c r="BD1238" t="s">
        <v>74</v>
      </c>
      <c r="BE1238" t="s">
        <v>22975</v>
      </c>
      <c r="BF1238" t="str">
        <f>HYPERLINK("http://dx.doi.org/10.1016/j.neurol.2009.10.004","http://dx.doi.org/10.1016/j.neurol.2009.10.004")</f>
        <v>http://dx.doi.org/10.1016/j.neurol.2009.10.004</v>
      </c>
      <c r="BG1238" t="s">
        <v>74</v>
      </c>
      <c r="BH1238" t="s">
        <v>74</v>
      </c>
      <c r="BI1238">
        <v>8</v>
      </c>
      <c r="BJ1238" t="s">
        <v>541</v>
      </c>
      <c r="BK1238" t="s">
        <v>182</v>
      </c>
      <c r="BL1238" t="s">
        <v>375</v>
      </c>
      <c r="BM1238" t="s">
        <v>22976</v>
      </c>
      <c r="BN1238">
        <v>19942243</v>
      </c>
      <c r="BO1238" t="s">
        <v>74</v>
      </c>
      <c r="BP1238" t="s">
        <v>74</v>
      </c>
      <c r="BQ1238" t="s">
        <v>74</v>
      </c>
      <c r="BR1238" t="s">
        <v>105</v>
      </c>
      <c r="BS1238" t="s">
        <v>22977</v>
      </c>
      <c r="BT1238" t="str">
        <f>HYPERLINK("https%3A%2F%2Fwww.webofscience.com%2Fwos%2Fwoscc%2Ffull-record%2FWOS:000279176600003","View Full Record in Web of Science")</f>
        <v>View Full Record in Web of Science</v>
      </c>
    </row>
    <row r="1239" spans="1:72" x14ac:dyDescent="0.25">
      <c r="A1239" t="s">
        <v>72</v>
      </c>
      <c r="B1239" t="s">
        <v>22978</v>
      </c>
      <c r="C1239" t="s">
        <v>74</v>
      </c>
      <c r="D1239" t="s">
        <v>74</v>
      </c>
      <c r="E1239" t="s">
        <v>74</v>
      </c>
      <c r="F1239" t="s">
        <v>22979</v>
      </c>
      <c r="G1239" t="s">
        <v>74</v>
      </c>
      <c r="H1239" t="s">
        <v>74</v>
      </c>
      <c r="I1239" t="s">
        <v>22980</v>
      </c>
      <c r="J1239" t="s">
        <v>3959</v>
      </c>
      <c r="K1239" t="s">
        <v>74</v>
      </c>
      <c r="L1239" t="s">
        <v>74</v>
      </c>
      <c r="M1239" t="s">
        <v>78</v>
      </c>
      <c r="N1239" t="s">
        <v>79</v>
      </c>
      <c r="O1239" t="s">
        <v>74</v>
      </c>
      <c r="P1239" t="s">
        <v>74</v>
      </c>
      <c r="Q1239" t="s">
        <v>74</v>
      </c>
      <c r="R1239" t="s">
        <v>74</v>
      </c>
      <c r="S1239" t="s">
        <v>74</v>
      </c>
      <c r="T1239" t="s">
        <v>22981</v>
      </c>
      <c r="U1239" t="s">
        <v>22982</v>
      </c>
      <c r="V1239" t="s">
        <v>22983</v>
      </c>
      <c r="W1239" t="s">
        <v>22984</v>
      </c>
      <c r="X1239" t="s">
        <v>364</v>
      </c>
      <c r="Y1239" t="s">
        <v>22985</v>
      </c>
      <c r="Z1239" t="s">
        <v>22986</v>
      </c>
      <c r="AA1239" t="s">
        <v>22987</v>
      </c>
      <c r="AB1239" t="s">
        <v>22988</v>
      </c>
      <c r="AC1239" t="s">
        <v>74</v>
      </c>
      <c r="AD1239" t="s">
        <v>74</v>
      </c>
      <c r="AE1239" t="s">
        <v>74</v>
      </c>
      <c r="AF1239" t="s">
        <v>74</v>
      </c>
      <c r="AG1239">
        <v>54</v>
      </c>
      <c r="AH1239">
        <v>66</v>
      </c>
      <c r="AI1239">
        <v>82</v>
      </c>
      <c r="AJ1239">
        <v>2</v>
      </c>
      <c r="AK1239">
        <v>23</v>
      </c>
      <c r="AL1239" t="s">
        <v>3969</v>
      </c>
      <c r="AM1239" t="s">
        <v>3970</v>
      </c>
      <c r="AN1239" t="s">
        <v>3971</v>
      </c>
      <c r="AO1239" t="s">
        <v>3972</v>
      </c>
      <c r="AP1239" t="s">
        <v>3973</v>
      </c>
      <c r="AQ1239" t="s">
        <v>74</v>
      </c>
      <c r="AR1239" t="s">
        <v>3974</v>
      </c>
      <c r="AS1239" t="s">
        <v>3975</v>
      </c>
      <c r="AT1239" t="s">
        <v>74</v>
      </c>
      <c r="AU1239">
        <v>2010</v>
      </c>
      <c r="AV1239">
        <v>56</v>
      </c>
      <c r="AW1239">
        <v>3</v>
      </c>
      <c r="AX1239" t="s">
        <v>74</v>
      </c>
      <c r="AY1239" t="s">
        <v>74</v>
      </c>
      <c r="AZ1239" t="s">
        <v>74</v>
      </c>
      <c r="BA1239" t="s">
        <v>74</v>
      </c>
      <c r="BB1239">
        <v>153</v>
      </c>
      <c r="BC1239">
        <v>161</v>
      </c>
      <c r="BD1239" t="s">
        <v>74</v>
      </c>
      <c r="BE1239" t="s">
        <v>22989</v>
      </c>
      <c r="BF1239" t="str">
        <f>HYPERLINK("http://dx.doi.org/10.1016/S1836-9553(10)70020-5","http://dx.doi.org/10.1016/S1836-9553(10)70020-5")</f>
        <v>http://dx.doi.org/10.1016/S1836-9553(10)70020-5</v>
      </c>
      <c r="BG1239" t="s">
        <v>74</v>
      </c>
      <c r="BH1239" t="s">
        <v>74</v>
      </c>
      <c r="BI1239">
        <v>9</v>
      </c>
      <c r="BJ1239" t="s">
        <v>3977</v>
      </c>
      <c r="BK1239" t="s">
        <v>182</v>
      </c>
      <c r="BL1239" t="s">
        <v>3977</v>
      </c>
      <c r="BM1239" t="s">
        <v>22990</v>
      </c>
      <c r="BN1239">
        <v>20795921</v>
      </c>
      <c r="BO1239" t="s">
        <v>1052</v>
      </c>
      <c r="BP1239" t="s">
        <v>74</v>
      </c>
      <c r="BQ1239" t="s">
        <v>74</v>
      </c>
      <c r="BR1239" t="s">
        <v>105</v>
      </c>
      <c r="BS1239" t="s">
        <v>22991</v>
      </c>
      <c r="BT1239" t="str">
        <f>HYPERLINK("https%3A%2F%2Fwww.webofscience.com%2Fwos%2Fwoscc%2Ffull-record%2FWOS:000281458900003","View Full Record in Web of Science")</f>
        <v>View Full Record in Web of Science</v>
      </c>
    </row>
    <row r="1240" spans="1:72" x14ac:dyDescent="0.25">
      <c r="A1240" t="s">
        <v>72</v>
      </c>
      <c r="B1240" t="s">
        <v>22992</v>
      </c>
      <c r="C1240" t="s">
        <v>74</v>
      </c>
      <c r="D1240" t="s">
        <v>74</v>
      </c>
      <c r="E1240" t="s">
        <v>74</v>
      </c>
      <c r="F1240" t="s">
        <v>22993</v>
      </c>
      <c r="G1240" t="s">
        <v>74</v>
      </c>
      <c r="H1240" t="s">
        <v>74</v>
      </c>
      <c r="I1240" t="s">
        <v>22994</v>
      </c>
      <c r="J1240" t="s">
        <v>77</v>
      </c>
      <c r="K1240" t="s">
        <v>74</v>
      </c>
      <c r="L1240" t="s">
        <v>74</v>
      </c>
      <c r="M1240" t="s">
        <v>78</v>
      </c>
      <c r="N1240" t="s">
        <v>79</v>
      </c>
      <c r="O1240" t="s">
        <v>74</v>
      </c>
      <c r="P1240" t="s">
        <v>74</v>
      </c>
      <c r="Q1240" t="s">
        <v>74</v>
      </c>
      <c r="R1240" t="s">
        <v>74</v>
      </c>
      <c r="S1240" t="s">
        <v>74</v>
      </c>
      <c r="T1240" t="s">
        <v>22995</v>
      </c>
      <c r="U1240" t="s">
        <v>22996</v>
      </c>
      <c r="V1240" t="s">
        <v>22997</v>
      </c>
      <c r="W1240" t="s">
        <v>22998</v>
      </c>
      <c r="X1240" t="s">
        <v>22999</v>
      </c>
      <c r="Y1240" t="s">
        <v>23000</v>
      </c>
      <c r="Z1240" t="s">
        <v>23001</v>
      </c>
      <c r="AA1240" t="s">
        <v>23002</v>
      </c>
      <c r="AB1240" t="s">
        <v>23003</v>
      </c>
      <c r="AC1240" t="s">
        <v>74</v>
      </c>
      <c r="AD1240" t="s">
        <v>74</v>
      </c>
      <c r="AE1240" t="s">
        <v>74</v>
      </c>
      <c r="AF1240" t="s">
        <v>74</v>
      </c>
      <c r="AG1240">
        <v>54</v>
      </c>
      <c r="AH1240">
        <v>46</v>
      </c>
      <c r="AI1240">
        <v>51</v>
      </c>
      <c r="AJ1240">
        <v>0</v>
      </c>
      <c r="AK1240">
        <v>20</v>
      </c>
      <c r="AL1240" t="s">
        <v>92</v>
      </c>
      <c r="AM1240" t="s">
        <v>93</v>
      </c>
      <c r="AN1240" t="s">
        <v>94</v>
      </c>
      <c r="AO1240" t="s">
        <v>95</v>
      </c>
      <c r="AP1240" t="s">
        <v>96</v>
      </c>
      <c r="AQ1240" t="s">
        <v>74</v>
      </c>
      <c r="AR1240" t="s">
        <v>97</v>
      </c>
      <c r="AS1240" t="s">
        <v>98</v>
      </c>
      <c r="AT1240" t="s">
        <v>74</v>
      </c>
      <c r="AU1240">
        <v>2010</v>
      </c>
      <c r="AV1240">
        <v>32</v>
      </c>
      <c r="AW1240">
        <v>24</v>
      </c>
      <c r="AX1240" t="s">
        <v>74</v>
      </c>
      <c r="AY1240" t="s">
        <v>74</v>
      </c>
      <c r="AZ1240" t="s">
        <v>74</v>
      </c>
      <c r="BA1240" t="s">
        <v>74</v>
      </c>
      <c r="BB1240">
        <v>1973</v>
      </c>
      <c r="BC1240">
        <v>1986</v>
      </c>
      <c r="BD1240" t="s">
        <v>74</v>
      </c>
      <c r="BE1240" t="s">
        <v>23004</v>
      </c>
      <c r="BF1240" t="str">
        <f>HYPERLINK("http://dx.doi.org/10.3109/09638288.2010.481027","http://dx.doi.org/10.3109/09638288.2010.481027")</f>
        <v>http://dx.doi.org/10.3109/09638288.2010.481027</v>
      </c>
      <c r="BG1240" t="s">
        <v>74</v>
      </c>
      <c r="BH1240" t="s">
        <v>74</v>
      </c>
      <c r="BI1240">
        <v>14</v>
      </c>
      <c r="BJ1240" t="s">
        <v>101</v>
      </c>
      <c r="BK1240" t="s">
        <v>102</v>
      </c>
      <c r="BL1240" t="s">
        <v>101</v>
      </c>
      <c r="BM1240" t="s">
        <v>23005</v>
      </c>
      <c r="BN1240">
        <v>20964563</v>
      </c>
      <c r="BO1240" t="s">
        <v>74</v>
      </c>
      <c r="BP1240" t="s">
        <v>74</v>
      </c>
      <c r="BQ1240" t="s">
        <v>74</v>
      </c>
      <c r="BR1240" t="s">
        <v>105</v>
      </c>
      <c r="BS1240" t="s">
        <v>23006</v>
      </c>
      <c r="BT1240" t="str">
        <f>HYPERLINK("https%3A%2F%2Fwww.webofscience.com%2Fwos%2Fwoscc%2Ffull-record%2FWOS:000283367900001","View Full Record in Web of Science")</f>
        <v>View Full Record in Web of Science</v>
      </c>
    </row>
    <row r="1241" spans="1:72" x14ac:dyDescent="0.25">
      <c r="A1241" t="s">
        <v>72</v>
      </c>
      <c r="B1241" t="s">
        <v>23007</v>
      </c>
      <c r="C1241" t="s">
        <v>74</v>
      </c>
      <c r="D1241" t="s">
        <v>74</v>
      </c>
      <c r="E1241" t="s">
        <v>74</v>
      </c>
      <c r="F1241" t="s">
        <v>23008</v>
      </c>
      <c r="G1241" t="s">
        <v>74</v>
      </c>
      <c r="H1241" t="s">
        <v>74</v>
      </c>
      <c r="I1241" t="s">
        <v>23009</v>
      </c>
      <c r="J1241" t="s">
        <v>1491</v>
      </c>
      <c r="K1241" t="s">
        <v>74</v>
      </c>
      <c r="L1241" t="s">
        <v>74</v>
      </c>
      <c r="M1241" t="s">
        <v>20497</v>
      </c>
      <c r="N1241" t="s">
        <v>79</v>
      </c>
      <c r="O1241" t="s">
        <v>74</v>
      </c>
      <c r="P1241" t="s">
        <v>74</v>
      </c>
      <c r="Q1241" t="s">
        <v>74</v>
      </c>
      <c r="R1241" t="s">
        <v>74</v>
      </c>
      <c r="S1241" t="s">
        <v>74</v>
      </c>
      <c r="T1241" t="s">
        <v>23010</v>
      </c>
      <c r="U1241" t="s">
        <v>23011</v>
      </c>
      <c r="V1241" t="s">
        <v>23012</v>
      </c>
      <c r="W1241" t="s">
        <v>23013</v>
      </c>
      <c r="X1241" t="s">
        <v>23014</v>
      </c>
      <c r="Y1241" t="s">
        <v>23015</v>
      </c>
      <c r="Z1241" t="s">
        <v>23016</v>
      </c>
      <c r="AA1241" t="s">
        <v>74</v>
      </c>
      <c r="AB1241" t="s">
        <v>74</v>
      </c>
      <c r="AC1241" t="s">
        <v>74</v>
      </c>
      <c r="AD1241" t="s">
        <v>74</v>
      </c>
      <c r="AE1241" t="s">
        <v>74</v>
      </c>
      <c r="AF1241" t="s">
        <v>74</v>
      </c>
      <c r="AG1241">
        <v>37</v>
      </c>
      <c r="AH1241">
        <v>1</v>
      </c>
      <c r="AI1241">
        <v>1</v>
      </c>
      <c r="AJ1241">
        <v>0</v>
      </c>
      <c r="AK1241">
        <v>5</v>
      </c>
      <c r="AL1241" t="s">
        <v>1499</v>
      </c>
      <c r="AM1241" t="s">
        <v>1500</v>
      </c>
      <c r="AN1241" t="s">
        <v>1501</v>
      </c>
      <c r="AO1241" t="s">
        <v>1502</v>
      </c>
      <c r="AP1241" t="s">
        <v>1503</v>
      </c>
      <c r="AQ1241" t="s">
        <v>74</v>
      </c>
      <c r="AR1241" t="s">
        <v>1504</v>
      </c>
      <c r="AS1241" t="s">
        <v>1505</v>
      </c>
      <c r="AT1241" t="s">
        <v>74</v>
      </c>
      <c r="AU1241">
        <v>2010</v>
      </c>
      <c r="AV1241">
        <v>73</v>
      </c>
      <c r="AW1241">
        <v>2</v>
      </c>
      <c r="AX1241" t="s">
        <v>74</v>
      </c>
      <c r="AY1241" t="s">
        <v>74</v>
      </c>
      <c r="AZ1241" t="s">
        <v>74</v>
      </c>
      <c r="BA1241" t="s">
        <v>74</v>
      </c>
      <c r="BB1241">
        <v>124</v>
      </c>
      <c r="BC1241">
        <v>130</v>
      </c>
      <c r="BD1241" t="s">
        <v>74</v>
      </c>
      <c r="BE1241" t="s">
        <v>74</v>
      </c>
      <c r="BF1241" t="s">
        <v>74</v>
      </c>
      <c r="BG1241" t="s">
        <v>74</v>
      </c>
      <c r="BH1241" t="s">
        <v>74</v>
      </c>
      <c r="BI1241">
        <v>7</v>
      </c>
      <c r="BJ1241" t="s">
        <v>1507</v>
      </c>
      <c r="BK1241" t="s">
        <v>102</v>
      </c>
      <c r="BL1241" t="s">
        <v>1508</v>
      </c>
      <c r="BM1241" t="s">
        <v>23017</v>
      </c>
      <c r="BN1241" t="s">
        <v>74</v>
      </c>
      <c r="BO1241" t="s">
        <v>74</v>
      </c>
      <c r="BP1241" t="s">
        <v>74</v>
      </c>
      <c r="BQ1241" t="s">
        <v>74</v>
      </c>
      <c r="BR1241" t="s">
        <v>105</v>
      </c>
      <c r="BS1241" t="s">
        <v>23018</v>
      </c>
      <c r="BT1241" t="str">
        <f>HYPERLINK("https%3A%2F%2Fwww.webofscience.com%2Fwos%2Fwoscc%2Ffull-record%2FWOS:000277422500002","View Full Record in Web of Science")</f>
        <v>View Full Record in Web of Science</v>
      </c>
    </row>
    <row r="1242" spans="1:72" x14ac:dyDescent="0.25">
      <c r="A1242" t="s">
        <v>72</v>
      </c>
      <c r="B1242" t="s">
        <v>23019</v>
      </c>
      <c r="C1242" t="s">
        <v>74</v>
      </c>
      <c r="D1242" t="s">
        <v>74</v>
      </c>
      <c r="E1242" t="s">
        <v>74</v>
      </c>
      <c r="F1242" t="s">
        <v>23020</v>
      </c>
      <c r="G1242" t="s">
        <v>74</v>
      </c>
      <c r="H1242" t="s">
        <v>74</v>
      </c>
      <c r="I1242" t="s">
        <v>23021</v>
      </c>
      <c r="J1242" t="s">
        <v>9759</v>
      </c>
      <c r="K1242" t="s">
        <v>74</v>
      </c>
      <c r="L1242" t="s">
        <v>74</v>
      </c>
      <c r="M1242" t="s">
        <v>78</v>
      </c>
      <c r="N1242" t="s">
        <v>79</v>
      </c>
      <c r="O1242" t="s">
        <v>74</v>
      </c>
      <c r="P1242" t="s">
        <v>74</v>
      </c>
      <c r="Q1242" t="s">
        <v>74</v>
      </c>
      <c r="R1242" t="s">
        <v>74</v>
      </c>
      <c r="S1242" t="s">
        <v>74</v>
      </c>
      <c r="T1242" t="s">
        <v>23022</v>
      </c>
      <c r="U1242" t="s">
        <v>23023</v>
      </c>
      <c r="V1242" t="s">
        <v>23024</v>
      </c>
      <c r="W1242" t="s">
        <v>23025</v>
      </c>
      <c r="X1242" t="s">
        <v>23026</v>
      </c>
      <c r="Y1242" t="s">
        <v>23027</v>
      </c>
      <c r="Z1242" t="s">
        <v>23028</v>
      </c>
      <c r="AA1242" t="s">
        <v>23029</v>
      </c>
      <c r="AB1242" t="s">
        <v>23030</v>
      </c>
      <c r="AC1242" t="s">
        <v>23031</v>
      </c>
      <c r="AD1242" t="s">
        <v>23032</v>
      </c>
      <c r="AE1242" t="s">
        <v>23033</v>
      </c>
      <c r="AF1242" t="s">
        <v>74</v>
      </c>
      <c r="AG1242">
        <v>209</v>
      </c>
      <c r="AH1242">
        <v>582</v>
      </c>
      <c r="AI1242">
        <v>632</v>
      </c>
      <c r="AJ1242">
        <v>11</v>
      </c>
      <c r="AK1242">
        <v>153</v>
      </c>
      <c r="AL1242" t="s">
        <v>392</v>
      </c>
      <c r="AM1242" t="s">
        <v>393</v>
      </c>
      <c r="AN1242" t="s">
        <v>394</v>
      </c>
      <c r="AO1242" t="s">
        <v>74</v>
      </c>
      <c r="AP1242" t="s">
        <v>9772</v>
      </c>
      <c r="AQ1242" t="s">
        <v>74</v>
      </c>
      <c r="AR1242" t="s">
        <v>9773</v>
      </c>
      <c r="AS1242" t="s">
        <v>9774</v>
      </c>
      <c r="AT1242" t="s">
        <v>74</v>
      </c>
      <c r="AU1242">
        <v>2010</v>
      </c>
      <c r="AV1242">
        <v>4</v>
      </c>
      <c r="AW1242" t="s">
        <v>74</v>
      </c>
      <c r="AX1242" t="s">
        <v>74</v>
      </c>
      <c r="AY1242" t="s">
        <v>74</v>
      </c>
      <c r="AZ1242" t="s">
        <v>74</v>
      </c>
      <c r="BA1242" t="s">
        <v>74</v>
      </c>
      <c r="BB1242" t="s">
        <v>74</v>
      </c>
      <c r="BC1242" t="s">
        <v>74</v>
      </c>
      <c r="BD1242">
        <v>161</v>
      </c>
      <c r="BE1242" t="s">
        <v>23034</v>
      </c>
      <c r="BF1242" t="str">
        <f>HYPERLINK("http://dx.doi.org/10.3389/fnins.2010.00161","http://dx.doi.org/10.3389/fnins.2010.00161")</f>
        <v>http://dx.doi.org/10.3389/fnins.2010.00161</v>
      </c>
      <c r="BG1242" t="s">
        <v>74</v>
      </c>
      <c r="BH1242" t="s">
        <v>74</v>
      </c>
      <c r="BI1242">
        <v>15</v>
      </c>
      <c r="BJ1242" t="s">
        <v>374</v>
      </c>
      <c r="BK1242" t="s">
        <v>182</v>
      </c>
      <c r="BL1242" t="s">
        <v>375</v>
      </c>
      <c r="BM1242" t="s">
        <v>23035</v>
      </c>
      <c r="BN1242">
        <v>20877434</v>
      </c>
      <c r="BO1242" t="s">
        <v>23036</v>
      </c>
      <c r="BP1242" t="s">
        <v>74</v>
      </c>
      <c r="BQ1242" t="s">
        <v>74</v>
      </c>
      <c r="BR1242" t="s">
        <v>105</v>
      </c>
      <c r="BS1242" t="s">
        <v>23037</v>
      </c>
      <c r="BT1242" t="str">
        <f>HYPERLINK("https%3A%2F%2Fwww.webofscience.com%2Fwos%2Fwoscc%2Ffull-record%2FWOS:000419790500058","View Full Record in Web of Science")</f>
        <v>View Full Record in Web of Science</v>
      </c>
    </row>
    <row r="1243" spans="1:72" x14ac:dyDescent="0.25">
      <c r="A1243" t="s">
        <v>72</v>
      </c>
      <c r="B1243" t="s">
        <v>23038</v>
      </c>
      <c r="C1243" t="s">
        <v>74</v>
      </c>
      <c r="D1243" t="s">
        <v>74</v>
      </c>
      <c r="E1243" t="s">
        <v>74</v>
      </c>
      <c r="F1243" t="s">
        <v>23039</v>
      </c>
      <c r="G1243" t="s">
        <v>74</v>
      </c>
      <c r="H1243" t="s">
        <v>74</v>
      </c>
      <c r="I1243" t="s">
        <v>23040</v>
      </c>
      <c r="J1243" t="s">
        <v>23041</v>
      </c>
      <c r="K1243" t="s">
        <v>74</v>
      </c>
      <c r="L1243" t="s">
        <v>74</v>
      </c>
      <c r="M1243" t="s">
        <v>78</v>
      </c>
      <c r="N1243" t="s">
        <v>79</v>
      </c>
      <c r="O1243" t="s">
        <v>74</v>
      </c>
      <c r="P1243" t="s">
        <v>74</v>
      </c>
      <c r="Q1243" t="s">
        <v>74</v>
      </c>
      <c r="R1243" t="s">
        <v>74</v>
      </c>
      <c r="S1243" t="s">
        <v>74</v>
      </c>
      <c r="T1243" t="s">
        <v>74</v>
      </c>
      <c r="U1243" t="s">
        <v>23042</v>
      </c>
      <c r="V1243" t="s">
        <v>23043</v>
      </c>
      <c r="W1243" t="s">
        <v>23044</v>
      </c>
      <c r="X1243" t="s">
        <v>23045</v>
      </c>
      <c r="Y1243" t="s">
        <v>23046</v>
      </c>
      <c r="Z1243" t="s">
        <v>23047</v>
      </c>
      <c r="AA1243" t="s">
        <v>23048</v>
      </c>
      <c r="AB1243" t="s">
        <v>23049</v>
      </c>
      <c r="AC1243" t="s">
        <v>23050</v>
      </c>
      <c r="AD1243" t="s">
        <v>23051</v>
      </c>
      <c r="AE1243" t="s">
        <v>23052</v>
      </c>
      <c r="AF1243" t="s">
        <v>74</v>
      </c>
      <c r="AG1243">
        <v>34</v>
      </c>
      <c r="AH1243">
        <v>83</v>
      </c>
      <c r="AI1243">
        <v>92</v>
      </c>
      <c r="AJ1243">
        <v>0</v>
      </c>
      <c r="AK1243">
        <v>10</v>
      </c>
      <c r="AL1243" t="s">
        <v>23053</v>
      </c>
      <c r="AM1243" t="s">
        <v>23054</v>
      </c>
      <c r="AN1243" t="s">
        <v>23055</v>
      </c>
      <c r="AO1243" t="s">
        <v>23056</v>
      </c>
      <c r="AP1243" t="s">
        <v>23057</v>
      </c>
      <c r="AQ1243" t="s">
        <v>74</v>
      </c>
      <c r="AR1243" t="s">
        <v>23058</v>
      </c>
      <c r="AS1243" t="s">
        <v>23059</v>
      </c>
      <c r="AT1243" t="s">
        <v>420</v>
      </c>
      <c r="AU1243">
        <v>2009</v>
      </c>
      <c r="AV1243">
        <v>66</v>
      </c>
      <c r="AW1243">
        <v>9</v>
      </c>
      <c r="AX1243" t="s">
        <v>74</v>
      </c>
      <c r="AY1243" t="s">
        <v>74</v>
      </c>
      <c r="AZ1243" t="s">
        <v>74</v>
      </c>
      <c r="BA1243" t="s">
        <v>74</v>
      </c>
      <c r="BB1243">
        <v>1086</v>
      </c>
      <c r="BC1243">
        <v>1090</v>
      </c>
      <c r="BD1243" t="s">
        <v>74</v>
      </c>
      <c r="BE1243" t="s">
        <v>74</v>
      </c>
      <c r="BF1243" t="s">
        <v>74</v>
      </c>
      <c r="BG1243" t="s">
        <v>74</v>
      </c>
      <c r="BH1243" t="s">
        <v>74</v>
      </c>
      <c r="BI1243">
        <v>5</v>
      </c>
      <c r="BJ1243" t="s">
        <v>541</v>
      </c>
      <c r="BK1243" t="s">
        <v>102</v>
      </c>
      <c r="BL1243" t="s">
        <v>375</v>
      </c>
      <c r="BM1243" t="s">
        <v>23060</v>
      </c>
      <c r="BN1243">
        <v>19752297</v>
      </c>
      <c r="BO1243" t="s">
        <v>23061</v>
      </c>
      <c r="BP1243" t="s">
        <v>74</v>
      </c>
      <c r="BQ1243" t="s">
        <v>74</v>
      </c>
      <c r="BR1243" t="s">
        <v>105</v>
      </c>
      <c r="BS1243" t="s">
        <v>23062</v>
      </c>
      <c r="BT1243" t="str">
        <f>HYPERLINK("https%3A%2F%2Fwww.webofscience.com%2Fwos%2Fwoscc%2Ffull-record%2FWOS:000269765000005","View Full Record in Web of Science")</f>
        <v>View Full Record in Web of Science</v>
      </c>
    </row>
    <row r="1244" spans="1:72" x14ac:dyDescent="0.25">
      <c r="A1244" t="s">
        <v>72</v>
      </c>
      <c r="B1244" t="s">
        <v>23063</v>
      </c>
      <c r="C1244" t="s">
        <v>74</v>
      </c>
      <c r="D1244" t="s">
        <v>74</v>
      </c>
      <c r="E1244" t="s">
        <v>74</v>
      </c>
      <c r="F1244" t="s">
        <v>23064</v>
      </c>
      <c r="G1244" t="s">
        <v>74</v>
      </c>
      <c r="H1244" t="s">
        <v>74</v>
      </c>
      <c r="I1244" t="s">
        <v>23065</v>
      </c>
      <c r="J1244" t="s">
        <v>594</v>
      </c>
      <c r="K1244" t="s">
        <v>74</v>
      </c>
      <c r="L1244" t="s">
        <v>74</v>
      </c>
      <c r="M1244" t="s">
        <v>78</v>
      </c>
      <c r="N1244" t="s">
        <v>79</v>
      </c>
      <c r="O1244" t="s">
        <v>74</v>
      </c>
      <c r="P1244" t="s">
        <v>74</v>
      </c>
      <c r="Q1244" t="s">
        <v>74</v>
      </c>
      <c r="R1244" t="s">
        <v>74</v>
      </c>
      <c r="S1244" t="s">
        <v>74</v>
      </c>
      <c r="T1244" t="s">
        <v>74</v>
      </c>
      <c r="U1244" t="s">
        <v>23066</v>
      </c>
      <c r="V1244" t="s">
        <v>23067</v>
      </c>
      <c r="W1244" t="s">
        <v>23068</v>
      </c>
      <c r="X1244" t="s">
        <v>23069</v>
      </c>
      <c r="Y1244" t="s">
        <v>23070</v>
      </c>
      <c r="Z1244" t="s">
        <v>23071</v>
      </c>
      <c r="AA1244" t="s">
        <v>23072</v>
      </c>
      <c r="AB1244" t="s">
        <v>23073</v>
      </c>
      <c r="AC1244" t="s">
        <v>23074</v>
      </c>
      <c r="AD1244" t="s">
        <v>23075</v>
      </c>
      <c r="AE1244" t="s">
        <v>23076</v>
      </c>
      <c r="AF1244" t="s">
        <v>74</v>
      </c>
      <c r="AG1244">
        <v>174</v>
      </c>
      <c r="AH1244">
        <v>831</v>
      </c>
      <c r="AI1244">
        <v>966</v>
      </c>
      <c r="AJ1244">
        <v>7</v>
      </c>
      <c r="AK1244">
        <v>327</v>
      </c>
      <c r="AL1244" t="s">
        <v>274</v>
      </c>
      <c r="AM1244" t="s">
        <v>275</v>
      </c>
      <c r="AN1244" t="s">
        <v>276</v>
      </c>
      <c r="AO1244" t="s">
        <v>74</v>
      </c>
      <c r="AP1244" t="s">
        <v>606</v>
      </c>
      <c r="AQ1244" t="s">
        <v>74</v>
      </c>
      <c r="AR1244" t="s">
        <v>607</v>
      </c>
      <c r="AS1244" t="s">
        <v>608</v>
      </c>
      <c r="AT1244" t="s">
        <v>8195</v>
      </c>
      <c r="AU1244">
        <v>2009</v>
      </c>
      <c r="AV1244">
        <v>6</v>
      </c>
      <c r="AW1244" t="s">
        <v>74</v>
      </c>
      <c r="AX1244" t="s">
        <v>74</v>
      </c>
      <c r="AY1244" t="s">
        <v>74</v>
      </c>
      <c r="AZ1244" t="s">
        <v>74</v>
      </c>
      <c r="BA1244" t="s">
        <v>74</v>
      </c>
      <c r="BB1244" t="s">
        <v>74</v>
      </c>
      <c r="BC1244" t="s">
        <v>74</v>
      </c>
      <c r="BD1244">
        <v>20</v>
      </c>
      <c r="BE1244" t="s">
        <v>23077</v>
      </c>
      <c r="BF1244" t="str">
        <f>HYPERLINK("http://dx.doi.org/10.1186/1743-0003-6-20","http://dx.doi.org/10.1186/1743-0003-6-20")</f>
        <v>http://dx.doi.org/10.1186/1743-0003-6-20</v>
      </c>
      <c r="BG1244" t="s">
        <v>74</v>
      </c>
      <c r="BH1244" t="s">
        <v>74</v>
      </c>
      <c r="BI1244">
        <v>15</v>
      </c>
      <c r="BJ1244" t="s">
        <v>611</v>
      </c>
      <c r="BK1244" t="s">
        <v>102</v>
      </c>
      <c r="BL1244" t="s">
        <v>612</v>
      </c>
      <c r="BM1244" t="s">
        <v>23078</v>
      </c>
      <c r="BN1244">
        <v>19531254</v>
      </c>
      <c r="BO1244" t="s">
        <v>355</v>
      </c>
      <c r="BP1244" t="s">
        <v>74</v>
      </c>
      <c r="BQ1244" t="s">
        <v>74</v>
      </c>
      <c r="BR1244" t="s">
        <v>105</v>
      </c>
      <c r="BS1244" t="s">
        <v>23079</v>
      </c>
      <c r="BT1244" t="str">
        <f>HYPERLINK("https%3A%2F%2Fwww.webofscience.com%2Fwos%2Fwoscc%2Ffull-record%2FWOS:000268573400001","View Full Record in Web of Science")</f>
        <v>View Full Record in Web of Science</v>
      </c>
    </row>
    <row r="1245" spans="1:72" x14ac:dyDescent="0.25">
      <c r="A1245" t="s">
        <v>72</v>
      </c>
      <c r="B1245" t="s">
        <v>23080</v>
      </c>
      <c r="C1245" t="s">
        <v>74</v>
      </c>
      <c r="D1245" t="s">
        <v>74</v>
      </c>
      <c r="E1245" t="s">
        <v>74</v>
      </c>
      <c r="F1245" t="s">
        <v>23081</v>
      </c>
      <c r="G1245" t="s">
        <v>74</v>
      </c>
      <c r="H1245" t="s">
        <v>74</v>
      </c>
      <c r="I1245" t="s">
        <v>23082</v>
      </c>
      <c r="J1245" t="s">
        <v>6787</v>
      </c>
      <c r="K1245" t="s">
        <v>74</v>
      </c>
      <c r="L1245" t="s">
        <v>74</v>
      </c>
      <c r="M1245" t="s">
        <v>78</v>
      </c>
      <c r="N1245" t="s">
        <v>79</v>
      </c>
      <c r="O1245" t="s">
        <v>74</v>
      </c>
      <c r="P1245" t="s">
        <v>74</v>
      </c>
      <c r="Q1245" t="s">
        <v>74</v>
      </c>
      <c r="R1245" t="s">
        <v>74</v>
      </c>
      <c r="S1245" t="s">
        <v>74</v>
      </c>
      <c r="T1245" t="s">
        <v>23083</v>
      </c>
      <c r="U1245" t="s">
        <v>23084</v>
      </c>
      <c r="V1245" t="s">
        <v>23085</v>
      </c>
      <c r="W1245" t="s">
        <v>23086</v>
      </c>
      <c r="X1245" t="s">
        <v>23087</v>
      </c>
      <c r="Y1245" t="s">
        <v>23088</v>
      </c>
      <c r="Z1245" t="s">
        <v>23089</v>
      </c>
      <c r="AA1245" t="s">
        <v>23090</v>
      </c>
      <c r="AB1245" t="s">
        <v>23091</v>
      </c>
      <c r="AC1245" t="s">
        <v>74</v>
      </c>
      <c r="AD1245" t="s">
        <v>74</v>
      </c>
      <c r="AE1245" t="s">
        <v>74</v>
      </c>
      <c r="AF1245" t="s">
        <v>74</v>
      </c>
      <c r="AG1245">
        <v>44</v>
      </c>
      <c r="AH1245">
        <v>18</v>
      </c>
      <c r="AI1245">
        <v>21</v>
      </c>
      <c r="AJ1245">
        <v>0</v>
      </c>
      <c r="AK1245">
        <v>19</v>
      </c>
      <c r="AL1245" t="s">
        <v>531</v>
      </c>
      <c r="AM1245" t="s">
        <v>532</v>
      </c>
      <c r="AN1245" t="s">
        <v>533</v>
      </c>
      <c r="AO1245" t="s">
        <v>6795</v>
      </c>
      <c r="AP1245" t="s">
        <v>6796</v>
      </c>
      <c r="AQ1245" t="s">
        <v>74</v>
      </c>
      <c r="AR1245" t="s">
        <v>6797</v>
      </c>
      <c r="AS1245" t="s">
        <v>6798</v>
      </c>
      <c r="AT1245" t="s">
        <v>487</v>
      </c>
      <c r="AU1245">
        <v>2009</v>
      </c>
      <c r="AV1245">
        <v>19</v>
      </c>
      <c r="AW1245">
        <v>2</v>
      </c>
      <c r="AX1245" t="s">
        <v>74</v>
      </c>
      <c r="AY1245" t="s">
        <v>74</v>
      </c>
      <c r="AZ1245" t="s">
        <v>74</v>
      </c>
      <c r="BA1245" t="s">
        <v>74</v>
      </c>
      <c r="BB1245">
        <v>269</v>
      </c>
      <c r="BC1245">
        <v>275</v>
      </c>
      <c r="BD1245" t="s">
        <v>74</v>
      </c>
      <c r="BE1245" t="s">
        <v>23092</v>
      </c>
      <c r="BF1245" t="str">
        <f>HYPERLINK("http://dx.doi.org/10.1016/j.jelekin.2008.04.010","http://dx.doi.org/10.1016/j.jelekin.2008.04.010")</f>
        <v>http://dx.doi.org/10.1016/j.jelekin.2008.04.010</v>
      </c>
      <c r="BG1245" t="s">
        <v>74</v>
      </c>
      <c r="BH1245" t="s">
        <v>74</v>
      </c>
      <c r="BI1245">
        <v>7</v>
      </c>
      <c r="BJ1245" t="s">
        <v>6800</v>
      </c>
      <c r="BK1245" t="s">
        <v>182</v>
      </c>
      <c r="BL1245" t="s">
        <v>6801</v>
      </c>
      <c r="BM1245" t="s">
        <v>23093</v>
      </c>
      <c r="BN1245">
        <v>18585929</v>
      </c>
      <c r="BO1245" t="s">
        <v>74</v>
      </c>
      <c r="BP1245" t="s">
        <v>74</v>
      </c>
      <c r="BQ1245" t="s">
        <v>74</v>
      </c>
      <c r="BR1245" t="s">
        <v>105</v>
      </c>
      <c r="BS1245" t="s">
        <v>23094</v>
      </c>
      <c r="BT1245" t="str">
        <f>HYPERLINK("https%3A%2F%2Fwww.webofscience.com%2Fwos%2Fwoscc%2Ffull-record%2FWOS:000264267600010","View Full Record in Web of Science")</f>
        <v>View Full Record in Web of Science</v>
      </c>
    </row>
    <row r="1246" spans="1:72" x14ac:dyDescent="0.25">
      <c r="A1246" t="s">
        <v>72</v>
      </c>
      <c r="B1246" t="s">
        <v>23095</v>
      </c>
      <c r="C1246" t="s">
        <v>74</v>
      </c>
      <c r="D1246" t="s">
        <v>74</v>
      </c>
      <c r="E1246" t="s">
        <v>74</v>
      </c>
      <c r="F1246" t="s">
        <v>23096</v>
      </c>
      <c r="G1246" t="s">
        <v>74</v>
      </c>
      <c r="H1246" t="s">
        <v>74</v>
      </c>
      <c r="I1246" t="s">
        <v>23097</v>
      </c>
      <c r="J1246" t="s">
        <v>848</v>
      </c>
      <c r="K1246" t="s">
        <v>74</v>
      </c>
      <c r="L1246" t="s">
        <v>74</v>
      </c>
      <c r="M1246" t="s">
        <v>78</v>
      </c>
      <c r="N1246" t="s">
        <v>79</v>
      </c>
      <c r="O1246" t="s">
        <v>74</v>
      </c>
      <c r="P1246" t="s">
        <v>74</v>
      </c>
      <c r="Q1246" t="s">
        <v>74</v>
      </c>
      <c r="R1246" t="s">
        <v>74</v>
      </c>
      <c r="S1246" t="s">
        <v>74</v>
      </c>
      <c r="T1246" t="s">
        <v>23098</v>
      </c>
      <c r="U1246" t="s">
        <v>23099</v>
      </c>
      <c r="V1246" t="s">
        <v>23100</v>
      </c>
      <c r="W1246" t="s">
        <v>23101</v>
      </c>
      <c r="X1246" t="s">
        <v>23102</v>
      </c>
      <c r="Y1246" t="s">
        <v>23103</v>
      </c>
      <c r="Z1246" t="s">
        <v>23104</v>
      </c>
      <c r="AA1246" t="s">
        <v>23105</v>
      </c>
      <c r="AB1246" t="s">
        <v>23106</v>
      </c>
      <c r="AC1246" t="s">
        <v>23107</v>
      </c>
      <c r="AD1246" t="s">
        <v>23107</v>
      </c>
      <c r="AE1246" t="s">
        <v>23108</v>
      </c>
      <c r="AF1246" t="s">
        <v>74</v>
      </c>
      <c r="AG1246">
        <v>126</v>
      </c>
      <c r="AH1246">
        <v>11</v>
      </c>
      <c r="AI1246">
        <v>14</v>
      </c>
      <c r="AJ1246">
        <v>1</v>
      </c>
      <c r="AK1246">
        <v>11</v>
      </c>
      <c r="AL1246" t="s">
        <v>92</v>
      </c>
      <c r="AM1246" t="s">
        <v>93</v>
      </c>
      <c r="AN1246" t="s">
        <v>94</v>
      </c>
      <c r="AO1246" t="s">
        <v>859</v>
      </c>
      <c r="AP1246" t="s">
        <v>860</v>
      </c>
      <c r="AQ1246" t="s">
        <v>74</v>
      </c>
      <c r="AR1246" t="s">
        <v>861</v>
      </c>
      <c r="AS1246" t="s">
        <v>862</v>
      </c>
      <c r="AT1246" t="s">
        <v>487</v>
      </c>
      <c r="AU1246">
        <v>2009</v>
      </c>
      <c r="AV1246">
        <v>9</v>
      </c>
      <c r="AW1246">
        <v>4</v>
      </c>
      <c r="AX1246" t="s">
        <v>74</v>
      </c>
      <c r="AY1246" t="s">
        <v>74</v>
      </c>
      <c r="AZ1246" t="s">
        <v>74</v>
      </c>
      <c r="BA1246" t="s">
        <v>74</v>
      </c>
      <c r="BB1246">
        <v>541</v>
      </c>
      <c r="BC1246">
        <v>552</v>
      </c>
      <c r="BD1246" t="s">
        <v>74</v>
      </c>
      <c r="BE1246" t="s">
        <v>23109</v>
      </c>
      <c r="BF1246" t="str">
        <f>HYPERLINK("http://dx.doi.org/10.1586/ERN.09.6","http://dx.doi.org/10.1586/ERN.09.6")</f>
        <v>http://dx.doi.org/10.1586/ERN.09.6</v>
      </c>
      <c r="BG1246" t="s">
        <v>74</v>
      </c>
      <c r="BH1246" t="s">
        <v>74</v>
      </c>
      <c r="BI1246">
        <v>12</v>
      </c>
      <c r="BJ1246" t="s">
        <v>866</v>
      </c>
      <c r="BK1246" t="s">
        <v>182</v>
      </c>
      <c r="BL1246" t="s">
        <v>867</v>
      </c>
      <c r="BM1246" t="s">
        <v>23110</v>
      </c>
      <c r="BN1246">
        <v>19344305</v>
      </c>
      <c r="BO1246" t="s">
        <v>2246</v>
      </c>
      <c r="BP1246" t="s">
        <v>74</v>
      </c>
      <c r="BQ1246" t="s">
        <v>74</v>
      </c>
      <c r="BR1246" t="s">
        <v>105</v>
      </c>
      <c r="BS1246" t="s">
        <v>23111</v>
      </c>
      <c r="BT1246" t="str">
        <f>HYPERLINK("https%3A%2F%2Fwww.webofscience.com%2Fwos%2Fwoscc%2Ffull-record%2FWOS:000209449200017","View Full Record in Web of Science")</f>
        <v>View Full Record in Web of Science</v>
      </c>
    </row>
    <row r="1247" spans="1:72" x14ac:dyDescent="0.25">
      <c r="A1247" t="s">
        <v>72</v>
      </c>
      <c r="B1247" t="s">
        <v>23112</v>
      </c>
      <c r="C1247" t="s">
        <v>74</v>
      </c>
      <c r="D1247" t="s">
        <v>74</v>
      </c>
      <c r="E1247" t="s">
        <v>74</v>
      </c>
      <c r="F1247" t="s">
        <v>23113</v>
      </c>
      <c r="G1247" t="s">
        <v>74</v>
      </c>
      <c r="H1247" t="s">
        <v>74</v>
      </c>
      <c r="I1247" t="s">
        <v>23114</v>
      </c>
      <c r="J1247" t="s">
        <v>594</v>
      </c>
      <c r="K1247" t="s">
        <v>74</v>
      </c>
      <c r="L1247" t="s">
        <v>74</v>
      </c>
      <c r="M1247" t="s">
        <v>78</v>
      </c>
      <c r="N1247" t="s">
        <v>79</v>
      </c>
      <c r="O1247" t="s">
        <v>74</v>
      </c>
      <c r="P1247" t="s">
        <v>74</v>
      </c>
      <c r="Q1247" t="s">
        <v>74</v>
      </c>
      <c r="R1247" t="s">
        <v>74</v>
      </c>
      <c r="S1247" t="s">
        <v>74</v>
      </c>
      <c r="T1247" t="s">
        <v>74</v>
      </c>
      <c r="U1247" t="s">
        <v>23115</v>
      </c>
      <c r="V1247" t="s">
        <v>23116</v>
      </c>
      <c r="W1247" t="s">
        <v>23117</v>
      </c>
      <c r="X1247" t="s">
        <v>19902</v>
      </c>
      <c r="Y1247" t="s">
        <v>23118</v>
      </c>
      <c r="Z1247" t="s">
        <v>23119</v>
      </c>
      <c r="AA1247" t="s">
        <v>74</v>
      </c>
      <c r="AB1247" t="s">
        <v>74</v>
      </c>
      <c r="AC1247" t="s">
        <v>74</v>
      </c>
      <c r="AD1247" t="s">
        <v>74</v>
      </c>
      <c r="AE1247" t="s">
        <v>74</v>
      </c>
      <c r="AF1247" t="s">
        <v>74</v>
      </c>
      <c r="AG1247">
        <v>121</v>
      </c>
      <c r="AH1247">
        <v>288</v>
      </c>
      <c r="AI1247">
        <v>321</v>
      </c>
      <c r="AJ1247">
        <v>2</v>
      </c>
      <c r="AK1247">
        <v>84</v>
      </c>
      <c r="AL1247" t="s">
        <v>274</v>
      </c>
      <c r="AM1247" t="s">
        <v>275</v>
      </c>
      <c r="AN1247" t="s">
        <v>276</v>
      </c>
      <c r="AO1247" t="s">
        <v>74</v>
      </c>
      <c r="AP1247" t="s">
        <v>606</v>
      </c>
      <c r="AQ1247" t="s">
        <v>74</v>
      </c>
      <c r="AR1247" t="s">
        <v>607</v>
      </c>
      <c r="AS1247" t="s">
        <v>608</v>
      </c>
      <c r="AT1247" t="s">
        <v>15772</v>
      </c>
      <c r="AU1247">
        <v>2009</v>
      </c>
      <c r="AV1247">
        <v>6</v>
      </c>
      <c r="AW1247" t="s">
        <v>74</v>
      </c>
      <c r="AX1247" t="s">
        <v>74</v>
      </c>
      <c r="AY1247" t="s">
        <v>74</v>
      </c>
      <c r="AZ1247" t="s">
        <v>74</v>
      </c>
      <c r="BA1247" t="s">
        <v>74</v>
      </c>
      <c r="BB1247" t="s">
        <v>74</v>
      </c>
      <c r="BC1247" t="s">
        <v>74</v>
      </c>
      <c r="BD1247">
        <v>5</v>
      </c>
      <c r="BE1247" t="s">
        <v>23120</v>
      </c>
      <c r="BF1247" t="str">
        <f>HYPERLINK("http://dx.doi.org/10.1186/1743-0003-6-5","http://dx.doi.org/10.1186/1743-0003-6-5")</f>
        <v>http://dx.doi.org/10.1186/1743-0003-6-5</v>
      </c>
      <c r="BG1247" t="s">
        <v>74</v>
      </c>
      <c r="BH1247" t="s">
        <v>74</v>
      </c>
      <c r="BI1247">
        <v>13</v>
      </c>
      <c r="BJ1247" t="s">
        <v>611</v>
      </c>
      <c r="BK1247" t="s">
        <v>102</v>
      </c>
      <c r="BL1247" t="s">
        <v>612</v>
      </c>
      <c r="BM1247" t="s">
        <v>23121</v>
      </c>
      <c r="BN1247">
        <v>19243614</v>
      </c>
      <c r="BO1247" t="s">
        <v>355</v>
      </c>
      <c r="BP1247" t="s">
        <v>74</v>
      </c>
      <c r="BQ1247" t="s">
        <v>74</v>
      </c>
      <c r="BR1247" t="s">
        <v>105</v>
      </c>
      <c r="BS1247" t="s">
        <v>23122</v>
      </c>
      <c r="BT1247" t="str">
        <f>HYPERLINK("https%3A%2F%2Fwww.webofscience.com%2Fwos%2Fwoscc%2Ffull-record%2FWOS:000264194200001","View Full Record in Web of Science")</f>
        <v>View Full Record in Web of Science</v>
      </c>
    </row>
    <row r="1248" spans="1:72" x14ac:dyDescent="0.25">
      <c r="A1248" t="s">
        <v>72</v>
      </c>
      <c r="B1248" t="s">
        <v>23123</v>
      </c>
      <c r="C1248" t="s">
        <v>74</v>
      </c>
      <c r="D1248" t="s">
        <v>74</v>
      </c>
      <c r="E1248" t="s">
        <v>74</v>
      </c>
      <c r="F1248" t="s">
        <v>23124</v>
      </c>
      <c r="G1248" t="s">
        <v>74</v>
      </c>
      <c r="H1248" t="s">
        <v>74</v>
      </c>
      <c r="I1248" t="s">
        <v>23125</v>
      </c>
      <c r="J1248" t="s">
        <v>23126</v>
      </c>
      <c r="K1248" t="s">
        <v>74</v>
      </c>
      <c r="L1248" t="s">
        <v>74</v>
      </c>
      <c r="M1248" t="s">
        <v>78</v>
      </c>
      <c r="N1248" t="s">
        <v>79</v>
      </c>
      <c r="O1248" t="s">
        <v>74</v>
      </c>
      <c r="P1248" t="s">
        <v>74</v>
      </c>
      <c r="Q1248" t="s">
        <v>74</v>
      </c>
      <c r="R1248" t="s">
        <v>74</v>
      </c>
      <c r="S1248" t="s">
        <v>74</v>
      </c>
      <c r="T1248" t="s">
        <v>74</v>
      </c>
      <c r="U1248" t="s">
        <v>23127</v>
      </c>
      <c r="V1248" t="s">
        <v>23128</v>
      </c>
      <c r="W1248" t="s">
        <v>23129</v>
      </c>
      <c r="X1248" t="s">
        <v>23130</v>
      </c>
      <c r="Y1248" t="s">
        <v>23131</v>
      </c>
      <c r="Z1248" t="s">
        <v>23132</v>
      </c>
      <c r="AA1248" t="s">
        <v>23133</v>
      </c>
      <c r="AB1248" t="s">
        <v>23134</v>
      </c>
      <c r="AC1248" t="s">
        <v>74</v>
      </c>
      <c r="AD1248" t="s">
        <v>74</v>
      </c>
      <c r="AE1248" t="s">
        <v>74</v>
      </c>
      <c r="AF1248" t="s">
        <v>74</v>
      </c>
      <c r="AG1248">
        <v>84</v>
      </c>
      <c r="AH1248">
        <v>4</v>
      </c>
      <c r="AI1248">
        <v>6</v>
      </c>
      <c r="AJ1248">
        <v>0</v>
      </c>
      <c r="AK1248">
        <v>0</v>
      </c>
      <c r="AL1248" t="s">
        <v>23135</v>
      </c>
      <c r="AM1248" t="s">
        <v>23136</v>
      </c>
      <c r="AN1248" t="s">
        <v>23137</v>
      </c>
      <c r="AO1248" t="s">
        <v>23138</v>
      </c>
      <c r="AP1248" t="s">
        <v>23139</v>
      </c>
      <c r="AQ1248" t="s">
        <v>74</v>
      </c>
      <c r="AR1248" t="s">
        <v>23140</v>
      </c>
      <c r="AS1248" t="s">
        <v>23141</v>
      </c>
      <c r="AT1248" t="s">
        <v>351</v>
      </c>
      <c r="AU1248">
        <v>2009</v>
      </c>
      <c r="AV1248">
        <v>3</v>
      </c>
      <c r="AW1248">
        <v>1</v>
      </c>
      <c r="AX1248" t="s">
        <v>74</v>
      </c>
      <c r="AY1248" t="s">
        <v>74</v>
      </c>
      <c r="AZ1248" t="s">
        <v>74</v>
      </c>
      <c r="BA1248" t="s">
        <v>74</v>
      </c>
      <c r="BB1248">
        <v>37</v>
      </c>
      <c r="BC1248">
        <v>48</v>
      </c>
      <c r="BD1248" t="s">
        <v>74</v>
      </c>
      <c r="BE1248" t="s">
        <v>74</v>
      </c>
      <c r="BF1248" t="s">
        <v>74</v>
      </c>
      <c r="BG1248" t="s">
        <v>74</v>
      </c>
      <c r="BH1248" t="s">
        <v>74</v>
      </c>
      <c r="BI1248">
        <v>12</v>
      </c>
      <c r="BJ1248" t="s">
        <v>2739</v>
      </c>
      <c r="BK1248" t="s">
        <v>182</v>
      </c>
      <c r="BL1248" t="s">
        <v>2739</v>
      </c>
      <c r="BM1248" t="s">
        <v>23142</v>
      </c>
      <c r="BN1248">
        <v>19293974</v>
      </c>
      <c r="BO1248" t="s">
        <v>74</v>
      </c>
      <c r="BP1248" t="s">
        <v>74</v>
      </c>
      <c r="BQ1248" t="s">
        <v>74</v>
      </c>
      <c r="BR1248" t="s">
        <v>105</v>
      </c>
      <c r="BS1248" t="s">
        <v>23143</v>
      </c>
      <c r="BT1248" t="str">
        <f>HYPERLINK("https%3A%2F%2Fwww.webofscience.com%2Fwos%2Fwoscc%2Ffull-record%2FWOS:000263596700008","View Full Record in Web of Science")</f>
        <v>View Full Record in Web of Science</v>
      </c>
    </row>
    <row r="1249" spans="1:72" x14ac:dyDescent="0.25">
      <c r="A1249" t="s">
        <v>72</v>
      </c>
      <c r="B1249" t="s">
        <v>23144</v>
      </c>
      <c r="C1249" t="s">
        <v>74</v>
      </c>
      <c r="D1249" t="s">
        <v>74</v>
      </c>
      <c r="E1249" t="s">
        <v>74</v>
      </c>
      <c r="F1249" t="s">
        <v>23145</v>
      </c>
      <c r="G1249" t="s">
        <v>74</v>
      </c>
      <c r="H1249" t="s">
        <v>74</v>
      </c>
      <c r="I1249" t="s">
        <v>23146</v>
      </c>
      <c r="J1249" t="s">
        <v>22803</v>
      </c>
      <c r="K1249" t="s">
        <v>74</v>
      </c>
      <c r="L1249" t="s">
        <v>74</v>
      </c>
      <c r="M1249" t="s">
        <v>78</v>
      </c>
      <c r="N1249" t="s">
        <v>79</v>
      </c>
      <c r="O1249" t="s">
        <v>74</v>
      </c>
      <c r="P1249" t="s">
        <v>74</v>
      </c>
      <c r="Q1249" t="s">
        <v>74</v>
      </c>
      <c r="R1249" t="s">
        <v>74</v>
      </c>
      <c r="S1249" t="s">
        <v>74</v>
      </c>
      <c r="T1249" t="s">
        <v>23147</v>
      </c>
      <c r="U1249" t="s">
        <v>23148</v>
      </c>
      <c r="V1249" t="s">
        <v>23149</v>
      </c>
      <c r="W1249" t="s">
        <v>23150</v>
      </c>
      <c r="X1249" t="s">
        <v>23151</v>
      </c>
      <c r="Y1249" t="s">
        <v>23152</v>
      </c>
      <c r="Z1249" t="s">
        <v>23153</v>
      </c>
      <c r="AA1249" t="s">
        <v>74</v>
      </c>
      <c r="AB1249" t="s">
        <v>74</v>
      </c>
      <c r="AC1249" t="s">
        <v>23154</v>
      </c>
      <c r="AD1249" t="s">
        <v>23155</v>
      </c>
      <c r="AE1249" t="s">
        <v>23156</v>
      </c>
      <c r="AF1249" t="s">
        <v>74</v>
      </c>
      <c r="AG1249">
        <v>44</v>
      </c>
      <c r="AH1249">
        <v>80</v>
      </c>
      <c r="AI1249">
        <v>100</v>
      </c>
      <c r="AJ1249">
        <v>0</v>
      </c>
      <c r="AK1249">
        <v>5</v>
      </c>
      <c r="AL1249" t="s">
        <v>836</v>
      </c>
      <c r="AM1249" t="s">
        <v>532</v>
      </c>
      <c r="AN1249" t="s">
        <v>837</v>
      </c>
      <c r="AO1249" t="s">
        <v>22815</v>
      </c>
      <c r="AP1249" t="s">
        <v>22816</v>
      </c>
      <c r="AQ1249" t="s">
        <v>74</v>
      </c>
      <c r="AR1249" t="s">
        <v>22817</v>
      </c>
      <c r="AS1249" t="s">
        <v>22818</v>
      </c>
      <c r="AT1249" t="s">
        <v>16088</v>
      </c>
      <c r="AU1249">
        <v>2009</v>
      </c>
      <c r="AV1249">
        <v>78</v>
      </c>
      <c r="AW1249">
        <v>1</v>
      </c>
      <c r="AX1249" t="s">
        <v>74</v>
      </c>
      <c r="AY1249" t="s">
        <v>74</v>
      </c>
      <c r="AZ1249" t="s">
        <v>152</v>
      </c>
      <c r="BA1249" t="s">
        <v>74</v>
      </c>
      <c r="BB1249">
        <v>4</v>
      </c>
      <c r="BC1249">
        <v>12</v>
      </c>
      <c r="BD1249" t="s">
        <v>74</v>
      </c>
      <c r="BE1249" t="s">
        <v>23157</v>
      </c>
      <c r="BF1249" t="str">
        <f>HYPERLINK("http://dx.doi.org/10.1016/j.brainresbull.2008.09.018","http://dx.doi.org/10.1016/j.brainresbull.2008.09.018")</f>
        <v>http://dx.doi.org/10.1016/j.brainresbull.2008.09.018</v>
      </c>
      <c r="BG1249" t="s">
        <v>74</v>
      </c>
      <c r="BH1249" t="s">
        <v>74</v>
      </c>
      <c r="BI1249">
        <v>9</v>
      </c>
      <c r="BJ1249" t="s">
        <v>374</v>
      </c>
      <c r="BK1249" t="s">
        <v>182</v>
      </c>
      <c r="BL1249" t="s">
        <v>375</v>
      </c>
      <c r="BM1249" t="s">
        <v>23158</v>
      </c>
      <c r="BN1249">
        <v>19010399</v>
      </c>
      <c r="BO1249" t="s">
        <v>3048</v>
      </c>
      <c r="BP1249" t="s">
        <v>74</v>
      </c>
      <c r="BQ1249" t="s">
        <v>74</v>
      </c>
      <c r="BR1249" t="s">
        <v>105</v>
      </c>
      <c r="BS1249" t="s">
        <v>23159</v>
      </c>
      <c r="BT1249" t="str">
        <f>HYPERLINK("https%3A%2F%2Fwww.webofscience.com%2Fwos%2Fwoscc%2Ffull-record%2FWOS:000262552100003","View Full Record in Web of Science")</f>
        <v>View Full Record in Web of Science</v>
      </c>
    </row>
    <row r="1250" spans="1:72" x14ac:dyDescent="0.25">
      <c r="A1250" t="s">
        <v>18749</v>
      </c>
      <c r="B1250" t="s">
        <v>23160</v>
      </c>
      <c r="C1250" t="s">
        <v>74</v>
      </c>
      <c r="D1250" t="s">
        <v>23161</v>
      </c>
      <c r="E1250" t="s">
        <v>74</v>
      </c>
      <c r="F1250" t="s">
        <v>23162</v>
      </c>
      <c r="G1250" t="s">
        <v>74</v>
      </c>
      <c r="H1250" t="s">
        <v>74</v>
      </c>
      <c r="I1250" t="s">
        <v>23163</v>
      </c>
      <c r="J1250" t="s">
        <v>23164</v>
      </c>
      <c r="K1250" t="s">
        <v>22854</v>
      </c>
      <c r="L1250" t="s">
        <v>74</v>
      </c>
      <c r="M1250" t="s">
        <v>78</v>
      </c>
      <c r="N1250" t="s">
        <v>79</v>
      </c>
      <c r="O1250" t="s">
        <v>23165</v>
      </c>
      <c r="P1250" t="s">
        <v>23166</v>
      </c>
      <c r="Q1250" t="s">
        <v>23167</v>
      </c>
      <c r="R1250" t="s">
        <v>23168</v>
      </c>
      <c r="S1250" t="s">
        <v>23169</v>
      </c>
      <c r="T1250" t="s">
        <v>23170</v>
      </c>
      <c r="U1250" t="s">
        <v>23171</v>
      </c>
      <c r="V1250" t="s">
        <v>23172</v>
      </c>
      <c r="W1250" t="s">
        <v>23173</v>
      </c>
      <c r="X1250" t="s">
        <v>23174</v>
      </c>
      <c r="Y1250" t="s">
        <v>23175</v>
      </c>
      <c r="Z1250" t="s">
        <v>23153</v>
      </c>
      <c r="AA1250" t="s">
        <v>23176</v>
      </c>
      <c r="AB1250" t="s">
        <v>23177</v>
      </c>
      <c r="AC1250" t="s">
        <v>23178</v>
      </c>
      <c r="AD1250" t="s">
        <v>23179</v>
      </c>
      <c r="AE1250" t="s">
        <v>23180</v>
      </c>
      <c r="AF1250" t="s">
        <v>74</v>
      </c>
      <c r="AG1250">
        <v>136</v>
      </c>
      <c r="AH1250">
        <v>59</v>
      </c>
      <c r="AI1250">
        <v>78</v>
      </c>
      <c r="AJ1250">
        <v>0</v>
      </c>
      <c r="AK1250">
        <v>21</v>
      </c>
      <c r="AL1250" t="s">
        <v>5599</v>
      </c>
      <c r="AM1250" t="s">
        <v>1606</v>
      </c>
      <c r="AN1250" t="s">
        <v>22864</v>
      </c>
      <c r="AO1250" t="s">
        <v>22865</v>
      </c>
      <c r="AP1250" t="s">
        <v>74</v>
      </c>
      <c r="AQ1250" t="s">
        <v>23181</v>
      </c>
      <c r="AR1250" t="s">
        <v>22867</v>
      </c>
      <c r="AS1250" t="s">
        <v>22868</v>
      </c>
      <c r="AT1250" t="s">
        <v>74</v>
      </c>
      <c r="AU1250">
        <v>2009</v>
      </c>
      <c r="AV1250">
        <v>175</v>
      </c>
      <c r="AW1250" t="s">
        <v>74</v>
      </c>
      <c r="AX1250" t="s">
        <v>74</v>
      </c>
      <c r="AY1250" t="s">
        <v>74</v>
      </c>
      <c r="AZ1250" t="s">
        <v>74</v>
      </c>
      <c r="BA1250" t="s">
        <v>74</v>
      </c>
      <c r="BB1250">
        <v>393</v>
      </c>
      <c r="BC1250">
        <v>418</v>
      </c>
      <c r="BD1250" t="s">
        <v>74</v>
      </c>
      <c r="BE1250" t="s">
        <v>23182</v>
      </c>
      <c r="BF1250" t="str">
        <f>HYPERLINK("http://dx.doi.org/10.1016/S0079-6123(09)17526-X","http://dx.doi.org/10.1016/S0079-6123(09)17526-X")</f>
        <v>http://dx.doi.org/10.1016/S0079-6123(09)17526-X</v>
      </c>
      <c r="BG1250" t="s">
        <v>74</v>
      </c>
      <c r="BH1250" t="s">
        <v>74</v>
      </c>
      <c r="BI1250">
        <v>26</v>
      </c>
      <c r="BJ1250" t="s">
        <v>400</v>
      </c>
      <c r="BK1250" t="s">
        <v>23183</v>
      </c>
      <c r="BL1250" t="s">
        <v>375</v>
      </c>
      <c r="BM1250" t="s">
        <v>23184</v>
      </c>
      <c r="BN1250">
        <v>19660669</v>
      </c>
      <c r="BO1250" t="s">
        <v>5648</v>
      </c>
      <c r="BP1250" t="s">
        <v>74</v>
      </c>
      <c r="BQ1250" t="s">
        <v>74</v>
      </c>
      <c r="BR1250" t="s">
        <v>105</v>
      </c>
      <c r="BS1250" t="s">
        <v>23185</v>
      </c>
      <c r="BT1250" t="str">
        <f>HYPERLINK("https%3A%2F%2Fwww.webofscience.com%2Fwos%2Fwoscc%2Ffull-record%2FWOS:000313549600026","View Full Record in Web of Science")</f>
        <v>View Full Record in Web of Science</v>
      </c>
    </row>
    <row r="1251" spans="1:72" x14ac:dyDescent="0.25">
      <c r="A1251" t="s">
        <v>72</v>
      </c>
      <c r="B1251" t="s">
        <v>23186</v>
      </c>
      <c r="C1251" t="s">
        <v>74</v>
      </c>
      <c r="D1251" t="s">
        <v>74</v>
      </c>
      <c r="E1251" t="s">
        <v>74</v>
      </c>
      <c r="F1251" t="s">
        <v>23187</v>
      </c>
      <c r="G1251" t="s">
        <v>74</v>
      </c>
      <c r="H1251" t="s">
        <v>74</v>
      </c>
      <c r="I1251" t="s">
        <v>23188</v>
      </c>
      <c r="J1251" t="s">
        <v>23189</v>
      </c>
      <c r="K1251" t="s">
        <v>23190</v>
      </c>
      <c r="L1251" t="s">
        <v>74</v>
      </c>
      <c r="M1251" t="s">
        <v>78</v>
      </c>
      <c r="N1251" t="s">
        <v>1537</v>
      </c>
      <c r="O1251" t="s">
        <v>74</v>
      </c>
      <c r="P1251" t="s">
        <v>74</v>
      </c>
      <c r="Q1251" t="s">
        <v>74</v>
      </c>
      <c r="R1251" t="s">
        <v>74</v>
      </c>
      <c r="S1251" t="s">
        <v>74</v>
      </c>
      <c r="T1251" t="s">
        <v>23191</v>
      </c>
      <c r="U1251" t="s">
        <v>23192</v>
      </c>
      <c r="V1251" t="s">
        <v>23193</v>
      </c>
      <c r="W1251" t="s">
        <v>23194</v>
      </c>
      <c r="X1251" t="s">
        <v>23195</v>
      </c>
      <c r="Y1251" t="s">
        <v>23196</v>
      </c>
      <c r="Z1251" t="s">
        <v>23197</v>
      </c>
      <c r="AA1251" t="s">
        <v>74</v>
      </c>
      <c r="AB1251" t="s">
        <v>74</v>
      </c>
      <c r="AC1251" t="s">
        <v>74</v>
      </c>
      <c r="AD1251" t="s">
        <v>74</v>
      </c>
      <c r="AE1251" t="s">
        <v>74</v>
      </c>
      <c r="AF1251" t="s">
        <v>74</v>
      </c>
      <c r="AG1251">
        <v>74</v>
      </c>
      <c r="AH1251">
        <v>67</v>
      </c>
      <c r="AI1251">
        <v>84</v>
      </c>
      <c r="AJ1251">
        <v>0</v>
      </c>
      <c r="AK1251">
        <v>22</v>
      </c>
      <c r="AL1251" t="s">
        <v>4437</v>
      </c>
      <c r="AM1251" t="s">
        <v>4438</v>
      </c>
      <c r="AN1251" t="s">
        <v>4439</v>
      </c>
      <c r="AO1251" t="s">
        <v>23198</v>
      </c>
      <c r="AP1251" t="s">
        <v>74</v>
      </c>
      <c r="AQ1251" t="s">
        <v>74</v>
      </c>
      <c r="AR1251" t="s">
        <v>23199</v>
      </c>
      <c r="AS1251" t="s">
        <v>23200</v>
      </c>
      <c r="AT1251" t="s">
        <v>74</v>
      </c>
      <c r="AU1251">
        <v>2009</v>
      </c>
      <c r="AV1251">
        <v>60</v>
      </c>
      <c r="AW1251" t="s">
        <v>74</v>
      </c>
      <c r="AX1251" t="s">
        <v>74</v>
      </c>
      <c r="AY1251" t="s">
        <v>74</v>
      </c>
      <c r="AZ1251" t="s">
        <v>74</v>
      </c>
      <c r="BA1251" t="s">
        <v>74</v>
      </c>
      <c r="BB1251">
        <v>55</v>
      </c>
      <c r="BC1251">
        <v>68</v>
      </c>
      <c r="BD1251" t="s">
        <v>74</v>
      </c>
      <c r="BE1251" t="s">
        <v>23201</v>
      </c>
      <c r="BF1251" t="str">
        <f>HYPERLINK("http://dx.doi.org/10.1146/annurev.med.60.042707.104248","http://dx.doi.org/10.1146/annurev.med.60.042707.104248")</f>
        <v>http://dx.doi.org/10.1146/annurev.med.60.042707.104248</v>
      </c>
      <c r="BG1251" t="s">
        <v>74</v>
      </c>
      <c r="BH1251" t="s">
        <v>74</v>
      </c>
      <c r="BI1251">
        <v>14</v>
      </c>
      <c r="BJ1251" t="s">
        <v>738</v>
      </c>
      <c r="BK1251" t="s">
        <v>18774</v>
      </c>
      <c r="BL1251" t="s">
        <v>739</v>
      </c>
      <c r="BM1251" t="s">
        <v>23202</v>
      </c>
      <c r="BN1251">
        <v>18928333</v>
      </c>
      <c r="BO1251" t="s">
        <v>74</v>
      </c>
      <c r="BP1251" t="s">
        <v>74</v>
      </c>
      <c r="BQ1251" t="s">
        <v>74</v>
      </c>
      <c r="BR1251" t="s">
        <v>105</v>
      </c>
      <c r="BS1251" t="s">
        <v>23203</v>
      </c>
      <c r="BT1251" t="str">
        <f>HYPERLINK("https%3A%2F%2Fwww.webofscience.com%2Fwos%2Fwoscc%2Ffull-record%2FWOS:000268071100005","View Full Record in Web of Science")</f>
        <v>View Full Record in Web of Science</v>
      </c>
    </row>
    <row r="1252" spans="1:72" x14ac:dyDescent="0.25">
      <c r="A1252" t="s">
        <v>72</v>
      </c>
      <c r="B1252" t="s">
        <v>23204</v>
      </c>
      <c r="C1252" t="s">
        <v>74</v>
      </c>
      <c r="D1252" t="s">
        <v>74</v>
      </c>
      <c r="E1252" t="s">
        <v>74</v>
      </c>
      <c r="F1252" t="s">
        <v>23205</v>
      </c>
      <c r="G1252" t="s">
        <v>74</v>
      </c>
      <c r="H1252" t="s">
        <v>74</v>
      </c>
      <c r="I1252" t="s">
        <v>23206</v>
      </c>
      <c r="J1252" t="s">
        <v>23207</v>
      </c>
      <c r="K1252" t="s">
        <v>74</v>
      </c>
      <c r="L1252" t="s">
        <v>74</v>
      </c>
      <c r="M1252" t="s">
        <v>78</v>
      </c>
      <c r="N1252" t="s">
        <v>79</v>
      </c>
      <c r="O1252" t="s">
        <v>74</v>
      </c>
      <c r="P1252" t="s">
        <v>74</v>
      </c>
      <c r="Q1252" t="s">
        <v>74</v>
      </c>
      <c r="R1252" t="s">
        <v>74</v>
      </c>
      <c r="S1252" t="s">
        <v>74</v>
      </c>
      <c r="T1252" t="s">
        <v>23208</v>
      </c>
      <c r="U1252" t="s">
        <v>23209</v>
      </c>
      <c r="V1252" t="s">
        <v>23210</v>
      </c>
      <c r="W1252" t="s">
        <v>23211</v>
      </c>
      <c r="X1252" t="s">
        <v>23212</v>
      </c>
      <c r="Y1252" t="s">
        <v>23213</v>
      </c>
      <c r="Z1252" t="s">
        <v>21037</v>
      </c>
      <c r="AA1252" t="s">
        <v>74</v>
      </c>
      <c r="AB1252" t="s">
        <v>74</v>
      </c>
      <c r="AC1252" t="s">
        <v>23214</v>
      </c>
      <c r="AD1252" t="s">
        <v>23215</v>
      </c>
      <c r="AE1252" t="s">
        <v>23216</v>
      </c>
      <c r="AF1252" t="s">
        <v>74</v>
      </c>
      <c r="AG1252">
        <v>30</v>
      </c>
      <c r="AH1252">
        <v>98</v>
      </c>
      <c r="AI1252">
        <v>117</v>
      </c>
      <c r="AJ1252">
        <v>2</v>
      </c>
      <c r="AK1252">
        <v>18</v>
      </c>
      <c r="AL1252" t="s">
        <v>346</v>
      </c>
      <c r="AM1252" t="s">
        <v>227</v>
      </c>
      <c r="AN1252" t="s">
        <v>347</v>
      </c>
      <c r="AO1252" t="s">
        <v>23217</v>
      </c>
      <c r="AP1252" t="s">
        <v>23218</v>
      </c>
      <c r="AQ1252" t="s">
        <v>74</v>
      </c>
      <c r="AR1252" t="s">
        <v>23219</v>
      </c>
      <c r="AS1252" t="s">
        <v>23220</v>
      </c>
      <c r="AT1252" t="s">
        <v>538</v>
      </c>
      <c r="AU1252">
        <v>2009</v>
      </c>
      <c r="AV1252">
        <v>37</v>
      </c>
      <c r="AW1252">
        <v>1</v>
      </c>
      <c r="AX1252" t="s">
        <v>74</v>
      </c>
      <c r="AY1252" t="s">
        <v>74</v>
      </c>
      <c r="AZ1252" t="s">
        <v>74</v>
      </c>
      <c r="BA1252" t="s">
        <v>74</v>
      </c>
      <c r="BB1252">
        <v>43</v>
      </c>
      <c r="BC1252">
        <v>51</v>
      </c>
      <c r="BD1252" t="s">
        <v>74</v>
      </c>
      <c r="BE1252" t="s">
        <v>23221</v>
      </c>
      <c r="BF1252" t="str">
        <f>HYPERLINK("http://dx.doi.org/10.1097/JES.0b013e3181912108","http://dx.doi.org/10.1097/JES.0b013e3181912108")</f>
        <v>http://dx.doi.org/10.1097/JES.0b013e3181912108</v>
      </c>
      <c r="BG1252" t="s">
        <v>74</v>
      </c>
      <c r="BH1252" t="s">
        <v>74</v>
      </c>
      <c r="BI1252">
        <v>9</v>
      </c>
      <c r="BJ1252" t="s">
        <v>16019</v>
      </c>
      <c r="BK1252" t="s">
        <v>102</v>
      </c>
      <c r="BL1252" t="s">
        <v>16019</v>
      </c>
      <c r="BM1252" t="s">
        <v>23222</v>
      </c>
      <c r="BN1252">
        <v>19098524</v>
      </c>
      <c r="BO1252" t="s">
        <v>23223</v>
      </c>
      <c r="BP1252" t="s">
        <v>74</v>
      </c>
      <c r="BQ1252" t="s">
        <v>74</v>
      </c>
      <c r="BR1252" t="s">
        <v>105</v>
      </c>
      <c r="BS1252" t="s">
        <v>23224</v>
      </c>
      <c r="BT1252" t="str">
        <f>HYPERLINK("https%3A%2F%2Fwww.webofscience.com%2Fwos%2Fwoscc%2Ffull-record%2FWOS:000262069500009","View Full Record in Web of Science")</f>
        <v>View Full Record in Web of Science</v>
      </c>
    </row>
    <row r="1253" spans="1:72" x14ac:dyDescent="0.25">
      <c r="A1253" t="s">
        <v>72</v>
      </c>
      <c r="B1253" t="s">
        <v>23225</v>
      </c>
      <c r="C1253" t="s">
        <v>74</v>
      </c>
      <c r="D1253" t="s">
        <v>74</v>
      </c>
      <c r="E1253" t="s">
        <v>74</v>
      </c>
      <c r="F1253" t="s">
        <v>23226</v>
      </c>
      <c r="G1253" t="s">
        <v>74</v>
      </c>
      <c r="H1253" t="s">
        <v>74</v>
      </c>
      <c r="I1253" t="s">
        <v>23227</v>
      </c>
      <c r="J1253" t="s">
        <v>23228</v>
      </c>
      <c r="K1253" t="s">
        <v>74</v>
      </c>
      <c r="L1253" t="s">
        <v>74</v>
      </c>
      <c r="M1253" t="s">
        <v>78</v>
      </c>
      <c r="N1253" t="s">
        <v>79</v>
      </c>
      <c r="O1253" t="s">
        <v>74</v>
      </c>
      <c r="P1253" t="s">
        <v>74</v>
      </c>
      <c r="Q1253" t="s">
        <v>74</v>
      </c>
      <c r="R1253" t="s">
        <v>74</v>
      </c>
      <c r="S1253" t="s">
        <v>74</v>
      </c>
      <c r="T1253" t="s">
        <v>23229</v>
      </c>
      <c r="U1253" t="s">
        <v>74</v>
      </c>
      <c r="V1253" t="s">
        <v>23230</v>
      </c>
      <c r="W1253" t="s">
        <v>23231</v>
      </c>
      <c r="X1253" t="s">
        <v>23232</v>
      </c>
      <c r="Y1253" t="s">
        <v>23233</v>
      </c>
      <c r="Z1253" t="s">
        <v>23234</v>
      </c>
      <c r="AA1253" t="s">
        <v>23235</v>
      </c>
      <c r="AB1253" t="s">
        <v>23236</v>
      </c>
      <c r="AC1253" t="s">
        <v>74</v>
      </c>
      <c r="AD1253" t="s">
        <v>74</v>
      </c>
      <c r="AE1253" t="s">
        <v>74</v>
      </c>
      <c r="AF1253" t="s">
        <v>74</v>
      </c>
      <c r="AG1253">
        <v>10</v>
      </c>
      <c r="AH1253">
        <v>1</v>
      </c>
      <c r="AI1253">
        <v>1</v>
      </c>
      <c r="AJ1253">
        <v>0</v>
      </c>
      <c r="AK1253">
        <v>11</v>
      </c>
      <c r="AL1253" t="s">
        <v>2529</v>
      </c>
      <c r="AM1253" t="s">
        <v>2530</v>
      </c>
      <c r="AN1253" t="s">
        <v>2531</v>
      </c>
      <c r="AO1253" t="s">
        <v>23237</v>
      </c>
      <c r="AP1253" t="s">
        <v>23238</v>
      </c>
      <c r="AQ1253" t="s">
        <v>74</v>
      </c>
      <c r="AR1253" t="s">
        <v>23239</v>
      </c>
      <c r="AS1253" t="s">
        <v>23240</v>
      </c>
      <c r="AT1253" t="s">
        <v>1070</v>
      </c>
      <c r="AU1253">
        <v>2008</v>
      </c>
      <c r="AV1253">
        <v>3</v>
      </c>
      <c r="AW1253" t="s">
        <v>13829</v>
      </c>
      <c r="AX1253" t="s">
        <v>74</v>
      </c>
      <c r="AY1253" t="s">
        <v>74</v>
      </c>
      <c r="AZ1253" t="s">
        <v>74</v>
      </c>
      <c r="BA1253" t="s">
        <v>74</v>
      </c>
      <c r="BB1253">
        <v>61</v>
      </c>
      <c r="BC1253">
        <v>67</v>
      </c>
      <c r="BD1253" t="s">
        <v>74</v>
      </c>
      <c r="BE1253" t="s">
        <v>23241</v>
      </c>
      <c r="BF1253" t="str">
        <f>HYPERLINK("http://dx.doi.org/10.1007/s11548-008-0200-2","http://dx.doi.org/10.1007/s11548-008-0200-2")</f>
        <v>http://dx.doi.org/10.1007/s11548-008-0200-2</v>
      </c>
      <c r="BG1253" t="s">
        <v>74</v>
      </c>
      <c r="BH1253" t="s">
        <v>74</v>
      </c>
      <c r="BI1253">
        <v>7</v>
      </c>
      <c r="BJ1253" t="s">
        <v>23242</v>
      </c>
      <c r="BK1253" t="s">
        <v>182</v>
      </c>
      <c r="BL1253" t="s">
        <v>23243</v>
      </c>
      <c r="BM1253" t="s">
        <v>23244</v>
      </c>
      <c r="BN1253" t="s">
        <v>74</v>
      </c>
      <c r="BO1253" t="s">
        <v>74</v>
      </c>
      <c r="BP1253" t="s">
        <v>74</v>
      </c>
      <c r="BQ1253" t="s">
        <v>74</v>
      </c>
      <c r="BR1253" t="s">
        <v>105</v>
      </c>
      <c r="BS1253" t="s">
        <v>23245</v>
      </c>
      <c r="BT1253" t="str">
        <f>HYPERLINK("https%3A%2F%2Fwww.webofscience.com%2Fwos%2Fwoscc%2Ffull-record%2FWOS:000208990400007","View Full Record in Web of Science")</f>
        <v>View Full Record in Web of Science</v>
      </c>
    </row>
    <row r="1254" spans="1:72" x14ac:dyDescent="0.25">
      <c r="A1254" t="s">
        <v>72</v>
      </c>
      <c r="B1254" t="s">
        <v>23246</v>
      </c>
      <c r="C1254" t="s">
        <v>74</v>
      </c>
      <c r="D1254" t="s">
        <v>74</v>
      </c>
      <c r="E1254" t="s">
        <v>74</v>
      </c>
      <c r="F1254" t="s">
        <v>23247</v>
      </c>
      <c r="G1254" t="s">
        <v>74</v>
      </c>
      <c r="H1254" t="s">
        <v>74</v>
      </c>
      <c r="I1254" t="s">
        <v>23248</v>
      </c>
      <c r="J1254" t="s">
        <v>23249</v>
      </c>
      <c r="K1254" t="s">
        <v>74</v>
      </c>
      <c r="L1254" t="s">
        <v>74</v>
      </c>
      <c r="M1254" t="s">
        <v>78</v>
      </c>
      <c r="N1254" t="s">
        <v>79</v>
      </c>
      <c r="O1254" t="s">
        <v>74</v>
      </c>
      <c r="P1254" t="s">
        <v>74</v>
      </c>
      <c r="Q1254" t="s">
        <v>74</v>
      </c>
      <c r="R1254" t="s">
        <v>74</v>
      </c>
      <c r="S1254" t="s">
        <v>74</v>
      </c>
      <c r="T1254" t="s">
        <v>74</v>
      </c>
      <c r="U1254" t="s">
        <v>74</v>
      </c>
      <c r="V1254" t="s">
        <v>23250</v>
      </c>
      <c r="W1254" t="s">
        <v>23251</v>
      </c>
      <c r="X1254" t="s">
        <v>74</v>
      </c>
      <c r="Y1254" t="s">
        <v>23252</v>
      </c>
      <c r="Z1254" t="s">
        <v>74</v>
      </c>
      <c r="AA1254" t="s">
        <v>23253</v>
      </c>
      <c r="AB1254" t="s">
        <v>23254</v>
      </c>
      <c r="AC1254" t="s">
        <v>74</v>
      </c>
      <c r="AD1254" t="s">
        <v>74</v>
      </c>
      <c r="AE1254" t="s">
        <v>74</v>
      </c>
      <c r="AF1254" t="s">
        <v>74</v>
      </c>
      <c r="AG1254">
        <v>6</v>
      </c>
      <c r="AH1254">
        <v>0</v>
      </c>
      <c r="AI1254">
        <v>0</v>
      </c>
      <c r="AJ1254">
        <v>0</v>
      </c>
      <c r="AK1254">
        <v>0</v>
      </c>
      <c r="AL1254" t="s">
        <v>23255</v>
      </c>
      <c r="AM1254" t="s">
        <v>1546</v>
      </c>
      <c r="AN1254" t="s">
        <v>23256</v>
      </c>
      <c r="AO1254" t="s">
        <v>23257</v>
      </c>
      <c r="AP1254" t="s">
        <v>23258</v>
      </c>
      <c r="AQ1254" t="s">
        <v>74</v>
      </c>
      <c r="AR1254" t="s">
        <v>23259</v>
      </c>
      <c r="AS1254" t="s">
        <v>23260</v>
      </c>
      <c r="AT1254" t="s">
        <v>487</v>
      </c>
      <c r="AU1254">
        <v>2008</v>
      </c>
      <c r="AV1254">
        <v>12</v>
      </c>
      <c r="AW1254">
        <v>3</v>
      </c>
      <c r="AX1254" t="s">
        <v>74</v>
      </c>
      <c r="AY1254" t="s">
        <v>74</v>
      </c>
      <c r="AZ1254" t="s">
        <v>74</v>
      </c>
      <c r="BA1254" t="s">
        <v>74</v>
      </c>
      <c r="BB1254">
        <v>22</v>
      </c>
      <c r="BC1254">
        <v>24</v>
      </c>
      <c r="BD1254" t="s">
        <v>74</v>
      </c>
      <c r="BE1254" t="s">
        <v>23261</v>
      </c>
      <c r="BF1254" t="str">
        <f>HYPERLINK("http://dx.doi.org/10.1002/pnp.68","http://dx.doi.org/10.1002/pnp.68")</f>
        <v>http://dx.doi.org/10.1002/pnp.68</v>
      </c>
      <c r="BG1254" t="s">
        <v>74</v>
      </c>
      <c r="BH1254" t="s">
        <v>74</v>
      </c>
      <c r="BI1254">
        <v>3</v>
      </c>
      <c r="BJ1254" t="s">
        <v>374</v>
      </c>
      <c r="BK1254" t="s">
        <v>155</v>
      </c>
      <c r="BL1254" t="s">
        <v>375</v>
      </c>
      <c r="BM1254" t="s">
        <v>23262</v>
      </c>
      <c r="BN1254" t="s">
        <v>74</v>
      </c>
      <c r="BO1254" t="s">
        <v>1052</v>
      </c>
      <c r="BP1254" t="s">
        <v>74</v>
      </c>
      <c r="BQ1254" t="s">
        <v>74</v>
      </c>
      <c r="BR1254" t="s">
        <v>105</v>
      </c>
      <c r="BS1254" t="s">
        <v>23263</v>
      </c>
      <c r="BT1254" t="str">
        <f>HYPERLINK("https%3A%2F%2Fwww.webofscience.com%2Fwos%2Fwoscc%2Ffull-record%2FWOS:000217874000005","View Full Record in Web of Science")</f>
        <v>View Full Record in Web of Science</v>
      </c>
    </row>
    <row r="1255" spans="1:72" x14ac:dyDescent="0.25">
      <c r="A1255" t="s">
        <v>72</v>
      </c>
      <c r="B1255" t="s">
        <v>23264</v>
      </c>
      <c r="C1255" t="s">
        <v>74</v>
      </c>
      <c r="D1255" t="s">
        <v>74</v>
      </c>
      <c r="E1255" t="s">
        <v>74</v>
      </c>
      <c r="F1255" t="s">
        <v>23265</v>
      </c>
      <c r="G1255" t="s">
        <v>74</v>
      </c>
      <c r="H1255" t="s">
        <v>74</v>
      </c>
      <c r="I1255" t="s">
        <v>23266</v>
      </c>
      <c r="J1255" t="s">
        <v>1032</v>
      </c>
      <c r="K1255" t="s">
        <v>74</v>
      </c>
      <c r="L1255" t="s">
        <v>74</v>
      </c>
      <c r="M1255" t="s">
        <v>78</v>
      </c>
      <c r="N1255" t="s">
        <v>79</v>
      </c>
      <c r="O1255" t="s">
        <v>74</v>
      </c>
      <c r="P1255" t="s">
        <v>74</v>
      </c>
      <c r="Q1255" t="s">
        <v>74</v>
      </c>
      <c r="R1255" t="s">
        <v>74</v>
      </c>
      <c r="S1255" t="s">
        <v>74</v>
      </c>
      <c r="T1255" t="s">
        <v>23267</v>
      </c>
      <c r="U1255" t="s">
        <v>23268</v>
      </c>
      <c r="V1255" t="s">
        <v>23269</v>
      </c>
      <c r="W1255" t="s">
        <v>23270</v>
      </c>
      <c r="X1255" t="s">
        <v>23271</v>
      </c>
      <c r="Y1255" t="s">
        <v>23272</v>
      </c>
      <c r="Z1255" t="s">
        <v>922</v>
      </c>
      <c r="AA1255" t="s">
        <v>74</v>
      </c>
      <c r="AB1255" t="s">
        <v>23273</v>
      </c>
      <c r="AC1255" t="s">
        <v>23274</v>
      </c>
      <c r="AD1255" t="s">
        <v>22863</v>
      </c>
      <c r="AE1255" t="s">
        <v>74</v>
      </c>
      <c r="AF1255" t="s">
        <v>74</v>
      </c>
      <c r="AG1255">
        <v>61</v>
      </c>
      <c r="AH1255">
        <v>1027</v>
      </c>
      <c r="AI1255">
        <v>1167</v>
      </c>
      <c r="AJ1255">
        <v>14</v>
      </c>
      <c r="AK1255">
        <v>541</v>
      </c>
      <c r="AL1255" t="s">
        <v>1040</v>
      </c>
      <c r="AM1255" t="s">
        <v>1041</v>
      </c>
      <c r="AN1255" t="s">
        <v>1042</v>
      </c>
      <c r="AO1255" t="s">
        <v>1043</v>
      </c>
      <c r="AP1255" t="s">
        <v>1044</v>
      </c>
      <c r="AQ1255" t="s">
        <v>74</v>
      </c>
      <c r="AR1255" t="s">
        <v>1045</v>
      </c>
      <c r="AS1255" t="s">
        <v>1046</v>
      </c>
      <c r="AT1255" t="s">
        <v>11314</v>
      </c>
      <c r="AU1255">
        <v>2008</v>
      </c>
      <c r="AV1255">
        <v>22</v>
      </c>
      <c r="AW1255">
        <v>2</v>
      </c>
      <c r="AX1255" t="s">
        <v>74</v>
      </c>
      <c r="AY1255" t="s">
        <v>74</v>
      </c>
      <c r="AZ1255" t="s">
        <v>74</v>
      </c>
      <c r="BA1255" t="s">
        <v>74</v>
      </c>
      <c r="BB1255">
        <v>111</v>
      </c>
      <c r="BC1255">
        <v>121</v>
      </c>
      <c r="BD1255" t="s">
        <v>74</v>
      </c>
      <c r="BE1255" t="s">
        <v>23275</v>
      </c>
      <c r="BF1255" t="str">
        <f>HYPERLINK("http://dx.doi.org/10.1177/1545968307305457","http://dx.doi.org/10.1177/1545968307305457")</f>
        <v>http://dx.doi.org/10.1177/1545968307305457</v>
      </c>
      <c r="BG1255" t="s">
        <v>74</v>
      </c>
      <c r="BH1255" t="s">
        <v>74</v>
      </c>
      <c r="BI1255">
        <v>11</v>
      </c>
      <c r="BJ1255" t="s">
        <v>1049</v>
      </c>
      <c r="BK1255" t="s">
        <v>182</v>
      </c>
      <c r="BL1255" t="s">
        <v>1050</v>
      </c>
      <c r="BM1255" t="s">
        <v>23276</v>
      </c>
      <c r="BN1255">
        <v>17876068</v>
      </c>
      <c r="BO1255" t="s">
        <v>3048</v>
      </c>
      <c r="BP1255" t="s">
        <v>74</v>
      </c>
      <c r="BQ1255" t="s">
        <v>74</v>
      </c>
      <c r="BR1255" t="s">
        <v>105</v>
      </c>
      <c r="BS1255" t="s">
        <v>23277</v>
      </c>
      <c r="BT1255" t="str">
        <f>HYPERLINK("https%3A%2F%2Fwww.webofscience.com%2Fwos%2Fwoscc%2Ffull-record%2FWOS:000253374700002","View Full Record in Web of Science")</f>
        <v>View Full Record in Web of Science</v>
      </c>
    </row>
    <row r="1256" spans="1:72" x14ac:dyDescent="0.25">
      <c r="A1256" t="s">
        <v>72</v>
      </c>
      <c r="B1256" t="s">
        <v>23278</v>
      </c>
      <c r="C1256" t="s">
        <v>74</v>
      </c>
      <c r="D1256" t="s">
        <v>74</v>
      </c>
      <c r="E1256" t="s">
        <v>74</v>
      </c>
      <c r="F1256" t="s">
        <v>23279</v>
      </c>
      <c r="G1256" t="s">
        <v>74</v>
      </c>
      <c r="H1256" t="s">
        <v>74</v>
      </c>
      <c r="I1256" t="s">
        <v>23280</v>
      </c>
      <c r="J1256" t="s">
        <v>23281</v>
      </c>
      <c r="K1256" t="s">
        <v>74</v>
      </c>
      <c r="L1256" t="s">
        <v>74</v>
      </c>
      <c r="M1256" t="s">
        <v>78</v>
      </c>
      <c r="N1256" t="s">
        <v>79</v>
      </c>
      <c r="O1256" t="s">
        <v>74</v>
      </c>
      <c r="P1256" t="s">
        <v>74</v>
      </c>
      <c r="Q1256" t="s">
        <v>74</v>
      </c>
      <c r="R1256" t="s">
        <v>74</v>
      </c>
      <c r="S1256" t="s">
        <v>74</v>
      </c>
      <c r="T1256" t="s">
        <v>23282</v>
      </c>
      <c r="U1256" t="s">
        <v>23283</v>
      </c>
      <c r="V1256" t="s">
        <v>23284</v>
      </c>
      <c r="W1256" t="s">
        <v>23285</v>
      </c>
      <c r="X1256" t="s">
        <v>23286</v>
      </c>
      <c r="Y1256" t="s">
        <v>23287</v>
      </c>
      <c r="Z1256" t="s">
        <v>23288</v>
      </c>
      <c r="AA1256" t="s">
        <v>74</v>
      </c>
      <c r="AB1256" t="s">
        <v>74</v>
      </c>
      <c r="AC1256" t="s">
        <v>23289</v>
      </c>
      <c r="AD1256" t="s">
        <v>23290</v>
      </c>
      <c r="AE1256" t="s">
        <v>74</v>
      </c>
      <c r="AF1256" t="s">
        <v>74</v>
      </c>
      <c r="AG1256">
        <v>61</v>
      </c>
      <c r="AH1256">
        <v>139</v>
      </c>
      <c r="AI1256">
        <v>159</v>
      </c>
      <c r="AJ1256">
        <v>0</v>
      </c>
      <c r="AK1256">
        <v>44</v>
      </c>
      <c r="AL1256" t="s">
        <v>18402</v>
      </c>
      <c r="AM1256" t="s">
        <v>173</v>
      </c>
      <c r="AN1256" t="s">
        <v>20829</v>
      </c>
      <c r="AO1256" t="s">
        <v>23291</v>
      </c>
      <c r="AP1256" t="s">
        <v>74</v>
      </c>
      <c r="AQ1256" t="s">
        <v>74</v>
      </c>
      <c r="AR1256" t="s">
        <v>23292</v>
      </c>
      <c r="AS1256" t="s">
        <v>23293</v>
      </c>
      <c r="AT1256" t="s">
        <v>351</v>
      </c>
      <c r="AU1256">
        <v>2008</v>
      </c>
      <c r="AV1256">
        <v>4</v>
      </c>
      <c r="AW1256">
        <v>2</v>
      </c>
      <c r="AX1256" t="s">
        <v>74</v>
      </c>
      <c r="AY1256" t="s">
        <v>74</v>
      </c>
      <c r="AZ1256" t="s">
        <v>74</v>
      </c>
      <c r="BA1256" t="s">
        <v>74</v>
      </c>
      <c r="BB1256">
        <v>76</v>
      </c>
      <c r="BC1256">
        <v>85</v>
      </c>
      <c r="BD1256" t="s">
        <v>74</v>
      </c>
      <c r="BE1256" t="s">
        <v>23294</v>
      </c>
      <c r="BF1256" t="str">
        <f>HYPERLINK("http://dx.doi.org/10.1038/ncpneuro0709","http://dx.doi.org/10.1038/ncpneuro0709")</f>
        <v>http://dx.doi.org/10.1038/ncpneuro0709</v>
      </c>
      <c r="BG1256" t="s">
        <v>74</v>
      </c>
      <c r="BH1256" t="s">
        <v>74</v>
      </c>
      <c r="BI1256">
        <v>10</v>
      </c>
      <c r="BJ1256" t="s">
        <v>541</v>
      </c>
      <c r="BK1256" t="s">
        <v>182</v>
      </c>
      <c r="BL1256" t="s">
        <v>375</v>
      </c>
      <c r="BM1256" t="s">
        <v>23295</v>
      </c>
      <c r="BN1256">
        <v>18256679</v>
      </c>
      <c r="BO1256" t="s">
        <v>3048</v>
      </c>
      <c r="BP1256" t="s">
        <v>74</v>
      </c>
      <c r="BQ1256" t="s">
        <v>74</v>
      </c>
      <c r="BR1256" t="s">
        <v>105</v>
      </c>
      <c r="BS1256" t="s">
        <v>23296</v>
      </c>
      <c r="BT1256" t="str">
        <f>HYPERLINK("https%3A%2F%2Fwww.webofscience.com%2Fwos%2Fwoscc%2Ffull-record%2FWOS:000252854500008","View Full Record in Web of Science")</f>
        <v>View Full Record in Web of Science</v>
      </c>
    </row>
    <row r="1257" spans="1:72" x14ac:dyDescent="0.25">
      <c r="A1257" t="s">
        <v>72</v>
      </c>
      <c r="B1257" t="s">
        <v>23297</v>
      </c>
      <c r="C1257" t="s">
        <v>74</v>
      </c>
      <c r="D1257" t="s">
        <v>74</v>
      </c>
      <c r="E1257" t="s">
        <v>74</v>
      </c>
      <c r="F1257" t="s">
        <v>23298</v>
      </c>
      <c r="G1257" t="s">
        <v>74</v>
      </c>
      <c r="H1257" t="s">
        <v>74</v>
      </c>
      <c r="I1257" t="s">
        <v>23299</v>
      </c>
      <c r="J1257" t="s">
        <v>11087</v>
      </c>
      <c r="K1257" t="s">
        <v>74</v>
      </c>
      <c r="L1257" t="s">
        <v>74</v>
      </c>
      <c r="M1257" t="s">
        <v>78</v>
      </c>
      <c r="N1257" t="s">
        <v>79</v>
      </c>
      <c r="O1257" t="s">
        <v>74</v>
      </c>
      <c r="P1257" t="s">
        <v>74</v>
      </c>
      <c r="Q1257" t="s">
        <v>74</v>
      </c>
      <c r="R1257" t="s">
        <v>74</v>
      </c>
      <c r="S1257" t="s">
        <v>74</v>
      </c>
      <c r="T1257" t="s">
        <v>23300</v>
      </c>
      <c r="U1257" t="s">
        <v>23301</v>
      </c>
      <c r="V1257" t="s">
        <v>23302</v>
      </c>
      <c r="W1257" t="s">
        <v>23303</v>
      </c>
      <c r="X1257" t="s">
        <v>23304</v>
      </c>
      <c r="Y1257" t="s">
        <v>23305</v>
      </c>
      <c r="Z1257" t="s">
        <v>23306</v>
      </c>
      <c r="AA1257" t="s">
        <v>74</v>
      </c>
      <c r="AB1257" t="s">
        <v>22102</v>
      </c>
      <c r="AC1257" t="s">
        <v>74</v>
      </c>
      <c r="AD1257" t="s">
        <v>74</v>
      </c>
      <c r="AE1257" t="s">
        <v>74</v>
      </c>
      <c r="AF1257" t="s">
        <v>74</v>
      </c>
      <c r="AG1257">
        <v>110</v>
      </c>
      <c r="AH1257">
        <v>968</v>
      </c>
      <c r="AI1257">
        <v>1162</v>
      </c>
      <c r="AJ1257">
        <v>20</v>
      </c>
      <c r="AK1257">
        <v>580</v>
      </c>
      <c r="AL1257" t="s">
        <v>1114</v>
      </c>
      <c r="AM1257" t="s">
        <v>1115</v>
      </c>
      <c r="AN1257" t="s">
        <v>1116</v>
      </c>
      <c r="AO1257" t="s">
        <v>11100</v>
      </c>
      <c r="AP1257" t="s">
        <v>11101</v>
      </c>
      <c r="AQ1257" t="s">
        <v>74</v>
      </c>
      <c r="AR1257" t="s">
        <v>11102</v>
      </c>
      <c r="AS1257" t="s">
        <v>11103</v>
      </c>
      <c r="AT1257" t="s">
        <v>351</v>
      </c>
      <c r="AU1257">
        <v>2008</v>
      </c>
      <c r="AV1257">
        <v>24</v>
      </c>
      <c r="AW1257">
        <v>1</v>
      </c>
      <c r="AX1257" t="s">
        <v>74</v>
      </c>
      <c r="AY1257" t="s">
        <v>74</v>
      </c>
      <c r="AZ1257" t="s">
        <v>74</v>
      </c>
      <c r="BA1257" t="s">
        <v>74</v>
      </c>
      <c r="BB1257">
        <v>144</v>
      </c>
      <c r="BC1257">
        <v>158</v>
      </c>
      <c r="BD1257" t="s">
        <v>74</v>
      </c>
      <c r="BE1257" t="s">
        <v>23307</v>
      </c>
      <c r="BF1257" t="str">
        <f>HYPERLINK("http://dx.doi.org/10.1109/TRO.2008.915453","http://dx.doi.org/10.1109/TRO.2008.915453")</f>
        <v>http://dx.doi.org/10.1109/TRO.2008.915453</v>
      </c>
      <c r="BG1257" t="s">
        <v>74</v>
      </c>
      <c r="BH1257" t="s">
        <v>74</v>
      </c>
      <c r="BI1257">
        <v>15</v>
      </c>
      <c r="BJ1257" t="s">
        <v>714</v>
      </c>
      <c r="BK1257" t="s">
        <v>182</v>
      </c>
      <c r="BL1257" t="s">
        <v>714</v>
      </c>
      <c r="BM1257" t="s">
        <v>23308</v>
      </c>
      <c r="BN1257" t="s">
        <v>74</v>
      </c>
      <c r="BO1257" t="s">
        <v>74</v>
      </c>
      <c r="BP1257" t="s">
        <v>74</v>
      </c>
      <c r="BQ1257" t="s">
        <v>74</v>
      </c>
      <c r="BR1257" t="s">
        <v>105</v>
      </c>
      <c r="BS1257" t="s">
        <v>23309</v>
      </c>
      <c r="BT1257" t="str">
        <f>HYPERLINK("https%3A%2F%2Fwww.webofscience.com%2Fwos%2Fwoscc%2Ffull-record%2FWOS:000253789900014","View Full Record in Web of Science")</f>
        <v>View Full Record in Web of Science</v>
      </c>
    </row>
    <row r="1258" spans="1:72" x14ac:dyDescent="0.25">
      <c r="A1258" t="s">
        <v>72</v>
      </c>
      <c r="B1258" t="s">
        <v>23310</v>
      </c>
      <c r="C1258" t="s">
        <v>74</v>
      </c>
      <c r="D1258" t="s">
        <v>74</v>
      </c>
      <c r="E1258" t="s">
        <v>74</v>
      </c>
      <c r="F1258" t="s">
        <v>23311</v>
      </c>
      <c r="G1258" t="s">
        <v>74</v>
      </c>
      <c r="H1258" t="s">
        <v>74</v>
      </c>
      <c r="I1258" t="s">
        <v>23312</v>
      </c>
      <c r="J1258" t="s">
        <v>18225</v>
      </c>
      <c r="K1258" t="s">
        <v>74</v>
      </c>
      <c r="L1258" t="s">
        <v>74</v>
      </c>
      <c r="M1258" t="s">
        <v>78</v>
      </c>
      <c r="N1258" t="s">
        <v>79</v>
      </c>
      <c r="O1258" t="s">
        <v>74</v>
      </c>
      <c r="P1258" t="s">
        <v>74</v>
      </c>
      <c r="Q1258" t="s">
        <v>74</v>
      </c>
      <c r="R1258" t="s">
        <v>74</v>
      </c>
      <c r="S1258" t="s">
        <v>74</v>
      </c>
      <c r="T1258" t="s">
        <v>23313</v>
      </c>
      <c r="U1258" t="s">
        <v>23314</v>
      </c>
      <c r="V1258" t="s">
        <v>23315</v>
      </c>
      <c r="W1258" t="s">
        <v>23316</v>
      </c>
      <c r="X1258" t="s">
        <v>23069</v>
      </c>
      <c r="Y1258" t="s">
        <v>23317</v>
      </c>
      <c r="Z1258" t="s">
        <v>19045</v>
      </c>
      <c r="AA1258" t="s">
        <v>74</v>
      </c>
      <c r="AB1258" t="s">
        <v>74</v>
      </c>
      <c r="AC1258" t="s">
        <v>23318</v>
      </c>
      <c r="AD1258" t="s">
        <v>23319</v>
      </c>
      <c r="AE1258" t="s">
        <v>74</v>
      </c>
      <c r="AF1258" t="s">
        <v>74</v>
      </c>
      <c r="AG1258">
        <v>108</v>
      </c>
      <c r="AH1258">
        <v>453</v>
      </c>
      <c r="AI1258">
        <v>526</v>
      </c>
      <c r="AJ1258">
        <v>4</v>
      </c>
      <c r="AK1258">
        <v>151</v>
      </c>
      <c r="AL1258" t="s">
        <v>4915</v>
      </c>
      <c r="AM1258" t="s">
        <v>532</v>
      </c>
      <c r="AN1258" t="s">
        <v>4916</v>
      </c>
      <c r="AO1258" t="s">
        <v>18238</v>
      </c>
      <c r="AP1258" t="s">
        <v>18239</v>
      </c>
      <c r="AQ1258" t="s">
        <v>74</v>
      </c>
      <c r="AR1258" t="s">
        <v>18225</v>
      </c>
      <c r="AS1258" t="s">
        <v>18240</v>
      </c>
      <c r="AT1258" t="s">
        <v>351</v>
      </c>
      <c r="AU1258">
        <v>2008</v>
      </c>
      <c r="AV1258">
        <v>131</v>
      </c>
      <c r="AW1258" t="s">
        <v>74</v>
      </c>
      <c r="AX1258">
        <v>2</v>
      </c>
      <c r="AY1258" t="s">
        <v>74</v>
      </c>
      <c r="AZ1258" t="s">
        <v>74</v>
      </c>
      <c r="BA1258" t="s">
        <v>74</v>
      </c>
      <c r="BB1258">
        <v>425</v>
      </c>
      <c r="BC1258">
        <v>437</v>
      </c>
      <c r="BD1258" t="s">
        <v>74</v>
      </c>
      <c r="BE1258" t="s">
        <v>23320</v>
      </c>
      <c r="BF1258" t="str">
        <f>HYPERLINK("http://dx.doi.org/10.1093/brain/awm311","http://dx.doi.org/10.1093/brain/awm311")</f>
        <v>http://dx.doi.org/10.1093/brain/awm311</v>
      </c>
      <c r="BG1258" t="s">
        <v>74</v>
      </c>
      <c r="BH1258" t="s">
        <v>74</v>
      </c>
      <c r="BI1258">
        <v>13</v>
      </c>
      <c r="BJ1258" t="s">
        <v>400</v>
      </c>
      <c r="BK1258" t="s">
        <v>182</v>
      </c>
      <c r="BL1258" t="s">
        <v>375</v>
      </c>
      <c r="BM1258" t="s">
        <v>23321</v>
      </c>
      <c r="BN1258">
        <v>18156154</v>
      </c>
      <c r="BO1258" t="s">
        <v>23322</v>
      </c>
      <c r="BP1258" t="s">
        <v>74</v>
      </c>
      <c r="BQ1258" t="s">
        <v>74</v>
      </c>
      <c r="BR1258" t="s">
        <v>105</v>
      </c>
      <c r="BS1258" t="s">
        <v>23323</v>
      </c>
      <c r="BT1258" t="str">
        <f>HYPERLINK("https%3A%2F%2Fwww.webofscience.com%2Fwos%2Fwoscc%2Ffull-record%2FWOS:000252903900014","View Full Record in Web of Science")</f>
        <v>View Full Record in Web of Science</v>
      </c>
    </row>
    <row r="1259" spans="1:72" x14ac:dyDescent="0.25">
      <c r="A1259" t="s">
        <v>72</v>
      </c>
      <c r="B1259" t="s">
        <v>23324</v>
      </c>
      <c r="C1259" t="s">
        <v>74</v>
      </c>
      <c r="D1259" t="s">
        <v>74</v>
      </c>
      <c r="E1259" t="s">
        <v>74</v>
      </c>
      <c r="F1259" t="s">
        <v>23325</v>
      </c>
      <c r="G1259" t="s">
        <v>74</v>
      </c>
      <c r="H1259" t="s">
        <v>74</v>
      </c>
      <c r="I1259" t="s">
        <v>23326</v>
      </c>
      <c r="J1259" t="s">
        <v>23327</v>
      </c>
      <c r="K1259" t="s">
        <v>74</v>
      </c>
      <c r="L1259" t="s">
        <v>74</v>
      </c>
      <c r="M1259" t="s">
        <v>78</v>
      </c>
      <c r="N1259" t="s">
        <v>79</v>
      </c>
      <c r="O1259" t="s">
        <v>74</v>
      </c>
      <c r="P1259" t="s">
        <v>74</v>
      </c>
      <c r="Q1259" t="s">
        <v>74</v>
      </c>
      <c r="R1259" t="s">
        <v>74</v>
      </c>
      <c r="S1259" t="s">
        <v>74</v>
      </c>
      <c r="T1259" t="s">
        <v>23328</v>
      </c>
      <c r="U1259" t="s">
        <v>23329</v>
      </c>
      <c r="V1259" t="s">
        <v>23330</v>
      </c>
      <c r="W1259" t="s">
        <v>23331</v>
      </c>
      <c r="X1259" t="s">
        <v>23332</v>
      </c>
      <c r="Y1259" t="s">
        <v>23333</v>
      </c>
      <c r="Z1259" t="s">
        <v>23334</v>
      </c>
      <c r="AA1259" t="s">
        <v>23335</v>
      </c>
      <c r="AB1259" t="s">
        <v>23336</v>
      </c>
      <c r="AC1259" t="s">
        <v>74</v>
      </c>
      <c r="AD1259" t="s">
        <v>74</v>
      </c>
      <c r="AE1259" t="s">
        <v>74</v>
      </c>
      <c r="AF1259" t="s">
        <v>74</v>
      </c>
      <c r="AG1259">
        <v>134</v>
      </c>
      <c r="AH1259">
        <v>61</v>
      </c>
      <c r="AI1259">
        <v>68</v>
      </c>
      <c r="AJ1259">
        <v>2</v>
      </c>
      <c r="AK1259">
        <v>49</v>
      </c>
      <c r="AL1259" t="s">
        <v>1605</v>
      </c>
      <c r="AM1259" t="s">
        <v>1606</v>
      </c>
      <c r="AN1259" t="s">
        <v>1607</v>
      </c>
      <c r="AO1259" t="s">
        <v>23337</v>
      </c>
      <c r="AP1259" t="s">
        <v>23338</v>
      </c>
      <c r="AQ1259" t="s">
        <v>74</v>
      </c>
      <c r="AR1259" t="s">
        <v>23339</v>
      </c>
      <c r="AS1259" t="s">
        <v>23340</v>
      </c>
      <c r="AT1259" t="s">
        <v>16088</v>
      </c>
      <c r="AU1259">
        <v>2008</v>
      </c>
      <c r="AV1259">
        <v>167</v>
      </c>
      <c r="AW1259">
        <v>1</v>
      </c>
      <c r="AX1259" t="s">
        <v>74</v>
      </c>
      <c r="AY1259" t="s">
        <v>74</v>
      </c>
      <c r="AZ1259" t="s">
        <v>74</v>
      </c>
      <c r="BA1259" t="s">
        <v>74</v>
      </c>
      <c r="BB1259">
        <v>91</v>
      </c>
      <c r="BC1259">
        <v>104</v>
      </c>
      <c r="BD1259" t="s">
        <v>74</v>
      </c>
      <c r="BE1259" t="s">
        <v>23341</v>
      </c>
      <c r="BF1259" t="str">
        <f>HYPERLINK("http://dx.doi.org/10.1016/j.jneumeth.2007.03.015","http://dx.doi.org/10.1016/j.jneumeth.2007.03.015")</f>
        <v>http://dx.doi.org/10.1016/j.jneumeth.2007.03.015</v>
      </c>
      <c r="BG1259" t="s">
        <v>74</v>
      </c>
      <c r="BH1259" t="s">
        <v>74</v>
      </c>
      <c r="BI1259">
        <v>14</v>
      </c>
      <c r="BJ1259" t="s">
        <v>23342</v>
      </c>
      <c r="BK1259" t="s">
        <v>182</v>
      </c>
      <c r="BL1259" t="s">
        <v>23343</v>
      </c>
      <c r="BM1259" t="s">
        <v>23344</v>
      </c>
      <c r="BN1259">
        <v>17499364</v>
      </c>
      <c r="BO1259" t="s">
        <v>3048</v>
      </c>
      <c r="BP1259" t="s">
        <v>74</v>
      </c>
      <c r="BQ1259" t="s">
        <v>74</v>
      </c>
      <c r="BR1259" t="s">
        <v>105</v>
      </c>
      <c r="BS1259" t="s">
        <v>23345</v>
      </c>
      <c r="BT1259" t="str">
        <f>HYPERLINK("https%3A%2F%2Fwww.webofscience.com%2Fwos%2Fwoscc%2Ffull-record%2FWOS:000252164300010","View Full Record in Web of Science")</f>
        <v>View Full Record in Web of Science</v>
      </c>
    </row>
    <row r="1260" spans="1:72" x14ac:dyDescent="0.25">
      <c r="A1260" t="s">
        <v>72</v>
      </c>
      <c r="B1260" t="s">
        <v>23346</v>
      </c>
      <c r="C1260" t="s">
        <v>74</v>
      </c>
      <c r="D1260" t="s">
        <v>74</v>
      </c>
      <c r="E1260" t="s">
        <v>74</v>
      </c>
      <c r="F1260" t="s">
        <v>23347</v>
      </c>
      <c r="G1260" t="s">
        <v>74</v>
      </c>
      <c r="H1260" t="s">
        <v>74</v>
      </c>
      <c r="I1260" t="s">
        <v>23348</v>
      </c>
      <c r="J1260" t="s">
        <v>6967</v>
      </c>
      <c r="K1260" t="s">
        <v>74</v>
      </c>
      <c r="L1260" t="s">
        <v>74</v>
      </c>
      <c r="M1260" t="s">
        <v>78</v>
      </c>
      <c r="N1260" t="s">
        <v>79</v>
      </c>
      <c r="O1260" t="s">
        <v>74</v>
      </c>
      <c r="P1260" t="s">
        <v>74</v>
      </c>
      <c r="Q1260" t="s">
        <v>74</v>
      </c>
      <c r="R1260" t="s">
        <v>74</v>
      </c>
      <c r="S1260" t="s">
        <v>74</v>
      </c>
      <c r="T1260" t="s">
        <v>74</v>
      </c>
      <c r="U1260" t="s">
        <v>23349</v>
      </c>
      <c r="V1260" t="s">
        <v>23350</v>
      </c>
      <c r="W1260" t="s">
        <v>23351</v>
      </c>
      <c r="X1260" t="s">
        <v>23352</v>
      </c>
      <c r="Y1260" t="s">
        <v>23353</v>
      </c>
      <c r="Z1260" t="s">
        <v>23354</v>
      </c>
      <c r="AA1260" t="s">
        <v>23355</v>
      </c>
      <c r="AB1260" t="s">
        <v>23356</v>
      </c>
      <c r="AC1260" t="s">
        <v>23357</v>
      </c>
      <c r="AD1260" t="s">
        <v>22863</v>
      </c>
      <c r="AE1260" t="s">
        <v>74</v>
      </c>
      <c r="AF1260" t="s">
        <v>74</v>
      </c>
      <c r="AG1260">
        <v>104</v>
      </c>
      <c r="AH1260">
        <v>31</v>
      </c>
      <c r="AI1260">
        <v>41</v>
      </c>
      <c r="AJ1260">
        <v>0</v>
      </c>
      <c r="AK1260">
        <v>13</v>
      </c>
      <c r="AL1260" t="s">
        <v>9434</v>
      </c>
      <c r="AM1260" t="s">
        <v>1606</v>
      </c>
      <c r="AN1260" t="s">
        <v>9435</v>
      </c>
      <c r="AO1260" t="s">
        <v>6979</v>
      </c>
      <c r="AP1260" t="s">
        <v>6980</v>
      </c>
      <c r="AQ1260" t="s">
        <v>74</v>
      </c>
      <c r="AR1260" t="s">
        <v>6967</v>
      </c>
      <c r="AS1260" t="s">
        <v>6981</v>
      </c>
      <c r="AT1260" t="s">
        <v>74</v>
      </c>
      <c r="AU1260">
        <v>2008</v>
      </c>
      <c r="AV1260">
        <v>23</v>
      </c>
      <c r="AW1260">
        <v>1</v>
      </c>
      <c r="AX1260" t="s">
        <v>74</v>
      </c>
      <c r="AY1260" t="s">
        <v>74</v>
      </c>
      <c r="AZ1260" t="s">
        <v>74</v>
      </c>
      <c r="BA1260" t="s">
        <v>74</v>
      </c>
      <c r="BB1260">
        <v>15</v>
      </c>
      <c r="BC1260">
        <v>28</v>
      </c>
      <c r="BD1260" t="s">
        <v>74</v>
      </c>
      <c r="BE1260" t="s">
        <v>74</v>
      </c>
      <c r="BF1260" t="s">
        <v>74</v>
      </c>
      <c r="BG1260" t="s">
        <v>74</v>
      </c>
      <c r="BH1260" t="s">
        <v>74</v>
      </c>
      <c r="BI1260">
        <v>14</v>
      </c>
      <c r="BJ1260" t="s">
        <v>1049</v>
      </c>
      <c r="BK1260" t="s">
        <v>462</v>
      </c>
      <c r="BL1260" t="s">
        <v>1050</v>
      </c>
      <c r="BM1260" t="s">
        <v>23358</v>
      </c>
      <c r="BN1260">
        <v>18356586</v>
      </c>
      <c r="BO1260" t="s">
        <v>74</v>
      </c>
      <c r="BP1260" t="s">
        <v>74</v>
      </c>
      <c r="BQ1260" t="s">
        <v>74</v>
      </c>
      <c r="BR1260" t="s">
        <v>105</v>
      </c>
      <c r="BS1260" t="s">
        <v>23359</v>
      </c>
      <c r="BT1260" t="str">
        <f>HYPERLINK("https%3A%2F%2Fwww.webofscience.com%2Fwos%2Fwoscc%2Ffull-record%2FWOS:000254739800003","View Full Record in Web of Science")</f>
        <v>View Full Record in Web of Science</v>
      </c>
    </row>
    <row r="1261" spans="1:72" x14ac:dyDescent="0.25">
      <c r="A1261" t="s">
        <v>72</v>
      </c>
      <c r="B1261" t="s">
        <v>23360</v>
      </c>
      <c r="C1261" t="s">
        <v>74</v>
      </c>
      <c r="D1261" t="s">
        <v>74</v>
      </c>
      <c r="E1261" t="s">
        <v>74</v>
      </c>
      <c r="F1261" t="s">
        <v>23361</v>
      </c>
      <c r="G1261" t="s">
        <v>74</v>
      </c>
      <c r="H1261" t="s">
        <v>74</v>
      </c>
      <c r="I1261" t="s">
        <v>23362</v>
      </c>
      <c r="J1261" t="s">
        <v>19437</v>
      </c>
      <c r="K1261" t="s">
        <v>74</v>
      </c>
      <c r="L1261" t="s">
        <v>74</v>
      </c>
      <c r="M1261" t="s">
        <v>78</v>
      </c>
      <c r="N1261" t="s">
        <v>79</v>
      </c>
      <c r="O1261" t="s">
        <v>74</v>
      </c>
      <c r="P1261" t="s">
        <v>74</v>
      </c>
      <c r="Q1261" t="s">
        <v>74</v>
      </c>
      <c r="R1261" t="s">
        <v>74</v>
      </c>
      <c r="S1261" t="s">
        <v>74</v>
      </c>
      <c r="T1261" t="s">
        <v>23363</v>
      </c>
      <c r="U1261" t="s">
        <v>23364</v>
      </c>
      <c r="V1261" t="s">
        <v>23365</v>
      </c>
      <c r="W1261" t="s">
        <v>23366</v>
      </c>
      <c r="X1261" t="s">
        <v>23367</v>
      </c>
      <c r="Y1261" t="s">
        <v>23368</v>
      </c>
      <c r="Z1261" t="s">
        <v>23369</v>
      </c>
      <c r="AA1261" t="s">
        <v>74</v>
      </c>
      <c r="AB1261" t="s">
        <v>74</v>
      </c>
      <c r="AC1261" t="s">
        <v>23370</v>
      </c>
      <c r="AD1261" t="s">
        <v>22963</v>
      </c>
      <c r="AE1261" t="s">
        <v>74</v>
      </c>
      <c r="AF1261" t="s">
        <v>74</v>
      </c>
      <c r="AG1261">
        <v>117</v>
      </c>
      <c r="AH1261">
        <v>27</v>
      </c>
      <c r="AI1261">
        <v>38</v>
      </c>
      <c r="AJ1261">
        <v>0</v>
      </c>
      <c r="AK1261">
        <v>26</v>
      </c>
      <c r="AL1261" t="s">
        <v>172</v>
      </c>
      <c r="AM1261" t="s">
        <v>173</v>
      </c>
      <c r="AN1261" t="s">
        <v>174</v>
      </c>
      <c r="AO1261" t="s">
        <v>19445</v>
      </c>
      <c r="AP1261" t="s">
        <v>19446</v>
      </c>
      <c r="AQ1261" t="s">
        <v>74</v>
      </c>
      <c r="AR1261" t="s">
        <v>19437</v>
      </c>
      <c r="AS1261" t="s">
        <v>19447</v>
      </c>
      <c r="AT1261" t="s">
        <v>538</v>
      </c>
      <c r="AU1261">
        <v>2008</v>
      </c>
      <c r="AV1261">
        <v>5</v>
      </c>
      <c r="AW1261">
        <v>1</v>
      </c>
      <c r="AX1261" t="s">
        <v>74</v>
      </c>
      <c r="AY1261" t="s">
        <v>74</v>
      </c>
      <c r="AZ1261" t="s">
        <v>74</v>
      </c>
      <c r="BA1261" t="s">
        <v>74</v>
      </c>
      <c r="BB1261">
        <v>147</v>
      </c>
      <c r="BC1261">
        <v>162</v>
      </c>
      <c r="BD1261" t="s">
        <v>74</v>
      </c>
      <c r="BE1261" t="s">
        <v>23371</v>
      </c>
      <c r="BF1261" t="str">
        <f>HYPERLINK("http://dx.doi.org/10.1016/j.nurt.2007.10.062","http://dx.doi.org/10.1016/j.nurt.2007.10.062")</f>
        <v>http://dx.doi.org/10.1016/j.nurt.2007.10.062</v>
      </c>
      <c r="BG1261" t="s">
        <v>74</v>
      </c>
      <c r="BH1261" t="s">
        <v>74</v>
      </c>
      <c r="BI1261">
        <v>16</v>
      </c>
      <c r="BJ1261" t="s">
        <v>19449</v>
      </c>
      <c r="BK1261" t="s">
        <v>182</v>
      </c>
      <c r="BL1261" t="s">
        <v>867</v>
      </c>
      <c r="BM1261" t="s">
        <v>23372</v>
      </c>
      <c r="BN1261">
        <v>18164494</v>
      </c>
      <c r="BO1261" t="s">
        <v>23373</v>
      </c>
      <c r="BP1261" t="s">
        <v>74</v>
      </c>
      <c r="BQ1261" t="s">
        <v>74</v>
      </c>
      <c r="BR1261" t="s">
        <v>105</v>
      </c>
      <c r="BS1261" t="s">
        <v>23374</v>
      </c>
      <c r="BT1261" t="str">
        <f>HYPERLINK("https%3A%2F%2Fwww.webofscience.com%2Fwos%2Fwoscc%2Ffull-record%2FWOS:000252532300017","View Full Record in Web of Science")</f>
        <v>View Full Record in Web of Science</v>
      </c>
    </row>
    <row r="1262" spans="1:72" x14ac:dyDescent="0.25">
      <c r="A1262" t="s">
        <v>72</v>
      </c>
      <c r="B1262" t="s">
        <v>4082</v>
      </c>
      <c r="C1262" t="s">
        <v>74</v>
      </c>
      <c r="D1262" t="s">
        <v>74</v>
      </c>
      <c r="E1262" t="s">
        <v>74</v>
      </c>
      <c r="F1262" t="s">
        <v>23375</v>
      </c>
      <c r="G1262" t="s">
        <v>74</v>
      </c>
      <c r="H1262" t="s">
        <v>74</v>
      </c>
      <c r="I1262" t="s">
        <v>4084</v>
      </c>
      <c r="J1262" t="s">
        <v>3906</v>
      </c>
      <c r="K1262" t="s">
        <v>74</v>
      </c>
      <c r="L1262" t="s">
        <v>74</v>
      </c>
      <c r="M1262" t="s">
        <v>78</v>
      </c>
      <c r="N1262" t="s">
        <v>79</v>
      </c>
      <c r="O1262" t="s">
        <v>74</v>
      </c>
      <c r="P1262" t="s">
        <v>74</v>
      </c>
      <c r="Q1262" t="s">
        <v>74</v>
      </c>
      <c r="R1262" t="s">
        <v>74</v>
      </c>
      <c r="S1262" t="s">
        <v>74</v>
      </c>
      <c r="T1262" t="s">
        <v>74</v>
      </c>
      <c r="U1262" t="s">
        <v>23376</v>
      </c>
      <c r="V1262" t="s">
        <v>23377</v>
      </c>
      <c r="W1262" t="s">
        <v>23378</v>
      </c>
      <c r="X1262" t="s">
        <v>74</v>
      </c>
      <c r="Y1262" t="s">
        <v>23379</v>
      </c>
      <c r="Z1262" t="s">
        <v>3911</v>
      </c>
      <c r="AA1262" t="s">
        <v>4091</v>
      </c>
      <c r="AB1262" t="s">
        <v>74</v>
      </c>
      <c r="AC1262" t="s">
        <v>74</v>
      </c>
      <c r="AD1262" t="s">
        <v>74</v>
      </c>
      <c r="AE1262" t="s">
        <v>74</v>
      </c>
      <c r="AF1262" t="s">
        <v>74</v>
      </c>
      <c r="AG1262">
        <v>76</v>
      </c>
      <c r="AH1262">
        <v>108</v>
      </c>
      <c r="AI1262">
        <v>117</v>
      </c>
      <c r="AJ1262">
        <v>0</v>
      </c>
      <c r="AK1262">
        <v>14</v>
      </c>
      <c r="AL1262" t="s">
        <v>297</v>
      </c>
      <c r="AM1262" t="s">
        <v>298</v>
      </c>
      <c r="AN1262" t="s">
        <v>299</v>
      </c>
      <c r="AO1262" t="s">
        <v>3917</v>
      </c>
      <c r="AP1262" t="s">
        <v>3918</v>
      </c>
      <c r="AQ1262" t="s">
        <v>74</v>
      </c>
      <c r="AR1262" t="s">
        <v>3919</v>
      </c>
      <c r="AS1262" t="s">
        <v>3920</v>
      </c>
      <c r="AT1262" t="s">
        <v>74</v>
      </c>
      <c r="AU1262">
        <v>2008</v>
      </c>
      <c r="AV1262" t="s">
        <v>74</v>
      </c>
      <c r="AW1262">
        <v>2</v>
      </c>
      <c r="AX1262" t="s">
        <v>74</v>
      </c>
      <c r="AY1262" t="s">
        <v>74</v>
      </c>
      <c r="AZ1262" t="s">
        <v>74</v>
      </c>
      <c r="BA1262" t="s">
        <v>74</v>
      </c>
      <c r="BB1262" t="s">
        <v>74</v>
      </c>
      <c r="BC1262" t="s">
        <v>74</v>
      </c>
      <c r="BD1262" t="s">
        <v>4094</v>
      </c>
      <c r="BE1262" t="s">
        <v>23380</v>
      </c>
      <c r="BF1262" t="str">
        <f>HYPERLINK("http://dx.doi.org/10.1002/14651858.CD006676.pub2","http://dx.doi.org/10.1002/14651858.CD006676.pub2")</f>
        <v>http://dx.doi.org/10.1002/14651858.CD006676.pub2</v>
      </c>
      <c r="BG1262" t="s">
        <v>74</v>
      </c>
      <c r="BH1262" t="s">
        <v>74</v>
      </c>
      <c r="BI1262">
        <v>36</v>
      </c>
      <c r="BJ1262" t="s">
        <v>128</v>
      </c>
      <c r="BK1262" t="s">
        <v>182</v>
      </c>
      <c r="BL1262" t="s">
        <v>129</v>
      </c>
      <c r="BM1262" t="s">
        <v>23381</v>
      </c>
      <c r="BN1262">
        <v>18425962</v>
      </c>
      <c r="BO1262" t="s">
        <v>74</v>
      </c>
      <c r="BP1262" t="s">
        <v>74</v>
      </c>
      <c r="BQ1262" t="s">
        <v>74</v>
      </c>
      <c r="BR1262" t="s">
        <v>105</v>
      </c>
      <c r="BS1262" t="s">
        <v>23382</v>
      </c>
      <c r="BT1262" t="str">
        <f>HYPERLINK("https%3A%2F%2Fwww.webofscience.com%2Fwos%2Fwoscc%2Ffull-record%2FWOS:000255119900062","View Full Record in Web of Science")</f>
        <v>View Full Record in Web of Science</v>
      </c>
    </row>
    <row r="1263" spans="1:72" x14ac:dyDescent="0.25">
      <c r="A1263" t="s">
        <v>72</v>
      </c>
      <c r="B1263" t="s">
        <v>23383</v>
      </c>
      <c r="C1263" t="s">
        <v>74</v>
      </c>
      <c r="D1263" t="s">
        <v>74</v>
      </c>
      <c r="E1263" t="s">
        <v>74</v>
      </c>
      <c r="F1263" t="s">
        <v>23384</v>
      </c>
      <c r="G1263" t="s">
        <v>74</v>
      </c>
      <c r="H1263" t="s">
        <v>74</v>
      </c>
      <c r="I1263" t="s">
        <v>23385</v>
      </c>
      <c r="J1263" t="s">
        <v>3906</v>
      </c>
      <c r="K1263" t="s">
        <v>74</v>
      </c>
      <c r="L1263" t="s">
        <v>74</v>
      </c>
      <c r="M1263" t="s">
        <v>78</v>
      </c>
      <c r="N1263" t="s">
        <v>79</v>
      </c>
      <c r="O1263" t="s">
        <v>74</v>
      </c>
      <c r="P1263" t="s">
        <v>74</v>
      </c>
      <c r="Q1263" t="s">
        <v>74</v>
      </c>
      <c r="R1263" t="s">
        <v>74</v>
      </c>
      <c r="S1263" t="s">
        <v>74</v>
      </c>
      <c r="T1263" t="s">
        <v>74</v>
      </c>
      <c r="U1263" t="s">
        <v>23386</v>
      </c>
      <c r="V1263" t="s">
        <v>23387</v>
      </c>
      <c r="W1263" t="s">
        <v>23388</v>
      </c>
      <c r="X1263" t="s">
        <v>23389</v>
      </c>
      <c r="Y1263" t="s">
        <v>21496</v>
      </c>
      <c r="Z1263" t="s">
        <v>3911</v>
      </c>
      <c r="AA1263" t="s">
        <v>23390</v>
      </c>
      <c r="AB1263" t="s">
        <v>1884</v>
      </c>
      <c r="AC1263" t="s">
        <v>74</v>
      </c>
      <c r="AD1263" t="s">
        <v>74</v>
      </c>
      <c r="AE1263" t="s">
        <v>74</v>
      </c>
      <c r="AF1263" t="s">
        <v>74</v>
      </c>
      <c r="AG1263">
        <v>61</v>
      </c>
      <c r="AH1263">
        <v>25</v>
      </c>
      <c r="AI1263">
        <v>29</v>
      </c>
      <c r="AJ1263">
        <v>0</v>
      </c>
      <c r="AK1263">
        <v>3</v>
      </c>
      <c r="AL1263" t="s">
        <v>297</v>
      </c>
      <c r="AM1263" t="s">
        <v>298</v>
      </c>
      <c r="AN1263" t="s">
        <v>299</v>
      </c>
      <c r="AO1263" t="s">
        <v>3917</v>
      </c>
      <c r="AP1263" t="s">
        <v>3918</v>
      </c>
      <c r="AQ1263" t="s">
        <v>74</v>
      </c>
      <c r="AR1263" t="s">
        <v>3919</v>
      </c>
      <c r="AS1263" t="s">
        <v>3920</v>
      </c>
      <c r="AT1263" t="s">
        <v>74</v>
      </c>
      <c r="AU1263">
        <v>2008</v>
      </c>
      <c r="AV1263" t="s">
        <v>74</v>
      </c>
      <c r="AW1263">
        <v>4</v>
      </c>
      <c r="AX1263" t="s">
        <v>74</v>
      </c>
      <c r="AY1263" t="s">
        <v>74</v>
      </c>
      <c r="AZ1263" t="s">
        <v>74</v>
      </c>
      <c r="BA1263" t="s">
        <v>74</v>
      </c>
      <c r="BB1263" t="s">
        <v>74</v>
      </c>
      <c r="BC1263" t="s">
        <v>74</v>
      </c>
      <c r="BD1263" t="s">
        <v>19804</v>
      </c>
      <c r="BE1263" t="s">
        <v>23391</v>
      </c>
      <c r="BF1263" t="str">
        <f>HYPERLINK("http://dx.doi.org/10.1002/14651858.CD006876.pub2","http://dx.doi.org/10.1002/14651858.CD006876.pub2")</f>
        <v>http://dx.doi.org/10.1002/14651858.CD006876.pub2</v>
      </c>
      <c r="BG1263" t="s">
        <v>74</v>
      </c>
      <c r="BH1263" t="s">
        <v>74</v>
      </c>
      <c r="BI1263">
        <v>46</v>
      </c>
      <c r="BJ1263" t="s">
        <v>128</v>
      </c>
      <c r="BK1263" t="s">
        <v>182</v>
      </c>
      <c r="BL1263" t="s">
        <v>129</v>
      </c>
      <c r="BM1263" t="s">
        <v>23392</v>
      </c>
      <c r="BN1263">
        <v>18843735</v>
      </c>
      <c r="BO1263" t="s">
        <v>74</v>
      </c>
      <c r="BP1263" t="s">
        <v>74</v>
      </c>
      <c r="BQ1263" t="s">
        <v>74</v>
      </c>
      <c r="BR1263" t="s">
        <v>105</v>
      </c>
      <c r="BS1263" t="s">
        <v>23393</v>
      </c>
      <c r="BT1263" t="str">
        <f>HYPERLINK("https%3A%2F%2Fwww.webofscience.com%2Fwos%2Fwoscc%2Ffull-record%2FWOS:000259895000076","View Full Record in Web of Science")</f>
        <v>View Full Record in Web of Science</v>
      </c>
    </row>
    <row r="1264" spans="1:72" x14ac:dyDescent="0.25">
      <c r="A1264" t="s">
        <v>72</v>
      </c>
      <c r="B1264" t="s">
        <v>23394</v>
      </c>
      <c r="C1264" t="s">
        <v>74</v>
      </c>
      <c r="D1264" t="s">
        <v>74</v>
      </c>
      <c r="E1264" t="s">
        <v>74</v>
      </c>
      <c r="F1264" t="s">
        <v>23395</v>
      </c>
      <c r="G1264" t="s">
        <v>74</v>
      </c>
      <c r="H1264" t="s">
        <v>74</v>
      </c>
      <c r="I1264" t="s">
        <v>23396</v>
      </c>
      <c r="J1264" t="s">
        <v>1697</v>
      </c>
      <c r="K1264" t="s">
        <v>74</v>
      </c>
      <c r="L1264" t="s">
        <v>74</v>
      </c>
      <c r="M1264" t="s">
        <v>78</v>
      </c>
      <c r="N1264" t="s">
        <v>79</v>
      </c>
      <c r="O1264" t="s">
        <v>74</v>
      </c>
      <c r="P1264" t="s">
        <v>74</v>
      </c>
      <c r="Q1264" t="s">
        <v>74</v>
      </c>
      <c r="R1264" t="s">
        <v>74</v>
      </c>
      <c r="S1264" t="s">
        <v>74</v>
      </c>
      <c r="T1264" t="s">
        <v>23397</v>
      </c>
      <c r="U1264" t="s">
        <v>23398</v>
      </c>
      <c r="V1264" t="s">
        <v>23399</v>
      </c>
      <c r="W1264" t="s">
        <v>23400</v>
      </c>
      <c r="X1264" t="s">
        <v>3058</v>
      </c>
      <c r="Y1264" t="s">
        <v>23401</v>
      </c>
      <c r="Z1264" t="s">
        <v>23402</v>
      </c>
      <c r="AA1264" t="s">
        <v>23403</v>
      </c>
      <c r="AB1264" t="s">
        <v>23404</v>
      </c>
      <c r="AC1264" t="s">
        <v>74</v>
      </c>
      <c r="AD1264" t="s">
        <v>74</v>
      </c>
      <c r="AE1264" t="s">
        <v>74</v>
      </c>
      <c r="AF1264" t="s">
        <v>74</v>
      </c>
      <c r="AG1264">
        <v>104</v>
      </c>
      <c r="AH1264">
        <v>147</v>
      </c>
      <c r="AI1264">
        <v>158</v>
      </c>
      <c r="AJ1264">
        <v>3</v>
      </c>
      <c r="AK1264">
        <v>45</v>
      </c>
      <c r="AL1264" t="s">
        <v>1704</v>
      </c>
      <c r="AM1264" t="s">
        <v>1705</v>
      </c>
      <c r="AN1264" t="s">
        <v>1706</v>
      </c>
      <c r="AO1264" t="s">
        <v>1707</v>
      </c>
      <c r="AP1264" t="s">
        <v>1708</v>
      </c>
      <c r="AQ1264" t="s">
        <v>74</v>
      </c>
      <c r="AR1264" t="s">
        <v>1709</v>
      </c>
      <c r="AS1264" t="s">
        <v>1710</v>
      </c>
      <c r="AT1264" t="s">
        <v>74</v>
      </c>
      <c r="AU1264">
        <v>2008</v>
      </c>
      <c r="AV1264">
        <v>45</v>
      </c>
      <c r="AW1264">
        <v>1</v>
      </c>
      <c r="AX1264" t="s">
        <v>74</v>
      </c>
      <c r="AY1264" t="s">
        <v>74</v>
      </c>
      <c r="AZ1264" t="s">
        <v>74</v>
      </c>
      <c r="BA1264" t="s">
        <v>74</v>
      </c>
      <c r="BB1264">
        <v>53</v>
      </c>
      <c r="BC1264">
        <v>71</v>
      </c>
      <c r="BD1264" t="s">
        <v>74</v>
      </c>
      <c r="BE1264" t="s">
        <v>23405</v>
      </c>
      <c r="BF1264" t="str">
        <f>HYPERLINK("http://dx.doi.org/10.1682/JRRD.2007.01.0015","http://dx.doi.org/10.1682/JRRD.2007.01.0015")</f>
        <v>http://dx.doi.org/10.1682/JRRD.2007.01.0015</v>
      </c>
      <c r="BG1264" t="s">
        <v>74</v>
      </c>
      <c r="BH1264" t="s">
        <v>74</v>
      </c>
      <c r="BI1264">
        <v>19</v>
      </c>
      <c r="BJ1264" t="s">
        <v>101</v>
      </c>
      <c r="BK1264" t="s">
        <v>102</v>
      </c>
      <c r="BL1264" t="s">
        <v>101</v>
      </c>
      <c r="BM1264" t="s">
        <v>23406</v>
      </c>
      <c r="BN1264">
        <v>18566926</v>
      </c>
      <c r="BO1264" t="s">
        <v>1052</v>
      </c>
      <c r="BP1264" t="s">
        <v>74</v>
      </c>
      <c r="BQ1264" t="s">
        <v>74</v>
      </c>
      <c r="BR1264" t="s">
        <v>105</v>
      </c>
      <c r="BS1264" t="s">
        <v>23407</v>
      </c>
      <c r="BT1264" t="str">
        <f>HYPERLINK("https%3A%2F%2Fwww.webofscience.com%2Fwos%2Fwoscc%2Ffull-record%2FWOS:000255133600006","View Full Record in Web of Science")</f>
        <v>View Full Record in Web of Science</v>
      </c>
    </row>
    <row r="1265" spans="1:72" x14ac:dyDescent="0.25">
      <c r="A1265" t="s">
        <v>72</v>
      </c>
      <c r="B1265" t="s">
        <v>23408</v>
      </c>
      <c r="C1265" t="s">
        <v>74</v>
      </c>
      <c r="D1265" t="s">
        <v>74</v>
      </c>
      <c r="E1265" t="s">
        <v>74</v>
      </c>
      <c r="F1265" t="s">
        <v>23409</v>
      </c>
      <c r="G1265" t="s">
        <v>74</v>
      </c>
      <c r="H1265" t="s">
        <v>74</v>
      </c>
      <c r="I1265" t="s">
        <v>23410</v>
      </c>
      <c r="J1265" t="s">
        <v>7912</v>
      </c>
      <c r="K1265" t="s">
        <v>74</v>
      </c>
      <c r="L1265" t="s">
        <v>74</v>
      </c>
      <c r="M1265" t="s">
        <v>78</v>
      </c>
      <c r="N1265" t="s">
        <v>79</v>
      </c>
      <c r="O1265" t="s">
        <v>74</v>
      </c>
      <c r="P1265" t="s">
        <v>74</v>
      </c>
      <c r="Q1265" t="s">
        <v>74</v>
      </c>
      <c r="R1265" t="s">
        <v>74</v>
      </c>
      <c r="S1265" t="s">
        <v>74</v>
      </c>
      <c r="T1265" t="s">
        <v>74</v>
      </c>
      <c r="U1265" t="s">
        <v>23411</v>
      </c>
      <c r="V1265" t="s">
        <v>23412</v>
      </c>
      <c r="W1265" t="s">
        <v>23413</v>
      </c>
      <c r="X1265" t="s">
        <v>23414</v>
      </c>
      <c r="Y1265" t="s">
        <v>23415</v>
      </c>
      <c r="Z1265" t="s">
        <v>74</v>
      </c>
      <c r="AA1265" t="s">
        <v>23416</v>
      </c>
      <c r="AB1265" t="s">
        <v>23417</v>
      </c>
      <c r="AC1265" t="s">
        <v>74</v>
      </c>
      <c r="AD1265" t="s">
        <v>74</v>
      </c>
      <c r="AE1265" t="s">
        <v>74</v>
      </c>
      <c r="AF1265" t="s">
        <v>74</v>
      </c>
      <c r="AG1265">
        <v>105</v>
      </c>
      <c r="AH1265">
        <v>204</v>
      </c>
      <c r="AI1265">
        <v>246</v>
      </c>
      <c r="AJ1265">
        <v>1</v>
      </c>
      <c r="AK1265">
        <v>63</v>
      </c>
      <c r="AL1265" t="s">
        <v>92</v>
      </c>
      <c r="AM1265" t="s">
        <v>93</v>
      </c>
      <c r="AN1265" t="s">
        <v>94</v>
      </c>
      <c r="AO1265" t="s">
        <v>7922</v>
      </c>
      <c r="AP1265" t="s">
        <v>7923</v>
      </c>
      <c r="AQ1265" t="s">
        <v>74</v>
      </c>
      <c r="AR1265" t="s">
        <v>7924</v>
      </c>
      <c r="AS1265" t="s">
        <v>7925</v>
      </c>
      <c r="AT1265" t="s">
        <v>1047</v>
      </c>
      <c r="AU1265">
        <v>2007</v>
      </c>
      <c r="AV1265">
        <v>14</v>
      </c>
      <c r="AW1265">
        <v>6</v>
      </c>
      <c r="AX1265" t="s">
        <v>74</v>
      </c>
      <c r="AY1265" t="s">
        <v>74</v>
      </c>
      <c r="AZ1265" t="s">
        <v>74</v>
      </c>
      <c r="BA1265" t="s">
        <v>74</v>
      </c>
      <c r="BB1265">
        <v>22</v>
      </c>
      <c r="BC1265">
        <v>44</v>
      </c>
      <c r="BD1265" t="s">
        <v>74</v>
      </c>
      <c r="BE1265" t="s">
        <v>23418</v>
      </c>
      <c r="BF1265" t="str">
        <f>HYPERLINK("http://dx.doi.org/10.1310/tsr1406-22","http://dx.doi.org/10.1310/tsr1406-22")</f>
        <v>http://dx.doi.org/10.1310/tsr1406-22</v>
      </c>
      <c r="BG1265" t="s">
        <v>74</v>
      </c>
      <c r="BH1265" t="s">
        <v>74</v>
      </c>
      <c r="BI1265">
        <v>23</v>
      </c>
      <c r="BJ1265" t="s">
        <v>101</v>
      </c>
      <c r="BK1265" t="s">
        <v>182</v>
      </c>
      <c r="BL1265" t="s">
        <v>101</v>
      </c>
      <c r="BM1265" t="s">
        <v>23419</v>
      </c>
      <c r="BN1265">
        <v>18174114</v>
      </c>
      <c r="BO1265" t="s">
        <v>74</v>
      </c>
      <c r="BP1265" t="s">
        <v>74</v>
      </c>
      <c r="BQ1265" t="s">
        <v>74</v>
      </c>
      <c r="BR1265" t="s">
        <v>105</v>
      </c>
      <c r="BS1265" t="s">
        <v>23420</v>
      </c>
      <c r="BT1265" t="str">
        <f>HYPERLINK("https%3A%2F%2Fwww.webofscience.com%2Fwos%2Fwoscc%2Ffull-record%2FWOS:000251109100004","View Full Record in Web of Science")</f>
        <v>View Full Record in Web of Science</v>
      </c>
    </row>
    <row r="1266" spans="1:72" x14ac:dyDescent="0.25">
      <c r="A1266" t="s">
        <v>72</v>
      </c>
      <c r="B1266" t="s">
        <v>23421</v>
      </c>
      <c r="C1266" t="s">
        <v>74</v>
      </c>
      <c r="D1266" t="s">
        <v>74</v>
      </c>
      <c r="E1266" t="s">
        <v>74</v>
      </c>
      <c r="F1266" t="s">
        <v>23422</v>
      </c>
      <c r="G1266" t="s">
        <v>74</v>
      </c>
      <c r="H1266" t="s">
        <v>74</v>
      </c>
      <c r="I1266" t="s">
        <v>23423</v>
      </c>
      <c r="J1266" t="s">
        <v>21733</v>
      </c>
      <c r="K1266" t="s">
        <v>74</v>
      </c>
      <c r="L1266" t="s">
        <v>74</v>
      </c>
      <c r="M1266" t="s">
        <v>78</v>
      </c>
      <c r="N1266" t="s">
        <v>79</v>
      </c>
      <c r="O1266" t="s">
        <v>74</v>
      </c>
      <c r="P1266" t="s">
        <v>74</v>
      </c>
      <c r="Q1266" t="s">
        <v>74</v>
      </c>
      <c r="R1266" t="s">
        <v>74</v>
      </c>
      <c r="S1266" t="s">
        <v>74</v>
      </c>
      <c r="T1266" t="s">
        <v>23424</v>
      </c>
      <c r="U1266" t="s">
        <v>23425</v>
      </c>
      <c r="V1266" t="s">
        <v>23426</v>
      </c>
      <c r="W1266" t="s">
        <v>23427</v>
      </c>
      <c r="X1266" t="s">
        <v>23428</v>
      </c>
      <c r="Y1266" t="s">
        <v>23429</v>
      </c>
      <c r="Z1266" t="s">
        <v>23430</v>
      </c>
      <c r="AA1266" t="s">
        <v>23431</v>
      </c>
      <c r="AB1266" t="s">
        <v>23432</v>
      </c>
      <c r="AC1266" t="s">
        <v>74</v>
      </c>
      <c r="AD1266" t="s">
        <v>74</v>
      </c>
      <c r="AE1266" t="s">
        <v>74</v>
      </c>
      <c r="AF1266" t="s">
        <v>74</v>
      </c>
      <c r="AG1266">
        <v>46</v>
      </c>
      <c r="AH1266">
        <v>911</v>
      </c>
      <c r="AI1266">
        <v>988</v>
      </c>
      <c r="AJ1266">
        <v>2</v>
      </c>
      <c r="AK1266">
        <v>211</v>
      </c>
      <c r="AL1266" t="s">
        <v>531</v>
      </c>
      <c r="AM1266" t="s">
        <v>532</v>
      </c>
      <c r="AN1266" t="s">
        <v>533</v>
      </c>
      <c r="AO1266" t="s">
        <v>21743</v>
      </c>
      <c r="AP1266" t="s">
        <v>21744</v>
      </c>
      <c r="AQ1266" t="s">
        <v>74</v>
      </c>
      <c r="AR1266" t="s">
        <v>21745</v>
      </c>
      <c r="AS1266" t="s">
        <v>21746</v>
      </c>
      <c r="AT1266" t="s">
        <v>1888</v>
      </c>
      <c r="AU1266">
        <v>2007</v>
      </c>
      <c r="AV1266">
        <v>2</v>
      </c>
      <c r="AW1266">
        <v>4</v>
      </c>
      <c r="AX1266" t="s">
        <v>74</v>
      </c>
      <c r="AY1266" t="s">
        <v>74</v>
      </c>
      <c r="AZ1266" t="s">
        <v>74</v>
      </c>
      <c r="BA1266" t="s">
        <v>74</v>
      </c>
      <c r="BB1266">
        <v>275</v>
      </c>
      <c r="BC1266">
        <v>294</v>
      </c>
      <c r="BD1266" t="s">
        <v>74</v>
      </c>
      <c r="BE1266" t="s">
        <v>23433</v>
      </c>
      <c r="BF1266" t="str">
        <f>HYPERLINK("http://dx.doi.org/10.1016/j.bspc.2007.07.009","http://dx.doi.org/10.1016/j.bspc.2007.07.009")</f>
        <v>http://dx.doi.org/10.1016/j.bspc.2007.07.009</v>
      </c>
      <c r="BG1266" t="s">
        <v>74</v>
      </c>
      <c r="BH1266" t="s">
        <v>74</v>
      </c>
      <c r="BI1266">
        <v>20</v>
      </c>
      <c r="BJ1266" t="s">
        <v>282</v>
      </c>
      <c r="BK1266" t="s">
        <v>182</v>
      </c>
      <c r="BL1266" t="s">
        <v>183</v>
      </c>
      <c r="BM1266" t="s">
        <v>23434</v>
      </c>
      <c r="BN1266" t="s">
        <v>74</v>
      </c>
      <c r="BO1266" t="s">
        <v>74</v>
      </c>
      <c r="BP1266" t="s">
        <v>74</v>
      </c>
      <c r="BQ1266" t="s">
        <v>74</v>
      </c>
      <c r="BR1266" t="s">
        <v>105</v>
      </c>
      <c r="BS1266" t="s">
        <v>23435</v>
      </c>
      <c r="BT1266" t="str">
        <f>HYPERLINK("https%3A%2F%2Fwww.webofscience.com%2Fwos%2Fwoscc%2Ffull-record%2FWOS:000205637300001","View Full Record in Web of Science")</f>
        <v>View Full Record in Web of Science</v>
      </c>
    </row>
    <row r="1267" spans="1:72" x14ac:dyDescent="0.25">
      <c r="A1267" t="s">
        <v>72</v>
      </c>
      <c r="B1267" t="s">
        <v>23436</v>
      </c>
      <c r="C1267" t="s">
        <v>74</v>
      </c>
      <c r="D1267" t="s">
        <v>74</v>
      </c>
      <c r="E1267" t="s">
        <v>74</v>
      </c>
      <c r="F1267" t="s">
        <v>23437</v>
      </c>
      <c r="G1267" t="s">
        <v>74</v>
      </c>
      <c r="H1267" t="s">
        <v>74</v>
      </c>
      <c r="I1267" t="s">
        <v>23438</v>
      </c>
      <c r="J1267" t="s">
        <v>1032</v>
      </c>
      <c r="K1267" t="s">
        <v>74</v>
      </c>
      <c r="L1267" t="s">
        <v>74</v>
      </c>
      <c r="M1267" t="s">
        <v>78</v>
      </c>
      <c r="N1267" t="s">
        <v>79</v>
      </c>
      <c r="O1267" t="s">
        <v>74</v>
      </c>
      <c r="P1267" t="s">
        <v>74</v>
      </c>
      <c r="Q1267" t="s">
        <v>74</v>
      </c>
      <c r="R1267" t="s">
        <v>74</v>
      </c>
      <c r="S1267" t="s">
        <v>74</v>
      </c>
      <c r="T1267" t="s">
        <v>23439</v>
      </c>
      <c r="U1267" t="s">
        <v>23440</v>
      </c>
      <c r="V1267" t="s">
        <v>23441</v>
      </c>
      <c r="W1267" t="s">
        <v>23442</v>
      </c>
      <c r="X1267" t="s">
        <v>23443</v>
      </c>
      <c r="Y1267" t="s">
        <v>23444</v>
      </c>
      <c r="Z1267" t="s">
        <v>23445</v>
      </c>
      <c r="AA1267" t="s">
        <v>23446</v>
      </c>
      <c r="AB1267" t="s">
        <v>23447</v>
      </c>
      <c r="AC1267" t="s">
        <v>74</v>
      </c>
      <c r="AD1267" t="s">
        <v>74</v>
      </c>
      <c r="AE1267" t="s">
        <v>74</v>
      </c>
      <c r="AF1267" t="s">
        <v>74</v>
      </c>
      <c r="AG1267">
        <v>64</v>
      </c>
      <c r="AH1267">
        <v>46</v>
      </c>
      <c r="AI1267">
        <v>47</v>
      </c>
      <c r="AJ1267">
        <v>1</v>
      </c>
      <c r="AK1267">
        <v>10</v>
      </c>
      <c r="AL1267" t="s">
        <v>1040</v>
      </c>
      <c r="AM1267" t="s">
        <v>1041</v>
      </c>
      <c r="AN1267" t="s">
        <v>1042</v>
      </c>
      <c r="AO1267" t="s">
        <v>1043</v>
      </c>
      <c r="AP1267" t="s">
        <v>74</v>
      </c>
      <c r="AQ1267" t="s">
        <v>74</v>
      </c>
      <c r="AR1267" t="s">
        <v>1045</v>
      </c>
      <c r="AS1267" t="s">
        <v>1046</v>
      </c>
      <c r="AT1267" t="s">
        <v>20233</v>
      </c>
      <c r="AU1267">
        <v>2007</v>
      </c>
      <c r="AV1267">
        <v>21</v>
      </c>
      <c r="AW1267">
        <v>4</v>
      </c>
      <c r="AX1267" t="s">
        <v>74</v>
      </c>
      <c r="AY1267" t="s">
        <v>74</v>
      </c>
      <c r="AZ1267" t="s">
        <v>74</v>
      </c>
      <c r="BA1267" t="s">
        <v>74</v>
      </c>
      <c r="BB1267">
        <v>358</v>
      </c>
      <c r="BC1267">
        <v>365</v>
      </c>
      <c r="BD1267" t="s">
        <v>74</v>
      </c>
      <c r="BE1267" t="s">
        <v>23448</v>
      </c>
      <c r="BF1267" t="str">
        <f>HYPERLINK("http://dx.doi.org/10.1177/1545968306295561","http://dx.doi.org/10.1177/1545968306295561")</f>
        <v>http://dx.doi.org/10.1177/1545968306295561</v>
      </c>
      <c r="BG1267" t="s">
        <v>74</v>
      </c>
      <c r="BH1267" t="s">
        <v>74</v>
      </c>
      <c r="BI1267">
        <v>8</v>
      </c>
      <c r="BJ1267" t="s">
        <v>1049</v>
      </c>
      <c r="BK1267" t="s">
        <v>182</v>
      </c>
      <c r="BL1267" t="s">
        <v>1050</v>
      </c>
      <c r="BM1267" t="s">
        <v>23449</v>
      </c>
      <c r="BN1267">
        <v>17353461</v>
      </c>
      <c r="BO1267" t="s">
        <v>1052</v>
      </c>
      <c r="BP1267" t="s">
        <v>74</v>
      </c>
      <c r="BQ1267" t="s">
        <v>74</v>
      </c>
      <c r="BR1267" t="s">
        <v>105</v>
      </c>
      <c r="BS1267" t="s">
        <v>23450</v>
      </c>
      <c r="BT1267" t="str">
        <f>HYPERLINK("https%3A%2F%2Fwww.webofscience.com%2Fwos%2Fwoscc%2Ffull-record%2FWOS:000247314600009","View Full Record in Web of Science")</f>
        <v>View Full Record in Web of Science</v>
      </c>
    </row>
    <row r="1268" spans="1:72" x14ac:dyDescent="0.25">
      <c r="A1268" t="s">
        <v>72</v>
      </c>
      <c r="B1268" t="s">
        <v>3532</v>
      </c>
      <c r="C1268" t="s">
        <v>74</v>
      </c>
      <c r="D1268" t="s">
        <v>74</v>
      </c>
      <c r="E1268" t="s">
        <v>74</v>
      </c>
      <c r="F1268" t="s">
        <v>3533</v>
      </c>
      <c r="G1268" t="s">
        <v>74</v>
      </c>
      <c r="H1268" t="s">
        <v>74</v>
      </c>
      <c r="I1268" t="s">
        <v>23451</v>
      </c>
      <c r="J1268" t="s">
        <v>23452</v>
      </c>
      <c r="K1268" t="s">
        <v>74</v>
      </c>
      <c r="L1268" t="s">
        <v>74</v>
      </c>
      <c r="M1268" t="s">
        <v>78</v>
      </c>
      <c r="N1268" t="s">
        <v>79</v>
      </c>
      <c r="O1268" t="s">
        <v>74</v>
      </c>
      <c r="P1268" t="s">
        <v>74</v>
      </c>
      <c r="Q1268" t="s">
        <v>74</v>
      </c>
      <c r="R1268" t="s">
        <v>74</v>
      </c>
      <c r="S1268" t="s">
        <v>74</v>
      </c>
      <c r="T1268" t="s">
        <v>23453</v>
      </c>
      <c r="U1268" t="s">
        <v>23454</v>
      </c>
      <c r="V1268" t="s">
        <v>23455</v>
      </c>
      <c r="W1268" t="s">
        <v>23456</v>
      </c>
      <c r="X1268" t="s">
        <v>5906</v>
      </c>
      <c r="Y1268" t="s">
        <v>23457</v>
      </c>
      <c r="Z1268" t="s">
        <v>23458</v>
      </c>
      <c r="AA1268" t="s">
        <v>3543</v>
      </c>
      <c r="AB1268" t="s">
        <v>3544</v>
      </c>
      <c r="AC1268" t="s">
        <v>74</v>
      </c>
      <c r="AD1268" t="s">
        <v>74</v>
      </c>
      <c r="AE1268" t="s">
        <v>74</v>
      </c>
      <c r="AF1268" t="s">
        <v>74</v>
      </c>
      <c r="AG1268">
        <v>38</v>
      </c>
      <c r="AH1268">
        <v>12</v>
      </c>
      <c r="AI1268">
        <v>16</v>
      </c>
      <c r="AJ1268">
        <v>0</v>
      </c>
      <c r="AK1268">
        <v>16</v>
      </c>
      <c r="AL1268" t="s">
        <v>17472</v>
      </c>
      <c r="AM1268" t="s">
        <v>173</v>
      </c>
      <c r="AN1268" t="s">
        <v>1885</v>
      </c>
      <c r="AO1268" t="s">
        <v>23459</v>
      </c>
      <c r="AP1268" t="s">
        <v>74</v>
      </c>
      <c r="AQ1268" t="s">
        <v>74</v>
      </c>
      <c r="AR1268" t="s">
        <v>23460</v>
      </c>
      <c r="AS1268" t="s">
        <v>23461</v>
      </c>
      <c r="AT1268" t="s">
        <v>487</v>
      </c>
      <c r="AU1268">
        <v>2007</v>
      </c>
      <c r="AV1268">
        <v>32</v>
      </c>
      <c r="AW1268" t="s">
        <v>22819</v>
      </c>
      <c r="AX1268" t="s">
        <v>74</v>
      </c>
      <c r="AY1268" t="s">
        <v>74</v>
      </c>
      <c r="AZ1268" t="s">
        <v>74</v>
      </c>
      <c r="BA1268" t="s">
        <v>74</v>
      </c>
      <c r="BB1268">
        <v>807</v>
      </c>
      <c r="BC1268">
        <v>821</v>
      </c>
      <c r="BD1268" t="s">
        <v>74</v>
      </c>
      <c r="BE1268" t="s">
        <v>23462</v>
      </c>
      <c r="BF1268" t="str">
        <f>HYPERLINK("http://dx.doi.org/10.1007/s11064-006-9211-y","http://dx.doi.org/10.1007/s11064-006-9211-y")</f>
        <v>http://dx.doi.org/10.1007/s11064-006-9211-y</v>
      </c>
      <c r="BG1268" t="s">
        <v>74</v>
      </c>
      <c r="BH1268" t="s">
        <v>74</v>
      </c>
      <c r="BI1268">
        <v>15</v>
      </c>
      <c r="BJ1268" t="s">
        <v>23463</v>
      </c>
      <c r="BK1268" t="s">
        <v>182</v>
      </c>
      <c r="BL1268" t="s">
        <v>23343</v>
      </c>
      <c r="BM1268" t="s">
        <v>23464</v>
      </c>
      <c r="BN1268">
        <v>17191132</v>
      </c>
      <c r="BO1268" t="s">
        <v>74</v>
      </c>
      <c r="BP1268" t="s">
        <v>74</v>
      </c>
      <c r="BQ1268" t="s">
        <v>74</v>
      </c>
      <c r="BR1268" t="s">
        <v>105</v>
      </c>
      <c r="BS1268" t="s">
        <v>23465</v>
      </c>
      <c r="BT1268" t="str">
        <f>HYPERLINK("https%3A%2F%2Fwww.webofscience.com%2Fwos%2Fwoscc%2Ffull-record%2FWOS:000245134500027","View Full Record in Web of Science")</f>
        <v>View Full Record in Web of Science</v>
      </c>
    </row>
    <row r="1269" spans="1:72" x14ac:dyDescent="0.25">
      <c r="A1269" t="s">
        <v>72</v>
      </c>
      <c r="B1269" t="s">
        <v>23466</v>
      </c>
      <c r="C1269" t="s">
        <v>74</v>
      </c>
      <c r="D1269" t="s">
        <v>74</v>
      </c>
      <c r="E1269" t="s">
        <v>74</v>
      </c>
      <c r="F1269" t="s">
        <v>23467</v>
      </c>
      <c r="G1269" t="s">
        <v>74</v>
      </c>
      <c r="H1269" t="s">
        <v>74</v>
      </c>
      <c r="I1269" t="s">
        <v>23468</v>
      </c>
      <c r="J1269" t="s">
        <v>9462</v>
      </c>
      <c r="K1269" t="s">
        <v>9462</v>
      </c>
      <c r="L1269" t="s">
        <v>74</v>
      </c>
      <c r="M1269" t="s">
        <v>78</v>
      </c>
      <c r="N1269" t="s">
        <v>1537</v>
      </c>
      <c r="O1269" t="s">
        <v>74</v>
      </c>
      <c r="P1269" t="s">
        <v>74</v>
      </c>
      <c r="Q1269" t="s">
        <v>74</v>
      </c>
      <c r="R1269" t="s">
        <v>74</v>
      </c>
      <c r="S1269" t="s">
        <v>74</v>
      </c>
      <c r="T1269" t="s">
        <v>23469</v>
      </c>
      <c r="U1269" t="s">
        <v>23470</v>
      </c>
      <c r="V1269" t="s">
        <v>23471</v>
      </c>
      <c r="W1269" t="s">
        <v>23472</v>
      </c>
      <c r="X1269" t="s">
        <v>23473</v>
      </c>
      <c r="Y1269" t="s">
        <v>23474</v>
      </c>
      <c r="Z1269" t="s">
        <v>23475</v>
      </c>
      <c r="AA1269" t="s">
        <v>23476</v>
      </c>
      <c r="AB1269" t="s">
        <v>23477</v>
      </c>
      <c r="AC1269" t="s">
        <v>23478</v>
      </c>
      <c r="AD1269" t="s">
        <v>23479</v>
      </c>
      <c r="AE1269" t="s">
        <v>74</v>
      </c>
      <c r="AF1269" t="s">
        <v>74</v>
      </c>
      <c r="AG1269">
        <v>119</v>
      </c>
      <c r="AH1269">
        <v>161</v>
      </c>
      <c r="AI1269">
        <v>186</v>
      </c>
      <c r="AJ1269">
        <v>0</v>
      </c>
      <c r="AK1269">
        <v>45</v>
      </c>
      <c r="AL1269" t="s">
        <v>4437</v>
      </c>
      <c r="AM1269" t="s">
        <v>4438</v>
      </c>
      <c r="AN1269" t="s">
        <v>4439</v>
      </c>
      <c r="AO1269" t="s">
        <v>9471</v>
      </c>
      <c r="AP1269" t="s">
        <v>9472</v>
      </c>
      <c r="AQ1269" t="s">
        <v>74</v>
      </c>
      <c r="AR1269" t="s">
        <v>9473</v>
      </c>
      <c r="AS1269" t="s">
        <v>9474</v>
      </c>
      <c r="AT1269" t="s">
        <v>74</v>
      </c>
      <c r="AU1269">
        <v>2007</v>
      </c>
      <c r="AV1269">
        <v>9</v>
      </c>
      <c r="AW1269" t="s">
        <v>74</v>
      </c>
      <c r="AX1269" t="s">
        <v>74</v>
      </c>
      <c r="AY1269" t="s">
        <v>74</v>
      </c>
      <c r="AZ1269" t="s">
        <v>74</v>
      </c>
      <c r="BA1269" t="s">
        <v>74</v>
      </c>
      <c r="BB1269">
        <v>351</v>
      </c>
      <c r="BC1269">
        <v>387</v>
      </c>
      <c r="BD1269" t="s">
        <v>74</v>
      </c>
      <c r="BE1269" t="s">
        <v>23480</v>
      </c>
      <c r="BF1269" t="str">
        <f>HYPERLINK("http://dx.doi.org/10.1146/annurev.bioeng.9.121806.160642","http://dx.doi.org/10.1146/annurev.bioeng.9.121806.160642")</f>
        <v>http://dx.doi.org/10.1146/annurev.bioeng.9.121806.160642</v>
      </c>
      <c r="BG1269" t="s">
        <v>74</v>
      </c>
      <c r="BH1269" t="s">
        <v>74</v>
      </c>
      <c r="BI1269">
        <v>37</v>
      </c>
      <c r="BJ1269" t="s">
        <v>282</v>
      </c>
      <c r="BK1269" t="s">
        <v>18774</v>
      </c>
      <c r="BL1269" t="s">
        <v>183</v>
      </c>
      <c r="BM1269" t="s">
        <v>23481</v>
      </c>
      <c r="BN1269">
        <v>17439358</v>
      </c>
      <c r="BO1269" t="s">
        <v>74</v>
      </c>
      <c r="BP1269" t="s">
        <v>74</v>
      </c>
      <c r="BQ1269" t="s">
        <v>74</v>
      </c>
      <c r="BR1269" t="s">
        <v>105</v>
      </c>
      <c r="BS1269" t="s">
        <v>23482</v>
      </c>
      <c r="BT1269" t="str">
        <f>HYPERLINK("https%3A%2F%2Fwww.webofscience.com%2Fwos%2Fwoscc%2Ffull-record%2FWOS:000249337000012","View Full Record in Web of Science")</f>
        <v>View Full Record in Web of Science</v>
      </c>
    </row>
    <row r="1270" spans="1:72" x14ac:dyDescent="0.25">
      <c r="A1270" t="s">
        <v>72</v>
      </c>
      <c r="B1270" t="s">
        <v>23483</v>
      </c>
      <c r="C1270" t="s">
        <v>74</v>
      </c>
      <c r="D1270" t="s">
        <v>74</v>
      </c>
      <c r="E1270" t="s">
        <v>74</v>
      </c>
      <c r="F1270" t="s">
        <v>23484</v>
      </c>
      <c r="G1270" t="s">
        <v>74</v>
      </c>
      <c r="H1270" t="s">
        <v>74</v>
      </c>
      <c r="I1270" t="s">
        <v>23485</v>
      </c>
      <c r="J1270" t="s">
        <v>214</v>
      </c>
      <c r="K1270" t="s">
        <v>74</v>
      </c>
      <c r="L1270" t="s">
        <v>74</v>
      </c>
      <c r="M1270" t="s">
        <v>78</v>
      </c>
      <c r="N1270" t="s">
        <v>79</v>
      </c>
      <c r="O1270" t="s">
        <v>74</v>
      </c>
      <c r="P1270" t="s">
        <v>74</v>
      </c>
      <c r="Q1270" t="s">
        <v>74</v>
      </c>
      <c r="R1270" t="s">
        <v>74</v>
      </c>
      <c r="S1270" t="s">
        <v>74</v>
      </c>
      <c r="T1270" t="s">
        <v>23486</v>
      </c>
      <c r="U1270" t="s">
        <v>23487</v>
      </c>
      <c r="V1270" t="s">
        <v>23488</v>
      </c>
      <c r="W1270" t="s">
        <v>23489</v>
      </c>
      <c r="X1270" t="s">
        <v>23490</v>
      </c>
      <c r="Y1270" t="s">
        <v>23491</v>
      </c>
      <c r="Z1270" t="s">
        <v>23492</v>
      </c>
      <c r="AA1270" t="s">
        <v>74</v>
      </c>
      <c r="AB1270" t="s">
        <v>23493</v>
      </c>
      <c r="AC1270" t="s">
        <v>23494</v>
      </c>
      <c r="AD1270" t="s">
        <v>23495</v>
      </c>
      <c r="AE1270" t="s">
        <v>74</v>
      </c>
      <c r="AF1270" t="s">
        <v>74</v>
      </c>
      <c r="AG1270">
        <v>71</v>
      </c>
      <c r="AH1270">
        <v>24</v>
      </c>
      <c r="AI1270">
        <v>27</v>
      </c>
      <c r="AJ1270">
        <v>1</v>
      </c>
      <c r="AK1270">
        <v>11</v>
      </c>
      <c r="AL1270" t="s">
        <v>226</v>
      </c>
      <c r="AM1270" t="s">
        <v>227</v>
      </c>
      <c r="AN1270" t="s">
        <v>228</v>
      </c>
      <c r="AO1270" t="s">
        <v>229</v>
      </c>
      <c r="AP1270" t="s">
        <v>230</v>
      </c>
      <c r="AQ1270" t="s">
        <v>74</v>
      </c>
      <c r="AR1270" t="s">
        <v>231</v>
      </c>
      <c r="AS1270" t="s">
        <v>232</v>
      </c>
      <c r="AT1270" t="s">
        <v>151</v>
      </c>
      <c r="AU1270">
        <v>2006</v>
      </c>
      <c r="AV1270">
        <v>87</v>
      </c>
      <c r="AW1270">
        <v>12</v>
      </c>
      <c r="AX1270" t="s">
        <v>74</v>
      </c>
      <c r="AY1270">
        <v>2</v>
      </c>
      <c r="AZ1270" t="s">
        <v>74</v>
      </c>
      <c r="BA1270" t="s">
        <v>74</v>
      </c>
      <c r="BB1270" t="s">
        <v>23496</v>
      </c>
      <c r="BC1270" t="s">
        <v>23497</v>
      </c>
      <c r="BD1270" t="s">
        <v>74</v>
      </c>
      <c r="BE1270" t="s">
        <v>23498</v>
      </c>
      <c r="BF1270" t="str">
        <f>HYPERLINK("http://dx.doi.org/10.1016/j.apmr.2006.08.332","http://dx.doi.org/10.1016/j.apmr.2006.08.332")</f>
        <v>http://dx.doi.org/10.1016/j.apmr.2006.08.332</v>
      </c>
      <c r="BG1270" t="s">
        <v>74</v>
      </c>
      <c r="BH1270" t="s">
        <v>74</v>
      </c>
      <c r="BI1270">
        <v>8</v>
      </c>
      <c r="BJ1270" t="s">
        <v>236</v>
      </c>
      <c r="BK1270" t="s">
        <v>182</v>
      </c>
      <c r="BL1270" t="s">
        <v>236</v>
      </c>
      <c r="BM1270" t="s">
        <v>23499</v>
      </c>
      <c r="BN1270">
        <v>17140881</v>
      </c>
      <c r="BO1270" t="s">
        <v>74</v>
      </c>
      <c r="BP1270" t="s">
        <v>74</v>
      </c>
      <c r="BQ1270" t="s">
        <v>74</v>
      </c>
      <c r="BR1270" t="s">
        <v>105</v>
      </c>
      <c r="BS1270" t="s">
        <v>23500</v>
      </c>
      <c r="BT1270" t="str">
        <f>HYPERLINK("https%3A%2F%2Fwww.webofscience.com%2Fwos%2Fwoscc%2Ffull-record%2FWOS:000242773200009","View Full Record in Web of Science")</f>
        <v>View Full Record in Web of Science</v>
      </c>
    </row>
    <row r="1271" spans="1:72" x14ac:dyDescent="0.25">
      <c r="A1271" t="s">
        <v>72</v>
      </c>
      <c r="B1271" t="s">
        <v>23501</v>
      </c>
      <c r="C1271" t="s">
        <v>74</v>
      </c>
      <c r="D1271" t="s">
        <v>74</v>
      </c>
      <c r="E1271" t="s">
        <v>74</v>
      </c>
      <c r="F1271" t="s">
        <v>23502</v>
      </c>
      <c r="G1271" t="s">
        <v>74</v>
      </c>
      <c r="H1271" t="s">
        <v>74</v>
      </c>
      <c r="I1271" t="s">
        <v>23503</v>
      </c>
      <c r="J1271" t="s">
        <v>23504</v>
      </c>
      <c r="K1271" t="s">
        <v>74</v>
      </c>
      <c r="L1271" t="s">
        <v>74</v>
      </c>
      <c r="M1271" t="s">
        <v>78</v>
      </c>
      <c r="N1271" t="s">
        <v>79</v>
      </c>
      <c r="O1271" t="s">
        <v>74</v>
      </c>
      <c r="P1271" t="s">
        <v>74</v>
      </c>
      <c r="Q1271" t="s">
        <v>74</v>
      </c>
      <c r="R1271" t="s">
        <v>74</v>
      </c>
      <c r="S1271" t="s">
        <v>74</v>
      </c>
      <c r="T1271" t="s">
        <v>23505</v>
      </c>
      <c r="U1271" t="s">
        <v>23506</v>
      </c>
      <c r="V1271" t="s">
        <v>23507</v>
      </c>
      <c r="W1271" t="s">
        <v>23508</v>
      </c>
      <c r="X1271" t="s">
        <v>12612</v>
      </c>
      <c r="Y1271" t="s">
        <v>23509</v>
      </c>
      <c r="Z1271" t="s">
        <v>23510</v>
      </c>
      <c r="AA1271" t="s">
        <v>23511</v>
      </c>
      <c r="AB1271" t="s">
        <v>23512</v>
      </c>
      <c r="AC1271" t="s">
        <v>74</v>
      </c>
      <c r="AD1271" t="s">
        <v>74</v>
      </c>
      <c r="AE1271" t="s">
        <v>74</v>
      </c>
      <c r="AF1271" t="s">
        <v>74</v>
      </c>
      <c r="AG1271">
        <v>114</v>
      </c>
      <c r="AH1271">
        <v>133</v>
      </c>
      <c r="AI1271">
        <v>202</v>
      </c>
      <c r="AJ1271">
        <v>1</v>
      </c>
      <c r="AK1271">
        <v>67</v>
      </c>
      <c r="AL1271" t="s">
        <v>1114</v>
      </c>
      <c r="AM1271" t="s">
        <v>1115</v>
      </c>
      <c r="AN1271" t="s">
        <v>1116</v>
      </c>
      <c r="AO1271" t="s">
        <v>23513</v>
      </c>
      <c r="AP1271" t="s">
        <v>23514</v>
      </c>
      <c r="AQ1271" t="s">
        <v>74</v>
      </c>
      <c r="AR1271" t="s">
        <v>23515</v>
      </c>
      <c r="AS1271" t="s">
        <v>23516</v>
      </c>
      <c r="AT1271" t="s">
        <v>420</v>
      </c>
      <c r="AU1271">
        <v>2006</v>
      </c>
      <c r="AV1271">
        <v>94</v>
      </c>
      <c r="AW1271">
        <v>9</v>
      </c>
      <c r="AX1271" t="s">
        <v>74</v>
      </c>
      <c r="AY1271" t="s">
        <v>74</v>
      </c>
      <c r="AZ1271" t="s">
        <v>74</v>
      </c>
      <c r="BA1271" t="s">
        <v>74</v>
      </c>
      <c r="BB1271">
        <v>1652</v>
      </c>
      <c r="BC1271">
        <v>1664</v>
      </c>
      <c r="BD1271" t="s">
        <v>74</v>
      </c>
      <c r="BE1271" t="s">
        <v>23517</v>
      </c>
      <c r="BF1271" t="str">
        <f>HYPERLINK("http://dx.doi.org/10.1109/JPROC.2006.880669","http://dx.doi.org/10.1109/JPROC.2006.880669")</f>
        <v>http://dx.doi.org/10.1109/JPROC.2006.880669</v>
      </c>
      <c r="BG1271" t="s">
        <v>74</v>
      </c>
      <c r="BH1271" t="s">
        <v>74</v>
      </c>
      <c r="BI1271">
        <v>13</v>
      </c>
      <c r="BJ1271" t="s">
        <v>11678</v>
      </c>
      <c r="BK1271" t="s">
        <v>182</v>
      </c>
      <c r="BL1271" t="s">
        <v>183</v>
      </c>
      <c r="BM1271" t="s">
        <v>23518</v>
      </c>
      <c r="BN1271" t="s">
        <v>74</v>
      </c>
      <c r="BO1271" t="s">
        <v>74</v>
      </c>
      <c r="BP1271" t="s">
        <v>74</v>
      </c>
      <c r="BQ1271" t="s">
        <v>74</v>
      </c>
      <c r="BR1271" t="s">
        <v>105</v>
      </c>
      <c r="BS1271" t="s">
        <v>23519</v>
      </c>
      <c r="BT1271" t="str">
        <f>HYPERLINK("https%3A%2F%2Fwww.webofscience.com%2Fwos%2Fwoscc%2Ffull-record%2FWOS:000241780000002","View Full Record in Web of Science")</f>
        <v>View Full Record in Web of Science</v>
      </c>
    </row>
    <row r="1272" spans="1:72" x14ac:dyDescent="0.25">
      <c r="A1272" t="s">
        <v>72</v>
      </c>
      <c r="B1272" t="s">
        <v>23520</v>
      </c>
      <c r="C1272" t="s">
        <v>74</v>
      </c>
      <c r="D1272" t="s">
        <v>74</v>
      </c>
      <c r="E1272" t="s">
        <v>74</v>
      </c>
      <c r="F1272" t="s">
        <v>23521</v>
      </c>
      <c r="G1272" t="s">
        <v>74</v>
      </c>
      <c r="H1272" t="s">
        <v>74</v>
      </c>
      <c r="I1272" t="s">
        <v>23522</v>
      </c>
      <c r="J1272" t="s">
        <v>594</v>
      </c>
      <c r="K1272" t="s">
        <v>74</v>
      </c>
      <c r="L1272" t="s">
        <v>74</v>
      </c>
      <c r="M1272" t="s">
        <v>78</v>
      </c>
      <c r="N1272" t="s">
        <v>79</v>
      </c>
      <c r="O1272" t="s">
        <v>74</v>
      </c>
      <c r="P1272" t="s">
        <v>74</v>
      </c>
      <c r="Q1272" t="s">
        <v>74</v>
      </c>
      <c r="R1272" t="s">
        <v>74</v>
      </c>
      <c r="S1272" t="s">
        <v>74</v>
      </c>
      <c r="T1272" t="s">
        <v>74</v>
      </c>
      <c r="U1272" t="s">
        <v>23523</v>
      </c>
      <c r="V1272" t="s">
        <v>23524</v>
      </c>
      <c r="W1272" t="s">
        <v>23525</v>
      </c>
      <c r="X1272" t="s">
        <v>23526</v>
      </c>
      <c r="Y1272" t="s">
        <v>23527</v>
      </c>
      <c r="Z1272" t="s">
        <v>23528</v>
      </c>
      <c r="AA1272" t="s">
        <v>74</v>
      </c>
      <c r="AB1272" t="s">
        <v>74</v>
      </c>
      <c r="AC1272" t="s">
        <v>74</v>
      </c>
      <c r="AD1272" t="s">
        <v>74</v>
      </c>
      <c r="AE1272" t="s">
        <v>74</v>
      </c>
      <c r="AF1272" t="s">
        <v>74</v>
      </c>
      <c r="AG1272">
        <v>40</v>
      </c>
      <c r="AH1272">
        <v>249</v>
      </c>
      <c r="AI1272">
        <v>289</v>
      </c>
      <c r="AJ1272">
        <v>1</v>
      </c>
      <c r="AK1272">
        <v>74</v>
      </c>
      <c r="AL1272" t="s">
        <v>274</v>
      </c>
      <c r="AM1272" t="s">
        <v>275</v>
      </c>
      <c r="AN1272" t="s">
        <v>276</v>
      </c>
      <c r="AO1272" t="s">
        <v>74</v>
      </c>
      <c r="AP1272" t="s">
        <v>606</v>
      </c>
      <c r="AQ1272" t="s">
        <v>74</v>
      </c>
      <c r="AR1272" t="s">
        <v>607</v>
      </c>
      <c r="AS1272" t="s">
        <v>608</v>
      </c>
      <c r="AT1272" t="s">
        <v>14989</v>
      </c>
      <c r="AU1272">
        <v>2006</v>
      </c>
      <c r="AV1272">
        <v>3</v>
      </c>
      <c r="AW1272" t="s">
        <v>74</v>
      </c>
      <c r="AX1272" t="s">
        <v>74</v>
      </c>
      <c r="AY1272" t="s">
        <v>74</v>
      </c>
      <c r="AZ1272" t="s">
        <v>74</v>
      </c>
      <c r="BA1272" t="s">
        <v>74</v>
      </c>
      <c r="BB1272" t="s">
        <v>74</v>
      </c>
      <c r="BC1272" t="s">
        <v>74</v>
      </c>
      <c r="BD1272">
        <v>12</v>
      </c>
      <c r="BE1272" t="s">
        <v>23529</v>
      </c>
      <c r="BF1272" t="str">
        <f>HYPERLINK("http://dx.doi.org/10.1186/1743-0003-3-12","http://dx.doi.org/10.1186/1743-0003-3-12")</f>
        <v>http://dx.doi.org/10.1186/1743-0003-3-12</v>
      </c>
      <c r="BG1272" t="s">
        <v>74</v>
      </c>
      <c r="BH1272" t="s">
        <v>74</v>
      </c>
      <c r="BI1272">
        <v>13</v>
      </c>
      <c r="BJ1272" t="s">
        <v>611</v>
      </c>
      <c r="BK1272" t="s">
        <v>182</v>
      </c>
      <c r="BL1272" t="s">
        <v>612</v>
      </c>
      <c r="BM1272" t="s">
        <v>23530</v>
      </c>
      <c r="BN1272">
        <v>16790067</v>
      </c>
      <c r="BO1272" t="s">
        <v>355</v>
      </c>
      <c r="BP1272" t="s">
        <v>74</v>
      </c>
      <c r="BQ1272" t="s">
        <v>74</v>
      </c>
      <c r="BR1272" t="s">
        <v>105</v>
      </c>
      <c r="BS1272" t="s">
        <v>23531</v>
      </c>
      <c r="BT1272" t="str">
        <f>HYPERLINK("https%3A%2F%2Fwww.webofscience.com%2Fwos%2Fwoscc%2Ffull-record%2FWOS:000251219200002","View Full Record in Web of Science")</f>
        <v>View Full Record in Web of Science</v>
      </c>
    </row>
    <row r="1273" spans="1:72" x14ac:dyDescent="0.25">
      <c r="A1273" t="s">
        <v>72</v>
      </c>
      <c r="B1273" t="s">
        <v>23532</v>
      </c>
      <c r="C1273" t="s">
        <v>74</v>
      </c>
      <c r="D1273" t="s">
        <v>74</v>
      </c>
      <c r="E1273" t="s">
        <v>74</v>
      </c>
      <c r="F1273" t="s">
        <v>23532</v>
      </c>
      <c r="G1273" t="s">
        <v>74</v>
      </c>
      <c r="H1273" t="s">
        <v>74</v>
      </c>
      <c r="I1273" t="s">
        <v>23533</v>
      </c>
      <c r="J1273" t="s">
        <v>214</v>
      </c>
      <c r="K1273" t="s">
        <v>74</v>
      </c>
      <c r="L1273" t="s">
        <v>74</v>
      </c>
      <c r="M1273" t="s">
        <v>78</v>
      </c>
      <c r="N1273" t="s">
        <v>79</v>
      </c>
      <c r="O1273" t="s">
        <v>74</v>
      </c>
      <c r="P1273" t="s">
        <v>74</v>
      </c>
      <c r="Q1273" t="s">
        <v>74</v>
      </c>
      <c r="R1273" t="s">
        <v>74</v>
      </c>
      <c r="S1273" t="s">
        <v>74</v>
      </c>
      <c r="T1273" t="s">
        <v>23534</v>
      </c>
      <c r="U1273" t="s">
        <v>23535</v>
      </c>
      <c r="V1273" t="s">
        <v>23536</v>
      </c>
      <c r="W1273" t="s">
        <v>23537</v>
      </c>
      <c r="X1273" t="s">
        <v>23538</v>
      </c>
      <c r="Y1273" t="s">
        <v>23539</v>
      </c>
      <c r="Z1273" t="s">
        <v>23540</v>
      </c>
      <c r="AA1273" t="s">
        <v>74</v>
      </c>
      <c r="AB1273" t="s">
        <v>74</v>
      </c>
      <c r="AC1273" t="s">
        <v>74</v>
      </c>
      <c r="AD1273" t="s">
        <v>74</v>
      </c>
      <c r="AE1273" t="s">
        <v>74</v>
      </c>
      <c r="AF1273" t="s">
        <v>74</v>
      </c>
      <c r="AG1273">
        <v>84</v>
      </c>
      <c r="AH1273">
        <v>53</v>
      </c>
      <c r="AI1273">
        <v>68</v>
      </c>
      <c r="AJ1273">
        <v>0</v>
      </c>
      <c r="AK1273">
        <v>20</v>
      </c>
      <c r="AL1273" t="s">
        <v>226</v>
      </c>
      <c r="AM1273" t="s">
        <v>227</v>
      </c>
      <c r="AN1273" t="s">
        <v>228</v>
      </c>
      <c r="AO1273" t="s">
        <v>229</v>
      </c>
      <c r="AP1273" t="s">
        <v>230</v>
      </c>
      <c r="AQ1273" t="s">
        <v>74</v>
      </c>
      <c r="AR1273" t="s">
        <v>231</v>
      </c>
      <c r="AS1273" t="s">
        <v>232</v>
      </c>
      <c r="AT1273" t="s">
        <v>1471</v>
      </c>
      <c r="AU1273">
        <v>2006</v>
      </c>
      <c r="AV1273">
        <v>87</v>
      </c>
      <c r="AW1273">
        <v>3</v>
      </c>
      <c r="AX1273" t="s">
        <v>74</v>
      </c>
      <c r="AY1273">
        <v>1</v>
      </c>
      <c r="AZ1273" t="s">
        <v>74</v>
      </c>
      <c r="BA1273" t="s">
        <v>74</v>
      </c>
      <c r="BB1273" t="s">
        <v>23541</v>
      </c>
      <c r="BC1273" t="s">
        <v>23542</v>
      </c>
      <c r="BD1273" t="s">
        <v>74</v>
      </c>
      <c r="BE1273" t="s">
        <v>23543</v>
      </c>
      <c r="BF1273" t="str">
        <f>HYPERLINK("http://dx.doi.org/10.1016/j.apmr.2005.11.026","http://dx.doi.org/10.1016/j.apmr.2005.11.026")</f>
        <v>http://dx.doi.org/10.1016/j.apmr.2005.11.026</v>
      </c>
      <c r="BG1273" t="s">
        <v>74</v>
      </c>
      <c r="BH1273" t="s">
        <v>74</v>
      </c>
      <c r="BI1273">
        <v>10</v>
      </c>
      <c r="BJ1273" t="s">
        <v>236</v>
      </c>
      <c r="BK1273" t="s">
        <v>102</v>
      </c>
      <c r="BL1273" t="s">
        <v>236</v>
      </c>
      <c r="BM1273" t="s">
        <v>23544</v>
      </c>
      <c r="BN1273">
        <v>16500191</v>
      </c>
      <c r="BO1273" t="s">
        <v>74</v>
      </c>
      <c r="BP1273" t="s">
        <v>74</v>
      </c>
      <c r="BQ1273" t="s">
        <v>74</v>
      </c>
      <c r="BR1273" t="s">
        <v>105</v>
      </c>
      <c r="BS1273" t="s">
        <v>23545</v>
      </c>
      <c r="BT1273" t="str">
        <f>HYPERLINK("https%3A%2F%2Fwww.webofscience.com%2Fwos%2Fwoscc%2Ffull-record%2FWOS:000236208200006","View Full Record in Web of Science")</f>
        <v>View Full Record in Web of Science</v>
      </c>
    </row>
    <row r="1274" spans="1:72" x14ac:dyDescent="0.25">
      <c r="A1274" t="s">
        <v>72</v>
      </c>
      <c r="B1274" t="s">
        <v>23546</v>
      </c>
      <c r="C1274" t="s">
        <v>74</v>
      </c>
      <c r="D1274" t="s">
        <v>74</v>
      </c>
      <c r="E1274" t="s">
        <v>74</v>
      </c>
      <c r="F1274" t="s">
        <v>23547</v>
      </c>
      <c r="G1274" t="s">
        <v>74</v>
      </c>
      <c r="H1274" t="s">
        <v>74</v>
      </c>
      <c r="I1274" t="s">
        <v>23548</v>
      </c>
      <c r="J1274" t="s">
        <v>1697</v>
      </c>
      <c r="K1274" t="s">
        <v>74</v>
      </c>
      <c r="L1274" t="s">
        <v>74</v>
      </c>
      <c r="M1274" t="s">
        <v>78</v>
      </c>
      <c r="N1274" t="s">
        <v>79</v>
      </c>
      <c r="O1274" t="s">
        <v>74</v>
      </c>
      <c r="P1274" t="s">
        <v>74</v>
      </c>
      <c r="Q1274" t="s">
        <v>74</v>
      </c>
      <c r="R1274" t="s">
        <v>74</v>
      </c>
      <c r="S1274" t="s">
        <v>74</v>
      </c>
      <c r="T1274" t="s">
        <v>23549</v>
      </c>
      <c r="U1274" t="s">
        <v>23550</v>
      </c>
      <c r="V1274" t="s">
        <v>23551</v>
      </c>
      <c r="W1274" t="s">
        <v>23552</v>
      </c>
      <c r="X1274" t="s">
        <v>8679</v>
      </c>
      <c r="Y1274" t="s">
        <v>23553</v>
      </c>
      <c r="Z1274" t="s">
        <v>23554</v>
      </c>
      <c r="AA1274" t="s">
        <v>23555</v>
      </c>
      <c r="AB1274" t="s">
        <v>23556</v>
      </c>
      <c r="AC1274" t="s">
        <v>74</v>
      </c>
      <c r="AD1274" t="s">
        <v>74</v>
      </c>
      <c r="AE1274" t="s">
        <v>74</v>
      </c>
      <c r="AF1274" t="s">
        <v>74</v>
      </c>
      <c r="AG1274">
        <v>67</v>
      </c>
      <c r="AH1274">
        <v>667</v>
      </c>
      <c r="AI1274">
        <v>725</v>
      </c>
      <c r="AJ1274">
        <v>0</v>
      </c>
      <c r="AK1274">
        <v>181</v>
      </c>
      <c r="AL1274" t="s">
        <v>1704</v>
      </c>
      <c r="AM1274" t="s">
        <v>1705</v>
      </c>
      <c r="AN1274" t="s">
        <v>1706</v>
      </c>
      <c r="AO1274" t="s">
        <v>1707</v>
      </c>
      <c r="AP1274" t="s">
        <v>1708</v>
      </c>
      <c r="AQ1274" t="s">
        <v>74</v>
      </c>
      <c r="AR1274" t="s">
        <v>1709</v>
      </c>
      <c r="AS1274" t="s">
        <v>1710</v>
      </c>
      <c r="AT1274" t="s">
        <v>11314</v>
      </c>
      <c r="AU1274">
        <v>2006</v>
      </c>
      <c r="AV1274">
        <v>43</v>
      </c>
      <c r="AW1274">
        <v>2</v>
      </c>
      <c r="AX1274" t="s">
        <v>74</v>
      </c>
      <c r="AY1274" t="s">
        <v>74</v>
      </c>
      <c r="AZ1274" t="s">
        <v>74</v>
      </c>
      <c r="BA1274" t="s">
        <v>74</v>
      </c>
      <c r="BB1274">
        <v>171</v>
      </c>
      <c r="BC1274">
        <v>183</v>
      </c>
      <c r="BD1274" t="s">
        <v>74</v>
      </c>
      <c r="BE1274" t="s">
        <v>23557</v>
      </c>
      <c r="BF1274" t="str">
        <f>HYPERLINK("http://dx.doi.org/10.1682/JRRD.2005.04.0076","http://dx.doi.org/10.1682/JRRD.2005.04.0076")</f>
        <v>http://dx.doi.org/10.1682/JRRD.2005.04.0076</v>
      </c>
      <c r="BG1274" t="s">
        <v>74</v>
      </c>
      <c r="BH1274" t="s">
        <v>74</v>
      </c>
      <c r="BI1274">
        <v>13</v>
      </c>
      <c r="BJ1274" t="s">
        <v>101</v>
      </c>
      <c r="BK1274" t="s">
        <v>102</v>
      </c>
      <c r="BL1274" t="s">
        <v>101</v>
      </c>
      <c r="BM1274" t="s">
        <v>23558</v>
      </c>
      <c r="BN1274">
        <v>16847784</v>
      </c>
      <c r="BO1274" t="s">
        <v>74</v>
      </c>
      <c r="BP1274" t="s">
        <v>74</v>
      </c>
      <c r="BQ1274" t="s">
        <v>74</v>
      </c>
      <c r="BR1274" t="s">
        <v>105</v>
      </c>
      <c r="BS1274" t="s">
        <v>23559</v>
      </c>
      <c r="BT1274" t="str">
        <f>HYPERLINK("https%3A%2F%2Fwww.webofscience.com%2Fwos%2Fwoscc%2Ffull-record%2FWOS:000239548200006","View Full Record in Web of Science")</f>
        <v>View Full Record in Web of Science</v>
      </c>
    </row>
    <row r="1275" spans="1:72" x14ac:dyDescent="0.25">
      <c r="A1275" t="s">
        <v>72</v>
      </c>
      <c r="B1275" t="s">
        <v>23560</v>
      </c>
      <c r="C1275" t="s">
        <v>74</v>
      </c>
      <c r="D1275" t="s">
        <v>74</v>
      </c>
      <c r="E1275" t="s">
        <v>74</v>
      </c>
      <c r="F1275" t="s">
        <v>23561</v>
      </c>
      <c r="G1275" t="s">
        <v>74</v>
      </c>
      <c r="H1275" t="s">
        <v>74</v>
      </c>
      <c r="I1275" t="s">
        <v>23562</v>
      </c>
      <c r="J1275" t="s">
        <v>243</v>
      </c>
      <c r="K1275" t="s">
        <v>74</v>
      </c>
      <c r="L1275" t="s">
        <v>74</v>
      </c>
      <c r="M1275" t="s">
        <v>78</v>
      </c>
      <c r="N1275" t="s">
        <v>79</v>
      </c>
      <c r="O1275" t="s">
        <v>74</v>
      </c>
      <c r="P1275" t="s">
        <v>74</v>
      </c>
      <c r="Q1275" t="s">
        <v>74</v>
      </c>
      <c r="R1275" t="s">
        <v>74</v>
      </c>
      <c r="S1275" t="s">
        <v>74</v>
      </c>
      <c r="T1275" t="s">
        <v>23563</v>
      </c>
      <c r="U1275" t="s">
        <v>23564</v>
      </c>
      <c r="V1275" t="s">
        <v>23565</v>
      </c>
      <c r="W1275" t="s">
        <v>23566</v>
      </c>
      <c r="X1275" t="s">
        <v>23567</v>
      </c>
      <c r="Y1275" t="s">
        <v>23568</v>
      </c>
      <c r="Z1275" t="s">
        <v>23569</v>
      </c>
      <c r="AA1275" t="s">
        <v>74</v>
      </c>
      <c r="AB1275" t="s">
        <v>74</v>
      </c>
      <c r="AC1275" t="s">
        <v>74</v>
      </c>
      <c r="AD1275" t="s">
        <v>74</v>
      </c>
      <c r="AE1275" t="s">
        <v>74</v>
      </c>
      <c r="AF1275" t="s">
        <v>74</v>
      </c>
      <c r="AG1275">
        <v>47</v>
      </c>
      <c r="AH1275">
        <v>27</v>
      </c>
      <c r="AI1275">
        <v>29</v>
      </c>
      <c r="AJ1275">
        <v>0</v>
      </c>
      <c r="AK1275">
        <v>3</v>
      </c>
      <c r="AL1275" t="s">
        <v>253</v>
      </c>
      <c r="AM1275" t="s">
        <v>227</v>
      </c>
      <c r="AN1275" t="s">
        <v>254</v>
      </c>
      <c r="AO1275" t="s">
        <v>255</v>
      </c>
      <c r="AP1275" t="s">
        <v>256</v>
      </c>
      <c r="AQ1275" t="s">
        <v>74</v>
      </c>
      <c r="AR1275" t="s">
        <v>257</v>
      </c>
      <c r="AS1275" t="s">
        <v>258</v>
      </c>
      <c r="AT1275" t="s">
        <v>74</v>
      </c>
      <c r="AU1275">
        <v>2006</v>
      </c>
      <c r="AV1275">
        <v>1</v>
      </c>
      <c r="AW1275" t="s">
        <v>13829</v>
      </c>
      <c r="AX1275" t="s">
        <v>74</v>
      </c>
      <c r="AY1275" t="s">
        <v>74</v>
      </c>
      <c r="AZ1275" t="s">
        <v>74</v>
      </c>
      <c r="BA1275" t="s">
        <v>74</v>
      </c>
      <c r="BB1275">
        <v>119</v>
      </c>
      <c r="BC1275">
        <v>127</v>
      </c>
      <c r="BD1275" t="s">
        <v>74</v>
      </c>
      <c r="BE1275" t="s">
        <v>23570</v>
      </c>
      <c r="BF1275" t="str">
        <f>HYPERLINK("http://dx.doi.org/10.1080/09638280500167605","http://dx.doi.org/10.1080/09638280500167605")</f>
        <v>http://dx.doi.org/10.1080/09638280500167605</v>
      </c>
      <c r="BG1275" t="s">
        <v>74</v>
      </c>
      <c r="BH1275" t="s">
        <v>74</v>
      </c>
      <c r="BI1275">
        <v>9</v>
      </c>
      <c r="BJ1275" t="s">
        <v>101</v>
      </c>
      <c r="BK1275" t="s">
        <v>155</v>
      </c>
      <c r="BL1275" t="s">
        <v>101</v>
      </c>
      <c r="BM1275" t="s">
        <v>23571</v>
      </c>
      <c r="BN1275">
        <v>19256175</v>
      </c>
      <c r="BO1275" t="s">
        <v>74</v>
      </c>
      <c r="BP1275" t="s">
        <v>74</v>
      </c>
      <c r="BQ1275" t="s">
        <v>74</v>
      </c>
      <c r="BR1275" t="s">
        <v>105</v>
      </c>
      <c r="BS1275" t="s">
        <v>23572</v>
      </c>
      <c r="BT1275" t="str">
        <f>HYPERLINK("https%3A%2F%2Fwww.webofscience.com%2Fwos%2Fwoscc%2Ffull-record%2FWOS:000213917600014","View Full Record in Web of Science")</f>
        <v>View Full Record in Web of Science</v>
      </c>
    </row>
    <row r="1276" spans="1:72" x14ac:dyDescent="0.25">
      <c r="A1276" t="s">
        <v>72</v>
      </c>
      <c r="B1276" t="s">
        <v>23573</v>
      </c>
      <c r="C1276" t="s">
        <v>74</v>
      </c>
      <c r="D1276" t="s">
        <v>74</v>
      </c>
      <c r="E1276" t="s">
        <v>74</v>
      </c>
      <c r="F1276" t="s">
        <v>23573</v>
      </c>
      <c r="G1276" t="s">
        <v>74</v>
      </c>
      <c r="H1276" t="s">
        <v>74</v>
      </c>
      <c r="I1276" t="s">
        <v>23574</v>
      </c>
      <c r="J1276" t="s">
        <v>3468</v>
      </c>
      <c r="K1276" t="s">
        <v>74</v>
      </c>
      <c r="L1276" t="s">
        <v>74</v>
      </c>
      <c r="M1276" t="s">
        <v>78</v>
      </c>
      <c r="N1276" t="s">
        <v>79</v>
      </c>
      <c r="O1276" t="s">
        <v>74</v>
      </c>
      <c r="P1276" t="s">
        <v>74</v>
      </c>
      <c r="Q1276" t="s">
        <v>74</v>
      </c>
      <c r="R1276" t="s">
        <v>74</v>
      </c>
      <c r="S1276" t="s">
        <v>74</v>
      </c>
      <c r="T1276" t="s">
        <v>23575</v>
      </c>
      <c r="U1276" t="s">
        <v>23576</v>
      </c>
      <c r="V1276" t="s">
        <v>23577</v>
      </c>
      <c r="W1276" t="s">
        <v>23578</v>
      </c>
      <c r="X1276" t="s">
        <v>23579</v>
      </c>
      <c r="Y1276" t="s">
        <v>23580</v>
      </c>
      <c r="Z1276" t="s">
        <v>23581</v>
      </c>
      <c r="AA1276" t="s">
        <v>74</v>
      </c>
      <c r="AB1276" t="s">
        <v>23582</v>
      </c>
      <c r="AC1276" t="s">
        <v>23583</v>
      </c>
      <c r="AD1276" t="s">
        <v>23584</v>
      </c>
      <c r="AE1276" t="s">
        <v>74</v>
      </c>
      <c r="AF1276" t="s">
        <v>74</v>
      </c>
      <c r="AG1276">
        <v>99</v>
      </c>
      <c r="AH1276">
        <v>31</v>
      </c>
      <c r="AI1276">
        <v>33</v>
      </c>
      <c r="AJ1276">
        <v>0</v>
      </c>
      <c r="AK1276">
        <v>6</v>
      </c>
      <c r="AL1276" t="s">
        <v>531</v>
      </c>
      <c r="AM1276" t="s">
        <v>532</v>
      </c>
      <c r="AN1276" t="s">
        <v>533</v>
      </c>
      <c r="AO1276" t="s">
        <v>3479</v>
      </c>
      <c r="AP1276" t="s">
        <v>3480</v>
      </c>
      <c r="AQ1276" t="s">
        <v>74</v>
      </c>
      <c r="AR1276" t="s">
        <v>3481</v>
      </c>
      <c r="AS1276" t="s">
        <v>3482</v>
      </c>
      <c r="AT1276" t="s">
        <v>538</v>
      </c>
      <c r="AU1276">
        <v>2006</v>
      </c>
      <c r="AV1276">
        <v>21</v>
      </c>
      <c r="AW1276">
        <v>1</v>
      </c>
      <c r="AX1276" t="s">
        <v>74</v>
      </c>
      <c r="AY1276" t="s">
        <v>74</v>
      </c>
      <c r="AZ1276" t="s">
        <v>74</v>
      </c>
      <c r="BA1276" t="s">
        <v>74</v>
      </c>
      <c r="BB1276">
        <v>8</v>
      </c>
      <c r="BC1276">
        <v>20</v>
      </c>
      <c r="BD1276" t="s">
        <v>74</v>
      </c>
      <c r="BE1276" t="s">
        <v>23585</v>
      </c>
      <c r="BF1276" t="str">
        <f>HYPERLINK("http://dx.doi.org/10.1016/j.clinbiomech.2005.08.006","http://dx.doi.org/10.1016/j.clinbiomech.2005.08.006")</f>
        <v>http://dx.doi.org/10.1016/j.clinbiomech.2005.08.006</v>
      </c>
      <c r="BG1276" t="s">
        <v>74</v>
      </c>
      <c r="BH1276" t="s">
        <v>74</v>
      </c>
      <c r="BI1276">
        <v>13</v>
      </c>
      <c r="BJ1276" t="s">
        <v>3484</v>
      </c>
      <c r="BK1276" t="s">
        <v>102</v>
      </c>
      <c r="BL1276" t="s">
        <v>3485</v>
      </c>
      <c r="BM1276" t="s">
        <v>23586</v>
      </c>
      <c r="BN1276">
        <v>16198463</v>
      </c>
      <c r="BO1276" t="s">
        <v>74</v>
      </c>
      <c r="BP1276" t="s">
        <v>74</v>
      </c>
      <c r="BQ1276" t="s">
        <v>74</v>
      </c>
      <c r="BR1276" t="s">
        <v>105</v>
      </c>
      <c r="BS1276" t="s">
        <v>23587</v>
      </c>
      <c r="BT1276" t="str">
        <f>HYPERLINK("https%3A%2F%2Fwww.webofscience.com%2Fwos%2Fwoscc%2Ffull-record%2FWOS:000234009000002","View Full Record in Web of Science")</f>
        <v>View Full Record in Web of Science</v>
      </c>
    </row>
    <row r="1277" spans="1:72" x14ac:dyDescent="0.25">
      <c r="A1277" t="s">
        <v>72</v>
      </c>
      <c r="B1277" t="s">
        <v>23278</v>
      </c>
      <c r="C1277" t="s">
        <v>74</v>
      </c>
      <c r="D1277" t="s">
        <v>74</v>
      </c>
      <c r="E1277" t="s">
        <v>74</v>
      </c>
      <c r="F1277" t="s">
        <v>23278</v>
      </c>
      <c r="G1277" t="s">
        <v>74</v>
      </c>
      <c r="H1277" t="s">
        <v>74</v>
      </c>
      <c r="I1277" t="s">
        <v>23588</v>
      </c>
      <c r="J1277" t="s">
        <v>4494</v>
      </c>
      <c r="K1277" t="s">
        <v>74</v>
      </c>
      <c r="L1277" t="s">
        <v>74</v>
      </c>
      <c r="M1277" t="s">
        <v>78</v>
      </c>
      <c r="N1277" t="s">
        <v>79</v>
      </c>
      <c r="O1277" t="s">
        <v>74</v>
      </c>
      <c r="P1277" t="s">
        <v>74</v>
      </c>
      <c r="Q1277" t="s">
        <v>74</v>
      </c>
      <c r="R1277" t="s">
        <v>74</v>
      </c>
      <c r="S1277" t="s">
        <v>74</v>
      </c>
      <c r="T1277" t="s">
        <v>74</v>
      </c>
      <c r="U1277" t="s">
        <v>23589</v>
      </c>
      <c r="V1277" t="s">
        <v>23590</v>
      </c>
      <c r="W1277" t="s">
        <v>23591</v>
      </c>
      <c r="X1277" t="s">
        <v>23592</v>
      </c>
      <c r="Y1277" t="s">
        <v>23593</v>
      </c>
      <c r="Z1277" t="s">
        <v>23288</v>
      </c>
      <c r="AA1277" t="s">
        <v>74</v>
      </c>
      <c r="AB1277" t="s">
        <v>74</v>
      </c>
      <c r="AC1277" t="s">
        <v>23594</v>
      </c>
      <c r="AD1277" t="s">
        <v>22863</v>
      </c>
      <c r="AE1277" t="s">
        <v>74</v>
      </c>
      <c r="AF1277" t="s">
        <v>74</v>
      </c>
      <c r="AG1277">
        <v>143</v>
      </c>
      <c r="AH1277">
        <v>494</v>
      </c>
      <c r="AI1277">
        <v>579</v>
      </c>
      <c r="AJ1277">
        <v>3</v>
      </c>
      <c r="AK1277">
        <v>118</v>
      </c>
      <c r="AL1277" t="s">
        <v>3675</v>
      </c>
      <c r="AM1277" t="s">
        <v>173</v>
      </c>
      <c r="AN1277" t="s">
        <v>3676</v>
      </c>
      <c r="AO1277" t="s">
        <v>4504</v>
      </c>
      <c r="AP1277" t="s">
        <v>4505</v>
      </c>
      <c r="AQ1277" t="s">
        <v>74</v>
      </c>
      <c r="AR1277" t="s">
        <v>4506</v>
      </c>
      <c r="AS1277" t="s">
        <v>4507</v>
      </c>
      <c r="AT1277" t="s">
        <v>420</v>
      </c>
      <c r="AU1277">
        <v>2004</v>
      </c>
      <c r="AV1277">
        <v>3</v>
      </c>
      <c r="AW1277">
        <v>9</v>
      </c>
      <c r="AX1277" t="s">
        <v>74</v>
      </c>
      <c r="AY1277" t="s">
        <v>74</v>
      </c>
      <c r="AZ1277" t="s">
        <v>74</v>
      </c>
      <c r="BA1277" t="s">
        <v>74</v>
      </c>
      <c r="BB1277">
        <v>528</v>
      </c>
      <c r="BC1277">
        <v>536</v>
      </c>
      <c r="BD1277" t="s">
        <v>74</v>
      </c>
      <c r="BE1277" t="s">
        <v>23595</v>
      </c>
      <c r="BF1277" t="str">
        <f>HYPERLINK("http://dx.doi.org/10.1016/S1474-4422(04)00851-8","http://dx.doi.org/10.1016/S1474-4422(04)00851-8")</f>
        <v>http://dx.doi.org/10.1016/S1474-4422(04)00851-8</v>
      </c>
      <c r="BG1277" t="s">
        <v>74</v>
      </c>
      <c r="BH1277" t="s">
        <v>74</v>
      </c>
      <c r="BI1277">
        <v>9</v>
      </c>
      <c r="BJ1277" t="s">
        <v>541</v>
      </c>
      <c r="BK1277" t="s">
        <v>182</v>
      </c>
      <c r="BL1277" t="s">
        <v>375</v>
      </c>
      <c r="BM1277" t="s">
        <v>23596</v>
      </c>
      <c r="BN1277">
        <v>15324721</v>
      </c>
      <c r="BO1277" t="s">
        <v>3048</v>
      </c>
      <c r="BP1277" t="s">
        <v>74</v>
      </c>
      <c r="BQ1277" t="s">
        <v>74</v>
      </c>
      <c r="BR1277" t="s">
        <v>105</v>
      </c>
      <c r="BS1277" t="s">
        <v>23597</v>
      </c>
      <c r="BT1277" t="str">
        <f>HYPERLINK("https%3A%2F%2Fwww.webofscience.com%2Fwos%2Fwoscc%2Ffull-record%2FWOS:000223568300017","View Full Record in Web of Science")</f>
        <v>View Full Record in Web of Science</v>
      </c>
    </row>
    <row r="1278" spans="1:72" x14ac:dyDescent="0.25">
      <c r="A1278" t="s">
        <v>72</v>
      </c>
      <c r="B1278" t="s">
        <v>23598</v>
      </c>
      <c r="C1278" t="s">
        <v>74</v>
      </c>
      <c r="D1278" t="s">
        <v>74</v>
      </c>
      <c r="E1278" t="s">
        <v>74</v>
      </c>
      <c r="F1278" t="s">
        <v>23598</v>
      </c>
      <c r="G1278" t="s">
        <v>74</v>
      </c>
      <c r="H1278" t="s">
        <v>74</v>
      </c>
      <c r="I1278" t="s">
        <v>23599</v>
      </c>
      <c r="J1278" t="s">
        <v>23600</v>
      </c>
      <c r="K1278" t="s">
        <v>74</v>
      </c>
      <c r="L1278" t="s">
        <v>74</v>
      </c>
      <c r="M1278" t="s">
        <v>78</v>
      </c>
      <c r="N1278" t="s">
        <v>79</v>
      </c>
      <c r="O1278" t="s">
        <v>74</v>
      </c>
      <c r="P1278" t="s">
        <v>74</v>
      </c>
      <c r="Q1278" t="s">
        <v>74</v>
      </c>
      <c r="R1278" t="s">
        <v>74</v>
      </c>
      <c r="S1278" t="s">
        <v>74</v>
      </c>
      <c r="T1278" t="s">
        <v>23601</v>
      </c>
      <c r="U1278" t="s">
        <v>23602</v>
      </c>
      <c r="V1278" t="s">
        <v>23603</v>
      </c>
      <c r="W1278" t="s">
        <v>23604</v>
      </c>
      <c r="X1278" t="s">
        <v>3058</v>
      </c>
      <c r="Y1278" t="s">
        <v>23605</v>
      </c>
      <c r="Z1278" t="s">
        <v>74</v>
      </c>
      <c r="AA1278" t="s">
        <v>23606</v>
      </c>
      <c r="AB1278" t="s">
        <v>23607</v>
      </c>
      <c r="AC1278" t="s">
        <v>23608</v>
      </c>
      <c r="AD1278" t="s">
        <v>23609</v>
      </c>
      <c r="AE1278" t="s">
        <v>74</v>
      </c>
      <c r="AF1278" t="s">
        <v>74</v>
      </c>
      <c r="AG1278">
        <v>103</v>
      </c>
      <c r="AH1278">
        <v>14</v>
      </c>
      <c r="AI1278">
        <v>21</v>
      </c>
      <c r="AJ1278">
        <v>0</v>
      </c>
      <c r="AK1278">
        <v>33</v>
      </c>
      <c r="AL1278" t="s">
        <v>23610</v>
      </c>
      <c r="AM1278" t="s">
        <v>23611</v>
      </c>
      <c r="AN1278" t="s">
        <v>23612</v>
      </c>
      <c r="AO1278" t="s">
        <v>23613</v>
      </c>
      <c r="AP1278" t="s">
        <v>74</v>
      </c>
      <c r="AQ1278" t="s">
        <v>74</v>
      </c>
      <c r="AR1278" t="s">
        <v>23614</v>
      </c>
      <c r="AS1278" t="s">
        <v>23615</v>
      </c>
      <c r="AT1278" t="s">
        <v>1070</v>
      </c>
      <c r="AU1278">
        <v>2004</v>
      </c>
      <c r="AV1278">
        <v>2</v>
      </c>
      <c r="AW1278">
        <v>3</v>
      </c>
      <c r="AX1278" t="s">
        <v>74</v>
      </c>
      <c r="AY1278" t="s">
        <v>74</v>
      </c>
      <c r="AZ1278" t="s">
        <v>74</v>
      </c>
      <c r="BA1278" t="s">
        <v>74</v>
      </c>
      <c r="BB1278">
        <v>125</v>
      </c>
      <c r="BC1278">
        <v>136</v>
      </c>
      <c r="BD1278" t="s">
        <v>74</v>
      </c>
      <c r="BE1278" t="s">
        <v>23616</v>
      </c>
      <c r="BF1278" t="str">
        <f>HYPERLINK("http://dx.doi.org/10.1016/S1479-666X(04)80072-6","http://dx.doi.org/10.1016/S1479-666X(04)80072-6")</f>
        <v>http://dx.doi.org/10.1016/S1479-666X(04)80072-6</v>
      </c>
      <c r="BG1278" t="s">
        <v>74</v>
      </c>
      <c r="BH1278" t="s">
        <v>74</v>
      </c>
      <c r="BI1278">
        <v>12</v>
      </c>
      <c r="BJ1278" t="s">
        <v>4896</v>
      </c>
      <c r="BK1278" t="s">
        <v>182</v>
      </c>
      <c r="BL1278" t="s">
        <v>4896</v>
      </c>
      <c r="BM1278" t="s">
        <v>23617</v>
      </c>
      <c r="BN1278">
        <v>15570813</v>
      </c>
      <c r="BO1278" t="s">
        <v>74</v>
      </c>
      <c r="BP1278" t="s">
        <v>74</v>
      </c>
      <c r="BQ1278" t="s">
        <v>74</v>
      </c>
      <c r="BR1278" t="s">
        <v>105</v>
      </c>
      <c r="BS1278" t="s">
        <v>23618</v>
      </c>
      <c r="BT1278" t="str">
        <f>HYPERLINK("https%3A%2F%2Fwww.webofscience.com%2Fwos%2Fwoscc%2Ffull-record%2FWOS:000222269300001","View Full Record in Web of Science")</f>
        <v>View Full Record in Web of Science</v>
      </c>
    </row>
    <row r="1279" spans="1:72" x14ac:dyDescent="0.25">
      <c r="A1279" t="s">
        <v>72</v>
      </c>
      <c r="B1279" t="s">
        <v>23619</v>
      </c>
      <c r="C1279" t="s">
        <v>74</v>
      </c>
      <c r="D1279" t="s">
        <v>74</v>
      </c>
      <c r="E1279" t="s">
        <v>74</v>
      </c>
      <c r="F1279" t="s">
        <v>23619</v>
      </c>
      <c r="G1279" t="s">
        <v>74</v>
      </c>
      <c r="H1279" t="s">
        <v>74</v>
      </c>
      <c r="I1279" t="s">
        <v>23620</v>
      </c>
      <c r="J1279" t="s">
        <v>9462</v>
      </c>
      <c r="K1279" t="s">
        <v>74</v>
      </c>
      <c r="L1279" t="s">
        <v>74</v>
      </c>
      <c r="M1279" t="s">
        <v>78</v>
      </c>
      <c r="N1279" t="s">
        <v>79</v>
      </c>
      <c r="O1279" t="s">
        <v>74</v>
      </c>
      <c r="P1279" t="s">
        <v>74</v>
      </c>
      <c r="Q1279" t="s">
        <v>74</v>
      </c>
      <c r="R1279" t="s">
        <v>74</v>
      </c>
      <c r="S1279" t="s">
        <v>74</v>
      </c>
      <c r="T1279" t="s">
        <v>23621</v>
      </c>
      <c r="U1279" t="s">
        <v>23622</v>
      </c>
      <c r="V1279" t="s">
        <v>23623</v>
      </c>
      <c r="W1279" t="s">
        <v>23624</v>
      </c>
      <c r="X1279" t="s">
        <v>19695</v>
      </c>
      <c r="Y1279" t="s">
        <v>23625</v>
      </c>
      <c r="Z1279" t="s">
        <v>23626</v>
      </c>
      <c r="AA1279" t="s">
        <v>74</v>
      </c>
      <c r="AB1279" t="s">
        <v>74</v>
      </c>
      <c r="AC1279" t="s">
        <v>74</v>
      </c>
      <c r="AD1279" t="s">
        <v>74</v>
      </c>
      <c r="AE1279" t="s">
        <v>74</v>
      </c>
      <c r="AF1279" t="s">
        <v>74</v>
      </c>
      <c r="AG1279">
        <v>128</v>
      </c>
      <c r="AH1279">
        <v>284</v>
      </c>
      <c r="AI1279">
        <v>340</v>
      </c>
      <c r="AJ1279">
        <v>2</v>
      </c>
      <c r="AK1279">
        <v>81</v>
      </c>
      <c r="AL1279" t="s">
        <v>4437</v>
      </c>
      <c r="AM1279" t="s">
        <v>4438</v>
      </c>
      <c r="AN1279" t="s">
        <v>4439</v>
      </c>
      <c r="AO1279" t="s">
        <v>9471</v>
      </c>
      <c r="AP1279" t="s">
        <v>9472</v>
      </c>
      <c r="AQ1279" t="s">
        <v>74</v>
      </c>
      <c r="AR1279" t="s">
        <v>9473</v>
      </c>
      <c r="AS1279" t="s">
        <v>9474</v>
      </c>
      <c r="AT1279" t="s">
        <v>74</v>
      </c>
      <c r="AU1279">
        <v>2004</v>
      </c>
      <c r="AV1279">
        <v>6</v>
      </c>
      <c r="AW1279" t="s">
        <v>74</v>
      </c>
      <c r="AX1279" t="s">
        <v>74</v>
      </c>
      <c r="AY1279" t="s">
        <v>74</v>
      </c>
      <c r="AZ1279" t="s">
        <v>74</v>
      </c>
      <c r="BA1279" t="s">
        <v>74</v>
      </c>
      <c r="BB1279">
        <v>497</v>
      </c>
      <c r="BC1279">
        <v>525</v>
      </c>
      <c r="BD1279" t="s">
        <v>74</v>
      </c>
      <c r="BE1279" t="s">
        <v>23627</v>
      </c>
      <c r="BF1279" t="str">
        <f>HYPERLINK("http://dx.doi.org/10.1146/annurev.bioeng.6.040803.140223","http://dx.doi.org/10.1146/annurev.bioeng.6.040803.140223")</f>
        <v>http://dx.doi.org/10.1146/annurev.bioeng.6.040803.140223</v>
      </c>
      <c r="BG1279" t="s">
        <v>74</v>
      </c>
      <c r="BH1279" t="s">
        <v>74</v>
      </c>
      <c r="BI1279">
        <v>31</v>
      </c>
      <c r="BJ1279" t="s">
        <v>282</v>
      </c>
      <c r="BK1279" t="s">
        <v>182</v>
      </c>
      <c r="BL1279" t="s">
        <v>183</v>
      </c>
      <c r="BM1279" t="s">
        <v>23628</v>
      </c>
      <c r="BN1279">
        <v>15255778</v>
      </c>
      <c r="BO1279" t="s">
        <v>74</v>
      </c>
      <c r="BP1279" t="s">
        <v>74</v>
      </c>
      <c r="BQ1279" t="s">
        <v>74</v>
      </c>
      <c r="BR1279" t="s">
        <v>105</v>
      </c>
      <c r="BS1279" t="s">
        <v>23629</v>
      </c>
      <c r="BT1279" t="str">
        <f>HYPERLINK("https%3A%2F%2Fwww.webofscience.com%2Fwos%2Fwoscc%2Ffull-record%2FWOS:000223795500019","View Full Record in Web of Science")</f>
        <v>View Full Record in Web of Science</v>
      </c>
    </row>
    <row r="1280" spans="1:72" x14ac:dyDescent="0.25">
      <c r="A1280" t="s">
        <v>72</v>
      </c>
      <c r="B1280" t="s">
        <v>23630</v>
      </c>
      <c r="C1280" t="s">
        <v>74</v>
      </c>
      <c r="D1280" t="s">
        <v>74</v>
      </c>
      <c r="E1280" t="s">
        <v>74</v>
      </c>
      <c r="F1280" t="s">
        <v>23630</v>
      </c>
      <c r="G1280" t="s">
        <v>74</v>
      </c>
      <c r="H1280" t="s">
        <v>74</v>
      </c>
      <c r="I1280" t="s">
        <v>23631</v>
      </c>
      <c r="J1280" t="s">
        <v>77</v>
      </c>
      <c r="K1280" t="s">
        <v>74</v>
      </c>
      <c r="L1280" t="s">
        <v>74</v>
      </c>
      <c r="M1280" t="s">
        <v>78</v>
      </c>
      <c r="N1280" t="s">
        <v>79</v>
      </c>
      <c r="O1280" t="s">
        <v>74</v>
      </c>
      <c r="P1280" t="s">
        <v>74</v>
      </c>
      <c r="Q1280" t="s">
        <v>74</v>
      </c>
      <c r="R1280" t="s">
        <v>74</v>
      </c>
      <c r="S1280" t="s">
        <v>74</v>
      </c>
      <c r="T1280" t="s">
        <v>74</v>
      </c>
      <c r="U1280" t="s">
        <v>23632</v>
      </c>
      <c r="V1280" t="s">
        <v>23633</v>
      </c>
      <c r="W1280" t="s">
        <v>23634</v>
      </c>
      <c r="X1280" t="s">
        <v>23635</v>
      </c>
      <c r="Y1280" t="s">
        <v>23636</v>
      </c>
      <c r="Z1280" t="s">
        <v>74</v>
      </c>
      <c r="AA1280" t="s">
        <v>74</v>
      </c>
      <c r="AB1280" t="s">
        <v>23637</v>
      </c>
      <c r="AC1280" t="s">
        <v>74</v>
      </c>
      <c r="AD1280" t="s">
        <v>74</v>
      </c>
      <c r="AE1280" t="s">
        <v>74</v>
      </c>
      <c r="AF1280" t="s">
        <v>74</v>
      </c>
      <c r="AG1280">
        <v>63</v>
      </c>
      <c r="AH1280">
        <v>17</v>
      </c>
      <c r="AI1280">
        <v>18</v>
      </c>
      <c r="AJ1280">
        <v>0</v>
      </c>
      <c r="AK1280">
        <v>9</v>
      </c>
      <c r="AL1280" t="s">
        <v>92</v>
      </c>
      <c r="AM1280" t="s">
        <v>275</v>
      </c>
      <c r="AN1280" t="s">
        <v>23638</v>
      </c>
      <c r="AO1280" t="s">
        <v>95</v>
      </c>
      <c r="AP1280" t="s">
        <v>74</v>
      </c>
      <c r="AQ1280" t="s">
        <v>74</v>
      </c>
      <c r="AR1280" t="s">
        <v>97</v>
      </c>
      <c r="AS1280" t="s">
        <v>98</v>
      </c>
      <c r="AT1280" t="s">
        <v>21607</v>
      </c>
      <c r="AU1280">
        <v>2001</v>
      </c>
      <c r="AV1280">
        <v>23</v>
      </c>
      <c r="AW1280">
        <v>12</v>
      </c>
      <c r="AX1280" t="s">
        <v>74</v>
      </c>
      <c r="AY1280" t="s">
        <v>74</v>
      </c>
      <c r="AZ1280" t="s">
        <v>74</v>
      </c>
      <c r="BA1280" t="s">
        <v>74</v>
      </c>
      <c r="BB1280">
        <v>501</v>
      </c>
      <c r="BC1280">
        <v>508</v>
      </c>
      <c r="BD1280" t="s">
        <v>74</v>
      </c>
      <c r="BE1280" t="s">
        <v>74</v>
      </c>
      <c r="BF1280" t="s">
        <v>74</v>
      </c>
      <c r="BG1280" t="s">
        <v>74</v>
      </c>
      <c r="BH1280" t="s">
        <v>74</v>
      </c>
      <c r="BI1280">
        <v>8</v>
      </c>
      <c r="BJ1280" t="s">
        <v>101</v>
      </c>
      <c r="BK1280" t="s">
        <v>102</v>
      </c>
      <c r="BL1280" t="s">
        <v>101</v>
      </c>
      <c r="BM1280" t="s">
        <v>23639</v>
      </c>
      <c r="BN1280">
        <v>11432646</v>
      </c>
      <c r="BO1280" t="s">
        <v>74</v>
      </c>
      <c r="BP1280" t="s">
        <v>74</v>
      </c>
      <c r="BQ1280" t="s">
        <v>74</v>
      </c>
      <c r="BR1280" t="s">
        <v>105</v>
      </c>
      <c r="BS1280" t="s">
        <v>23640</v>
      </c>
      <c r="BT1280" t="str">
        <f>HYPERLINK("https%3A%2F%2Fwww.webofscience.com%2Fwos%2Fwoscc%2Ffull-record%2FWOS:000169544000001","View Full Record in Web of Science")</f>
        <v>View Full Record in Web of Science</v>
      </c>
    </row>
    <row r="1281" spans="1:72" x14ac:dyDescent="0.25">
      <c r="A1281" t="s">
        <v>72</v>
      </c>
      <c r="B1281" t="s">
        <v>23641</v>
      </c>
      <c r="C1281" t="s">
        <v>74</v>
      </c>
      <c r="D1281" t="s">
        <v>74</v>
      </c>
      <c r="E1281" t="s">
        <v>74</v>
      </c>
      <c r="F1281" t="s">
        <v>23641</v>
      </c>
      <c r="G1281" t="s">
        <v>74</v>
      </c>
      <c r="H1281" t="s">
        <v>74</v>
      </c>
      <c r="I1281" t="s">
        <v>23642</v>
      </c>
      <c r="J1281" t="s">
        <v>23643</v>
      </c>
      <c r="K1281" t="s">
        <v>74</v>
      </c>
      <c r="L1281" t="s">
        <v>74</v>
      </c>
      <c r="M1281" t="s">
        <v>78</v>
      </c>
      <c r="N1281" t="s">
        <v>79</v>
      </c>
      <c r="O1281" t="s">
        <v>74</v>
      </c>
      <c r="P1281" t="s">
        <v>74</v>
      </c>
      <c r="Q1281" t="s">
        <v>74</v>
      </c>
      <c r="R1281" t="s">
        <v>74</v>
      </c>
      <c r="S1281" t="s">
        <v>74</v>
      </c>
      <c r="T1281" t="s">
        <v>74</v>
      </c>
      <c r="U1281" t="s">
        <v>23644</v>
      </c>
      <c r="V1281" t="s">
        <v>23645</v>
      </c>
      <c r="W1281" t="s">
        <v>23646</v>
      </c>
      <c r="X1281" t="s">
        <v>23647</v>
      </c>
      <c r="Y1281" t="s">
        <v>23648</v>
      </c>
      <c r="Z1281" t="s">
        <v>74</v>
      </c>
      <c r="AA1281" t="s">
        <v>74</v>
      </c>
      <c r="AB1281" t="s">
        <v>74</v>
      </c>
      <c r="AC1281" t="s">
        <v>74</v>
      </c>
      <c r="AD1281" t="s">
        <v>74</v>
      </c>
      <c r="AE1281" t="s">
        <v>74</v>
      </c>
      <c r="AF1281" t="s">
        <v>74</v>
      </c>
      <c r="AG1281">
        <v>26</v>
      </c>
      <c r="AH1281">
        <v>298</v>
      </c>
      <c r="AI1281">
        <v>361</v>
      </c>
      <c r="AJ1281">
        <v>0</v>
      </c>
      <c r="AK1281">
        <v>21</v>
      </c>
      <c r="AL1281" t="s">
        <v>6443</v>
      </c>
      <c r="AM1281" t="s">
        <v>23649</v>
      </c>
      <c r="AN1281" t="s">
        <v>23650</v>
      </c>
      <c r="AO1281" t="s">
        <v>23651</v>
      </c>
      <c r="AP1281" t="s">
        <v>74</v>
      </c>
      <c r="AQ1281" t="s">
        <v>74</v>
      </c>
      <c r="AR1281" t="s">
        <v>23652</v>
      </c>
      <c r="AS1281" t="s">
        <v>23653</v>
      </c>
      <c r="AT1281" t="s">
        <v>23654</v>
      </c>
      <c r="AU1281">
        <v>2001</v>
      </c>
      <c r="AV1281">
        <v>533</v>
      </c>
      <c r="AW1281">
        <v>1</v>
      </c>
      <c r="AX1281" t="s">
        <v>74</v>
      </c>
      <c r="AY1281" t="s">
        <v>74</v>
      </c>
      <c r="AZ1281" t="s">
        <v>74</v>
      </c>
      <c r="BA1281" t="s">
        <v>74</v>
      </c>
      <c r="BB1281">
        <v>15</v>
      </c>
      <c r="BC1281">
        <v>22</v>
      </c>
      <c r="BD1281" t="s">
        <v>74</v>
      </c>
      <c r="BE1281" t="s">
        <v>23655</v>
      </c>
      <c r="BF1281" t="str">
        <f>HYPERLINK("http://dx.doi.org/10.1111/j.1469-7793.2001.0015b.x","http://dx.doi.org/10.1111/j.1469-7793.2001.0015b.x")</f>
        <v>http://dx.doi.org/10.1111/j.1469-7793.2001.0015b.x</v>
      </c>
      <c r="BG1281" t="s">
        <v>74</v>
      </c>
      <c r="BH1281" t="s">
        <v>74</v>
      </c>
      <c r="BI1281">
        <v>8</v>
      </c>
      <c r="BJ1281" t="s">
        <v>20235</v>
      </c>
      <c r="BK1281" t="s">
        <v>182</v>
      </c>
      <c r="BL1281" t="s">
        <v>20236</v>
      </c>
      <c r="BM1281" t="s">
        <v>23656</v>
      </c>
      <c r="BN1281">
        <v>11351008</v>
      </c>
      <c r="BO1281" t="s">
        <v>2246</v>
      </c>
      <c r="BP1281" t="s">
        <v>74</v>
      </c>
      <c r="BQ1281" t="s">
        <v>74</v>
      </c>
      <c r="BR1281" t="s">
        <v>105</v>
      </c>
      <c r="BS1281" t="s">
        <v>23657</v>
      </c>
      <c r="BT1281" t="str">
        <f>HYPERLINK("https%3A%2F%2Fwww.webofscience.com%2Fwos%2Fwoscc%2Ffull-record%2FWOS:000168756800004","View Full Record in Web of Science")</f>
        <v>View Full Record in Web of Science</v>
      </c>
    </row>
    <row r="1282" spans="1:72" x14ac:dyDescent="0.25">
      <c r="A1282" t="s">
        <v>72</v>
      </c>
      <c r="B1282" t="s">
        <v>23658</v>
      </c>
      <c r="C1282" t="s">
        <v>74</v>
      </c>
      <c r="D1282" t="s">
        <v>74</v>
      </c>
      <c r="E1282" t="s">
        <v>74</v>
      </c>
      <c r="F1282" t="s">
        <v>23658</v>
      </c>
      <c r="G1282" t="s">
        <v>74</v>
      </c>
      <c r="H1282" t="s">
        <v>74</v>
      </c>
      <c r="I1282" t="s">
        <v>23659</v>
      </c>
      <c r="J1282" t="s">
        <v>22511</v>
      </c>
      <c r="K1282" t="s">
        <v>74</v>
      </c>
      <c r="L1282" t="s">
        <v>74</v>
      </c>
      <c r="M1282" t="s">
        <v>78</v>
      </c>
      <c r="N1282" t="s">
        <v>79</v>
      </c>
      <c r="O1282" t="s">
        <v>74</v>
      </c>
      <c r="P1282" t="s">
        <v>74</v>
      </c>
      <c r="Q1282" t="s">
        <v>74</v>
      </c>
      <c r="R1282" t="s">
        <v>74</v>
      </c>
      <c r="S1282" t="s">
        <v>74</v>
      </c>
      <c r="T1282" t="s">
        <v>23660</v>
      </c>
      <c r="U1282" t="s">
        <v>23661</v>
      </c>
      <c r="V1282" t="s">
        <v>23662</v>
      </c>
      <c r="W1282" t="s">
        <v>23663</v>
      </c>
      <c r="X1282" t="s">
        <v>23664</v>
      </c>
      <c r="Y1282" t="s">
        <v>23665</v>
      </c>
      <c r="Z1282" t="s">
        <v>74</v>
      </c>
      <c r="AA1282" t="s">
        <v>74</v>
      </c>
      <c r="AB1282" t="s">
        <v>74</v>
      </c>
      <c r="AC1282" t="s">
        <v>74</v>
      </c>
      <c r="AD1282" t="s">
        <v>74</v>
      </c>
      <c r="AE1282" t="s">
        <v>74</v>
      </c>
      <c r="AF1282" t="s">
        <v>74</v>
      </c>
      <c r="AG1282">
        <v>190</v>
      </c>
      <c r="AH1282">
        <v>90</v>
      </c>
      <c r="AI1282">
        <v>107</v>
      </c>
      <c r="AJ1282">
        <v>3</v>
      </c>
      <c r="AK1282">
        <v>42</v>
      </c>
      <c r="AL1282" t="s">
        <v>92</v>
      </c>
      <c r="AM1282" t="s">
        <v>93</v>
      </c>
      <c r="AN1282" t="s">
        <v>94</v>
      </c>
      <c r="AO1282" t="s">
        <v>22519</v>
      </c>
      <c r="AP1282" t="s">
        <v>22520</v>
      </c>
      <c r="AQ1282" t="s">
        <v>74</v>
      </c>
      <c r="AR1282" t="s">
        <v>22521</v>
      </c>
      <c r="AS1282" t="s">
        <v>22522</v>
      </c>
      <c r="AT1282" t="s">
        <v>74</v>
      </c>
      <c r="AU1282">
        <v>2000</v>
      </c>
      <c r="AV1282">
        <v>14</v>
      </c>
      <c r="AW1282">
        <v>7</v>
      </c>
      <c r="AX1282" t="s">
        <v>74</v>
      </c>
      <c r="AY1282" t="s">
        <v>74</v>
      </c>
      <c r="AZ1282" t="s">
        <v>74</v>
      </c>
      <c r="BA1282" t="s">
        <v>74</v>
      </c>
      <c r="BB1282">
        <v>551</v>
      </c>
      <c r="BC1282">
        <v>564</v>
      </c>
      <c r="BD1282" t="s">
        <v>74</v>
      </c>
      <c r="BE1282" t="s">
        <v>23666</v>
      </c>
      <c r="BF1282" t="str">
        <f>HYPERLINK("http://dx.doi.org/10.1163/156855301742003","http://dx.doi.org/10.1163/156855301742003")</f>
        <v>http://dx.doi.org/10.1163/156855301742003</v>
      </c>
      <c r="BG1282" t="s">
        <v>74</v>
      </c>
      <c r="BH1282" t="s">
        <v>74</v>
      </c>
      <c r="BI1282">
        <v>14</v>
      </c>
      <c r="BJ1282" t="s">
        <v>714</v>
      </c>
      <c r="BK1282" t="s">
        <v>102</v>
      </c>
      <c r="BL1282" t="s">
        <v>714</v>
      </c>
      <c r="BM1282" t="s">
        <v>23667</v>
      </c>
      <c r="BN1282" t="s">
        <v>74</v>
      </c>
      <c r="BO1282" t="s">
        <v>74</v>
      </c>
      <c r="BP1282" t="s">
        <v>74</v>
      </c>
      <c r="BQ1282" t="s">
        <v>74</v>
      </c>
      <c r="BR1282" t="s">
        <v>105</v>
      </c>
      <c r="BS1282" t="s">
        <v>23668</v>
      </c>
      <c r="BT1282" t="str">
        <f>HYPERLINK("https%3A%2F%2Fwww.webofscience.com%2Fwos%2Fwoscc%2Ffull-record%2FWOS:000167648000001","View Full Record in Web of Science")</f>
        <v>View Full Record in Web of Science</v>
      </c>
    </row>
  </sheetData>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savedrecs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Shiraz Bronstein</dc:creator>
  <cp:lastModifiedBy>Shiraz Bronstein</cp:lastModifiedBy>
  <dcterms:created xsi:type="dcterms:W3CDTF">2025-06-18T14:02:14Z</dcterms:created>
  <dcterms:modified xsi:type="dcterms:W3CDTF">2025-06-19T19:57:11Z</dcterms:modified>
</cp:coreProperties>
</file>